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-105" yWindow="-105" windowWidth="9705" windowHeight="3405" tabRatio="818" firstSheet="1" activeTab="5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FAC_TOTALS_APTA!$C$2:$BB$126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5" i="1" l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29" i="1"/>
  <c r="R19" i="22"/>
  <c r="S19" i="22"/>
  <c r="T19" i="22"/>
  <c r="Q19" i="22"/>
  <c r="H19" i="22"/>
  <c r="I19" i="22"/>
  <c r="J19" i="22"/>
  <c r="G19" i="22"/>
  <c r="R19" i="21"/>
  <c r="S19" i="21"/>
  <c r="T19" i="21"/>
  <c r="Q19" i="21"/>
  <c r="J19" i="21"/>
  <c r="H19" i="21"/>
  <c r="I19" i="21"/>
  <c r="G19" i="21"/>
  <c r="AB100" i="20" l="1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F100" i="20"/>
  <c r="J99" i="20"/>
  <c r="K99" i="20" s="1"/>
  <c r="L99" i="20" s="1"/>
  <c r="F99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F72" i="20"/>
  <c r="J71" i="20"/>
  <c r="K71" i="20" s="1"/>
  <c r="L71" i="20" s="1"/>
  <c r="F71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J44" i="20"/>
  <c r="K44" i="20" s="1"/>
  <c r="L44" i="20" s="1"/>
  <c r="F44" i="20"/>
  <c r="J43" i="20"/>
  <c r="K43" i="20" s="1"/>
  <c r="L43" i="20" s="1"/>
  <c r="F43" i="20"/>
  <c r="F16" i="20"/>
  <c r="J16" i="20"/>
  <c r="K16" i="20" s="1"/>
  <c r="L16" i="20" s="1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J100" i="26"/>
  <c r="K100" i="26" s="1"/>
  <c r="L100" i="26" s="1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J44" i="26"/>
  <c r="K44" i="26" s="1"/>
  <c r="L44" i="26" s="1"/>
  <c r="F44" i="26"/>
  <c r="K43" i="26"/>
  <c r="L43" i="26" s="1"/>
  <c r="J43" i="26"/>
  <c r="F43" i="26"/>
  <c r="F16" i="26"/>
  <c r="J16" i="26"/>
  <c r="K16" i="26" s="1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F16" i="25"/>
  <c r="J16" i="25"/>
  <c r="K16" i="25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44" i="26" l="1"/>
  <c r="AC100" i="20"/>
  <c r="AC44" i="19"/>
  <c r="AC72" i="25"/>
  <c r="AC100" i="26"/>
  <c r="AC72" i="19"/>
  <c r="AC16" i="26"/>
  <c r="AC100" i="25"/>
  <c r="AC100" i="19"/>
  <c r="AC72" i="26"/>
  <c r="AC44" i="25"/>
  <c r="AC16" i="19"/>
  <c r="AC44" i="20"/>
  <c r="AC16" i="20"/>
  <c r="AC72" i="20"/>
  <c r="AC16" i="25"/>
  <c r="J15" i="20"/>
  <c r="K15" i="20" s="1"/>
  <c r="L15" i="20" s="1"/>
  <c r="F15" i="20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F111" i="25" l="1"/>
  <c r="F112" i="25"/>
  <c r="F23" i="20" l="1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V67" i="26" l="1"/>
  <c r="W67" i="26"/>
  <c r="W71" i="26" s="1"/>
  <c r="U67" i="26"/>
  <c r="P67" i="26"/>
  <c r="AB67" i="26"/>
  <c r="AB71" i="26" s="1"/>
  <c r="O67" i="26"/>
  <c r="Y67" i="26"/>
  <c r="Y71" i="26" s="1"/>
  <c r="N67" i="26"/>
  <c r="X67" i="26"/>
  <c r="X71" i="26" s="1"/>
  <c r="M67" i="26"/>
  <c r="T67" i="26"/>
  <c r="H67" i="26"/>
  <c r="R67" i="26"/>
  <c r="AA67" i="26"/>
  <c r="AA71" i="26" s="1"/>
  <c r="S67" i="26"/>
  <c r="G67" i="26"/>
  <c r="Z67" i="26"/>
  <c r="Z71" i="26" s="1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H95" i="25" l="1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AA43" i="26" s="1"/>
  <c r="X11" i="26"/>
  <c r="X15" i="26" s="1"/>
  <c r="Y11" i="26"/>
  <c r="Y15" i="26" s="1"/>
  <c r="Y39" i="26"/>
  <c r="Y43" i="26" s="1"/>
  <c r="R67" i="20"/>
  <c r="Z67" i="25"/>
  <c r="Z71" i="25" s="1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Z15" i="26" s="1"/>
  <c r="O39" i="26"/>
  <c r="W95" i="26"/>
  <c r="W99" i="26" s="1"/>
  <c r="P39" i="26"/>
  <c r="G95" i="26"/>
  <c r="AA95" i="26"/>
  <c r="AA99" i="26" s="1"/>
  <c r="V39" i="26"/>
  <c r="AB95" i="26"/>
  <c r="AB99" i="26" s="1"/>
  <c r="W39" i="26"/>
  <c r="W43" i="26" s="1"/>
  <c r="M95" i="26"/>
  <c r="X39" i="26"/>
  <c r="X43" i="26" s="1"/>
  <c r="O95" i="26"/>
  <c r="U95" i="26"/>
  <c r="S95" i="26"/>
  <c r="W11" i="26"/>
  <c r="W15" i="26" s="1"/>
  <c r="O11" i="26"/>
  <c r="V11" i="26"/>
  <c r="N11" i="26"/>
  <c r="U11" i="26"/>
  <c r="M11" i="26"/>
  <c r="AB11" i="26"/>
  <c r="AB15" i="26" s="1"/>
  <c r="T11" i="26"/>
  <c r="AA11" i="26"/>
  <c r="AA15" i="26" s="1"/>
  <c r="S11" i="26"/>
  <c r="G11" i="26"/>
  <c r="P11" i="26"/>
  <c r="Q11" i="26"/>
  <c r="AB39" i="26"/>
  <c r="AB43" i="26" s="1"/>
  <c r="T39" i="26"/>
  <c r="Z39" i="26"/>
  <c r="Z43" i="26" s="1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Z43" i="25" s="1"/>
  <c r="R39" i="25"/>
  <c r="X39" i="25"/>
  <c r="X43" i="25" s="1"/>
  <c r="P39" i="25"/>
  <c r="S39" i="25"/>
  <c r="Q39" i="25"/>
  <c r="AB39" i="25"/>
  <c r="AB43" i="25" s="1"/>
  <c r="O39" i="25"/>
  <c r="AA39" i="25"/>
  <c r="AA43" i="25" s="1"/>
  <c r="M39" i="25"/>
  <c r="Y39" i="25"/>
  <c r="Y43" i="25" s="1"/>
  <c r="W39" i="25"/>
  <c r="W43" i="25" s="1"/>
  <c r="G39" i="25"/>
  <c r="U39" i="25"/>
  <c r="Q11" i="25"/>
  <c r="Y11" i="25"/>
  <c r="Y15" i="25" s="1"/>
  <c r="R11" i="25"/>
  <c r="W67" i="25"/>
  <c r="W71" i="25" s="1"/>
  <c r="O67" i="25"/>
  <c r="V67" i="25"/>
  <c r="N67" i="25"/>
  <c r="U67" i="25"/>
  <c r="M67" i="25"/>
  <c r="Y67" i="25"/>
  <c r="Y71" i="25" s="1"/>
  <c r="G67" i="25"/>
  <c r="X67" i="25"/>
  <c r="X71" i="25" s="1"/>
  <c r="S67" i="25"/>
  <c r="R67" i="25"/>
  <c r="AB67" i="25"/>
  <c r="AB71" i="25" s="1"/>
  <c r="Q67" i="25"/>
  <c r="AA67" i="25"/>
  <c r="AA71" i="25" s="1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AA67" i="20"/>
  <c r="AA71" i="20" s="1"/>
  <c r="N67" i="20"/>
  <c r="V67" i="20"/>
  <c r="V71" i="20" s="1"/>
  <c r="Z67" i="20"/>
  <c r="Z71" i="20" s="1"/>
  <c r="O67" i="20"/>
  <c r="W67" i="20"/>
  <c r="W71" i="20" s="1"/>
  <c r="U67" i="20"/>
  <c r="U71" i="20" s="1"/>
  <c r="P67" i="20"/>
  <c r="X67" i="20"/>
  <c r="X71" i="20" s="1"/>
  <c r="Q67" i="20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N11" i="19"/>
  <c r="Z39" i="19"/>
  <c r="Z43" i="19" s="1"/>
  <c r="G67" i="19"/>
  <c r="Z11" i="20"/>
  <c r="Z15" i="20" s="1"/>
  <c r="G39" i="20"/>
  <c r="V39" i="20"/>
  <c r="V43" i="20" s="1"/>
  <c r="R95" i="20"/>
  <c r="AB95" i="20"/>
  <c r="AB99" i="20" s="1"/>
  <c r="G95" i="20"/>
  <c r="T95" i="20"/>
  <c r="T99" i="20" s="1"/>
  <c r="N39" i="20"/>
  <c r="V95" i="20"/>
  <c r="V99" i="20" s="1"/>
  <c r="N95" i="20"/>
  <c r="Z95" i="20"/>
  <c r="Z99" i="20" s="1"/>
  <c r="G11" i="20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P39" i="20"/>
  <c r="X39" i="20"/>
  <c r="X43" i="20" s="1"/>
  <c r="R39" i="20"/>
  <c r="Z39" i="20"/>
  <c r="Z43" i="20" s="1"/>
  <c r="M39" i="20"/>
  <c r="Q39" i="20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P95" i="20"/>
  <c r="X95" i="20"/>
  <c r="X99" i="20" s="1"/>
  <c r="AA95" i="20"/>
  <c r="AA99" i="20" s="1"/>
  <c r="M95" i="20"/>
  <c r="Q95" i="20"/>
  <c r="U95" i="20"/>
  <c r="U99" i="20" s="1"/>
  <c r="G95" i="19"/>
  <c r="U95" i="19"/>
  <c r="U99" i="19" s="1"/>
  <c r="R11" i="19"/>
  <c r="R67" i="19"/>
  <c r="Q95" i="19"/>
  <c r="Z67" i="19"/>
  <c r="Z71" i="19" s="1"/>
  <c r="AA11" i="19"/>
  <c r="AA15" i="19" s="1"/>
  <c r="O11" i="19"/>
  <c r="H11" i="19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G16" i="25" l="1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7" i="21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S111" i="19" l="1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0" i="19" l="1"/>
  <c r="H16" i="19"/>
  <c r="G100" i="19"/>
  <c r="H44" i="19"/>
  <c r="G72" i="25"/>
  <c r="H16" i="25"/>
  <c r="I16" i="25" s="1"/>
  <c r="C7" i="21" s="1"/>
  <c r="G100" i="25"/>
  <c r="G72" i="19"/>
  <c r="H72" i="25"/>
  <c r="H44" i="25"/>
  <c r="H72" i="19"/>
  <c r="G16" i="19"/>
  <c r="G44" i="25"/>
  <c r="H100" i="25"/>
  <c r="G44" i="19"/>
  <c r="O71" i="25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6" i="21" s="1"/>
  <c r="P15" i="25"/>
  <c r="Q15" i="25"/>
  <c r="N99" i="25"/>
  <c r="S71" i="25"/>
  <c r="H99" i="19"/>
  <c r="Q71" i="25"/>
  <c r="Q43" i="25"/>
  <c r="T71" i="25"/>
  <c r="H71" i="19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8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12" i="21" s="1"/>
  <c r="AA25" i="25"/>
  <c r="P26" i="25"/>
  <c r="AB102" i="25"/>
  <c r="N21" i="25"/>
  <c r="M101" i="25"/>
  <c r="T53" i="25"/>
  <c r="M107" i="25"/>
  <c r="M104" i="25"/>
  <c r="H13" i="25"/>
  <c r="I13" i="25" s="1"/>
  <c r="C5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1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10" i="21" s="1"/>
  <c r="T54" i="25"/>
  <c r="AA24" i="25"/>
  <c r="AB97" i="25"/>
  <c r="Q107" i="25"/>
  <c r="Z73" i="25"/>
  <c r="G107" i="25"/>
  <c r="T46" i="25"/>
  <c r="H22" i="25"/>
  <c r="I22" i="25" s="1"/>
  <c r="C14" i="21" s="1"/>
  <c r="R109" i="25"/>
  <c r="G112" i="25"/>
  <c r="AD100" i="25" s="1"/>
  <c r="J7" i="21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9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13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1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H7" i="21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I7" i="21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P8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T7" i="21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S7" i="21" s="1"/>
  <c r="H27" i="19"/>
  <c r="H13" i="19"/>
  <c r="G28" i="19"/>
  <c r="AD16" i="19" s="1"/>
  <c r="Q7" i="21" s="1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M18" i="19"/>
  <c r="Q19" i="19"/>
  <c r="M22" i="19"/>
  <c r="Q23" i="19"/>
  <c r="M25" i="19"/>
  <c r="H24" i="19"/>
  <c r="P17" i="19"/>
  <c r="P21" i="19"/>
  <c r="P24" i="19"/>
  <c r="H53" i="19"/>
  <c r="H25" i="19"/>
  <c r="P18" i="19"/>
  <c r="N24" i="19"/>
  <c r="I100" i="19" l="1"/>
  <c r="P7" i="21" s="1"/>
  <c r="I100" i="25"/>
  <c r="F7" i="21" s="1"/>
  <c r="I72" i="25"/>
  <c r="E7" i="21" s="1"/>
  <c r="I44" i="19"/>
  <c r="N7" i="21" s="1"/>
  <c r="I16" i="19"/>
  <c r="M7" i="21" s="1"/>
  <c r="I72" i="19"/>
  <c r="O7" i="21" s="1"/>
  <c r="AC43" i="19"/>
  <c r="AD43" i="19" s="1"/>
  <c r="R6" i="21" s="1"/>
  <c r="I44" i="25"/>
  <c r="AD44" i="19"/>
  <c r="R7" i="21" s="1"/>
  <c r="AC71" i="19"/>
  <c r="AD71" i="19" s="1"/>
  <c r="S6" i="21" s="1"/>
  <c r="AC99" i="19"/>
  <c r="AD99" i="19" s="1"/>
  <c r="T6" i="21" s="1"/>
  <c r="AC15" i="19"/>
  <c r="AD15" i="19" s="1"/>
  <c r="Q6" i="21" s="1"/>
  <c r="I99" i="19"/>
  <c r="P6" i="21" s="1"/>
  <c r="I99" i="25"/>
  <c r="F6" i="21" s="1"/>
  <c r="AC43" i="25"/>
  <c r="AD43" i="25" s="1"/>
  <c r="H6" i="21" s="1"/>
  <c r="AC15" i="25"/>
  <c r="AD15" i="25" s="1"/>
  <c r="G6" i="21" s="1"/>
  <c r="AC99" i="25"/>
  <c r="AD99" i="25" s="1"/>
  <c r="J6" i="21" s="1"/>
  <c r="AC71" i="25"/>
  <c r="AD71" i="25" s="1"/>
  <c r="I6" i="21" s="1"/>
  <c r="I43" i="19"/>
  <c r="N6" i="21" s="1"/>
  <c r="I103" i="19"/>
  <c r="P11" i="21" s="1"/>
  <c r="I15" i="19"/>
  <c r="M6" i="21" s="1"/>
  <c r="I71" i="19"/>
  <c r="O6" i="21" s="1"/>
  <c r="I43" i="25"/>
  <c r="I71" i="25"/>
  <c r="E6" i="21" s="1"/>
  <c r="AC84" i="19"/>
  <c r="I69" i="19"/>
  <c r="I106" i="19"/>
  <c r="P14" i="21" s="1"/>
  <c r="I51" i="25"/>
  <c r="I76" i="19"/>
  <c r="O12" i="21" s="1"/>
  <c r="AC51" i="25"/>
  <c r="AD51" i="25" s="1"/>
  <c r="H15" i="21" s="1"/>
  <c r="I52" i="25"/>
  <c r="I77" i="19"/>
  <c r="O13" i="21" s="1"/>
  <c r="I77" i="25"/>
  <c r="E13" i="21" s="1"/>
  <c r="I55" i="25"/>
  <c r="AD55" i="25" s="1"/>
  <c r="D35" i="21" s="1"/>
  <c r="I74" i="25"/>
  <c r="E10" i="21" s="1"/>
  <c r="I42" i="25"/>
  <c r="D8" i="21" s="1"/>
  <c r="V27" i="25"/>
  <c r="I69" i="25"/>
  <c r="E5" i="21" s="1"/>
  <c r="I73" i="25"/>
  <c r="E9" i="21" s="1"/>
  <c r="I102" i="25"/>
  <c r="F10" i="21" s="1"/>
  <c r="I105" i="25"/>
  <c r="F13" i="21" s="1"/>
  <c r="I81" i="19"/>
  <c r="I78" i="25"/>
  <c r="E14" i="21" s="1"/>
  <c r="I104" i="25"/>
  <c r="F12" i="21" s="1"/>
  <c r="I80" i="25"/>
  <c r="AC74" i="19"/>
  <c r="AD74" i="19" s="1"/>
  <c r="I108" i="19"/>
  <c r="I81" i="25"/>
  <c r="I107" i="19"/>
  <c r="I107" i="25"/>
  <c r="I76" i="25"/>
  <c r="E12" i="21" s="1"/>
  <c r="AC50" i="19"/>
  <c r="AD50" i="19" s="1"/>
  <c r="I74" i="19"/>
  <c r="O10" i="21" s="1"/>
  <c r="I70" i="25"/>
  <c r="E8" i="21" s="1"/>
  <c r="I109" i="25"/>
  <c r="S27" i="25"/>
  <c r="AC108" i="19"/>
  <c r="AD108" i="19" s="1"/>
  <c r="I75" i="25"/>
  <c r="E11" i="21" s="1"/>
  <c r="AA83" i="25"/>
  <c r="I79" i="19"/>
  <c r="AC13" i="25"/>
  <c r="AC103" i="19"/>
  <c r="AD103" i="19" s="1"/>
  <c r="I84" i="25"/>
  <c r="AD84" i="25" s="1"/>
  <c r="I20" i="21" s="1"/>
  <c r="E36" i="21" s="1"/>
  <c r="R83" i="25"/>
  <c r="I101" i="25"/>
  <c r="F9" i="21" s="1"/>
  <c r="I97" i="25"/>
  <c r="F5" i="21" s="1"/>
  <c r="AC82" i="19"/>
  <c r="AD82" i="19" s="1"/>
  <c r="S18" i="21" s="1"/>
  <c r="O34" i="21" s="1"/>
  <c r="W111" i="25"/>
  <c r="AC53" i="25"/>
  <c r="AD53" i="25" s="1"/>
  <c r="H17" i="21" s="1"/>
  <c r="O111" i="25"/>
  <c r="I102" i="19"/>
  <c r="P10" i="21" s="1"/>
  <c r="I79" i="25"/>
  <c r="AB111" i="25"/>
  <c r="AA111" i="25"/>
  <c r="I112" i="25"/>
  <c r="AD112" i="25" s="1"/>
  <c r="J20" i="21" s="1"/>
  <c r="F36" i="21" s="1"/>
  <c r="P111" i="25"/>
  <c r="V55" i="25"/>
  <c r="Y83" i="25"/>
  <c r="I109" i="19"/>
  <c r="I83" i="25"/>
  <c r="AD83" i="25" s="1"/>
  <c r="E35" i="21" s="1"/>
  <c r="I111" i="25"/>
  <c r="AD111" i="25" s="1"/>
  <c r="F35" i="21" s="1"/>
  <c r="Z83" i="25"/>
  <c r="AC18" i="25"/>
  <c r="AD18" i="25" s="1"/>
  <c r="G10" i="21" s="1"/>
  <c r="AC19" i="25"/>
  <c r="AD19" i="25" s="1"/>
  <c r="G11" i="21" s="1"/>
  <c r="C31" i="21" s="1"/>
  <c r="AC21" i="25"/>
  <c r="AD21" i="25" s="1"/>
  <c r="G13" i="21" s="1"/>
  <c r="AC109" i="19"/>
  <c r="AD109" i="19" s="1"/>
  <c r="T17" i="21" s="1"/>
  <c r="AC69" i="19"/>
  <c r="AD69" i="19" s="1"/>
  <c r="AC78" i="25"/>
  <c r="AD78" i="25" s="1"/>
  <c r="I14" i="21" s="1"/>
  <c r="AC70" i="25"/>
  <c r="AD70" i="25" s="1"/>
  <c r="I8" i="21" s="1"/>
  <c r="E29" i="21" s="1"/>
  <c r="W83" i="25"/>
  <c r="AC54" i="25"/>
  <c r="AD54" i="25" s="1"/>
  <c r="H18" i="21" s="1"/>
  <c r="D34" i="21" s="1"/>
  <c r="AC54" i="19"/>
  <c r="AD54" i="19" s="1"/>
  <c r="R18" i="21" s="1"/>
  <c r="N34" i="21" s="1"/>
  <c r="AC47" i="19"/>
  <c r="AD47" i="19" s="1"/>
  <c r="AC76" i="19"/>
  <c r="AD76" i="19" s="1"/>
  <c r="V111" i="25"/>
  <c r="O55" i="25"/>
  <c r="AC20" i="25"/>
  <c r="AD20" i="25" s="1"/>
  <c r="G12" i="21" s="1"/>
  <c r="X83" i="25"/>
  <c r="I73" i="19"/>
  <c r="O9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5" i="21" s="1"/>
  <c r="AC76" i="25"/>
  <c r="AD76" i="25" s="1"/>
  <c r="I12" i="21" s="1"/>
  <c r="I78" i="19"/>
  <c r="O14" i="21" s="1"/>
  <c r="AC70" i="19"/>
  <c r="AD70" i="19" s="1"/>
  <c r="AC74" i="25"/>
  <c r="AD74" i="25" s="1"/>
  <c r="I10" i="21" s="1"/>
  <c r="W55" i="25"/>
  <c r="AC80" i="19"/>
  <c r="AD80" i="19" s="1"/>
  <c r="AC24" i="25"/>
  <c r="AD24" i="25" s="1"/>
  <c r="G16" i="21" s="1"/>
  <c r="AC52" i="25"/>
  <c r="AD52" i="25" s="1"/>
  <c r="H16" i="21" s="1"/>
  <c r="I104" i="19"/>
  <c r="P12" i="21" s="1"/>
  <c r="AC98" i="19"/>
  <c r="AD98" i="19" s="1"/>
  <c r="M27" i="25"/>
  <c r="AC75" i="25"/>
  <c r="AD75" i="25" s="1"/>
  <c r="I11" i="21" s="1"/>
  <c r="E31" i="21" s="1"/>
  <c r="AC48" i="19"/>
  <c r="AD48" i="19" s="1"/>
  <c r="Q55" i="25"/>
  <c r="AC47" i="25"/>
  <c r="AD47" i="25" s="1"/>
  <c r="H11" i="21" s="1"/>
  <c r="D31" i="21" s="1"/>
  <c r="AC48" i="25"/>
  <c r="AD48" i="25" s="1"/>
  <c r="H12" i="21" s="1"/>
  <c r="AC107" i="19"/>
  <c r="AD107" i="19" s="1"/>
  <c r="AC77" i="19"/>
  <c r="AD77" i="19" s="1"/>
  <c r="I75" i="19"/>
  <c r="O11" i="21" s="1"/>
  <c r="Q83" i="25"/>
  <c r="P83" i="25"/>
  <c r="Z55" i="25"/>
  <c r="AC79" i="25"/>
  <c r="AD79" i="25" s="1"/>
  <c r="I15" i="21" s="1"/>
  <c r="I48" i="25"/>
  <c r="W27" i="25"/>
  <c r="Z27" i="25"/>
  <c r="AC55" i="25"/>
  <c r="AC104" i="25"/>
  <c r="AD104" i="25" s="1"/>
  <c r="J12" i="21" s="1"/>
  <c r="I27" i="25"/>
  <c r="AD27" i="25" s="1"/>
  <c r="C35" i="21" s="1"/>
  <c r="AC27" i="25"/>
  <c r="Z111" i="25"/>
  <c r="AC80" i="25"/>
  <c r="AD80" i="25" s="1"/>
  <c r="I16" i="21" s="1"/>
  <c r="AC49" i="19"/>
  <c r="AD49" i="19" s="1"/>
  <c r="AC102" i="19"/>
  <c r="AD102" i="19" s="1"/>
  <c r="AC73" i="19"/>
  <c r="AD73" i="19" s="1"/>
  <c r="I101" i="19"/>
  <c r="P9" i="21" s="1"/>
  <c r="AC17" i="25"/>
  <c r="AD17" i="25" s="1"/>
  <c r="G9" i="21" s="1"/>
  <c r="AC45" i="25"/>
  <c r="AD45" i="25" s="1"/>
  <c r="H9" i="21" s="1"/>
  <c r="AC41" i="19"/>
  <c r="AD41" i="19" s="1"/>
  <c r="AC81" i="19"/>
  <c r="AD81" i="19" s="1"/>
  <c r="S17" i="21" s="1"/>
  <c r="N111" i="25"/>
  <c r="R55" i="25"/>
  <c r="AA55" i="25"/>
  <c r="AC46" i="25"/>
  <c r="AD46" i="25" s="1"/>
  <c r="H10" i="21" s="1"/>
  <c r="AC105" i="25"/>
  <c r="AD105" i="25" s="1"/>
  <c r="J13" i="21" s="1"/>
  <c r="I46" i="25"/>
  <c r="AC112" i="25"/>
  <c r="AC42" i="19"/>
  <c r="AD42" i="19" s="1"/>
  <c r="P27" i="25"/>
  <c r="I41" i="25"/>
  <c r="X27" i="25"/>
  <c r="AC107" i="25"/>
  <c r="AD107" i="25" s="1"/>
  <c r="J15" i="21" s="1"/>
  <c r="I106" i="25"/>
  <c r="F14" i="21" s="1"/>
  <c r="AB27" i="25"/>
  <c r="I28" i="25"/>
  <c r="AD28" i="25" s="1"/>
  <c r="Y55" i="25"/>
  <c r="Y27" i="25"/>
  <c r="Q27" i="25"/>
  <c r="X55" i="25"/>
  <c r="I70" i="19"/>
  <c r="O8" i="21" s="1"/>
  <c r="AC104" i="19"/>
  <c r="AD104" i="19" s="1"/>
  <c r="AC78" i="19"/>
  <c r="AD78" i="19" s="1"/>
  <c r="N55" i="25"/>
  <c r="AC22" i="25"/>
  <c r="AD22" i="25" s="1"/>
  <c r="G14" i="21" s="1"/>
  <c r="AB55" i="25"/>
  <c r="U55" i="25"/>
  <c r="U83" i="25"/>
  <c r="AC42" i="25"/>
  <c r="AD42" i="25" s="1"/>
  <c r="H8" i="21" s="1"/>
  <c r="D29" i="21" s="1"/>
  <c r="U111" i="25"/>
  <c r="S83" i="25"/>
  <c r="AC73" i="25"/>
  <c r="AD73" i="25" s="1"/>
  <c r="I9" i="21" s="1"/>
  <c r="AC53" i="19"/>
  <c r="AD53" i="19" s="1"/>
  <c r="R17" i="21" s="1"/>
  <c r="AC105" i="19"/>
  <c r="AD105" i="19" s="1"/>
  <c r="I97" i="19"/>
  <c r="N83" i="25"/>
  <c r="T83" i="25"/>
  <c r="AC25" i="25"/>
  <c r="AD25" i="25" s="1"/>
  <c r="G17" i="21" s="1"/>
  <c r="AB83" i="25"/>
  <c r="AC81" i="25"/>
  <c r="AD81" i="25" s="1"/>
  <c r="I17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5" i="21" s="1"/>
  <c r="Q111" i="25"/>
  <c r="AC108" i="25"/>
  <c r="AD108" i="25" s="1"/>
  <c r="J16" i="21" s="1"/>
  <c r="I49" i="25"/>
  <c r="AC111" i="25"/>
  <c r="AC106" i="25"/>
  <c r="AD106" i="25" s="1"/>
  <c r="J14" i="21" s="1"/>
  <c r="AC109" i="25"/>
  <c r="AD109" i="25" s="1"/>
  <c r="J17" i="21" s="1"/>
  <c r="AC110" i="25"/>
  <c r="AD110" i="25" s="1"/>
  <c r="J18" i="21" s="1"/>
  <c r="F34" i="21" s="1"/>
  <c r="AC84" i="25"/>
  <c r="AC26" i="25"/>
  <c r="AD26" i="25" s="1"/>
  <c r="G18" i="21" s="1"/>
  <c r="C34" i="21" s="1"/>
  <c r="AC77" i="25"/>
  <c r="AD77" i="25" s="1"/>
  <c r="I13" i="21" s="1"/>
  <c r="R27" i="25"/>
  <c r="AC82" i="25"/>
  <c r="AD82" i="25" s="1"/>
  <c r="I18" i="21" s="1"/>
  <c r="E34" i="21" s="1"/>
  <c r="AC41" i="25"/>
  <c r="AD41" i="25" s="1"/>
  <c r="H5" i="21" s="1"/>
  <c r="M55" i="25"/>
  <c r="I80" i="19"/>
  <c r="AC101" i="19"/>
  <c r="AD101" i="19" s="1"/>
  <c r="AC23" i="25"/>
  <c r="AD23" i="25" s="1"/>
  <c r="G15" i="21" s="1"/>
  <c r="X111" i="25"/>
  <c r="AC110" i="19"/>
  <c r="AD110" i="19" s="1"/>
  <c r="T18" i="21" s="1"/>
  <c r="P34" i="21" s="1"/>
  <c r="I105" i="19"/>
  <c r="P13" i="21" s="1"/>
  <c r="AC79" i="19"/>
  <c r="AD79" i="19" s="1"/>
  <c r="S15" i="21" s="1"/>
  <c r="S55" i="25"/>
  <c r="V83" i="25"/>
  <c r="AC14" i="25"/>
  <c r="AD14" i="25" s="1"/>
  <c r="G8" i="21" s="1"/>
  <c r="C29" i="21" s="1"/>
  <c r="AC49" i="25"/>
  <c r="AD49" i="25" s="1"/>
  <c r="H13" i="21" s="1"/>
  <c r="T111" i="25"/>
  <c r="O83" i="25"/>
  <c r="AC50" i="25"/>
  <c r="AD50" i="25" s="1"/>
  <c r="H14" i="21" s="1"/>
  <c r="AC102" i="25"/>
  <c r="AD102" i="25" s="1"/>
  <c r="J10" i="21" s="1"/>
  <c r="I47" i="25"/>
  <c r="T27" i="25"/>
  <c r="AA27" i="25"/>
  <c r="N27" i="25"/>
  <c r="U27" i="25"/>
  <c r="Y111" i="25"/>
  <c r="I108" i="25"/>
  <c r="I45" i="25"/>
  <c r="I98" i="25"/>
  <c r="F8" i="21" s="1"/>
  <c r="AC101" i="25"/>
  <c r="AD101" i="25" s="1"/>
  <c r="J9" i="21" s="1"/>
  <c r="T55" i="25"/>
  <c r="AC103" i="25"/>
  <c r="AD103" i="25" s="1"/>
  <c r="J11" i="21" s="1"/>
  <c r="F31" i="21" s="1"/>
  <c r="R111" i="25"/>
  <c r="AC98" i="25"/>
  <c r="AD98" i="25" s="1"/>
  <c r="J8" i="21" s="1"/>
  <c r="F29" i="21" s="1"/>
  <c r="AC83" i="19"/>
  <c r="AC28" i="19"/>
  <c r="AC112" i="19"/>
  <c r="AC56" i="19"/>
  <c r="AC55" i="19"/>
  <c r="AC27" i="19"/>
  <c r="I24" i="19"/>
  <c r="P55" i="19"/>
  <c r="I41" i="19"/>
  <c r="N5" i="21" s="1"/>
  <c r="I83" i="19"/>
  <c r="I48" i="19"/>
  <c r="N12" i="21" s="1"/>
  <c r="I46" i="19"/>
  <c r="N10" i="21" s="1"/>
  <c r="I25" i="19"/>
  <c r="I50" i="19"/>
  <c r="N14" i="21" s="1"/>
  <c r="I19" i="19"/>
  <c r="M11" i="21" s="1"/>
  <c r="I55" i="19"/>
  <c r="I13" i="19"/>
  <c r="M5" i="21" s="1"/>
  <c r="I45" i="19"/>
  <c r="N9" i="21" s="1"/>
  <c r="R27" i="19"/>
  <c r="M27" i="19"/>
  <c r="AC13" i="19"/>
  <c r="AD13" i="19" s="1"/>
  <c r="I42" i="19"/>
  <c r="N8" i="21" s="1"/>
  <c r="I23" i="19"/>
  <c r="AC22" i="19"/>
  <c r="AD22" i="19" s="1"/>
  <c r="Q14" i="21" s="1"/>
  <c r="AC24" i="19"/>
  <c r="AD24" i="19" s="1"/>
  <c r="Q16" i="21" s="1"/>
  <c r="AC25" i="19"/>
  <c r="AD25" i="19" s="1"/>
  <c r="Q17" i="21" s="1"/>
  <c r="R55" i="19"/>
  <c r="AC23" i="19"/>
  <c r="AD23" i="19" s="1"/>
  <c r="Q15" i="21" s="1"/>
  <c r="M111" i="19"/>
  <c r="AC21" i="19"/>
  <c r="AD21" i="19" s="1"/>
  <c r="Q13" i="21" s="1"/>
  <c r="N27" i="19"/>
  <c r="O83" i="19"/>
  <c r="I47" i="19"/>
  <c r="N11" i="21" s="1"/>
  <c r="O5" i="21"/>
  <c r="Q27" i="19"/>
  <c r="AC14" i="19"/>
  <c r="AD14" i="19" s="1"/>
  <c r="Q8" i="21" s="1"/>
  <c r="M29" i="21" s="1"/>
  <c r="I49" i="19"/>
  <c r="N13" i="21" s="1"/>
  <c r="AC20" i="19"/>
  <c r="AD20" i="19" s="1"/>
  <c r="Q12" i="21" s="1"/>
  <c r="R83" i="19"/>
  <c r="M83" i="19"/>
  <c r="AC17" i="19"/>
  <c r="AD17" i="19" s="1"/>
  <c r="Q9" i="21" s="1"/>
  <c r="M55" i="19"/>
  <c r="Q83" i="19"/>
  <c r="P27" i="19"/>
  <c r="AC26" i="19"/>
  <c r="AD26" i="19" s="1"/>
  <c r="Q18" i="21" s="1"/>
  <c r="M34" i="21" s="1"/>
  <c r="O55" i="19"/>
  <c r="N83" i="19"/>
  <c r="AC19" i="19"/>
  <c r="AD19" i="19" s="1"/>
  <c r="Q11" i="21" s="1"/>
  <c r="M31" i="21" s="1"/>
  <c r="N55" i="19"/>
  <c r="AC18" i="19"/>
  <c r="AD18" i="19" s="1"/>
  <c r="Q10" i="21" s="1"/>
  <c r="P83" i="19"/>
  <c r="O27" i="19"/>
  <c r="I53" i="19"/>
  <c r="I51" i="19"/>
  <c r="I20" i="19"/>
  <c r="M12" i="21" s="1"/>
  <c r="I52" i="19"/>
  <c r="Q55" i="19"/>
  <c r="I21" i="19"/>
  <c r="M13" i="21" s="1"/>
  <c r="I84" i="19"/>
  <c r="I18" i="19"/>
  <c r="M10" i="21" s="1"/>
  <c r="I56" i="19"/>
  <c r="AD56" i="19" s="1"/>
  <c r="R20" i="21" s="1"/>
  <c r="N36" i="21" s="1"/>
  <c r="I17" i="19"/>
  <c r="M9" i="21" s="1"/>
  <c r="I27" i="19"/>
  <c r="AD27" i="19" s="1"/>
  <c r="I28" i="19"/>
  <c r="I22" i="19"/>
  <c r="M14" i="21" s="1"/>
  <c r="I14" i="19"/>
  <c r="M8" i="21" s="1"/>
  <c r="F28" i="21" l="1"/>
  <c r="AD28" i="19"/>
  <c r="Q20" i="21" s="1"/>
  <c r="M36" i="21" s="1"/>
  <c r="C30" i="21"/>
  <c r="E30" i="21"/>
  <c r="M30" i="21"/>
  <c r="C33" i="21"/>
  <c r="D33" i="21"/>
  <c r="D30" i="21"/>
  <c r="M32" i="21"/>
  <c r="C32" i="21"/>
  <c r="F33" i="21"/>
  <c r="F32" i="21"/>
  <c r="E32" i="21"/>
  <c r="M33" i="21"/>
  <c r="F30" i="21"/>
  <c r="D32" i="21"/>
  <c r="E28" i="21"/>
  <c r="E33" i="21"/>
  <c r="D28" i="21"/>
  <c r="D7" i="22"/>
  <c r="D7" i="21"/>
  <c r="D6" i="22"/>
  <c r="D6" i="21"/>
  <c r="D8" i="22"/>
  <c r="AD85" i="25"/>
  <c r="I21" i="21" s="1"/>
  <c r="E37" i="21" s="1"/>
  <c r="AD113" i="25"/>
  <c r="J21" i="21" s="1"/>
  <c r="F37" i="21" s="1"/>
  <c r="AD13" i="25"/>
  <c r="G5" i="21" s="1"/>
  <c r="C28" i="21" s="1"/>
  <c r="D13" i="22"/>
  <c r="D13" i="21"/>
  <c r="D10" i="22"/>
  <c r="D10" i="21"/>
  <c r="D14" i="21"/>
  <c r="D14" i="22"/>
  <c r="H20" i="21"/>
  <c r="D36" i="21" s="1"/>
  <c r="AD57" i="25"/>
  <c r="H21" i="21" s="1"/>
  <c r="D37" i="21" s="1"/>
  <c r="D12" i="22"/>
  <c r="D12" i="21"/>
  <c r="D11" i="22"/>
  <c r="D11" i="21"/>
  <c r="AD29" i="25"/>
  <c r="G21" i="21" s="1"/>
  <c r="C37" i="21" s="1"/>
  <c r="G20" i="21"/>
  <c r="C36" i="21" s="1"/>
  <c r="D9" i="22"/>
  <c r="D9" i="21"/>
  <c r="D5" i="22"/>
  <c r="D5" i="21"/>
  <c r="AD83" i="19"/>
  <c r="AD84" i="19"/>
  <c r="S20" i="21" s="1"/>
  <c r="O36" i="21" s="1"/>
  <c r="M35" i="21"/>
  <c r="AD55" i="19"/>
  <c r="T15" i="21"/>
  <c r="T10" i="21"/>
  <c r="T12" i="21"/>
  <c r="T9" i="21"/>
  <c r="T13" i="21"/>
  <c r="T8" i="21"/>
  <c r="P29" i="21" s="1"/>
  <c r="T14" i="21"/>
  <c r="T16" i="21"/>
  <c r="T11" i="21"/>
  <c r="P31" i="21" s="1"/>
  <c r="S16" i="21"/>
  <c r="O33" i="21" s="1"/>
  <c r="S13" i="21"/>
  <c r="S12" i="21"/>
  <c r="S9" i="21"/>
  <c r="S14" i="21"/>
  <c r="S10" i="21"/>
  <c r="S8" i="21"/>
  <c r="O29" i="21" s="1"/>
  <c r="S11" i="21"/>
  <c r="O31" i="21" s="1"/>
  <c r="R12" i="21"/>
  <c r="R15" i="21"/>
  <c r="R13" i="21"/>
  <c r="R10" i="21"/>
  <c r="R9" i="21"/>
  <c r="R14" i="21"/>
  <c r="R11" i="21"/>
  <c r="N31" i="21" s="1"/>
  <c r="R8" i="21"/>
  <c r="N29" i="21" s="1"/>
  <c r="R16" i="21"/>
  <c r="S5" i="21"/>
  <c r="O28" i="21" s="1"/>
  <c r="R5" i="21"/>
  <c r="N28" i="21" s="1"/>
  <c r="Q5" i="21"/>
  <c r="M28" i="21" s="1"/>
  <c r="P33" i="21" l="1"/>
  <c r="N33" i="21"/>
  <c r="O30" i="21"/>
  <c r="O32" i="21"/>
  <c r="P30" i="21"/>
  <c r="N30" i="21"/>
  <c r="P32" i="21"/>
  <c r="N32" i="21"/>
  <c r="AD85" i="19"/>
  <c r="S21" i="21" s="1"/>
  <c r="O37" i="21" s="1"/>
  <c r="O35" i="21"/>
  <c r="AD57" i="19"/>
  <c r="R21" i="21" s="1"/>
  <c r="N37" i="21" s="1"/>
  <c r="N35" i="21"/>
  <c r="AD29" i="19"/>
  <c r="Q21" i="21" s="1"/>
  <c r="M37" i="21" s="1"/>
  <c r="A76" i="1"/>
  <c r="R99" i="20" l="1"/>
  <c r="G99" i="20"/>
  <c r="G71" i="20"/>
  <c r="M71" i="20"/>
  <c r="AC71" i="20" s="1"/>
  <c r="S43" i="26"/>
  <c r="P43" i="20"/>
  <c r="G100" i="20"/>
  <c r="P99" i="20"/>
  <c r="O71" i="20"/>
  <c r="R71" i="20"/>
  <c r="P71" i="20"/>
  <c r="H72" i="20"/>
  <c r="G72" i="26"/>
  <c r="R43" i="20"/>
  <c r="O43" i="20"/>
  <c r="G44" i="20"/>
  <c r="G43" i="20"/>
  <c r="O99" i="20"/>
  <c r="H44" i="20"/>
  <c r="V43" i="26"/>
  <c r="H43" i="20"/>
  <c r="Q99" i="20"/>
  <c r="N99" i="20"/>
  <c r="Q43" i="20"/>
  <c r="M43" i="20"/>
  <c r="N43" i="20"/>
  <c r="R43" i="26"/>
  <c r="H43" i="26"/>
  <c r="P43" i="26"/>
  <c r="H72" i="26"/>
  <c r="G16" i="20"/>
  <c r="M99" i="20"/>
  <c r="H71" i="20"/>
  <c r="G43" i="26"/>
  <c r="H99" i="20"/>
  <c r="H16" i="20"/>
  <c r="H100" i="20"/>
  <c r="G16" i="26"/>
  <c r="Q43" i="26"/>
  <c r="G100" i="26"/>
  <c r="T43" i="26"/>
  <c r="G44" i="26"/>
  <c r="M43" i="26"/>
  <c r="N43" i="26"/>
  <c r="O43" i="26"/>
  <c r="H16" i="26"/>
  <c r="I16" i="26" s="1"/>
  <c r="C7" i="22" s="1"/>
  <c r="Q71" i="20"/>
  <c r="N71" i="20"/>
  <c r="G72" i="20"/>
  <c r="U43" i="26"/>
  <c r="H100" i="26"/>
  <c r="H44" i="26"/>
  <c r="H15" i="20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I7" i="22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O70" i="26"/>
  <c r="S75" i="26"/>
  <c r="AA75" i="26"/>
  <c r="V82" i="26"/>
  <c r="AA70" i="26"/>
  <c r="G75" i="26"/>
  <c r="Y69" i="26"/>
  <c r="V69" i="26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J7" i="22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G7" i="22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AD16" i="20" s="1"/>
  <c r="Q7" i="22" s="1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P5" i="21"/>
  <c r="P54" i="20"/>
  <c r="P110" i="20"/>
  <c r="O26" i="20"/>
  <c r="H28" i="20"/>
  <c r="H111" i="20"/>
  <c r="H111" i="19"/>
  <c r="R110" i="20"/>
  <c r="M26" i="20"/>
  <c r="N54" i="20"/>
  <c r="Q26" i="20"/>
  <c r="I109" i="20" l="1"/>
  <c r="V83" i="26"/>
  <c r="U83" i="26"/>
  <c r="T83" i="26"/>
  <c r="S83" i="26"/>
  <c r="AC99" i="20"/>
  <c r="AD99" i="20" s="1"/>
  <c r="T6" i="22" s="1"/>
  <c r="I72" i="20"/>
  <c r="O7" i="22" s="1"/>
  <c r="I43" i="26"/>
  <c r="I72" i="26"/>
  <c r="E7" i="22" s="1"/>
  <c r="I75" i="26"/>
  <c r="E11" i="22" s="1"/>
  <c r="I100" i="26"/>
  <c r="F7" i="22" s="1"/>
  <c r="I44" i="20"/>
  <c r="N7" i="22" s="1"/>
  <c r="I16" i="20"/>
  <c r="M7" i="22" s="1"/>
  <c r="I100" i="20"/>
  <c r="P7" i="22" s="1"/>
  <c r="AC43" i="26"/>
  <c r="AD43" i="26" s="1"/>
  <c r="H6" i="22" s="1"/>
  <c r="I71" i="20"/>
  <c r="O6" i="22" s="1"/>
  <c r="I44" i="26"/>
  <c r="I99" i="20"/>
  <c r="P6" i="22" s="1"/>
  <c r="AC43" i="20"/>
  <c r="AD43" i="20" s="1"/>
  <c r="R6" i="22" s="1"/>
  <c r="I43" i="20"/>
  <c r="N6" i="22" s="1"/>
  <c r="I45" i="26"/>
  <c r="AD44" i="26"/>
  <c r="H7" i="22" s="1"/>
  <c r="AD44" i="20"/>
  <c r="R7" i="22" s="1"/>
  <c r="AD100" i="20"/>
  <c r="T7" i="22" s="1"/>
  <c r="AD71" i="20"/>
  <c r="S6" i="22" s="1"/>
  <c r="AD72" i="20"/>
  <c r="S7" i="22" s="1"/>
  <c r="I15" i="20"/>
  <c r="M6" i="22" s="1"/>
  <c r="AC56" i="20"/>
  <c r="AC15" i="20"/>
  <c r="AD15" i="20" s="1"/>
  <c r="Q6" i="22" s="1"/>
  <c r="AC99" i="26"/>
  <c r="AD99" i="26" s="1"/>
  <c r="J6" i="22" s="1"/>
  <c r="AC15" i="26"/>
  <c r="AD15" i="26" s="1"/>
  <c r="G6" i="22" s="1"/>
  <c r="I81" i="26"/>
  <c r="I80" i="26"/>
  <c r="I71" i="26"/>
  <c r="E6" i="22" s="1"/>
  <c r="I21" i="20"/>
  <c r="M13" i="22" s="1"/>
  <c r="I15" i="26"/>
  <c r="C6" i="22" s="1"/>
  <c r="AD71" i="26"/>
  <c r="I6" i="22" s="1"/>
  <c r="I99" i="26"/>
  <c r="F6" i="22" s="1"/>
  <c r="AD82" i="26"/>
  <c r="I18" i="22" s="1"/>
  <c r="E34" i="22" s="1"/>
  <c r="I109" i="26"/>
  <c r="I69" i="26"/>
  <c r="E5" i="22" s="1"/>
  <c r="AB83" i="26"/>
  <c r="AA83" i="26"/>
  <c r="X83" i="26"/>
  <c r="W83" i="26"/>
  <c r="Y83" i="26"/>
  <c r="Z83" i="26"/>
  <c r="I108" i="20"/>
  <c r="I51" i="20"/>
  <c r="I81" i="20"/>
  <c r="I47" i="20"/>
  <c r="N11" i="22" s="1"/>
  <c r="AD70" i="26"/>
  <c r="I8" i="22" s="1"/>
  <c r="E29" i="22" s="1"/>
  <c r="AD79" i="26"/>
  <c r="I15" i="22" s="1"/>
  <c r="E33" i="22" s="1"/>
  <c r="AD78" i="26"/>
  <c r="I14" i="22" s="1"/>
  <c r="AD80" i="26"/>
  <c r="I16" i="22" s="1"/>
  <c r="AD76" i="26"/>
  <c r="I12" i="22" s="1"/>
  <c r="E32" i="22" s="1"/>
  <c r="I104" i="20"/>
  <c r="P12" i="22" s="1"/>
  <c r="AD74" i="26"/>
  <c r="I10" i="22" s="1"/>
  <c r="AD73" i="26"/>
  <c r="I9" i="22" s="1"/>
  <c r="E30" i="22" s="1"/>
  <c r="AD81" i="26"/>
  <c r="I17" i="22" s="1"/>
  <c r="AD77" i="26"/>
  <c r="I13" i="22" s="1"/>
  <c r="I83" i="26"/>
  <c r="AD83" i="26" s="1"/>
  <c r="E35" i="22" s="1"/>
  <c r="AC83" i="26"/>
  <c r="I23" i="20"/>
  <c r="I78" i="26"/>
  <c r="E14" i="22" s="1"/>
  <c r="I84" i="26"/>
  <c r="AD84" i="26" s="1"/>
  <c r="AC84" i="26"/>
  <c r="AC69" i="26"/>
  <c r="AD69" i="26" s="1"/>
  <c r="I5" i="22" s="1"/>
  <c r="E28" i="22" s="1"/>
  <c r="M83" i="26"/>
  <c r="I77" i="26"/>
  <c r="E13" i="22" s="1"/>
  <c r="I76" i="26"/>
  <c r="E12" i="22" s="1"/>
  <c r="I70" i="26"/>
  <c r="E8" i="22" s="1"/>
  <c r="I74" i="26"/>
  <c r="E10" i="22" s="1"/>
  <c r="I73" i="26"/>
  <c r="E9" i="22" s="1"/>
  <c r="I79" i="26"/>
  <c r="AC23" i="20"/>
  <c r="AD23" i="20" s="1"/>
  <c r="Q15" i="22" s="1"/>
  <c r="I17" i="20"/>
  <c r="M9" i="22" s="1"/>
  <c r="I52" i="20"/>
  <c r="I14" i="20"/>
  <c r="M8" i="22" s="1"/>
  <c r="I106" i="20"/>
  <c r="P14" i="22" s="1"/>
  <c r="I22" i="20"/>
  <c r="M14" i="22" s="1"/>
  <c r="I18" i="20"/>
  <c r="M10" i="22" s="1"/>
  <c r="I19" i="20"/>
  <c r="M11" i="22" s="1"/>
  <c r="I46" i="20"/>
  <c r="N10" i="22" s="1"/>
  <c r="I28" i="26"/>
  <c r="AD28" i="26" s="1"/>
  <c r="G20" i="22" s="1"/>
  <c r="C36" i="22" s="1"/>
  <c r="I42" i="26"/>
  <c r="AC55" i="26"/>
  <c r="I48" i="20"/>
  <c r="N12" i="22" s="1"/>
  <c r="I14" i="26"/>
  <c r="C8" i="22" s="1"/>
  <c r="I80" i="20"/>
  <c r="I107" i="20"/>
  <c r="I75" i="20"/>
  <c r="O11" i="22" s="1"/>
  <c r="I76" i="20"/>
  <c r="O12" i="22" s="1"/>
  <c r="I49" i="26"/>
  <c r="I42" i="20"/>
  <c r="N8" i="22" s="1"/>
  <c r="I103" i="20"/>
  <c r="P11" i="22" s="1"/>
  <c r="I23" i="26"/>
  <c r="I45" i="20"/>
  <c r="N9" i="22" s="1"/>
  <c r="AC111" i="26"/>
  <c r="I51" i="26"/>
  <c r="Z27" i="26"/>
  <c r="I53" i="26"/>
  <c r="W27" i="26"/>
  <c r="I97" i="26"/>
  <c r="F5" i="22" s="1"/>
  <c r="I105" i="26"/>
  <c r="F13" i="22" s="1"/>
  <c r="I20" i="20"/>
  <c r="M12" i="22" s="1"/>
  <c r="I102" i="20"/>
  <c r="P10" i="22" s="1"/>
  <c r="I13" i="26"/>
  <c r="C5" i="22" s="1"/>
  <c r="O27" i="26"/>
  <c r="AC21" i="20"/>
  <c r="AD21" i="20" s="1"/>
  <c r="I102" i="26"/>
  <c r="F10" i="22" s="1"/>
  <c r="I13" i="20"/>
  <c r="M5" i="22" s="1"/>
  <c r="AC19" i="20"/>
  <c r="AD19" i="20" s="1"/>
  <c r="AC23" i="26"/>
  <c r="AD23" i="26" s="1"/>
  <c r="G15" i="22" s="1"/>
  <c r="AC78" i="20"/>
  <c r="AD78" i="20" s="1"/>
  <c r="S14" i="22" s="1"/>
  <c r="Y55" i="26"/>
  <c r="I101" i="26"/>
  <c r="F9" i="22" s="1"/>
  <c r="I41" i="20"/>
  <c r="N5" i="22" s="1"/>
  <c r="I97" i="20"/>
  <c r="P5" i="22" s="1"/>
  <c r="I69" i="20"/>
  <c r="O5" i="22" s="1"/>
  <c r="U111" i="26"/>
  <c r="I79" i="20"/>
  <c r="AC56" i="26"/>
  <c r="I19" i="26"/>
  <c r="C11" i="22" s="1"/>
  <c r="I53" i="20"/>
  <c r="AC26" i="26"/>
  <c r="AD26" i="26" s="1"/>
  <c r="G18" i="22" s="1"/>
  <c r="C34" i="22" s="1"/>
  <c r="AC80" i="20"/>
  <c r="AD80" i="20" s="1"/>
  <c r="S16" i="22" s="1"/>
  <c r="I98" i="20"/>
  <c r="P8" i="22" s="1"/>
  <c r="AC108" i="20"/>
  <c r="AD108" i="20" s="1"/>
  <c r="I22" i="26"/>
  <c r="C14" i="22" s="1"/>
  <c r="AC107" i="20"/>
  <c r="AD107" i="20" s="1"/>
  <c r="AA27" i="26"/>
  <c r="AC51" i="20"/>
  <c r="AD51" i="20" s="1"/>
  <c r="AC101" i="26"/>
  <c r="AD101" i="26" s="1"/>
  <c r="J9" i="22" s="1"/>
  <c r="AC46" i="26"/>
  <c r="AD46" i="26" s="1"/>
  <c r="H10" i="22" s="1"/>
  <c r="W55" i="26"/>
  <c r="I47" i="26"/>
  <c r="Q55" i="26"/>
  <c r="I108" i="26"/>
  <c r="AC27" i="26"/>
  <c r="I18" i="26"/>
  <c r="C10" i="22" s="1"/>
  <c r="I17" i="26"/>
  <c r="C9" i="22" s="1"/>
  <c r="I25" i="20"/>
  <c r="I78" i="20"/>
  <c r="O14" i="22" s="1"/>
  <c r="I101" i="20"/>
  <c r="P9" i="22" s="1"/>
  <c r="N83" i="20"/>
  <c r="Y27" i="26"/>
  <c r="AC84" i="20"/>
  <c r="I84" i="20"/>
  <c r="AD84" i="20" s="1"/>
  <c r="S55" i="26"/>
  <c r="AC53" i="26"/>
  <c r="AD53" i="26" s="1"/>
  <c r="H17" i="22" s="1"/>
  <c r="Y111" i="26"/>
  <c r="P111" i="26"/>
  <c r="N27" i="26"/>
  <c r="N111" i="26"/>
  <c r="W111" i="26"/>
  <c r="I25" i="26"/>
  <c r="AC79" i="20"/>
  <c r="AD79" i="20" s="1"/>
  <c r="S15" i="22" s="1"/>
  <c r="O33" i="22" s="1"/>
  <c r="AC69" i="20"/>
  <c r="AD69" i="20" s="1"/>
  <c r="S5" i="22" s="1"/>
  <c r="O28" i="22" s="1"/>
  <c r="M83" i="20"/>
  <c r="T27" i="26"/>
  <c r="I70" i="20"/>
  <c r="O8" i="22" s="1"/>
  <c r="Q83" i="20"/>
  <c r="T111" i="26"/>
  <c r="Q111" i="26"/>
  <c r="AC103" i="20"/>
  <c r="AD103" i="20" s="1"/>
  <c r="Q27" i="26"/>
  <c r="AC106" i="26"/>
  <c r="AD106" i="26" s="1"/>
  <c r="J14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17" i="22" s="1"/>
  <c r="AC52" i="20"/>
  <c r="AD52" i="20" s="1"/>
  <c r="AC109" i="20"/>
  <c r="AD109" i="20" s="1"/>
  <c r="T17" i="22" s="1"/>
  <c r="AC45" i="20"/>
  <c r="AD45" i="20" s="1"/>
  <c r="I49" i="20"/>
  <c r="N13" i="22" s="1"/>
  <c r="AC20" i="20"/>
  <c r="AD20" i="20" s="1"/>
  <c r="AB27" i="26"/>
  <c r="U55" i="26"/>
  <c r="I11" i="22"/>
  <c r="E31" i="22" s="1"/>
  <c r="M111" i="26"/>
  <c r="AC97" i="26"/>
  <c r="AD97" i="26" s="1"/>
  <c r="J5" i="22" s="1"/>
  <c r="AC47" i="26"/>
  <c r="AD47" i="26" s="1"/>
  <c r="H11" i="22" s="1"/>
  <c r="D31" i="22" s="1"/>
  <c r="AC42" i="26"/>
  <c r="AD42" i="26" s="1"/>
  <c r="H8" i="22" s="1"/>
  <c r="D29" i="22" s="1"/>
  <c r="AC83" i="20"/>
  <c r="I83" i="20"/>
  <c r="AD83" i="20" s="1"/>
  <c r="O35" i="22" s="1"/>
  <c r="P83" i="20"/>
  <c r="N55" i="26"/>
  <c r="M55" i="26"/>
  <c r="AC41" i="26"/>
  <c r="AD41" i="26" s="1"/>
  <c r="H5" i="22" s="1"/>
  <c r="I74" i="20"/>
  <c r="O10" i="22" s="1"/>
  <c r="X111" i="26"/>
  <c r="I27" i="26"/>
  <c r="AD27" i="26" s="1"/>
  <c r="C35" i="22" s="1"/>
  <c r="AC74" i="20"/>
  <c r="AD74" i="20" s="1"/>
  <c r="S10" i="22" s="1"/>
  <c r="V55" i="26"/>
  <c r="I20" i="26"/>
  <c r="C12" i="22" s="1"/>
  <c r="P27" i="26"/>
  <c r="V27" i="26"/>
  <c r="O55" i="26"/>
  <c r="AC103" i="26"/>
  <c r="AD103" i="26" s="1"/>
  <c r="J11" i="22" s="1"/>
  <c r="F31" i="22" s="1"/>
  <c r="X55" i="26"/>
  <c r="I52" i="26"/>
  <c r="R55" i="26"/>
  <c r="P55" i="26"/>
  <c r="I24" i="26"/>
  <c r="S111" i="26"/>
  <c r="AC45" i="26"/>
  <c r="AD45" i="26" s="1"/>
  <c r="H9" i="22" s="1"/>
  <c r="Z111" i="26"/>
  <c r="AC49" i="26"/>
  <c r="AD49" i="26" s="1"/>
  <c r="H13" i="22" s="1"/>
  <c r="AC77" i="20"/>
  <c r="AD77" i="20" s="1"/>
  <c r="S13" i="22" s="1"/>
  <c r="AC51" i="26"/>
  <c r="AD51" i="26" s="1"/>
  <c r="H15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R17" i="22" s="1"/>
  <c r="AC14" i="26"/>
  <c r="AD14" i="26" s="1"/>
  <c r="G8" i="22" s="1"/>
  <c r="C29" i="22" s="1"/>
  <c r="AC22" i="26"/>
  <c r="AD22" i="26" s="1"/>
  <c r="G14" i="22" s="1"/>
  <c r="AC24" i="20"/>
  <c r="AD24" i="20" s="1"/>
  <c r="AC106" i="20"/>
  <c r="AD106" i="20" s="1"/>
  <c r="AC19" i="26"/>
  <c r="AD19" i="26" s="1"/>
  <c r="G11" i="22" s="1"/>
  <c r="C31" i="22" s="1"/>
  <c r="I105" i="20"/>
  <c r="P13" i="22" s="1"/>
  <c r="AC102" i="20"/>
  <c r="AD102" i="20" s="1"/>
  <c r="AC50" i="20"/>
  <c r="AD50" i="20" s="1"/>
  <c r="R111" i="26"/>
  <c r="AC54" i="26"/>
  <c r="AD54" i="26" s="1"/>
  <c r="H18" i="22" s="1"/>
  <c r="D34" i="22" s="1"/>
  <c r="AC70" i="20"/>
  <c r="AD70" i="20" s="1"/>
  <c r="S8" i="22" s="1"/>
  <c r="O29" i="22" s="1"/>
  <c r="R27" i="26"/>
  <c r="AC110" i="26"/>
  <c r="AD110" i="26" s="1"/>
  <c r="J18" i="22" s="1"/>
  <c r="F34" i="22" s="1"/>
  <c r="X27" i="26"/>
  <c r="AC102" i="26"/>
  <c r="AD102" i="26" s="1"/>
  <c r="J10" i="22" s="1"/>
  <c r="AC108" i="26"/>
  <c r="AD108" i="26" s="1"/>
  <c r="J16" i="22" s="1"/>
  <c r="AC109" i="26"/>
  <c r="AD109" i="26" s="1"/>
  <c r="J17" i="22" s="1"/>
  <c r="AC21" i="26"/>
  <c r="AD21" i="26" s="1"/>
  <c r="G13" i="22" s="1"/>
  <c r="AC20" i="26"/>
  <c r="AD20" i="26" s="1"/>
  <c r="G12" i="22" s="1"/>
  <c r="I41" i="26"/>
  <c r="Z55" i="26"/>
  <c r="I48" i="26"/>
  <c r="AC112" i="26"/>
  <c r="I112" i="26"/>
  <c r="AD112" i="26" s="1"/>
  <c r="AC50" i="26"/>
  <c r="AD50" i="26" s="1"/>
  <c r="H14" i="22" s="1"/>
  <c r="AC52" i="26"/>
  <c r="AD52" i="26" s="1"/>
  <c r="H16" i="22" s="1"/>
  <c r="AC24" i="26"/>
  <c r="AD24" i="26" s="1"/>
  <c r="G16" i="22" s="1"/>
  <c r="S27" i="26"/>
  <c r="AC28" i="26"/>
  <c r="I46" i="26"/>
  <c r="U27" i="26"/>
  <c r="AB55" i="26"/>
  <c r="I98" i="26"/>
  <c r="F8" i="22" s="1"/>
  <c r="I111" i="26"/>
  <c r="AD111" i="26" s="1"/>
  <c r="F35" i="22" s="1"/>
  <c r="I55" i="26"/>
  <c r="AD55" i="26" s="1"/>
  <c r="D35" i="22" s="1"/>
  <c r="AC76" i="20"/>
  <c r="AD76" i="20" s="1"/>
  <c r="S12" i="22" s="1"/>
  <c r="O32" i="22" s="1"/>
  <c r="AC48" i="26"/>
  <c r="AD48" i="26" s="1"/>
  <c r="H12" i="22" s="1"/>
  <c r="I103" i="26"/>
  <c r="F11" i="22" s="1"/>
  <c r="AA111" i="26"/>
  <c r="AC98" i="20"/>
  <c r="AD98" i="20" s="1"/>
  <c r="AC47" i="20"/>
  <c r="AD47" i="20" s="1"/>
  <c r="M27" i="26"/>
  <c r="AC13" i="26"/>
  <c r="AD13" i="26" s="1"/>
  <c r="G5" i="22" s="1"/>
  <c r="C28" i="22" s="1"/>
  <c r="AC49" i="20"/>
  <c r="AD49" i="20" s="1"/>
  <c r="AC25" i="20"/>
  <c r="AD25" i="20" s="1"/>
  <c r="Q17" i="22" s="1"/>
  <c r="I50" i="20"/>
  <c r="N14" i="22" s="1"/>
  <c r="AC42" i="20"/>
  <c r="AD42" i="20" s="1"/>
  <c r="AC14" i="20"/>
  <c r="AD14" i="20" s="1"/>
  <c r="AC18" i="26"/>
  <c r="AD18" i="26" s="1"/>
  <c r="G10" i="22" s="1"/>
  <c r="AC41" i="20"/>
  <c r="AD41" i="20" s="1"/>
  <c r="AC82" i="20"/>
  <c r="AD82" i="20" s="1"/>
  <c r="S18" i="22" s="1"/>
  <c r="O34" i="22" s="1"/>
  <c r="I106" i="26"/>
  <c r="F14" i="22" s="1"/>
  <c r="I50" i="26"/>
  <c r="O83" i="20"/>
  <c r="AC73" i="20"/>
  <c r="AD73" i="20" s="1"/>
  <c r="S9" i="22" s="1"/>
  <c r="O30" i="22" s="1"/>
  <c r="V111" i="26"/>
  <c r="T55" i="26"/>
  <c r="I21" i="26"/>
  <c r="C13" i="22" s="1"/>
  <c r="I77" i="20"/>
  <c r="O13" i="22" s="1"/>
  <c r="I56" i="26"/>
  <c r="AD56" i="26" s="1"/>
  <c r="I107" i="26"/>
  <c r="I104" i="26"/>
  <c r="F12" i="22" s="1"/>
  <c r="AC104" i="26"/>
  <c r="AD104" i="26" s="1"/>
  <c r="J12" i="22" s="1"/>
  <c r="O111" i="26"/>
  <c r="AC105" i="26"/>
  <c r="AD105" i="26" s="1"/>
  <c r="J13" i="22" s="1"/>
  <c r="R83" i="20"/>
  <c r="AC75" i="20"/>
  <c r="AD75" i="20" s="1"/>
  <c r="S11" i="22" s="1"/>
  <c r="O31" i="22" s="1"/>
  <c r="AC107" i="26"/>
  <c r="AD107" i="26" s="1"/>
  <c r="J15" i="22" s="1"/>
  <c r="AA55" i="26"/>
  <c r="AC17" i="26"/>
  <c r="AD17" i="26" s="1"/>
  <c r="G9" i="22" s="1"/>
  <c r="AC81" i="20"/>
  <c r="AD81" i="20" s="1"/>
  <c r="S17" i="22" s="1"/>
  <c r="AC98" i="26"/>
  <c r="AD98" i="26" s="1"/>
  <c r="J8" i="22" s="1"/>
  <c r="F29" i="22" s="1"/>
  <c r="I73" i="20"/>
  <c r="O9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T20" i="22" s="1"/>
  <c r="P36" i="22" s="1"/>
  <c r="P27" i="20"/>
  <c r="N27" i="20"/>
  <c r="AC110" i="20"/>
  <c r="N111" i="20"/>
  <c r="AC54" i="20"/>
  <c r="R55" i="20"/>
  <c r="R27" i="20"/>
  <c r="I28" i="20"/>
  <c r="AD28" i="20" s="1"/>
  <c r="Q20" i="22" s="1"/>
  <c r="M36" i="22" s="1"/>
  <c r="O55" i="20"/>
  <c r="Q27" i="20"/>
  <c r="P55" i="20"/>
  <c r="I112" i="19"/>
  <c r="AD112" i="19" s="1"/>
  <c r="T20" i="21" s="1"/>
  <c r="P36" i="21" s="1"/>
  <c r="O111" i="20"/>
  <c r="M55" i="20"/>
  <c r="M27" i="20"/>
  <c r="N55" i="20"/>
  <c r="O27" i="20"/>
  <c r="I56" i="20"/>
  <c r="AD56" i="20" s="1"/>
  <c r="R20" i="22" s="1"/>
  <c r="N36" i="22" s="1"/>
  <c r="Q55" i="20"/>
  <c r="Q111" i="20"/>
  <c r="M111" i="20"/>
  <c r="F30" i="22" l="1"/>
  <c r="D30" i="22"/>
  <c r="F33" i="22"/>
  <c r="C32" i="22"/>
  <c r="F32" i="22"/>
  <c r="C33" i="22"/>
  <c r="D33" i="22"/>
  <c r="C30" i="22"/>
  <c r="D32" i="22"/>
  <c r="D28" i="22"/>
  <c r="F28" i="22"/>
  <c r="AD85" i="26"/>
  <c r="I21" i="22" s="1"/>
  <c r="E37" i="22" s="1"/>
  <c r="I20" i="22"/>
  <c r="E36" i="22" s="1"/>
  <c r="J20" i="22"/>
  <c r="F36" i="22" s="1"/>
  <c r="AD113" i="26"/>
  <c r="J21" i="22" s="1"/>
  <c r="F37" i="22" s="1"/>
  <c r="S20" i="22"/>
  <c r="O36" i="22" s="1"/>
  <c r="AD85" i="20"/>
  <c r="S21" i="22" s="1"/>
  <c r="O37" i="22" s="1"/>
  <c r="H20" i="22"/>
  <c r="D36" i="22" s="1"/>
  <c r="AD57" i="26"/>
  <c r="H21" i="22" s="1"/>
  <c r="D37" i="22" s="1"/>
  <c r="AD29" i="26"/>
  <c r="G21" i="22" s="1"/>
  <c r="C37" i="22" s="1"/>
  <c r="AD55" i="20"/>
  <c r="AD27" i="20"/>
  <c r="AD111" i="20"/>
  <c r="AD111" i="19"/>
  <c r="T10" i="22"/>
  <c r="T9" i="22"/>
  <c r="T14" i="22"/>
  <c r="T13" i="22"/>
  <c r="T8" i="22"/>
  <c r="P29" i="22" s="1"/>
  <c r="T11" i="22"/>
  <c r="P31" i="22" s="1"/>
  <c r="T16" i="22"/>
  <c r="T15" i="22"/>
  <c r="T12" i="22"/>
  <c r="R8" i="22"/>
  <c r="N29" i="22" s="1"/>
  <c r="R14" i="22"/>
  <c r="R11" i="22"/>
  <c r="N31" i="22" s="1"/>
  <c r="R9" i="22"/>
  <c r="R12" i="22"/>
  <c r="R15" i="22"/>
  <c r="R13" i="22"/>
  <c r="R10" i="22"/>
  <c r="R16" i="22"/>
  <c r="Q11" i="22"/>
  <c r="M31" i="22" s="1"/>
  <c r="Q13" i="22"/>
  <c r="Q16" i="22"/>
  <c r="M33" i="22" s="1"/>
  <c r="Q12" i="22"/>
  <c r="Q14" i="22"/>
  <c r="Q10" i="22"/>
  <c r="Q8" i="22"/>
  <c r="M29" i="22" s="1"/>
  <c r="Q9" i="22"/>
  <c r="AD110" i="20"/>
  <c r="T18" i="22" s="1"/>
  <c r="P34" i="22" s="1"/>
  <c r="Q5" i="22"/>
  <c r="M28" i="22" s="1"/>
  <c r="AD54" i="20"/>
  <c r="R18" i="22" s="1"/>
  <c r="N34" i="22" s="1"/>
  <c r="AD26" i="20"/>
  <c r="Q18" i="22" s="1"/>
  <c r="M34" i="22" s="1"/>
  <c r="P32" i="22" l="1"/>
  <c r="N33" i="22"/>
  <c r="N32" i="22"/>
  <c r="M32" i="22"/>
  <c r="P33" i="22"/>
  <c r="N30" i="22"/>
  <c r="M30" i="22"/>
  <c r="P30" i="22"/>
  <c r="AD113" i="20"/>
  <c r="T21" i="22" s="1"/>
  <c r="P37" i="22" s="1"/>
  <c r="P35" i="22"/>
  <c r="AD57" i="20"/>
  <c r="R21" i="22" s="1"/>
  <c r="N37" i="22" s="1"/>
  <c r="N35" i="22"/>
  <c r="AD113" i="19"/>
  <c r="T21" i="21" s="1"/>
  <c r="P37" i="21" s="1"/>
  <c r="P35" i="21"/>
  <c r="AD29" i="20"/>
  <c r="Q21" i="22" s="1"/>
  <c r="M37" i="22" s="1"/>
  <c r="M35" i="22"/>
  <c r="T5" i="21"/>
  <c r="P28" i="21" s="1"/>
  <c r="R5" i="22"/>
  <c r="N28" i="22" s="1"/>
  <c r="T5" i="22"/>
  <c r="P28" i="22" s="1"/>
</calcChain>
</file>

<file path=xl/sharedStrings.xml><?xml version="1.0" encoding="utf-8"?>
<sst xmlns="http://schemas.openxmlformats.org/spreadsheetml/2006/main" count="1146" uniqueCount="109">
  <si>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</si>
  <si>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</si>
  <si>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</si>
  <si>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</si>
  <si>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</si>
  <si>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</si>
  <si>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</si>
  <si>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</si>
  <si>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</si>
  <si>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</si>
  <si>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</si>
  <si>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</si>
  <si>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</si>
  <si>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</si>
  <si>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</si>
  <si>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</si>
  <si>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</si>
  <si>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</si>
  <si>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</si>
  <si>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</si>
  <si>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</si>
  <si>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</si>
  <si>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</si>
  <si>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</si>
  <si>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</si>
  <si>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</si>
  <si>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</si>
  <si>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</si>
  <si>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</si>
  <si>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</si>
  <si>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</si>
  <si>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</si>
  <si>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</si>
  <si>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</si>
  <si>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</si>
  <si>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</si>
  <si>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</si>
  <si>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</si>
  <si>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</si>
  <si>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</si>
  <si>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</si>
  <si>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</si>
  <si>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</si>
  <si>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</si>
  <si>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</si>
  <si>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</si>
  <si>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</si>
  <si>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</si>
  <si>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</si>
  <si>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</si>
  <si>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</si>
  <si>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</si>
  <si>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</si>
  <si>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</si>
  <si>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</si>
  <si>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</si>
  <si>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</si>
  <si>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</si>
  <si>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</si>
  <si>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</si>
  <si>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</si>
  <si>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</si>
  <si>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</si>
  <si>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</si>
  <si>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</si>
  <si>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</si>
  <si>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</si>
  <si>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</si>
  <si>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</si>
  <si>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</si>
  <si>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2002-2012 Factors Affecting Change, Bus</t>
  </si>
  <si>
    <t>2002-2012 Factors Affecting Change, Rail</t>
  </si>
  <si>
    <t>TSD_POP_EMP_PCT</t>
  </si>
  <si>
    <t>% of Pop+Emp in Transit Supportive Density</t>
  </si>
  <si>
    <t>TSD_POP_EMP_PCT_FAC</t>
  </si>
  <si>
    <t>BIKE_SHARE_FAC</t>
  </si>
  <si>
    <t>scooter_flag_FAC</t>
  </si>
  <si>
    <t>MAINTENANCE_WMATA</t>
  </si>
  <si>
    <t>RESTRUCTURE</t>
  </si>
  <si>
    <t>MAINTENANCE_WMATA_FAC</t>
  </si>
  <si>
    <t>Network Restructure</t>
  </si>
  <si>
    <t>Major Maintenance Event</t>
  </si>
  <si>
    <t>GAS_PRICE_2018</t>
  </si>
  <si>
    <t>GAS_PRICE_2018_log_FAC</t>
  </si>
  <si>
    <t>YEARS_SINCE_TNC_RAIL_MID_FAC</t>
  </si>
  <si>
    <t>RESTRUCTURE_FAC</t>
  </si>
  <si>
    <t>Years Since Ride-Hail Start</t>
  </si>
  <si>
    <t>VRM_ADJ_BUS</t>
  </si>
  <si>
    <t>FARE_per_UPT_cleaned_2018_BUS</t>
  </si>
  <si>
    <t>YEARS_SINCE_TNC_BUS_HINY</t>
  </si>
  <si>
    <t>YEARS_SINCE_TNC_BUS_MIDLOW</t>
  </si>
  <si>
    <t>VRM_ADJ_RAIL</t>
  </si>
  <si>
    <t>FARE_per_UPT_cleaned_2018_RAIL</t>
  </si>
  <si>
    <t>YEARS_SINCE_TNC_RAIL_HINY</t>
  </si>
  <si>
    <t>VRM_ADJ_BUS_log_FAC</t>
  </si>
  <si>
    <t>VRM_ADJ_RAIL_log_FAC</t>
  </si>
  <si>
    <t>FARE_per_UPT_cleaned_2018_BUS_log_FAC</t>
  </si>
  <si>
    <t>FARE_per_UPT_cleaned_2018_RAIL_log_FAC</t>
  </si>
  <si>
    <t>YEARS_SINCE_TNC_BUS_HINY_FAC</t>
  </si>
  <si>
    <t>YEARS_SINCE_TNC_BUS_MIDLOW_FAC</t>
  </si>
  <si>
    <t>YEARS_SINCE_TNC_RAIL_HINY_FAC</t>
  </si>
  <si>
    <t>Service</t>
  </si>
  <si>
    <t>Fares</t>
  </si>
  <si>
    <t>Land Use</t>
  </si>
  <si>
    <t>Income &amp; Household Characteristics</t>
  </si>
  <si>
    <t>Gas Price</t>
  </si>
  <si>
    <t>New Competing Modes</t>
  </si>
  <si>
    <t>NY Rail Share</t>
  </si>
  <si>
    <t>NY Bus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</si>
</sst>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8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0" fontId="0" fillId="4" borderId="0" xfId="0" applyFill="1"/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3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3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164" fontId="4" fillId="4" borderId="0" xfId="1" applyNumberFormat="1" applyFont="1" applyFill="1" applyBorder="1" applyAlignment="1">
      <alignment vertical="center"/>
    </xf>
    <xf numFmtId="170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horizontal="right" vertical="center"/>
    </xf>
    <xf numFmtId="166" fontId="4" fillId="4" borderId="0" xfId="2" applyNumberFormat="1" applyFont="1" applyFill="1" applyBorder="1" applyAlignment="1">
      <alignment vertical="center"/>
    </xf>
    <xf numFmtId="168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vertical="center"/>
    </xf>
    <xf numFmtId="43" fontId="4" fillId="4" borderId="0" xfId="1" applyNumberFormat="1" applyFont="1" applyFill="1" applyBorder="1" applyAlignment="1">
      <alignment vertical="center"/>
    </xf>
    <xf numFmtId="169" fontId="4" fillId="4" borderId="0" xfId="1" applyNumberFormat="1" applyFont="1" applyFill="1" applyBorder="1" applyAlignment="1">
      <alignment vertical="center"/>
    </xf>
    <xf numFmtId="170" fontId="4" fillId="4" borderId="2" xfId="0" applyNumberFormat="1" applyFont="1" applyFill="1" applyBorder="1" applyAlignment="1">
      <alignment vertical="center"/>
    </xf>
    <xf numFmtId="169" fontId="4" fillId="4" borderId="2" xfId="1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horizontal="right" vertical="center"/>
    </xf>
    <xf numFmtId="166" fontId="4" fillId="4" borderId="2" xfId="2" applyNumberFormat="1" applyFont="1" applyFill="1" applyBorder="1" applyAlignment="1">
      <alignment vertical="center"/>
    </xf>
    <xf numFmtId="164" fontId="4" fillId="4" borderId="2" xfId="1" applyNumberFormat="1" applyFont="1" applyFill="1" applyBorder="1" applyAlignment="1">
      <alignment vertical="center"/>
    </xf>
    <xf numFmtId="168" fontId="4" fillId="4" borderId="2" xfId="0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Fill="1" applyAlignment="1">
      <alignment vertical="center" wrapText="1"/>
    </xf>
    <xf numFmtId="2" fontId="0" fillId="4" borderId="0" xfId="0" applyNumberFormat="1" applyFill="1"/>
    <xf numFmtId="2" fontId="0" fillId="4" borderId="0" xfId="1" applyNumberFormat="1" applyFont="1" applyFill="1"/>
    <xf numFmtId="2" fontId="0" fillId="0" borderId="0" xfId="2" applyNumberFormat="1" applyFont="1"/>
    <xf numFmtId="0" fontId="0" fillId="5" borderId="0" xfId="0" applyFill="1"/>
    <xf numFmtId="0" fontId="4" fillId="5" borderId="2" xfId="0" applyFont="1" applyFill="1" applyBorder="1" applyAlignment="1">
      <alignment horizontal="center" vertical="center"/>
    </xf>
    <xf numFmtId="167" fontId="4" fillId="5" borderId="0" xfId="0" applyNumberFormat="1" applyFont="1" applyFill="1"/>
    <xf numFmtId="167" fontId="4" fillId="5" borderId="2" xfId="0" applyNumberFormat="1" applyFont="1" applyFill="1" applyBorder="1"/>
    <xf numFmtId="167" fontId="4" fillId="5" borderId="5" xfId="0" applyNumberFormat="1" applyFont="1" applyFill="1" applyBorder="1"/>
    <xf numFmtId="167" fontId="4" fillId="5" borderId="0" xfId="0" applyNumberFormat="1" applyFont="1" applyFill="1" applyBorder="1"/>
    <xf numFmtId="167" fontId="4" fillId="5" borderId="3" xfId="0" applyNumberFormat="1" applyFont="1" applyFill="1" applyBorder="1"/>
    <xf numFmtId="167" fontId="4" fillId="5" borderId="6" xfId="0" applyNumberFormat="1" applyFont="1" applyFill="1" applyBorder="1"/>
    <xf numFmtId="0" fontId="4" fillId="0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8"/>
  <sheetViews>
    <sheetView showGridLines="0" topLeftCell="F3" workbookViewId="0">
      <selection activeCell="S21" sqref="S21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9" width="8" customWidth="1"/>
    <col min="10" max="10" width="8" style="16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style="168" bestFit="1" customWidth="1"/>
  </cols>
  <sheetData>
    <row r="1" spans="2:20" x14ac:dyDescent="0.25">
      <c r="B1" s="68" t="s">
        <v>70</v>
      </c>
      <c r="L1" s="68" t="s">
        <v>59</v>
      </c>
    </row>
    <row r="2" spans="2:20" ht="16.5" thickBot="1" x14ac:dyDescent="0.3"/>
    <row r="3" spans="2:20" ht="16.5" thickTop="1" x14ac:dyDescent="0.25">
      <c r="B3" s="61"/>
      <c r="C3" s="176" t="s">
        <v>60</v>
      </c>
      <c r="D3" s="176"/>
      <c r="E3" s="176"/>
      <c r="F3" s="176"/>
      <c r="G3" s="176" t="s">
        <v>55</v>
      </c>
      <c r="H3" s="176"/>
      <c r="I3" s="176"/>
      <c r="J3" s="176"/>
      <c r="L3" s="61"/>
      <c r="M3" s="176" t="s">
        <v>60</v>
      </c>
      <c r="N3" s="176"/>
      <c r="O3" s="176"/>
      <c r="P3" s="176"/>
      <c r="Q3" s="176" t="s">
        <v>55</v>
      </c>
      <c r="R3" s="176"/>
      <c r="S3" s="176"/>
      <c r="T3" s="176"/>
    </row>
    <row r="4" spans="2:20" x14ac:dyDescent="0.25">
      <c r="B4" s="8" t="s">
        <v>18</v>
      </c>
      <c r="C4" s="27" t="s">
        <v>56</v>
      </c>
      <c r="D4" s="27" t="s">
        <v>57</v>
      </c>
      <c r="E4" s="27" t="s">
        <v>58</v>
      </c>
      <c r="F4" s="27" t="s">
        <v>27</v>
      </c>
      <c r="G4" s="27" t="s">
        <v>56</v>
      </c>
      <c r="H4" s="27" t="s">
        <v>57</v>
      </c>
      <c r="I4" s="27" t="s">
        <v>58</v>
      </c>
      <c r="J4" s="169" t="s">
        <v>27</v>
      </c>
      <c r="L4" s="8" t="s">
        <v>18</v>
      </c>
      <c r="M4" s="27" t="s">
        <v>56</v>
      </c>
      <c r="N4" s="27" t="s">
        <v>57</v>
      </c>
      <c r="O4" s="27" t="s">
        <v>58</v>
      </c>
      <c r="P4" s="27" t="s">
        <v>27</v>
      </c>
      <c r="Q4" s="27" t="s">
        <v>56</v>
      </c>
      <c r="R4" s="27" t="s">
        <v>57</v>
      </c>
      <c r="S4" s="27" t="s">
        <v>58</v>
      </c>
      <c r="T4" s="169" t="s">
        <v>27</v>
      </c>
    </row>
    <row r="5" spans="2:20" x14ac:dyDescent="0.25">
      <c r="B5" s="25" t="s">
        <v>31</v>
      </c>
      <c r="C5" s="63">
        <f>'FAC 2002-2012 BUS'!I13</f>
        <v>-8.3201366750120909E-2</v>
      </c>
      <c r="D5" s="63">
        <f>'FAC 2002-2012 BUS'!I41</f>
        <v>-0.15797851612432678</v>
      </c>
      <c r="E5" s="63">
        <f>'FAC 2002-2012 BUS'!I69</f>
        <v>-0.20562671932512044</v>
      </c>
      <c r="F5" s="63">
        <f>'FAC 2002-2012 BUS'!I97</f>
        <v>-0.10218846172042284</v>
      </c>
      <c r="G5" s="63">
        <f>'FAC 2002-2012 BUS'!AD13</f>
        <v>-4.0821409147028705E-2</v>
      </c>
      <c r="H5" s="63">
        <f>'FAC 2002-2012 BUS'!AD41</f>
        <v>-1.2780939052339178E-2</v>
      </c>
      <c r="I5" s="63">
        <f>'FAC 2002-2012 BUS'!AD69</f>
        <v>8.8016453776118206E-2</v>
      </c>
      <c r="J5" s="170">
        <f>'FAC 2002-2012 BUS'!AD97</f>
        <v>-4.0091251820148568E-2</v>
      </c>
      <c r="L5" s="25" t="s">
        <v>31</v>
      </c>
      <c r="M5" s="63">
        <f>'FAC 2012-2018 BUS'!I13</f>
        <v>4.2113135218866837E-2</v>
      </c>
      <c r="N5" s="63">
        <f>'FAC 2012-2018 BUS'!I41</f>
        <v>0.11904455749969589</v>
      </c>
      <c r="O5" s="63">
        <f>'FAC 2012-2018 BUS'!I69</f>
        <v>9.0429722385817701E-2</v>
      </c>
      <c r="P5" s="63">
        <f>'FAC 2012-2018 BUS'!I97</f>
        <v>1.1857276845904874E-2</v>
      </c>
      <c r="Q5" s="63">
        <f>'FAC 2012-2018 BUS'!AD13</f>
        <v>2.4519580700399762E-2</v>
      </c>
      <c r="R5" s="63">
        <f>'FAC 2012-2018 BUS'!AD41</f>
        <v>4.7435170974474514E-2</v>
      </c>
      <c r="S5" s="63">
        <f>'FAC 2012-2018 BUS'!AD69</f>
        <v>3.9959221342387122E-2</v>
      </c>
      <c r="T5" s="170">
        <f>'FAC 2012-2018 BUS'!AD97</f>
        <v>4.6513681955751719E-3</v>
      </c>
    </row>
    <row r="6" spans="2:20" s="159" customFormat="1" x14ac:dyDescent="0.25">
      <c r="B6" s="115" t="s">
        <v>80</v>
      </c>
      <c r="C6" s="158" t="str">
        <f>'FAC 2002-2012 BUS'!I15</f>
        <v>-</v>
      </c>
      <c r="D6" s="158" t="str">
        <f>'FAC 2002-2012 BUS'!I43</f>
        <v>-</v>
      </c>
      <c r="E6" s="158" t="str">
        <f>'FAC 2002-2012 BUS'!I71</f>
        <v>-</v>
      </c>
      <c r="F6" s="158" t="str">
        <f>'FAC 2002-2012 BUS'!I99</f>
        <v>-</v>
      </c>
      <c r="G6" s="158">
        <f>'FAC 2002-2012 BUS'!AD15</f>
        <v>0</v>
      </c>
      <c r="H6" s="158">
        <f>'FAC 2002-2012 BUS'!AD43</f>
        <v>0</v>
      </c>
      <c r="I6" s="158">
        <f>'FAC 2002-2012 BUS'!AD71</f>
        <v>2.4269804156334574E-3</v>
      </c>
      <c r="J6" s="170">
        <f>'FAC 2002-2012 BUS'!AD99</f>
        <v>0</v>
      </c>
      <c r="L6" s="115" t="s">
        <v>80</v>
      </c>
      <c r="M6" s="158" t="str">
        <f>'FAC 2012-2018 BUS'!I15</f>
        <v>-</v>
      </c>
      <c r="N6" s="158" t="str">
        <f>'FAC 2012-2018 BUS'!I43</f>
        <v>-</v>
      </c>
      <c r="O6" s="158">
        <f>'FAC 2012-2018 BUS'!I71</f>
        <v>0</v>
      </c>
      <c r="P6" s="158" t="str">
        <f>'FAC 2012-2018 BUS'!I99</f>
        <v>-</v>
      </c>
      <c r="Q6" s="158">
        <f>'FAC 2012-2018 BUS'!AD15</f>
        <v>1.3856422105643106E-3</v>
      </c>
      <c r="R6" s="158">
        <f>'FAC 2012-2018 BUS'!AD43</f>
        <v>1.466221850821585E-3</v>
      </c>
      <c r="S6" s="158">
        <f>'FAC 2012-2018 BUS'!AD71</f>
        <v>0</v>
      </c>
      <c r="T6" s="170">
        <f>'FAC 2012-2018 BUS'!AD99</f>
        <v>0</v>
      </c>
    </row>
    <row r="7" spans="2:20" s="159" customFormat="1" x14ac:dyDescent="0.25">
      <c r="B7" s="115" t="s">
        <v>81</v>
      </c>
      <c r="C7" s="158" t="str">
        <f>'FAC 2002-2012 BUS'!I16</f>
        <v>-</v>
      </c>
      <c r="D7" s="158" t="str">
        <f>'FAC 2002-2012 BUS'!I44</f>
        <v>-</v>
      </c>
      <c r="E7" s="158" t="str">
        <f>'FAC 2002-2012 BUS'!I72</f>
        <v>-</v>
      </c>
      <c r="F7" s="158" t="str">
        <f>'FAC 2002-2012 BUS'!I100</f>
        <v>-</v>
      </c>
      <c r="G7" s="158">
        <f>'FAC 2002-2012 BUS'!AD16</f>
        <v>0</v>
      </c>
      <c r="H7" s="158">
        <f>'FAC 2002-2012 BUS'!AD44</f>
        <v>0</v>
      </c>
      <c r="I7" s="158">
        <f>'FAC 2002-2012 BUS'!AD72</f>
        <v>0</v>
      </c>
      <c r="J7" s="170">
        <f>'FAC 2002-2012 BUS'!AD100</f>
        <v>0</v>
      </c>
      <c r="L7" s="115" t="s">
        <v>81</v>
      </c>
      <c r="M7" s="158" t="str">
        <f>'FAC 2012-2018 BUS'!I16</f>
        <v>-</v>
      </c>
      <c r="N7" s="158" t="str">
        <f>'FAC 2012-2018 BUS'!I44</f>
        <v>-</v>
      </c>
      <c r="O7" s="158" t="str">
        <f>'FAC 2012-2018 BUS'!I72</f>
        <v>-</v>
      </c>
      <c r="P7" s="158" t="str">
        <f>'FAC 2012-2018 BUS'!I100</f>
        <v>-</v>
      </c>
      <c r="Q7" s="158">
        <f>'FAC 2012-2018 BUS'!AD16</f>
        <v>0</v>
      </c>
      <c r="R7" s="158">
        <f>'FAC 2012-2018 BUS'!AD44</f>
        <v>0</v>
      </c>
      <c r="S7" s="158">
        <f>'FAC 2012-2018 BUS'!AD72</f>
        <v>0</v>
      </c>
      <c r="T7" s="170">
        <f>'FAC 2012-2018 BUS'!AD100</f>
        <v>0</v>
      </c>
    </row>
    <row r="8" spans="2:20" s="159" customFormat="1" x14ac:dyDescent="0.25">
      <c r="B8" s="25" t="s">
        <v>52</v>
      </c>
      <c r="C8" s="158">
        <f>'FAC 2002-2012 BUS'!I14</f>
        <v>0.13503017608498125</v>
      </c>
      <c r="D8" s="158">
        <f>'FAC 2002-2012 BUS'!I42</f>
        <v>7.3913495755720593E-2</v>
      </c>
      <c r="E8" s="158">
        <f>'FAC 2002-2012 BUS'!I70</f>
        <v>-8.3097923331791668E-2</v>
      </c>
      <c r="F8" s="158">
        <f>'FAC 2002-2012 BUS'!I98</f>
        <v>0.39766368036003485</v>
      </c>
      <c r="G8" s="158">
        <f>'FAC 2002-2012 BUS'!AD14</f>
        <v>-3.8850873476224644E-2</v>
      </c>
      <c r="H8" s="158">
        <f>'FAC 2002-2012 BUS'!AD42</f>
        <v>-4.5013929675434772E-2</v>
      </c>
      <c r="I8" s="158">
        <f>'FAC 2002-2012 BUS'!AD70</f>
        <v>2.1973450194730095E-2</v>
      </c>
      <c r="J8" s="170">
        <f>'FAC 2002-2012 BUS'!AD98</f>
        <v>-9.1466533585114765E-2</v>
      </c>
      <c r="L8" s="25" t="s">
        <v>52</v>
      </c>
      <c r="M8" s="158">
        <f>'FAC 2012-2018 BUS'!I14</f>
        <v>-3.75439131738875E-4</v>
      </c>
      <c r="N8" s="158">
        <f>'FAC 2012-2018 BUS'!I42</f>
        <v>1.6103107567393415E-2</v>
      </c>
      <c r="O8" s="158">
        <f>'FAC 2012-2018 BUS'!I70</f>
        <v>0.17806302158701182</v>
      </c>
      <c r="P8" s="158">
        <f>'FAC 2012-2018 BUS'!I98</f>
        <v>0.25866623497692309</v>
      </c>
      <c r="Q8" s="158">
        <f>'FAC 2012-2018 BUS'!AD14</f>
        <v>-2.7768672208557687E-3</v>
      </c>
      <c r="R8" s="158">
        <f>'FAC 2012-2018 BUS'!AD42</f>
        <v>-3.4598407401346615E-3</v>
      </c>
      <c r="S8" s="158">
        <f>'FAC 2012-2018 BUS'!AD70</f>
        <v>-4.0285064048607329E-2</v>
      </c>
      <c r="T8" s="170">
        <f>'FAC 2012-2018 BUS'!AD98</f>
        <v>-6.6551837199347111E-2</v>
      </c>
    </row>
    <row r="9" spans="2:20" s="159" customFormat="1" x14ac:dyDescent="0.25">
      <c r="B9" s="25" t="s">
        <v>48</v>
      </c>
      <c r="C9" s="158">
        <f>'FAC 2002-2012 BUS'!I17</f>
        <v>5.5631822363825911E-2</v>
      </c>
      <c r="D9" s="158">
        <f>'FAC 2002-2012 BUS'!I45</f>
        <v>5.7883484469767321E-2</v>
      </c>
      <c r="E9" s="158">
        <f>'FAC 2002-2012 BUS'!I73</f>
        <v>-2.750761277613889E-2</v>
      </c>
      <c r="F9" s="158">
        <f>'FAC 2002-2012 BUS'!I101</f>
        <v>8.606219574635432E-2</v>
      </c>
      <c r="G9" s="158">
        <f>'FAC 2002-2012 BUS'!AD17</f>
        <v>2.8269535913834316E-2</v>
      </c>
      <c r="H9" s="158">
        <f>'FAC 2002-2012 BUS'!AD45</f>
        <v>3.9054337112657218E-2</v>
      </c>
      <c r="I9" s="158">
        <f>'FAC 2002-2012 BUS'!AD73</f>
        <v>5.9015013387577434E-2</v>
      </c>
      <c r="J9" s="170">
        <f>'FAC 2002-2012 BUS'!AD101</f>
        <v>1.5807676458950003E-2</v>
      </c>
      <c r="L9" s="25" t="s">
        <v>48</v>
      </c>
      <c r="M9" s="158">
        <f>'FAC 2012-2018 BUS'!I17</f>
        <v>6.2897263194922726E-2</v>
      </c>
      <c r="N9" s="158">
        <f>'FAC 2012-2018 BUS'!I45</f>
        <v>7.9321462308145962E-2</v>
      </c>
      <c r="O9" s="158">
        <f>'FAC 2012-2018 BUS'!I73</f>
        <v>5.7606229465552161E-2</v>
      </c>
      <c r="P9" s="158">
        <f>'FAC 2012-2018 BUS'!I101</f>
        <v>6.8027813555046501E-2</v>
      </c>
      <c r="Q9" s="158">
        <f>'FAC 2012-2018 BUS'!AD17</f>
        <v>1.4324503049144515E-2</v>
      </c>
      <c r="R9" s="158">
        <f>'FAC 2012-2018 BUS'!AD45</f>
        <v>1.6889046059034171E-2</v>
      </c>
      <c r="S9" s="158">
        <f>'FAC 2012-2018 BUS'!AD73</f>
        <v>1.1143755431582254E-2</v>
      </c>
      <c r="T9" s="170">
        <f>'FAC 2012-2018 BUS'!AD101</f>
        <v>1.2025882473402808E-2</v>
      </c>
    </row>
    <row r="10" spans="2:20" x14ac:dyDescent="0.25">
      <c r="B10" s="25" t="s">
        <v>73</v>
      </c>
      <c r="C10" s="63">
        <f>'FAC 2002-2012 BUS'!I18</f>
        <v>-2.1567179625815891E-2</v>
      </c>
      <c r="D10" s="63">
        <f>'FAC 2002-2012 BUS'!I46</f>
        <v>-7.4883853247743382E-2</v>
      </c>
      <c r="E10" s="63">
        <f>'FAC 2002-2012 BUS'!I74</f>
        <v>-0.15821754182039416</v>
      </c>
      <c r="F10" s="63">
        <f>'FAC 2002-2012 BUS'!I102</f>
        <v>5.4414700389220361E-3</v>
      </c>
      <c r="G10" s="63">
        <f>'FAC 2002-2012 BUS'!AD18</f>
        <v>-5.9324402613985631E-3</v>
      </c>
      <c r="H10" s="63">
        <f>'FAC 2002-2012 BUS'!AD46</f>
        <v>-1.4203129071841816E-2</v>
      </c>
      <c r="I10" s="63">
        <f>'FAC 2002-2012 BUS'!AD74</f>
        <v>-2.1722152135906347E-2</v>
      </c>
      <c r="J10" s="170">
        <f>'FAC 2002-2012 BUS'!AD102</f>
        <v>1.4497562860546992E-3</v>
      </c>
      <c r="L10" s="25" t="s">
        <v>73</v>
      </c>
      <c r="M10" s="63">
        <f>'FAC 2012-2018 BUS'!I18</f>
        <v>-1.5913233680072691E-3</v>
      </c>
      <c r="N10" s="63">
        <f>'FAC 2012-2018 BUS'!I46</f>
        <v>-1.1956612095927355E-2</v>
      </c>
      <c r="O10" s="63">
        <f>'FAC 2012-2018 BUS'!I74</f>
        <v>-1.8881680373021292E-2</v>
      </c>
      <c r="P10" s="63">
        <f>'FAC 2012-2018 BUS'!I102</f>
        <v>1.0437057161151397E-2</v>
      </c>
      <c r="Q10" s="63">
        <f>'FAC 2012-2018 BUS'!AD18</f>
        <v>-3.1519906911586126E-4</v>
      </c>
      <c r="R10" s="63">
        <f>'FAC 2012-2018 BUS'!AD46</f>
        <v>-1.7162141807964303E-3</v>
      </c>
      <c r="S10" s="63">
        <f>'FAC 2012-2018 BUS'!AD74</f>
        <v>-1.265280341930586E-3</v>
      </c>
      <c r="T10" s="170">
        <f>'FAC 2012-2018 BUS'!AD102</f>
        <v>2.4943919872613186E-3</v>
      </c>
    </row>
    <row r="11" spans="2:20" x14ac:dyDescent="0.25">
      <c r="B11" s="25" t="s">
        <v>49</v>
      </c>
      <c r="C11" s="63">
        <f>'FAC 2002-2012 BUS'!I19</f>
        <v>1.0712225107968747</v>
      </c>
      <c r="D11" s="63">
        <f>'FAC 2002-2012 BUS'!I47</f>
        <v>1.0678012135282486</v>
      </c>
      <c r="E11" s="63">
        <f>'FAC 2002-2012 BUS'!I75</f>
        <v>1.0679576257475252</v>
      </c>
      <c r="F11" s="63">
        <f>'FAC 2002-2012 BUS'!I103</f>
        <v>1.0817122593718338</v>
      </c>
      <c r="G11" s="63">
        <f>'FAC 2002-2012 BUS'!AD19</f>
        <v>8.2934031911208017E-2</v>
      </c>
      <c r="H11" s="63">
        <f>'FAC 2002-2012 BUS'!AD47</f>
        <v>8.6311911059994556E-2</v>
      </c>
      <c r="I11" s="63">
        <f>'FAC 2002-2012 BUS'!AD75</f>
        <v>0.12744237872346506</v>
      </c>
      <c r="J11" s="170">
        <f>'FAC 2002-2012 BUS'!AD103</f>
        <v>6.7809451551740257E-2</v>
      </c>
      <c r="L11" s="25" t="s">
        <v>49</v>
      </c>
      <c r="M11" s="63">
        <f>'FAC 2012-2018 BUS'!I19</f>
        <v>-0.26427344258628593</v>
      </c>
      <c r="N11" s="63">
        <f>'FAC 2012-2018 BUS'!I47</f>
        <v>-0.28803125696077803</v>
      </c>
      <c r="O11" s="63">
        <f>'FAC 2012-2018 BUS'!I75</f>
        <v>-0.29484374808660729</v>
      </c>
      <c r="P11" s="63">
        <f>'FAC 2012-2018 BUS'!I103</f>
        <v>-0.28941668897379358</v>
      </c>
      <c r="Q11" s="63">
        <f>'FAC 2012-2018 BUS'!AD19</f>
        <v>-3.4423209193421858E-2</v>
      </c>
      <c r="R11" s="63">
        <f>'FAC 2012-2018 BUS'!AD47</f>
        <v>-3.8134357891569028E-2</v>
      </c>
      <c r="S11" s="63">
        <f>'FAC 2012-2018 BUS'!AD75</f>
        <v>-3.9252172801194904E-2</v>
      </c>
      <c r="T11" s="170">
        <f>'FAC 2012-2018 BUS'!AD103</f>
        <v>-3.1779827034498845E-2</v>
      </c>
    </row>
    <row r="12" spans="2:20" x14ac:dyDescent="0.25">
      <c r="B12" s="25" t="s">
        <v>46</v>
      </c>
      <c r="C12" s="63">
        <f>'FAC 2002-2012 BUS'!I20</f>
        <v>-0.16494461462244669</v>
      </c>
      <c r="D12" s="63">
        <f>'FAC 2002-2012 BUS'!I48</f>
        <v>-0.19154572575705331</v>
      </c>
      <c r="E12" s="63">
        <f>'FAC 2002-2012 BUS'!I76</f>
        <v>-0.24217564677153114</v>
      </c>
      <c r="F12" s="63">
        <f>'FAC 2002-2012 BUS'!I104</f>
        <v>-0.19971606355699134</v>
      </c>
      <c r="G12" s="63">
        <f>'FAC 2002-2012 BUS'!AD20</f>
        <v>1.6440420385959595E-2</v>
      </c>
      <c r="H12" s="63">
        <f>'FAC 2002-2012 BUS'!AD48</f>
        <v>1.8591551525724663E-2</v>
      </c>
      <c r="I12" s="63">
        <f>'FAC 2002-2012 BUS'!AD76</f>
        <v>2.7469772008322853E-2</v>
      </c>
      <c r="J12" s="170">
        <f>'FAC 2002-2012 BUS'!AD104</f>
        <v>1.3796866333727826E-2</v>
      </c>
      <c r="L12" s="25" t="s">
        <v>46</v>
      </c>
      <c r="M12" s="63">
        <f>'FAC 2012-2018 BUS'!I20</f>
        <v>0.12479563574969244</v>
      </c>
      <c r="N12" s="63">
        <f>'FAC 2012-2018 BUS'!I48</f>
        <v>9.5252733490610808E-2</v>
      </c>
      <c r="O12" s="63">
        <f>'FAC 2012-2018 BUS'!I76</f>
        <v>8.3969333643664212E-2</v>
      </c>
      <c r="P12" s="63">
        <f>'FAC 2012-2018 BUS'!I104</f>
        <v>8.3566354398319831E-2</v>
      </c>
      <c r="Q12" s="63">
        <f>'FAC 2012-2018 BUS'!AD20</f>
        <v>-7.7196599552118899E-3</v>
      </c>
      <c r="R12" s="63">
        <f>'FAC 2012-2018 BUS'!AD48</f>
        <v>-6.0692837330197352E-3</v>
      </c>
      <c r="S12" s="63">
        <f>'FAC 2012-2018 BUS'!AD76</f>
        <v>-5.6364259133669199E-3</v>
      </c>
      <c r="T12" s="170">
        <f>'FAC 2012-2018 BUS'!AD104</f>
        <v>-4.590327769169531E-3</v>
      </c>
    </row>
    <row r="13" spans="2:20" x14ac:dyDescent="0.25">
      <c r="B13" s="25" t="s">
        <v>62</v>
      </c>
      <c r="C13" s="63">
        <f>'FAC 2002-2012 BUS'!I21</f>
        <v>4.1594878753359321E-3</v>
      </c>
      <c r="D13" s="63">
        <f>'FAC 2002-2012 BUS'!I49</f>
        <v>5.6459716000271554E-2</v>
      </c>
      <c r="E13" s="63">
        <f>'FAC 2002-2012 BUS'!I77</f>
        <v>9.6355141719019821E-2</v>
      </c>
      <c r="F13" s="63">
        <f>'FAC 2002-2012 BUS'!I105</f>
        <v>-6.3071586250362799E-3</v>
      </c>
      <c r="G13" s="63">
        <f>'FAC 2002-2012 BUS'!AD21</f>
        <v>2.6179720215067595E-4</v>
      </c>
      <c r="H13" s="63">
        <f>'FAC 2002-2012 BUS'!AD49</f>
        <v>1.6399193962715797E-3</v>
      </c>
      <c r="I13" s="63">
        <f>'FAC 2002-2012 BUS'!AD77</f>
        <v>3.1672656047716436E-3</v>
      </c>
      <c r="J13" s="170">
        <f>'FAC 2002-2012 BUS'!AD105</f>
        <v>-5.141337564279286E-4</v>
      </c>
      <c r="L13" s="25" t="s">
        <v>62</v>
      </c>
      <c r="M13" s="63">
        <f>'FAC 2012-2018 BUS'!I21</f>
        <v>-8.6621117669988812E-2</v>
      </c>
      <c r="N13" s="63">
        <f>'FAC 2012-2018 BUS'!I49</f>
        <v>-0.12807270872960053</v>
      </c>
      <c r="O13" s="63">
        <f>'FAC 2012-2018 BUS'!I77</f>
        <v>-4.7947899022480867E-2</v>
      </c>
      <c r="P13" s="63">
        <f>'FAC 2012-2018 BUS'!I105</f>
        <v>-4.7603935258648034E-2</v>
      </c>
      <c r="Q13" s="63">
        <f>'FAC 2012-2018 BUS'!AD21</f>
        <v>-1.613256340161782E-3</v>
      </c>
      <c r="R13" s="63">
        <f>'FAC 2012-2018 BUS'!AD49</f>
        <v>-1.9334964657306136E-3</v>
      </c>
      <c r="S13" s="63">
        <f>'FAC 2012-2018 BUS'!AD77</f>
        <v>-6.1436277768337107E-4</v>
      </c>
      <c r="T13" s="170">
        <f>'FAC 2012-2018 BUS'!AD105</f>
        <v>-2.5334256627450756E-3</v>
      </c>
    </row>
    <row r="14" spans="2:20" x14ac:dyDescent="0.25">
      <c r="B14" s="25" t="s">
        <v>47</v>
      </c>
      <c r="C14" s="63">
        <f>'FAC 2002-2012 BUS'!I22</f>
        <v>0.26457677383977884</v>
      </c>
      <c r="D14" s="63">
        <f>'FAC 2002-2012 BUS'!I50</f>
        <v>0.25044805039857976</v>
      </c>
      <c r="E14" s="63">
        <f>'FAC 2002-2012 BUS'!I78</f>
        <v>0.14893276125478505</v>
      </c>
      <c r="F14" s="63">
        <f>'FAC 2002-2012 BUS'!I106</f>
        <v>0.17142857142857126</v>
      </c>
      <c r="G14" s="63">
        <f>'FAC 2002-2012 BUS'!AD22</f>
        <v>-9.0828103983616338E-3</v>
      </c>
      <c r="H14" s="63">
        <f>'FAC 2002-2012 BUS'!AD50</f>
        <v>-7.285292048926988E-3</v>
      </c>
      <c r="I14" s="63">
        <f>'FAC 2002-2012 BUS'!AD78</f>
        <v>-7.0024364367792351E-3</v>
      </c>
      <c r="J14" s="170">
        <f>'FAC 2002-2012 BUS'!AD106</f>
        <v>-3.8750650466912863E-3</v>
      </c>
      <c r="L14" s="25" t="s">
        <v>47</v>
      </c>
      <c r="M14" s="63">
        <f>'FAC 2012-2018 BUS'!I22</f>
        <v>0.22686091383672236</v>
      </c>
      <c r="N14" s="63">
        <f>'FAC 2012-2018 BUS'!I50</f>
        <v>0.32541950976214018</v>
      </c>
      <c r="O14" s="63">
        <f>'FAC 2012-2018 BUS'!I78</f>
        <v>0.35081042185348199</v>
      </c>
      <c r="P14" s="63">
        <f>'FAC 2012-2018 BUS'!I106</f>
        <v>0.12195121951219523</v>
      </c>
      <c r="Q14" s="63">
        <f>'FAC 2012-2018 BUS'!AD22</f>
        <v>-8.0392574176778413E-3</v>
      </c>
      <c r="R14" s="63">
        <f>'FAC 2012-2018 BUS'!AD50</f>
        <v>-9.54284847653151E-3</v>
      </c>
      <c r="S14" s="63">
        <f>'FAC 2012-2018 BUS'!AD78</f>
        <v>-9.0440419481457087E-3</v>
      </c>
      <c r="T14" s="170">
        <f>'FAC 2012-2018 BUS'!AD106</f>
        <v>-3.0998659182224796E-3</v>
      </c>
    </row>
    <row r="15" spans="2:20" x14ac:dyDescent="0.25">
      <c r="B15" s="25" t="s">
        <v>86</v>
      </c>
      <c r="C15" s="108"/>
      <c r="D15" s="108"/>
      <c r="E15" s="108"/>
      <c r="F15" s="108"/>
      <c r="G15" s="63">
        <f>'FAC 2002-2012 BUS'!AD23</f>
        <v>-1.0589655681197255E-2</v>
      </c>
      <c r="H15" s="63">
        <f>'FAC 2002-2012 BUS'!AD51</f>
        <v>0</v>
      </c>
      <c r="I15" s="63">
        <f>'FAC 2002-2012 BUS'!AD79</f>
        <v>0</v>
      </c>
      <c r="J15" s="170">
        <f>'FAC 2002-2012 BUS'!AD107</f>
        <v>-1.5155945358121661E-2</v>
      </c>
      <c r="L15" s="25" t="s">
        <v>86</v>
      </c>
      <c r="M15" s="63"/>
      <c r="N15" s="108"/>
      <c r="O15" s="108"/>
      <c r="P15" s="63"/>
      <c r="Q15" s="63">
        <f>'FAC 2012-2018 BUS'!AD23</f>
        <v>-0.10221918874569647</v>
      </c>
      <c r="R15" s="63">
        <f>'FAC 2012-2018 BUS'!AD51</f>
        <v>-0.11802397267859815</v>
      </c>
      <c r="S15" s="63">
        <f>'FAC 2012-2018 BUS'!AD79</f>
        <v>-9.7838982975594638E-2</v>
      </c>
      <c r="T15" s="170">
        <f>'FAC 2012-2018 BUS'!AD107</f>
        <v>-9.505962450733231E-2</v>
      </c>
    </row>
    <row r="16" spans="2:20" x14ac:dyDescent="0.25">
      <c r="B16" s="25" t="s">
        <v>64</v>
      </c>
      <c r="C16" s="108"/>
      <c r="D16" s="63"/>
      <c r="E16" s="63"/>
      <c r="F16" s="108"/>
      <c r="G16" s="63">
        <f>'FAC 2002-2012 BUS'!AD24</f>
        <v>-2.4755563500267292E-3</v>
      </c>
      <c r="H16" s="63">
        <f>'FAC 2002-2012 BUS'!AD52</f>
        <v>-7.9432913033514099E-4</v>
      </c>
      <c r="I16" s="63">
        <f>'FAC 2002-2012 BUS'!AD80</f>
        <v>-7.1029559151803226E-4</v>
      </c>
      <c r="J16" s="170">
        <f>'FAC 2002-2012 BUS'!AD108</f>
        <v>0</v>
      </c>
      <c r="L16" s="25" t="s">
        <v>64</v>
      </c>
      <c r="M16" s="63"/>
      <c r="N16" s="63"/>
      <c r="O16" s="63"/>
      <c r="P16" s="108"/>
      <c r="Q16" s="63">
        <f>'FAC 2012-2018 BUS'!AD24</f>
        <v>-8.1799682863212542E-3</v>
      </c>
      <c r="R16" s="63">
        <f>'FAC 2012-2018 BUS'!AD52</f>
        <v>-7.5670180717606114E-3</v>
      </c>
      <c r="S16" s="63">
        <f>'FAC 2012-2018 BUS'!AD80</f>
        <v>-5.1009819614650058E-3</v>
      </c>
      <c r="T16" s="170">
        <f>'FAC 2012-2018 BUS'!AD108</f>
        <v>-9.140577128550282E-3</v>
      </c>
    </row>
    <row r="17" spans="2:20" x14ac:dyDescent="0.25">
      <c r="B17" s="8" t="s">
        <v>65</v>
      </c>
      <c r="C17" s="109"/>
      <c r="D17" s="109"/>
      <c r="E17" s="109"/>
      <c r="F17" s="109"/>
      <c r="G17" s="64">
        <f>'FAC 2002-2012 BUS'!AD25</f>
        <v>0</v>
      </c>
      <c r="H17" s="64">
        <f>'FAC 2002-2012 BUS'!AD53</f>
        <v>0</v>
      </c>
      <c r="I17" s="64">
        <f>'FAC 2002-2012 BUS'!AD81</f>
        <v>0</v>
      </c>
      <c r="J17" s="171">
        <f>'FAC 2002-2012 BUS'!AD109</f>
        <v>0</v>
      </c>
      <c r="L17" s="8" t="s">
        <v>65</v>
      </c>
      <c r="M17" s="109"/>
      <c r="N17" s="109"/>
      <c r="O17" s="109"/>
      <c r="P17" s="109"/>
      <c r="Q17" s="64">
        <f>'FAC 2012-2018 BUS'!AD25</f>
        <v>-1.9044351861816074E-2</v>
      </c>
      <c r="R17" s="64">
        <f>'FAC 2012-2018 BUS'!AD53</f>
        <v>-1.3166868579572734E-2</v>
      </c>
      <c r="S17" s="64">
        <f>'FAC 2012-2018 BUS'!AD81</f>
        <v>-2.5160336010863829E-3</v>
      </c>
      <c r="T17" s="171">
        <f>'FAC 2012-2018 BUS'!AD109</f>
        <v>0</v>
      </c>
    </row>
    <row r="18" spans="2:20" x14ac:dyDescent="0.25">
      <c r="B18" s="41" t="s">
        <v>53</v>
      </c>
      <c r="C18" s="65"/>
      <c r="D18" s="65"/>
      <c r="E18" s="65"/>
      <c r="F18" s="65"/>
      <c r="G18" s="65">
        <f>'FAC 2002-2012 BUS'!AD26</f>
        <v>0.13747823851466651</v>
      </c>
      <c r="H18" s="65">
        <f>'FAC 2002-2012 BUS'!AD54</f>
        <v>0.20455094104988761</v>
      </c>
      <c r="I18" s="65">
        <f>'FAC 2002-2012 BUS'!AD82</f>
        <v>1.6204595660936241</v>
      </c>
      <c r="J18" s="172">
        <f>'FAC 2002-2012 BUS'!AD110</f>
        <v>0</v>
      </c>
      <c r="L18" s="41" t="s">
        <v>53</v>
      </c>
      <c r="M18" s="65"/>
      <c r="N18" s="65"/>
      <c r="O18" s="65"/>
      <c r="P18" s="65"/>
      <c r="Q18" s="65">
        <f>'FAC 2012-2018 BUS'!AD26</f>
        <v>0</v>
      </c>
      <c r="R18" s="65">
        <f>'FAC 2012-2018 BUS'!AD54</f>
        <v>0</v>
      </c>
      <c r="S18" s="65">
        <f>'FAC 2012-2018 BUS'!AD82</f>
        <v>0</v>
      </c>
      <c r="T18" s="172">
        <f>'FAC 2012-2018 BUS'!AD110</f>
        <v>0</v>
      </c>
    </row>
    <row r="19" spans="2:20" x14ac:dyDescent="0.25">
      <c r="B19" s="25" t="s">
        <v>66</v>
      </c>
      <c r="C19" s="69"/>
      <c r="D19" s="69"/>
      <c r="E19" s="69"/>
      <c r="F19" s="69"/>
      <c r="G19" s="69">
        <f>SUM(G5:G18)</f>
        <v>0.15763127861358159</v>
      </c>
      <c r="H19" s="69">
        <f t="shared" ref="H19:I19" si="0">SUM(H5:H18)</f>
        <v>0.27007104116565772</v>
      </c>
      <c r="I19" s="69">
        <f t="shared" si="0"/>
        <v>1.9205359960400392</v>
      </c>
      <c r="J19" s="173">
        <f>SUM(J5:J18)</f>
        <v>-5.2239178936031409E-2</v>
      </c>
      <c r="L19" s="25" t="s">
        <v>66</v>
      </c>
      <c r="M19" s="69"/>
      <c r="N19" s="69"/>
      <c r="O19" s="69"/>
      <c r="P19" s="69"/>
      <c r="Q19" s="69">
        <f>SUM(Q5:Q18)</f>
        <v>-0.14410123213017023</v>
      </c>
      <c r="R19" s="69">
        <f t="shared" ref="R19:T19" si="1">SUM(R5:R18)</f>
        <v>-0.13382346193338321</v>
      </c>
      <c r="S19" s="69">
        <f t="shared" si="1"/>
        <v>-0.15045036959510547</v>
      </c>
      <c r="T19" s="173">
        <f t="shared" si="1"/>
        <v>-0.19358384256362635</v>
      </c>
    </row>
    <row r="20" spans="2:20" ht="16.5" thickBot="1" x14ac:dyDescent="0.3">
      <c r="B20" s="9" t="s">
        <v>50</v>
      </c>
      <c r="C20" s="66"/>
      <c r="D20" s="66"/>
      <c r="E20" s="66"/>
      <c r="F20" s="66"/>
      <c r="G20" s="66">
        <f>'FAC 2002-2012 BUS'!AD28</f>
        <v>0.14578176527415976</v>
      </c>
      <c r="H20" s="66">
        <f>'FAC 2002-2012 BUS'!AD56</f>
        <v>0.38727309934186782</v>
      </c>
      <c r="I20" s="66">
        <f>'FAC 2002-2012 BUS'!AD84</f>
        <v>2.3049493041550506</v>
      </c>
      <c r="J20" s="174">
        <f>'FAC 2002-2012 BUS'!AD112</f>
        <v>-0.14017116941854424</v>
      </c>
      <c r="L20" s="9" t="s">
        <v>50</v>
      </c>
      <c r="M20" s="66"/>
      <c r="N20" s="66"/>
      <c r="O20" s="66"/>
      <c r="P20" s="66"/>
      <c r="Q20" s="66">
        <f>'FAC 2012-2018 BUS'!AD28</f>
        <v>-0.14351131184823507</v>
      </c>
      <c r="R20" s="66">
        <f>'FAC 2012-2018 BUS'!AD56</f>
        <v>-0.15780496085898432</v>
      </c>
      <c r="S20" s="66">
        <f>'FAC 2012-2018 BUS'!AD84</f>
        <v>-0.14612239671512528</v>
      </c>
      <c r="T20" s="174">
        <f>'FAC 2012-2018 BUS'!AD112</f>
        <v>-9.3789934893261595E-2</v>
      </c>
    </row>
    <row r="21" spans="2:20" ht="17.25" thickTop="1" thickBot="1" x14ac:dyDescent="0.3">
      <c r="B21" s="57" t="s">
        <v>67</v>
      </c>
      <c r="C21" s="67"/>
      <c r="D21" s="67"/>
      <c r="E21" s="67"/>
      <c r="F21" s="67"/>
      <c r="G21" s="67">
        <f>'FAC 2002-2012 BUS'!AD29</f>
        <v>-0.15950488472986191</v>
      </c>
      <c r="H21" s="67">
        <f>'FAC 2002-2012 BUS'!AD57</f>
        <v>5.501887979723552E-2</v>
      </c>
      <c r="I21" s="67">
        <f>'FAC 2002-2012 BUS'!AD85</f>
        <v>0.38184588703478184</v>
      </c>
      <c r="J21" s="175">
        <f>'FAC 2002-2012 BUS'!AD113</f>
        <v>-7.8100192473688157E-2</v>
      </c>
      <c r="L21" s="57" t="s">
        <v>67</v>
      </c>
      <c r="M21" s="67"/>
      <c r="N21" s="67"/>
      <c r="O21" s="67"/>
      <c r="P21" s="67"/>
      <c r="Q21" s="67">
        <f>'FAC 2012-2018 BUS'!AD29</f>
        <v>-1.0462330610888637E-3</v>
      </c>
      <c r="R21" s="67">
        <f>'FAC 2012-2018 BUS'!AD57</f>
        <v>-2.4858402774073696E-2</v>
      </c>
      <c r="S21" s="67">
        <f>'FAC 2012-2018 BUS'!AD85</f>
        <v>3.0107512491026611E-3</v>
      </c>
      <c r="T21" s="175">
        <f>'FAC 2012-2018 BUS'!AD113</f>
        <v>0.11637591795281854</v>
      </c>
    </row>
    <row r="22" spans="2:20" ht="16.5" thickTop="1" x14ac:dyDescent="0.25"/>
    <row r="24" spans="2:20" x14ac:dyDescent="0.25">
      <c r="B24" s="68" t="s">
        <v>70</v>
      </c>
      <c r="L24" s="68" t="s">
        <v>59</v>
      </c>
    </row>
    <row r="25" spans="2:20" ht="16.5" thickBot="1" x14ac:dyDescent="0.3"/>
    <row r="26" spans="2:20" ht="16.5" thickTop="1" x14ac:dyDescent="0.25">
      <c r="B26" s="61"/>
      <c r="C26" s="176" t="s">
        <v>55</v>
      </c>
      <c r="D26" s="176"/>
      <c r="E26" s="176"/>
      <c r="F26" s="176"/>
      <c r="G26" s="176"/>
      <c r="H26" s="176"/>
      <c r="I26" s="176"/>
      <c r="J26" s="176"/>
      <c r="L26" s="61"/>
      <c r="M26" s="176" t="s">
        <v>55</v>
      </c>
      <c r="N26" s="176"/>
      <c r="O26" s="176"/>
      <c r="P26" s="176"/>
    </row>
    <row r="27" spans="2:20" x14ac:dyDescent="0.25">
      <c r="B27" s="8" t="s">
        <v>18</v>
      </c>
      <c r="C27" s="27" t="s">
        <v>56</v>
      </c>
      <c r="D27" s="27" t="s">
        <v>57</v>
      </c>
      <c r="E27" s="27" t="s">
        <v>58</v>
      </c>
      <c r="F27" s="169" t="s">
        <v>27</v>
      </c>
      <c r="G27" s="27"/>
      <c r="H27" s="27"/>
      <c r="I27" s="27"/>
      <c r="J27" s="169"/>
      <c r="L27" s="8" t="s">
        <v>18</v>
      </c>
      <c r="M27" s="27" t="s">
        <v>56</v>
      </c>
      <c r="N27" s="27" t="s">
        <v>57</v>
      </c>
      <c r="O27" s="27" t="s">
        <v>58</v>
      </c>
      <c r="P27" s="169" t="s">
        <v>27</v>
      </c>
    </row>
    <row r="28" spans="2:20" x14ac:dyDescent="0.25">
      <c r="B28" s="25" t="s">
        <v>31</v>
      </c>
      <c r="C28" s="63">
        <f>SUM(G5:G7)</f>
        <v>-4.0821409147028705E-2</v>
      </c>
      <c r="D28" s="63">
        <f>SUM(H5:H7)</f>
        <v>-1.2780939052339178E-2</v>
      </c>
      <c r="E28" s="63">
        <f>SUM(I5:I7)</f>
        <v>9.0443434191751659E-2</v>
      </c>
      <c r="F28" s="170">
        <f>SUM(J5:J7)</f>
        <v>-4.0091251820148568E-2</v>
      </c>
      <c r="G28" s="63"/>
      <c r="H28" s="63"/>
      <c r="I28" s="63"/>
      <c r="J28" s="170"/>
      <c r="L28" s="25" t="s">
        <v>101</v>
      </c>
      <c r="M28" s="63">
        <f>SUM(Q5:Q7)</f>
        <v>2.5905222910964074E-2</v>
      </c>
      <c r="N28" s="63">
        <f>SUM(R5:R7)</f>
        <v>4.8901392825296097E-2</v>
      </c>
      <c r="O28" s="63">
        <f>SUM(S5:S7)</f>
        <v>3.9959221342387122E-2</v>
      </c>
      <c r="P28" s="170">
        <f>SUM(T5:T7)</f>
        <v>4.6513681955751719E-3</v>
      </c>
    </row>
    <row r="29" spans="2:20" s="159" customFormat="1" x14ac:dyDescent="0.25">
      <c r="B29" s="115" t="s">
        <v>80</v>
      </c>
      <c r="C29" s="158">
        <f>SUM(G8)</f>
        <v>-3.8850873476224644E-2</v>
      </c>
      <c r="D29" s="158">
        <f>SUM(H8)</f>
        <v>-4.5013929675434772E-2</v>
      </c>
      <c r="E29" s="158">
        <f>SUM(I8)</f>
        <v>2.1973450194730095E-2</v>
      </c>
      <c r="F29" s="170">
        <f>SUM(J8)</f>
        <v>-9.1466533585114765E-2</v>
      </c>
      <c r="G29" s="158"/>
      <c r="H29" s="158"/>
      <c r="I29" s="158"/>
      <c r="J29" s="170"/>
      <c r="L29" s="115" t="s">
        <v>102</v>
      </c>
      <c r="M29" s="158">
        <f>SUM(Q8)</f>
        <v>-2.7768672208557687E-3</v>
      </c>
      <c r="N29" s="158">
        <f>SUM(R8)</f>
        <v>-3.4598407401346615E-3</v>
      </c>
      <c r="O29" s="158">
        <f>SUM(S8)</f>
        <v>-4.0285064048607329E-2</v>
      </c>
      <c r="P29" s="170">
        <f>SUM(T8)</f>
        <v>-6.6551837199347111E-2</v>
      </c>
    </row>
    <row r="30" spans="2:20" s="159" customFormat="1" x14ac:dyDescent="0.25">
      <c r="B30" s="115" t="s">
        <v>81</v>
      </c>
      <c r="C30" s="158">
        <f>SUM(G9:G10)</f>
        <v>2.2337095652435753E-2</v>
      </c>
      <c r="D30" s="158">
        <f>SUM(H9:H10)</f>
        <v>2.4851208040815403E-2</v>
      </c>
      <c r="E30" s="158">
        <f>SUM(I9:I10)</f>
        <v>3.7292861251671083E-2</v>
      </c>
      <c r="F30" s="170">
        <f>SUM(J9:J10)</f>
        <v>1.7257432745004703E-2</v>
      </c>
      <c r="G30" s="158"/>
      <c r="H30" s="158"/>
      <c r="I30" s="158"/>
      <c r="J30" s="170"/>
      <c r="L30" s="115" t="s">
        <v>103</v>
      </c>
      <c r="M30" s="158">
        <f>SUM(Q9:Q10)</f>
        <v>1.4009303980028654E-2</v>
      </c>
      <c r="N30" s="158">
        <f>SUM(R9:R10)</f>
        <v>1.5172831878237741E-2</v>
      </c>
      <c r="O30" s="158">
        <f>SUM(S9:S10)</f>
        <v>9.8784750896516692E-3</v>
      </c>
      <c r="P30" s="170">
        <f>SUM(T9:T10)</f>
        <v>1.4520274460664126E-2</v>
      </c>
    </row>
    <row r="31" spans="2:20" s="159" customFormat="1" x14ac:dyDescent="0.25">
      <c r="B31" s="25" t="s">
        <v>48</v>
      </c>
      <c r="C31" s="158">
        <f>G11</f>
        <v>8.2934031911208017E-2</v>
      </c>
      <c r="D31" s="158">
        <f>H11</f>
        <v>8.6311911059994556E-2</v>
      </c>
      <c r="E31" s="158">
        <f>I11</f>
        <v>0.12744237872346506</v>
      </c>
      <c r="F31" s="170">
        <f>J11</f>
        <v>6.7809451551740257E-2</v>
      </c>
      <c r="G31" s="158"/>
      <c r="H31" s="158"/>
      <c r="I31" s="158"/>
      <c r="J31" s="170"/>
      <c r="L31" s="25" t="s">
        <v>105</v>
      </c>
      <c r="M31" s="158">
        <f>Q11</f>
        <v>-3.4423209193421858E-2</v>
      </c>
      <c r="N31" s="158">
        <f>R11</f>
        <v>-3.8134357891569028E-2</v>
      </c>
      <c r="O31" s="158">
        <f>S11</f>
        <v>-3.9252172801194904E-2</v>
      </c>
      <c r="P31" s="170">
        <f>T11</f>
        <v>-3.1779827034498845E-2</v>
      </c>
    </row>
    <row r="32" spans="2:20" s="159" customFormat="1" x14ac:dyDescent="0.25">
      <c r="B32" s="25" t="s">
        <v>52</v>
      </c>
      <c r="C32" s="158">
        <f>SUM(G12:G14)</f>
        <v>7.6194071897486369E-3</v>
      </c>
      <c r="D32" s="158">
        <f>SUM(H12:H14)</f>
        <v>1.2946178873069253E-2</v>
      </c>
      <c r="E32" s="158">
        <f>SUM(I12:I14)</f>
        <v>2.3634601176315263E-2</v>
      </c>
      <c r="F32" s="170">
        <f>SUM(J12:J14)</f>
        <v>9.4076675306086106E-3</v>
      </c>
      <c r="G32" s="158"/>
      <c r="H32" s="158"/>
      <c r="I32" s="158"/>
      <c r="J32" s="170"/>
      <c r="L32" s="25" t="s">
        <v>104</v>
      </c>
      <c r="M32" s="158">
        <f>SUM(Q12:Q14)</f>
        <v>-1.7372173713051511E-2</v>
      </c>
      <c r="N32" s="158">
        <f>SUM(R12:R14)</f>
        <v>-1.7545628675281859E-2</v>
      </c>
      <c r="O32" s="158">
        <f>SUM(S12:S14)</f>
        <v>-1.5294830639196001E-2</v>
      </c>
      <c r="P32" s="170">
        <f>SUM(T12:T14)</f>
        <v>-1.0223619350137086E-2</v>
      </c>
    </row>
    <row r="33" spans="2:16" x14ac:dyDescent="0.25">
      <c r="B33" s="25" t="s">
        <v>73</v>
      </c>
      <c r="C33" s="63">
        <f>SUM(G15:G17)</f>
        <v>-1.3065212031223985E-2</v>
      </c>
      <c r="D33" s="63">
        <f>SUM(H15:H17)</f>
        <v>-7.9432913033514099E-4</v>
      </c>
      <c r="E33" s="63">
        <f>SUM(I15:I17)</f>
        <v>-7.1029559151803226E-4</v>
      </c>
      <c r="F33" s="170">
        <f>SUM(J15:J17)</f>
        <v>-1.5155945358121661E-2</v>
      </c>
      <c r="G33" s="63"/>
      <c r="H33" s="63"/>
      <c r="I33" s="63"/>
      <c r="J33" s="170"/>
      <c r="L33" s="25" t="s">
        <v>106</v>
      </c>
      <c r="M33" s="63">
        <f>SUM(Q15:Q17)</f>
        <v>-0.1294435088938338</v>
      </c>
      <c r="N33" s="63">
        <f>SUM(R15:R17)</f>
        <v>-0.13875785932993148</v>
      </c>
      <c r="O33" s="63">
        <f>SUM(S15:S17)</f>
        <v>-0.10545599853814602</v>
      </c>
      <c r="P33" s="170">
        <f>SUM(T15:T17)</f>
        <v>-0.10420020163588259</v>
      </c>
    </row>
    <row r="34" spans="2:16" x14ac:dyDescent="0.25">
      <c r="B34" s="41" t="s">
        <v>53</v>
      </c>
      <c r="C34" s="65">
        <f t="shared" ref="C34:F37" si="2">G18</f>
        <v>0.13747823851466651</v>
      </c>
      <c r="D34" s="65">
        <f t="shared" si="2"/>
        <v>0.20455094104988761</v>
      </c>
      <c r="E34" s="65">
        <f t="shared" si="2"/>
        <v>1.6204595660936241</v>
      </c>
      <c r="F34" s="172">
        <f t="shared" si="2"/>
        <v>0</v>
      </c>
      <c r="G34" s="65"/>
      <c r="H34" s="65"/>
      <c r="I34" s="65"/>
      <c r="J34" s="172"/>
      <c r="L34" s="41" t="s">
        <v>53</v>
      </c>
      <c r="M34" s="65">
        <f t="shared" ref="M34:P37" si="3">Q18</f>
        <v>0</v>
      </c>
      <c r="N34" s="65">
        <f t="shared" si="3"/>
        <v>0</v>
      </c>
      <c r="O34" s="65">
        <f t="shared" si="3"/>
        <v>0</v>
      </c>
      <c r="P34" s="172">
        <f t="shared" si="3"/>
        <v>0</v>
      </c>
    </row>
    <row r="35" spans="2:16" x14ac:dyDescent="0.25">
      <c r="B35" s="25" t="s">
        <v>66</v>
      </c>
      <c r="C35" s="69">
        <f t="shared" si="2"/>
        <v>0.15763127861358159</v>
      </c>
      <c r="D35" s="69">
        <f t="shared" si="2"/>
        <v>0.27007104116565772</v>
      </c>
      <c r="E35" s="69">
        <f t="shared" si="2"/>
        <v>1.9205359960400392</v>
      </c>
      <c r="F35" s="173">
        <f t="shared" si="2"/>
        <v>-5.2239178936031409E-2</v>
      </c>
      <c r="G35" s="69"/>
      <c r="H35" s="69"/>
      <c r="I35" s="69"/>
      <c r="J35" s="173"/>
      <c r="L35" s="25" t="s">
        <v>66</v>
      </c>
      <c r="M35" s="69">
        <f t="shared" si="3"/>
        <v>-0.14410123213017023</v>
      </c>
      <c r="N35" s="69">
        <f t="shared" si="3"/>
        <v>-0.13382346193338321</v>
      </c>
      <c r="O35" s="69">
        <f t="shared" si="3"/>
        <v>-0.15045036959510547</v>
      </c>
      <c r="P35" s="173">
        <f t="shared" si="3"/>
        <v>-0.19358384256362635</v>
      </c>
    </row>
    <row r="36" spans="2:16" ht="16.5" thickBot="1" x14ac:dyDescent="0.3">
      <c r="B36" s="9" t="s">
        <v>50</v>
      </c>
      <c r="C36" s="66">
        <f t="shared" si="2"/>
        <v>0.14578176527415976</v>
      </c>
      <c r="D36" s="66">
        <f t="shared" si="2"/>
        <v>0.38727309934186782</v>
      </c>
      <c r="E36" s="66">
        <f t="shared" si="2"/>
        <v>2.3049493041550506</v>
      </c>
      <c r="F36" s="174">
        <f t="shared" si="2"/>
        <v>-0.14017116941854424</v>
      </c>
      <c r="G36" s="66"/>
      <c r="H36" s="66"/>
      <c r="I36" s="66"/>
      <c r="J36" s="174"/>
      <c r="L36" s="9" t="s">
        <v>50</v>
      </c>
      <c r="M36" s="66">
        <f t="shared" si="3"/>
        <v>-0.14351131184823507</v>
      </c>
      <c r="N36" s="66">
        <f t="shared" si="3"/>
        <v>-0.15780496085898432</v>
      </c>
      <c r="O36" s="66">
        <f t="shared" si="3"/>
        <v>-0.14612239671512528</v>
      </c>
      <c r="P36" s="174">
        <f t="shared" si="3"/>
        <v>-9.3789934893261595E-2</v>
      </c>
    </row>
    <row r="37" spans="2:16" ht="17.25" thickTop="1" thickBot="1" x14ac:dyDescent="0.3">
      <c r="B37" s="57" t="s">
        <v>67</v>
      </c>
      <c r="C37" s="67">
        <f t="shared" si="2"/>
        <v>-0.15950488472986191</v>
      </c>
      <c r="D37" s="67">
        <f t="shared" si="2"/>
        <v>5.501887979723552E-2</v>
      </c>
      <c r="E37" s="67">
        <f t="shared" si="2"/>
        <v>0.38184588703478184</v>
      </c>
      <c r="F37" s="175">
        <f t="shared" si="2"/>
        <v>-7.8100192473688157E-2</v>
      </c>
      <c r="G37" s="67"/>
      <c r="H37" s="67"/>
      <c r="I37" s="67"/>
      <c r="J37" s="175"/>
      <c r="L37" s="57" t="s">
        <v>67</v>
      </c>
      <c r="M37" s="67">
        <f t="shared" si="3"/>
        <v>-1.0462330610888637E-3</v>
      </c>
      <c r="N37" s="67">
        <f t="shared" si="3"/>
        <v>-2.4858402774073696E-2</v>
      </c>
      <c r="O37" s="67">
        <f t="shared" si="3"/>
        <v>3.0107512491026611E-3</v>
      </c>
      <c r="P37" s="175">
        <f t="shared" si="3"/>
        <v>0.11637591795281854</v>
      </c>
    </row>
    <row r="38" spans="2:16" ht="16.5" thickTop="1" x14ac:dyDescent="0.25"/>
  </sheetData>
  <mergeCells count="7">
    <mergeCell ref="C3:F3"/>
    <mergeCell ref="G3:J3"/>
    <mergeCell ref="M3:P3"/>
    <mergeCell ref="Q3:T3"/>
    <mergeCell ref="C26:F26"/>
    <mergeCell ref="G26:J26"/>
    <mergeCell ref="M26:P2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8"/>
  <sheetViews>
    <sheetView showGridLines="0" topLeftCell="C2" workbookViewId="0">
      <selection activeCell="U20" sqref="U20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style="16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style="168" bestFit="1" customWidth="1"/>
    <col min="21" max="21" width="21.625" bestFit="1" customWidth="1"/>
  </cols>
  <sheetData>
    <row r="1" spans="2:21" x14ac:dyDescent="0.25">
      <c r="B1" s="68" t="s">
        <v>71</v>
      </c>
      <c r="L1" s="68" t="s">
        <v>61</v>
      </c>
    </row>
    <row r="2" spans="2:21" ht="16.5" thickBot="1" x14ac:dyDescent="0.3"/>
    <row r="3" spans="2:21" ht="16.5" thickTop="1" x14ac:dyDescent="0.25">
      <c r="B3" s="61"/>
      <c r="C3" s="176" t="s">
        <v>60</v>
      </c>
      <c r="D3" s="176"/>
      <c r="E3" s="176"/>
      <c r="F3" s="176"/>
      <c r="G3" s="176" t="s">
        <v>55</v>
      </c>
      <c r="H3" s="176"/>
      <c r="I3" s="176"/>
      <c r="J3" s="176"/>
      <c r="L3" s="61"/>
      <c r="M3" s="176" t="s">
        <v>60</v>
      </c>
      <c r="N3" s="176"/>
      <c r="O3" s="176"/>
      <c r="P3" s="176"/>
      <c r="Q3" s="176" t="s">
        <v>55</v>
      </c>
      <c r="R3" s="176"/>
      <c r="S3" s="176"/>
      <c r="T3" s="176"/>
    </row>
    <row r="4" spans="2:21" x14ac:dyDescent="0.25">
      <c r="B4" s="8" t="s">
        <v>18</v>
      </c>
      <c r="C4" s="27" t="s">
        <v>56</v>
      </c>
      <c r="D4" s="27" t="s">
        <v>57</v>
      </c>
      <c r="E4" s="27" t="s">
        <v>58</v>
      </c>
      <c r="F4" s="27" t="s">
        <v>27</v>
      </c>
      <c r="G4" s="27" t="s">
        <v>56</v>
      </c>
      <c r="H4" s="27" t="s">
        <v>57</v>
      </c>
      <c r="I4" s="27" t="s">
        <v>58</v>
      </c>
      <c r="J4" s="169" t="s">
        <v>27</v>
      </c>
      <c r="L4" s="8" t="s">
        <v>18</v>
      </c>
      <c r="M4" s="27" t="s">
        <v>56</v>
      </c>
      <c r="N4" s="27" t="s">
        <v>57</v>
      </c>
      <c r="O4" s="27" t="s">
        <v>58</v>
      </c>
      <c r="P4" s="27" t="s">
        <v>27</v>
      </c>
      <c r="Q4" s="27" t="s">
        <v>56</v>
      </c>
      <c r="R4" s="27" t="s">
        <v>57</v>
      </c>
      <c r="S4" s="27" t="s">
        <v>58</v>
      </c>
      <c r="T4" s="169" t="s">
        <v>27</v>
      </c>
    </row>
    <row r="5" spans="2:21" x14ac:dyDescent="0.25">
      <c r="B5" s="25" t="s">
        <v>31</v>
      </c>
      <c r="C5" s="63">
        <f>'FAC 2002-2012 RAIL'!I13</f>
        <v>0.20620096807639721</v>
      </c>
      <c r="D5" s="63">
        <f>'FAC 2002-2012 BUS'!I41</f>
        <v>-0.15797851612432678</v>
      </c>
      <c r="E5" s="63" t="str">
        <f>'FAC 2002-2012 RAIL'!I69</f>
        <v>-</v>
      </c>
      <c r="F5" s="63">
        <f>'FAC 2002-2012 RAIL'!I97</f>
        <v>0.14274156077501154</v>
      </c>
      <c r="G5" s="63">
        <f>'FAC 2002-2012 RAIL'!AD13</f>
        <v>0.24638361933259556</v>
      </c>
      <c r="H5" s="63">
        <f>'FAC 2002-2012 RAIL'!AD41</f>
        <v>0.60187556607853188</v>
      </c>
      <c r="I5" s="63" t="e">
        <f>'FAC 2002-2012 RAIL'!AD69</f>
        <v>#N/A</v>
      </c>
      <c r="J5" s="170">
        <f>'FAC 2002-2012 RAIL'!AD97</f>
        <v>6.6613416540880724E-2</v>
      </c>
      <c r="L5" s="25" t="s">
        <v>31</v>
      </c>
      <c r="M5" s="63">
        <f>'FAC 2012-2018 RAIL'!I13</f>
        <v>0.11766443769046075</v>
      </c>
      <c r="N5" s="63">
        <f>'FAC 2012-2018 RAIL'!I41</f>
        <v>0.22868168171758918</v>
      </c>
      <c r="O5" s="63" t="str">
        <f>'FAC 2012-2018 RAIL'!I69</f>
        <v>-</v>
      </c>
      <c r="P5" s="63">
        <f>'FAC 2012-2018 RAIL'!I97</f>
        <v>3.3807373956687981E-2</v>
      </c>
      <c r="Q5" s="63">
        <f>'FAC 2012-2018 RAIL'!AD13</f>
        <v>9.961358301090717E-2</v>
      </c>
      <c r="R5" s="63">
        <f>'FAC 2012-2018 RAIL'!AD41</f>
        <v>0.17853956170995575</v>
      </c>
      <c r="S5" s="63" t="e">
        <f>'FAC 2012-2018 RAIL'!AD69</f>
        <v>#N/A</v>
      </c>
      <c r="T5" s="170">
        <f>'FAC 2012-2018 RAIL'!AD97</f>
        <v>1.8618803262250405E-2</v>
      </c>
    </row>
    <row r="6" spans="2:21" s="159" customFormat="1" x14ac:dyDescent="0.25">
      <c r="B6" s="115" t="s">
        <v>80</v>
      </c>
      <c r="C6" s="158" t="str">
        <f>'FAC 2002-2012 RAIL'!I15</f>
        <v>-</v>
      </c>
      <c r="D6" s="158" t="str">
        <f>'FAC 2002-2012 BUS'!I43</f>
        <v>-</v>
      </c>
      <c r="E6" s="158" t="str">
        <f>'FAC 2002-2012 RAIL'!I71</f>
        <v>-</v>
      </c>
      <c r="F6" s="158" t="str">
        <f>'FAC 2002-2012 RAIL'!I99</f>
        <v>-</v>
      </c>
      <c r="G6" s="158">
        <f>'FAC 2002-2012 RAIL'!AD15</f>
        <v>0</v>
      </c>
      <c r="H6" s="158">
        <f>'FAC 2002-2012 RAIL'!AD43</f>
        <v>0</v>
      </c>
      <c r="I6" s="158" t="e">
        <f>'FAC 2002-2012 RAIL'!AD71</f>
        <v>#N/A</v>
      </c>
      <c r="J6" s="170">
        <f>'FAC 2002-2012 RAIL'!AD99</f>
        <v>0</v>
      </c>
      <c r="L6" s="115" t="s">
        <v>80</v>
      </c>
      <c r="M6" s="158" t="str">
        <f>'FAC 2012-2018 RAIL'!I15</f>
        <v>-</v>
      </c>
      <c r="N6" s="158" t="str">
        <f>'FAC 2012-2018 RAIL'!I43</f>
        <v>-</v>
      </c>
      <c r="O6" s="158" t="str">
        <f>'FAC 2012-2018 RAIL'!I71</f>
        <v>-</v>
      </c>
      <c r="P6" s="158" t="str">
        <f>'FAC 2012-2018 RAIL'!I99</f>
        <v>-</v>
      </c>
      <c r="Q6" s="158">
        <f>'FAC 2012-2018 RAIL'!AD15</f>
        <v>0</v>
      </c>
      <c r="R6" s="158">
        <f>'FAC 2012-2018 RAIL'!AD43</f>
        <v>0</v>
      </c>
      <c r="S6" s="158" t="e">
        <f>'FAC 2012-2018 RAIL'!AD71</f>
        <v>#N/A</v>
      </c>
      <c r="T6" s="170">
        <f>'FAC 2012-2018 RAIL'!AD99</f>
        <v>0</v>
      </c>
      <c r="U6" s="160"/>
    </row>
    <row r="7" spans="2:21" s="159" customFormat="1" x14ac:dyDescent="0.25">
      <c r="B7" s="115" t="s">
        <v>81</v>
      </c>
      <c r="C7" s="158" t="str">
        <f>'FAC 2002-2012 RAIL'!I16</f>
        <v>-</v>
      </c>
      <c r="D7" s="158" t="str">
        <f>'FAC 2002-2012 BUS'!I44</f>
        <v>-</v>
      </c>
      <c r="E7" s="158" t="str">
        <f>'FAC 2002-2012 RAIL'!I72</f>
        <v>-</v>
      </c>
      <c r="F7" s="158" t="str">
        <f>'FAC 2002-2012 RAIL'!I100</f>
        <v>-</v>
      </c>
      <c r="G7" s="158">
        <f>'FAC 2002-2012 RAIL'!AD16</f>
        <v>0</v>
      </c>
      <c r="H7" s="158">
        <f>'FAC 2002-2012 RAIL'!AD44</f>
        <v>0</v>
      </c>
      <c r="I7" s="158" t="e">
        <f>'FAC 2002-2012 RAIL'!AD72</f>
        <v>#N/A</v>
      </c>
      <c r="J7" s="170">
        <f>'FAC 2002-2012 RAIL'!AD100</f>
        <v>0</v>
      </c>
      <c r="L7" s="115" t="s">
        <v>81</v>
      </c>
      <c r="M7" s="158" t="str">
        <f>'FAC 2012-2018 RAIL'!I16</f>
        <v>-</v>
      </c>
      <c r="N7" s="158" t="str">
        <f>'FAC 2012-2018 RAIL'!I44</f>
        <v>-</v>
      </c>
      <c r="O7" s="158" t="str">
        <f>'FAC 2012-2018 RAIL'!I72</f>
        <v>-</v>
      </c>
      <c r="P7" s="158" t="str">
        <f>'FAC 2012-2018 RAIL'!I100</f>
        <v>-</v>
      </c>
      <c r="Q7" s="158">
        <f>'FAC 2012-2018 RAIL'!AD16</f>
        <v>0</v>
      </c>
      <c r="R7" s="158">
        <f>'FAC 2012-2018 RAIL'!AD44</f>
        <v>0</v>
      </c>
      <c r="S7" s="158" t="e">
        <f>'FAC 2012-2018 RAIL'!AD72</f>
        <v>#N/A</v>
      </c>
      <c r="T7" s="170">
        <f>'FAC 2012-2018 RAIL'!AD100</f>
        <v>0</v>
      </c>
      <c r="U7" s="160"/>
    </row>
    <row r="8" spans="2:21" s="159" customFormat="1" x14ac:dyDescent="0.25">
      <c r="B8" s="25" t="s">
        <v>52</v>
      </c>
      <c r="C8" s="158">
        <f>'FAC 2002-2012 RAIL'!I14</f>
        <v>0.14188021826970187</v>
      </c>
      <c r="D8" s="158">
        <f>'FAC 2002-2012 BUS'!I42</f>
        <v>7.3913495755720593E-2</v>
      </c>
      <c r="E8" s="158" t="str">
        <f>'FAC 2002-2012 RAIL'!I70</f>
        <v>-</v>
      </c>
      <c r="F8" s="158">
        <f>'FAC 2002-2012 RAIL'!I98</f>
        <v>-3.6642306071110853E-2</v>
      </c>
      <c r="G8" s="158">
        <f>'FAC 2002-2012 RAIL'!AD14</f>
        <v>-4.3776486604992955E-2</v>
      </c>
      <c r="H8" s="158">
        <f>'FAC 2002-2012 RAIL'!AD42</f>
        <v>-2.1735827808838235E-2</v>
      </c>
      <c r="I8" s="158" t="e">
        <f>'FAC 2002-2012 RAIL'!AD70</f>
        <v>#N/A</v>
      </c>
      <c r="J8" s="170">
        <f>'FAC 2002-2012 RAIL'!AD98</f>
        <v>3.853143532327177E-3</v>
      </c>
      <c r="L8" s="25" t="s">
        <v>52</v>
      </c>
      <c r="M8" s="158">
        <f>'FAC 2012-2018 RAIL'!I14</f>
        <v>0.1271374429428298</v>
      </c>
      <c r="N8" s="158">
        <f>'FAC 2012-2018 RAIL'!I42</f>
        <v>7.3656025790028279E-2</v>
      </c>
      <c r="O8" s="158" t="str">
        <f>'FAC 2012-2018 RAIL'!I70</f>
        <v>-</v>
      </c>
      <c r="P8" s="158">
        <f>'FAC 2012-2018 RAIL'!I98</f>
        <v>0.15271428027284539</v>
      </c>
      <c r="Q8" s="158">
        <f>'FAC 2012-2018 RAIL'!AD14</f>
        <v>-2.6838605755918184E-2</v>
      </c>
      <c r="R8" s="158">
        <f>'FAC 2012-2018 RAIL'!AD42</f>
        <v>-8.525087876512143E-3</v>
      </c>
      <c r="S8" s="158" t="e">
        <f>'FAC 2012-2018 RAIL'!AD70</f>
        <v>#N/A</v>
      </c>
      <c r="T8" s="170">
        <f>'FAC 2012-2018 RAIL'!AD98</f>
        <v>-2.7525185777993687E-2</v>
      </c>
      <c r="U8" s="160"/>
    </row>
    <row r="9" spans="2:21" s="159" customFormat="1" x14ac:dyDescent="0.25">
      <c r="B9" s="25" t="s">
        <v>48</v>
      </c>
      <c r="C9" s="158">
        <f>'FAC 2002-2012 RAIL'!I17</f>
        <v>9.5749972457961574E-2</v>
      </c>
      <c r="D9" s="158">
        <f>'FAC 2002-2012 BUS'!I45</f>
        <v>5.7883484469767321E-2</v>
      </c>
      <c r="E9" s="158" t="str">
        <f>'FAC 2002-2012 RAIL'!I73</f>
        <v>-</v>
      </c>
      <c r="F9" s="158">
        <f>'FAC 2002-2012 RAIL'!I101</f>
        <v>8.606219574635432E-2</v>
      </c>
      <c r="G9" s="158">
        <f>'FAC 2002-2012 RAIL'!AD17</f>
        <v>3.8574191502811953E-2</v>
      </c>
      <c r="H9" s="158">
        <f>'FAC 2002-2012 RAIL'!AD45</f>
        <v>3.2087191484793588E-2</v>
      </c>
      <c r="I9" s="158" t="e">
        <f>'FAC 2002-2012 RAIL'!AD73</f>
        <v>#N/A</v>
      </c>
      <c r="J9" s="170">
        <f>'FAC 2002-2012 RAIL'!AD101</f>
        <v>1.4147418021677328E-2</v>
      </c>
      <c r="L9" s="25" t="s">
        <v>48</v>
      </c>
      <c r="M9" s="158">
        <f>'FAC 2012-2018 RAIL'!I17</f>
        <v>6.0182671436025181E-2</v>
      </c>
      <c r="N9" s="158">
        <f>'FAC 2012-2018 RAIL'!I45</f>
        <v>5.974278279079237E-2</v>
      </c>
      <c r="O9" s="158" t="str">
        <f>'FAC 2012-2018 RAIL'!I73</f>
        <v>-</v>
      </c>
      <c r="P9" s="158">
        <f>'FAC 2012-2018 RAIL'!I101</f>
        <v>6.8027813555046501E-2</v>
      </c>
      <c r="Q9" s="158">
        <f>'FAC 2012-2018 RAIL'!AD17</f>
        <v>1.4406151101045029E-2</v>
      </c>
      <c r="R9" s="158">
        <f>'FAC 2012-2018 RAIL'!AD45</f>
        <v>1.5045373677342612E-2</v>
      </c>
      <c r="S9" s="158" t="e">
        <f>'FAC 2012-2018 RAIL'!AD73</f>
        <v>#N/A</v>
      </c>
      <c r="T9" s="170">
        <f>'FAC 2012-2018 RAIL'!AD101</f>
        <v>1.2244414642666105E-2</v>
      </c>
      <c r="U9" s="160"/>
    </row>
    <row r="10" spans="2:21" x14ac:dyDescent="0.25">
      <c r="B10" s="25" t="s">
        <v>73</v>
      </c>
      <c r="C10" s="63">
        <f>'FAC 2002-2012 RAIL'!I18</f>
        <v>7.2608749087408331E-3</v>
      </c>
      <c r="D10" s="63">
        <f>'FAC 2002-2012 BUS'!I46</f>
        <v>-7.4883853247743382E-2</v>
      </c>
      <c r="E10" s="63" t="str">
        <f>'FAC 2002-2012 RAIL'!I74</f>
        <v>-</v>
      </c>
      <c r="F10" s="63">
        <f>'FAC 2002-2012 RAIL'!I102</f>
        <v>5.4414700389220361E-3</v>
      </c>
      <c r="G10" s="63">
        <f>'FAC 2002-2012 RAIL'!AD18</f>
        <v>-2.4384354224428403E-3</v>
      </c>
      <c r="H10" s="63">
        <f>'FAC 2002-2012 RAIL'!AD46</f>
        <v>-1.2251004157949587E-2</v>
      </c>
      <c r="I10" s="63" t="e">
        <f>'FAC 2002-2012 RAIL'!AD74</f>
        <v>#N/A</v>
      </c>
      <c r="J10" s="170">
        <f>'FAC 2002-2012 RAIL'!AD102</f>
        <v>2.0110326781496426E-3</v>
      </c>
      <c r="L10" s="25" t="s">
        <v>73</v>
      </c>
      <c r="M10" s="63">
        <f>'FAC 2012-2018 RAIL'!I18</f>
        <v>7.7553140221353623E-4</v>
      </c>
      <c r="N10" s="63">
        <f>'FAC 2012-2018 RAIL'!I46</f>
        <v>-1.963785269376761E-2</v>
      </c>
      <c r="O10" s="63" t="str">
        <f>'FAC 2012-2018 RAIL'!I74</f>
        <v>-</v>
      </c>
      <c r="P10" s="63">
        <f>'FAC 2012-2018 RAIL'!I102</f>
        <v>1.0437057161151397E-2</v>
      </c>
      <c r="Q10" s="63">
        <f>'FAC 2012-2018 RAIL'!AD18</f>
        <v>6.8334988598233671E-5</v>
      </c>
      <c r="R10" s="63">
        <f>'FAC 2012-2018 RAIL'!AD46</f>
        <v>-3.1372230025972429E-3</v>
      </c>
      <c r="S10" s="63" t="e">
        <f>'FAC 2012-2018 RAIL'!AD74</f>
        <v>#N/A</v>
      </c>
      <c r="T10" s="170">
        <f>'FAC 2012-2018 RAIL'!AD102</f>
        <v>2.5540261922094476E-3</v>
      </c>
      <c r="U10" s="70"/>
    </row>
    <row r="11" spans="2:21" x14ac:dyDescent="0.25">
      <c r="B11" s="25" t="s">
        <v>49</v>
      </c>
      <c r="C11" s="63">
        <f>'FAC 2002-2012 RAIL'!I19</f>
        <v>1.0881796349382373</v>
      </c>
      <c r="D11" s="63">
        <f>'FAC 2002-2012 BUS'!I47</f>
        <v>1.0678012135282486</v>
      </c>
      <c r="E11" s="63" t="str">
        <f>'FAC 2002-2012 RAIL'!I75</f>
        <v>-</v>
      </c>
      <c r="F11" s="63">
        <f>'FAC 2002-2012 RAIL'!I103</f>
        <v>1.0817122593718338</v>
      </c>
      <c r="G11" s="63">
        <f>'FAC 2002-2012 RAIL'!AD19</f>
        <v>0.10674400794747715</v>
      </c>
      <c r="H11" s="63">
        <f>'FAC 2002-2012 RAIL'!AD47</f>
        <v>9.6554046896823148E-2</v>
      </c>
      <c r="I11" s="63" t="e">
        <f>'FAC 2002-2012 RAIL'!AD75</f>
        <v>#N/A</v>
      </c>
      <c r="J11" s="170">
        <f>'FAC 2002-2012 RAIL'!AD103</f>
        <v>6.3634898135130166E-2</v>
      </c>
      <c r="L11" s="25" t="s">
        <v>49</v>
      </c>
      <c r="M11" s="63">
        <f>'FAC 2012-2018 RAIL'!I19</f>
        <v>-0.28518597268060852</v>
      </c>
      <c r="N11" s="63">
        <f>'FAC 2012-2018 RAIL'!I47</f>
        <v>-0.28382078724618098</v>
      </c>
      <c r="O11" s="63" t="str">
        <f>'FAC 2012-2018 RAIL'!I75</f>
        <v>-</v>
      </c>
      <c r="P11" s="63">
        <f>'FAC 2012-2018 RAIL'!I103</f>
        <v>-0.28941668897379358</v>
      </c>
      <c r="Q11" s="63">
        <f>'FAC 2012-2018 RAIL'!AD19</f>
        <v>-3.7249218951742429E-2</v>
      </c>
      <c r="R11" s="63">
        <f>'FAC 2012-2018 RAIL'!AD47</f>
        <v>-3.8976245557036632E-2</v>
      </c>
      <c r="S11" s="63" t="e">
        <f>'FAC 2012-2018 RAIL'!AD75</f>
        <v>#N/A</v>
      </c>
      <c r="T11" s="170">
        <f>'FAC 2012-2018 RAIL'!AD103</f>
        <v>-3.2639236103628733E-2</v>
      </c>
      <c r="U11" s="70"/>
    </row>
    <row r="12" spans="2:21" x14ac:dyDescent="0.25">
      <c r="B12" s="25" t="s">
        <v>46</v>
      </c>
      <c r="C12" s="63">
        <f>'FAC 2002-2012 RAIL'!I20</f>
        <v>-0.19118814742885837</v>
      </c>
      <c r="D12" s="63">
        <f>'FAC 2002-2012 BUS'!I48</f>
        <v>-0.19154572575705331</v>
      </c>
      <c r="E12" s="63" t="str">
        <f>'FAC 2002-2012 RAIL'!I76</f>
        <v>-</v>
      </c>
      <c r="F12" s="63">
        <f>'FAC 2002-2012 RAIL'!I104</f>
        <v>-0.19971606355699134</v>
      </c>
      <c r="G12" s="63">
        <f>'FAC 2002-2012 RAIL'!AD20</f>
        <v>2.1281881824807867E-2</v>
      </c>
      <c r="H12" s="63">
        <f>'FAC 2002-2012 RAIL'!AD48</f>
        <v>2.2405389224012025E-2</v>
      </c>
      <c r="I12" s="63" t="e">
        <f>'FAC 2002-2012 RAIL'!AD76</f>
        <v>#N/A</v>
      </c>
      <c r="J12" s="170">
        <f>'FAC 2002-2012 RAIL'!AD104</f>
        <v>1.3157966984272804E-2</v>
      </c>
      <c r="L12" s="25" t="s">
        <v>46</v>
      </c>
      <c r="M12" s="63">
        <f>'FAC 2012-2018 RAIL'!I20</f>
        <v>0.11491506650650107</v>
      </c>
      <c r="N12" s="63">
        <f>'FAC 2012-2018 RAIL'!I48</f>
        <v>9.3653113703249025E-2</v>
      </c>
      <c r="O12" s="63" t="str">
        <f>'FAC 2012-2018 RAIL'!I76</f>
        <v>-</v>
      </c>
      <c r="P12" s="63">
        <f>'FAC 2012-2018 RAIL'!I104</f>
        <v>8.3566354398319831E-2</v>
      </c>
      <c r="Q12" s="63">
        <f>'FAC 2012-2018 RAIL'!AD20</f>
        <v>-7.9034713883515753E-3</v>
      </c>
      <c r="R12" s="63">
        <f>'FAC 2012-2018 RAIL'!AD48</f>
        <v>-6.8731940289612596E-3</v>
      </c>
      <c r="S12" s="63" t="e">
        <f>'FAC 2012-2018 RAIL'!AD76</f>
        <v>#N/A</v>
      </c>
      <c r="T12" s="170">
        <f>'FAC 2012-2018 RAIL'!AD104</f>
        <v>-5.0031651739591973E-3</v>
      </c>
      <c r="U12" s="70"/>
    </row>
    <row r="13" spans="2:21" x14ac:dyDescent="0.25">
      <c r="B13" s="25" t="s">
        <v>62</v>
      </c>
      <c r="C13" s="63">
        <f>'FAC 2002-2012 RAIL'!I21</f>
        <v>1.4420347053799576E-2</v>
      </c>
      <c r="D13" s="63">
        <f>'FAC 2002-2012 BUS'!I49</f>
        <v>5.6459716000271554E-2</v>
      </c>
      <c r="E13" s="63" t="str">
        <f>'FAC 2002-2012 RAIL'!I77</f>
        <v>-</v>
      </c>
      <c r="F13" s="63">
        <f>'FAC 2002-2012 RAIL'!I105</f>
        <v>-6.3071586250393885E-3</v>
      </c>
      <c r="G13" s="63">
        <f>'FAC 2002-2012 RAIL'!AD21</f>
        <v>9.4987451317025073E-4</v>
      </c>
      <c r="H13" s="63">
        <f>'FAC 2002-2012 RAIL'!AD49</f>
        <v>3.4122229727908166E-3</v>
      </c>
      <c r="I13" s="63" t="e">
        <f>'FAC 2002-2012 RAIL'!AD77</f>
        <v>#N/A</v>
      </c>
      <c r="J13" s="170">
        <f>'FAC 2002-2012 RAIL'!AD105</f>
        <v>2.2301937646052486E-4</v>
      </c>
      <c r="L13" s="25" t="s">
        <v>62</v>
      </c>
      <c r="M13" s="63">
        <f>'FAC 2012-2018 RAIL'!I21</f>
        <v>-7.0667759977819267E-2</v>
      </c>
      <c r="N13" s="63">
        <f>'FAC 2012-2018 RAIL'!I49</f>
        <v>-0.13489634897121816</v>
      </c>
      <c r="O13" s="63" t="str">
        <f>'FAC 2012-2018 RAIL'!I77</f>
        <v>-</v>
      </c>
      <c r="P13" s="63">
        <f>'FAC 2012-2018 RAIL'!I105</f>
        <v>-4.7603935258648034E-2</v>
      </c>
      <c r="Q13" s="63">
        <f>'FAC 2012-2018 RAIL'!AD21</f>
        <v>-1.586832982429637E-3</v>
      </c>
      <c r="R13" s="63">
        <f>'FAC 2012-2018 RAIL'!AD49</f>
        <v>-2.4013968567522855E-3</v>
      </c>
      <c r="S13" s="63" t="e">
        <f>'FAC 2012-2018 RAIL'!AD77</f>
        <v>#N/A</v>
      </c>
      <c r="T13" s="170">
        <f>'FAC 2012-2018 RAIL'!AD105</f>
        <v>-2.4878670908177422E-3</v>
      </c>
      <c r="U13" s="70"/>
    </row>
    <row r="14" spans="2:21" x14ac:dyDescent="0.25">
      <c r="B14" s="25" t="s">
        <v>47</v>
      </c>
      <c r="C14" s="63">
        <f>'FAC 2002-2012 RAIL'!I22</f>
        <v>0.25197020974141826</v>
      </c>
      <c r="D14" s="63">
        <f>'FAC 2002-2012 BUS'!I50</f>
        <v>0.25044805039857976</v>
      </c>
      <c r="E14" s="63" t="str">
        <f>'FAC 2002-2012 RAIL'!I78</f>
        <v>-</v>
      </c>
      <c r="F14" s="63">
        <f>'FAC 2002-2012 RAIL'!I106</f>
        <v>0.17142857142857126</v>
      </c>
      <c r="G14" s="63">
        <f>'FAC 2002-2012 RAIL'!AD22</f>
        <v>-1.1026396539525359E-2</v>
      </c>
      <c r="H14" s="63">
        <f>'FAC 2002-2012 RAIL'!AD50</f>
        <v>-1.0196927848845357E-2</v>
      </c>
      <c r="I14" s="63" t="e">
        <f>'FAC 2002-2012 RAIL'!AD78</f>
        <v>#N/A</v>
      </c>
      <c r="J14" s="170">
        <f>'FAC 2002-2012 RAIL'!AD106</f>
        <v>-4.4085108931163136E-3</v>
      </c>
      <c r="L14" s="25" t="s">
        <v>47</v>
      </c>
      <c r="M14" s="63">
        <f>'FAC 2012-2018 RAIL'!I22</f>
        <v>0.24094433150687622</v>
      </c>
      <c r="N14" s="63">
        <f>'FAC 2012-2018 RAIL'!I50</f>
        <v>0.32468411628451199</v>
      </c>
      <c r="O14" s="63" t="str">
        <f>'FAC 2012-2018 RAIL'!I78</f>
        <v>-</v>
      </c>
      <c r="P14" s="63">
        <f>'FAC 2012-2018 RAIL'!I106</f>
        <v>0.12195121951219523</v>
      </c>
      <c r="Q14" s="63">
        <f>'FAC 2012-2018 RAIL'!AD22</f>
        <v>-8.9068751277938379E-3</v>
      </c>
      <c r="R14" s="63">
        <f>'FAC 2012-2018 RAIL'!AD50</f>
        <v>-1.3614706236967526E-2</v>
      </c>
      <c r="S14" s="63" t="e">
        <f>'FAC 2012-2018 RAIL'!AD78</f>
        <v>#N/A</v>
      </c>
      <c r="T14" s="170">
        <f>'FAC 2012-2018 RAIL'!AD106</f>
        <v>-3.2662874773053399E-3</v>
      </c>
      <c r="U14" s="70"/>
    </row>
    <row r="15" spans="2:21" x14ac:dyDescent="0.25">
      <c r="B15" s="25" t="s">
        <v>86</v>
      </c>
      <c r="C15" s="63"/>
      <c r="D15" s="63"/>
      <c r="E15" s="63"/>
      <c r="F15" s="63"/>
      <c r="G15" s="63">
        <f>'FAC 2002-2012 RAIL'!AD23</f>
        <v>2.0890980716179119E-3</v>
      </c>
      <c r="H15" s="63">
        <f>'FAC 2002-2012 RAIL'!AD51</f>
        <v>0</v>
      </c>
      <c r="I15" s="63" t="e">
        <f>'FAC 2002-2012 RAIL'!AD79</f>
        <v>#N/A</v>
      </c>
      <c r="J15" s="170">
        <f>'FAC 2002-2012 RAIL'!AD107</f>
        <v>2.1856365549053122E-3</v>
      </c>
      <c r="L15" s="25" t="s">
        <v>86</v>
      </c>
      <c r="M15" s="63"/>
      <c r="N15" s="63"/>
      <c r="O15" s="63"/>
      <c r="P15" s="63"/>
      <c r="Q15" s="63">
        <f>'FAC 2012-2018 RAIL'!AD23</f>
        <v>1.2783071386859456E-2</v>
      </c>
      <c r="R15" s="63">
        <f>'FAC 2012-2018 RAIL'!AD51</f>
        <v>-9.6880881115562908E-2</v>
      </c>
      <c r="S15" s="63" t="e">
        <f>'FAC 2012-2018 RAIL'!AD79</f>
        <v>#N/A</v>
      </c>
      <c r="T15" s="170">
        <f>'FAC 2012-2018 RAIL'!AD107</f>
        <v>1.1320043982717423E-2</v>
      </c>
      <c r="U15" s="70"/>
    </row>
    <row r="16" spans="2:21" x14ac:dyDescent="0.25">
      <c r="B16" s="25" t="s">
        <v>64</v>
      </c>
      <c r="C16" s="63"/>
      <c r="D16" s="63"/>
      <c r="E16" s="63"/>
      <c r="F16" s="63"/>
      <c r="G16" s="63">
        <f>'FAC 2002-2012 RAIL'!AD24</f>
        <v>-5.9027155167378879E-3</v>
      </c>
      <c r="H16" s="63">
        <f>'FAC 2002-2012 RAIL'!AD52</f>
        <v>-1.137782848927633E-3</v>
      </c>
      <c r="I16" s="63" t="e">
        <f>'FAC 2002-2012 RAIL'!AD80</f>
        <v>#N/A</v>
      </c>
      <c r="J16" s="170">
        <f>'FAC 2002-2012 RAIL'!AD108</f>
        <v>0</v>
      </c>
      <c r="L16" s="25" t="s">
        <v>64</v>
      </c>
      <c r="M16" s="63"/>
      <c r="N16" s="63"/>
      <c r="O16" s="63"/>
      <c r="P16" s="63"/>
      <c r="Q16" s="63">
        <f>'FAC 2012-2018 RAIL'!AD24</f>
        <v>-7.0849557781550131E-3</v>
      </c>
      <c r="R16" s="63">
        <f>'FAC 2012-2018 RAIL'!AD52</f>
        <v>-6.213695283694344E-3</v>
      </c>
      <c r="S16" s="63" t="e">
        <f>'FAC 2012-2018 RAIL'!AD80</f>
        <v>#N/A</v>
      </c>
      <c r="T16" s="170">
        <f>'FAC 2012-2018 RAIL'!AD108</f>
        <v>-8.9540179351912299E-3</v>
      </c>
      <c r="U16" s="70"/>
    </row>
    <row r="17" spans="2:21" x14ac:dyDescent="0.25">
      <c r="B17" s="8" t="s">
        <v>65</v>
      </c>
      <c r="C17" s="63"/>
      <c r="D17" s="63"/>
      <c r="E17" s="63"/>
      <c r="F17" s="63"/>
      <c r="G17" s="63">
        <f>'FAC 2002-2012 RAIL'!AD25</f>
        <v>0</v>
      </c>
      <c r="H17" s="63">
        <f>'FAC 2002-2012 RAIL'!AD53</f>
        <v>0</v>
      </c>
      <c r="I17" s="63" t="e">
        <f>'FAC 2002-2012 RAIL'!AD81</f>
        <v>#N/A</v>
      </c>
      <c r="J17" s="170">
        <f>'FAC 2002-2012 RAIL'!AD109</f>
        <v>0</v>
      </c>
      <c r="L17" s="8" t="s">
        <v>65</v>
      </c>
      <c r="M17" s="63"/>
      <c r="N17" s="63"/>
      <c r="O17" s="63"/>
      <c r="P17" s="63"/>
      <c r="Q17" s="63">
        <f>'FAC 2012-2018 RAIL'!AD25</f>
        <v>-2.4165459131484622E-2</v>
      </c>
      <c r="R17" s="63">
        <f>'FAC 2012-2018 RAIL'!AD53</f>
        <v>-2.2172173821270132E-2</v>
      </c>
      <c r="S17" s="63" t="e">
        <f>'FAC 2012-2018 RAIL'!AD81</f>
        <v>#N/A</v>
      </c>
      <c r="T17" s="170">
        <f>'FAC 2012-2018 RAIL'!AD109</f>
        <v>0</v>
      </c>
      <c r="U17" s="70"/>
    </row>
    <row r="18" spans="2:21" x14ac:dyDescent="0.25">
      <c r="B18" s="41" t="s">
        <v>53</v>
      </c>
      <c r="C18" s="65"/>
      <c r="D18" s="65"/>
      <c r="E18" s="65"/>
      <c r="F18" s="65"/>
      <c r="G18" s="65">
        <f>'FAC 2002-2012 RAIL'!AD26</f>
        <v>5.3517991241650222E-2</v>
      </c>
      <c r="H18" s="65">
        <f>'FAC 2002-2012 RAIL'!AD54</f>
        <v>0.21035402559660377</v>
      </c>
      <c r="I18" s="65" t="e">
        <f>'FAC 2002-2012 RAIL'!AD82</f>
        <v>#N/A</v>
      </c>
      <c r="J18" s="172">
        <f>'FAC 2002-2012 RAIL'!AD110</f>
        <v>0</v>
      </c>
      <c r="L18" s="41" t="s">
        <v>53</v>
      </c>
      <c r="M18" s="65"/>
      <c r="N18" s="65"/>
      <c r="O18" s="65"/>
      <c r="P18" s="65"/>
      <c r="Q18" s="65">
        <f>'FAC 2012-2018 RAIL'!AD26</f>
        <v>0</v>
      </c>
      <c r="R18" s="65">
        <f>'FAC 2012-2018 RAIL'!AD54</f>
        <v>0</v>
      </c>
      <c r="S18" s="65" t="e">
        <f>'FAC 2012-2018 RAIL'!AD82</f>
        <v>#N/A</v>
      </c>
      <c r="T18" s="172">
        <f>'FAC 2012-2018 RAIL'!AD110</f>
        <v>0</v>
      </c>
    </row>
    <row r="19" spans="2:21" x14ac:dyDescent="0.25">
      <c r="B19" s="25" t="s">
        <v>66</v>
      </c>
      <c r="C19" s="69"/>
      <c r="D19" s="69"/>
      <c r="E19" s="69"/>
      <c r="F19" s="69"/>
      <c r="G19" s="69">
        <f>SUM(G5:G18)</f>
        <v>0.40639663035043189</v>
      </c>
      <c r="H19" s="69">
        <f t="shared" ref="H19:J19" si="0">SUM(H5:H18)</f>
        <v>0.92136689958899443</v>
      </c>
      <c r="I19" s="69" t="e">
        <f t="shared" si="0"/>
        <v>#N/A</v>
      </c>
      <c r="J19" s="173">
        <f t="shared" si="0"/>
        <v>0.16141802093068736</v>
      </c>
      <c r="L19" s="25" t="s">
        <v>66</v>
      </c>
      <c r="M19" s="69"/>
      <c r="N19" s="69"/>
      <c r="O19" s="69"/>
      <c r="P19" s="69"/>
      <c r="Q19" s="69">
        <f>SUM(Q5:Q18)</f>
        <v>1.3135721371534591E-2</v>
      </c>
      <c r="R19" s="69">
        <f t="shared" ref="R19:T19" si="1">SUM(R5:R18)</f>
        <v>-5.2096683920561382E-3</v>
      </c>
      <c r="S19" s="69" t="e">
        <f t="shared" si="1"/>
        <v>#N/A</v>
      </c>
      <c r="T19" s="173">
        <f t="shared" si="1"/>
        <v>-3.5138471479052552E-2</v>
      </c>
    </row>
    <row r="20" spans="2:21" ht="16.5" thickBot="1" x14ac:dyDescent="0.3">
      <c r="B20" s="9" t="s">
        <v>50</v>
      </c>
      <c r="C20" s="66"/>
      <c r="D20" s="66"/>
      <c r="E20" s="66"/>
      <c r="F20" s="66"/>
      <c r="G20" s="66">
        <f>'FAC 2002-2012 RAIL'!AD28</f>
        <v>0.30674169007100205</v>
      </c>
      <c r="H20" s="66">
        <f>'FAC 2002-2012 RAIL'!AD56</f>
        <v>0.73391915656400952</v>
      </c>
      <c r="I20" s="66" t="e">
        <f>'FAC 2002-2012 RAIL'!AD84</f>
        <v>#N/A</v>
      </c>
      <c r="J20" s="174">
        <f>'FAC 2002-2012 RAIL'!AD112</f>
        <v>0.44420061078608275</v>
      </c>
      <c r="L20" s="9" t="s">
        <v>50</v>
      </c>
      <c r="M20" s="66"/>
      <c r="N20" s="66"/>
      <c r="O20" s="66"/>
      <c r="P20" s="66"/>
      <c r="Q20" s="66">
        <f>'FAC 2012-2018 RAIL'!AD28</f>
        <v>-2.85730207278454E-2</v>
      </c>
      <c r="R20" s="66">
        <f>'FAC 2012-2018 RAIL'!AD56</f>
        <v>-5.9045822187505759E-2</v>
      </c>
      <c r="S20" s="66" t="e">
        <f>'FAC 2012-2018 RAIL'!AD84</f>
        <v>#N/A</v>
      </c>
      <c r="T20" s="174">
        <f>'FAC 2012-2018 RAIL'!AD112</f>
        <v>3.3855879324180549E-2</v>
      </c>
    </row>
    <row r="21" spans="2:21" ht="17.25" thickTop="1" thickBot="1" x14ac:dyDescent="0.3">
      <c r="B21" s="57" t="s">
        <v>67</v>
      </c>
      <c r="C21" s="67"/>
      <c r="D21" s="67"/>
      <c r="E21" s="67"/>
      <c r="F21" s="67"/>
      <c r="G21" s="67">
        <f>'FAC 2002-2012 RAIL'!AD29</f>
        <v>-0.34770626489506751</v>
      </c>
      <c r="H21" s="67">
        <f>'FAC 2002-2012 RAIL'!AD57</f>
        <v>-0.19269007271380922</v>
      </c>
      <c r="I21" s="67" t="e">
        <f>'FAC 2002-2012 RAIL'!AD85</f>
        <v>#N/A</v>
      </c>
      <c r="J21" s="175">
        <f>'FAC 2002-2012 RAIL'!AD113</f>
        <v>0.21467224568204291</v>
      </c>
      <c r="L21" s="57" t="s">
        <v>67</v>
      </c>
      <c r="M21" s="67"/>
      <c r="N21" s="67"/>
      <c r="O21" s="67"/>
      <c r="P21" s="67"/>
      <c r="Q21" s="67">
        <f>'FAC 2012-2018 RAIL'!AD29</f>
        <v>-3.0672697472639454E-2</v>
      </c>
      <c r="R21" s="67">
        <f>'FAC 2012-2018 RAIL'!AD57</f>
        <v>-4.8419964435040375E-2</v>
      </c>
      <c r="S21" s="67" t="e">
        <f>'FAC 2012-2018 RAIL'!AD85</f>
        <v>#N/A</v>
      </c>
      <c r="T21" s="175">
        <f>'FAC 2012-2018 RAIL'!AD113</f>
        <v>7.3772876069132187E-2</v>
      </c>
    </row>
    <row r="22" spans="2:21" ht="16.5" thickTop="1" x14ac:dyDescent="0.25"/>
    <row r="24" spans="2:21" x14ac:dyDescent="0.25">
      <c r="B24" s="68" t="s">
        <v>70</v>
      </c>
      <c r="L24" s="68" t="s">
        <v>59</v>
      </c>
    </row>
    <row r="25" spans="2:21" ht="16.5" thickBot="1" x14ac:dyDescent="0.3"/>
    <row r="26" spans="2:21" ht="16.5" thickTop="1" x14ac:dyDescent="0.25">
      <c r="B26" s="61"/>
      <c r="C26" s="176" t="s">
        <v>55</v>
      </c>
      <c r="D26" s="176"/>
      <c r="E26" s="176"/>
      <c r="F26" s="176"/>
      <c r="G26" s="176"/>
      <c r="H26" s="176"/>
      <c r="I26" s="176"/>
      <c r="J26" s="176"/>
      <c r="L26" s="61"/>
      <c r="M26" s="176" t="s">
        <v>55</v>
      </c>
      <c r="N26" s="176"/>
      <c r="O26" s="176"/>
      <c r="P26" s="176"/>
    </row>
    <row r="27" spans="2:21" x14ac:dyDescent="0.25">
      <c r="B27" s="8" t="s">
        <v>18</v>
      </c>
      <c r="C27" s="27" t="s">
        <v>56</v>
      </c>
      <c r="D27" s="27" t="s">
        <v>57</v>
      </c>
      <c r="E27" s="27" t="s">
        <v>58</v>
      </c>
      <c r="F27" s="169" t="s">
        <v>27</v>
      </c>
      <c r="G27" s="27"/>
      <c r="H27" s="27"/>
      <c r="I27" s="27"/>
      <c r="J27" s="169"/>
      <c r="L27" s="8" t="s">
        <v>18</v>
      </c>
      <c r="M27" s="27" t="s">
        <v>56</v>
      </c>
      <c r="N27" s="27" t="s">
        <v>57</v>
      </c>
      <c r="O27" s="27" t="s">
        <v>58</v>
      </c>
      <c r="P27" s="169" t="s">
        <v>27</v>
      </c>
    </row>
    <row r="28" spans="2:21" x14ac:dyDescent="0.25">
      <c r="B28" s="25" t="s">
        <v>31</v>
      </c>
      <c r="C28" s="63">
        <f>SUM(G5:G7)</f>
        <v>0.24638361933259556</v>
      </c>
      <c r="D28" s="63">
        <f>SUM(H5:H7)</f>
        <v>0.60187556607853188</v>
      </c>
      <c r="E28" s="63" t="e">
        <f>SUM(I5:I7)</f>
        <v>#N/A</v>
      </c>
      <c r="F28" s="170">
        <f>SUM(J5:J7)</f>
        <v>6.6613416540880724E-2</v>
      </c>
      <c r="G28" s="63"/>
      <c r="H28" s="63"/>
      <c r="I28" s="63"/>
      <c r="J28" s="170"/>
      <c r="L28" s="25" t="s">
        <v>101</v>
      </c>
      <c r="M28" s="63">
        <f>SUM(Q5:Q7)</f>
        <v>9.961358301090717E-2</v>
      </c>
      <c r="N28" s="63">
        <f>SUM(R5:R7)</f>
        <v>0.17853956170995575</v>
      </c>
      <c r="O28" s="63" t="e">
        <f>SUM(S5:S7)</f>
        <v>#N/A</v>
      </c>
      <c r="P28" s="170">
        <f>SUM(T5:T7)</f>
        <v>1.8618803262250405E-2</v>
      </c>
    </row>
    <row r="29" spans="2:21" s="159" customFormat="1" x14ac:dyDescent="0.25">
      <c r="B29" s="115" t="s">
        <v>80</v>
      </c>
      <c r="C29" s="158">
        <f>SUM(G8)</f>
        <v>-4.3776486604992955E-2</v>
      </c>
      <c r="D29" s="158">
        <f>SUM(H8)</f>
        <v>-2.1735827808838235E-2</v>
      </c>
      <c r="E29" s="158" t="e">
        <f>SUM(I8)</f>
        <v>#N/A</v>
      </c>
      <c r="F29" s="170">
        <f>SUM(J8)</f>
        <v>3.853143532327177E-3</v>
      </c>
      <c r="G29" s="158"/>
      <c r="H29" s="158"/>
      <c r="I29" s="158"/>
      <c r="J29" s="170"/>
      <c r="L29" s="115" t="s">
        <v>102</v>
      </c>
      <c r="M29" s="158">
        <f>SUM(Q8)</f>
        <v>-2.6838605755918184E-2</v>
      </c>
      <c r="N29" s="158">
        <f>SUM(R8)</f>
        <v>-8.525087876512143E-3</v>
      </c>
      <c r="O29" s="158" t="e">
        <f>SUM(S8)</f>
        <v>#N/A</v>
      </c>
      <c r="P29" s="170">
        <f>SUM(T8)</f>
        <v>-2.7525185777993687E-2</v>
      </c>
    </row>
    <row r="30" spans="2:21" s="159" customFormat="1" x14ac:dyDescent="0.25">
      <c r="B30" s="115" t="s">
        <v>81</v>
      </c>
      <c r="C30" s="158">
        <f>SUM(G9:G10)</f>
        <v>3.6135756080369112E-2</v>
      </c>
      <c r="D30" s="158">
        <f>SUM(H9:H10)</f>
        <v>1.9836187326844001E-2</v>
      </c>
      <c r="E30" s="158" t="e">
        <f>SUM(I9:I10)</f>
        <v>#N/A</v>
      </c>
      <c r="F30" s="170">
        <f>SUM(J9:J10)</f>
        <v>1.6158450699826972E-2</v>
      </c>
      <c r="G30" s="158"/>
      <c r="H30" s="158"/>
      <c r="I30" s="158"/>
      <c r="J30" s="170"/>
      <c r="L30" s="115" t="s">
        <v>103</v>
      </c>
      <c r="M30" s="158">
        <f>SUM(Q9:Q10)</f>
        <v>1.4474486089643263E-2</v>
      </c>
      <c r="N30" s="158">
        <f>SUM(R9:R10)</f>
        <v>1.1908150674745368E-2</v>
      </c>
      <c r="O30" s="158" t="e">
        <f>SUM(S9:S10)</f>
        <v>#N/A</v>
      </c>
      <c r="P30" s="170">
        <f>SUM(T9:T10)</f>
        <v>1.4798440834875552E-2</v>
      </c>
    </row>
    <row r="31" spans="2:21" s="159" customFormat="1" x14ac:dyDescent="0.25">
      <c r="B31" s="25" t="s">
        <v>48</v>
      </c>
      <c r="C31" s="158">
        <f>G11</f>
        <v>0.10674400794747715</v>
      </c>
      <c r="D31" s="158">
        <f>H11</f>
        <v>9.6554046896823148E-2</v>
      </c>
      <c r="E31" s="158" t="e">
        <f>I11</f>
        <v>#N/A</v>
      </c>
      <c r="F31" s="170">
        <f>J11</f>
        <v>6.3634898135130166E-2</v>
      </c>
      <c r="G31" s="158"/>
      <c r="H31" s="158"/>
      <c r="I31" s="158"/>
      <c r="J31" s="170"/>
      <c r="L31" s="25" t="s">
        <v>105</v>
      </c>
      <c r="M31" s="158">
        <f>Q11</f>
        <v>-3.7249218951742429E-2</v>
      </c>
      <c r="N31" s="158">
        <f>R11</f>
        <v>-3.8976245557036632E-2</v>
      </c>
      <c r="O31" s="158" t="e">
        <f>S11</f>
        <v>#N/A</v>
      </c>
      <c r="P31" s="170">
        <f>T11</f>
        <v>-3.2639236103628733E-2</v>
      </c>
    </row>
    <row r="32" spans="2:21" s="159" customFormat="1" x14ac:dyDescent="0.25">
      <c r="B32" s="25" t="s">
        <v>52</v>
      </c>
      <c r="C32" s="158">
        <f>SUM(G12:G14)</f>
        <v>1.1205359798452757E-2</v>
      </c>
      <c r="D32" s="158">
        <f>SUM(H12:H14)</f>
        <v>1.5620684347957485E-2</v>
      </c>
      <c r="E32" s="158" t="e">
        <f>SUM(I12:I14)</f>
        <v>#N/A</v>
      </c>
      <c r="F32" s="170">
        <f>SUM(J12:J14)</f>
        <v>8.9724754676170151E-3</v>
      </c>
      <c r="G32" s="158"/>
      <c r="H32" s="158"/>
      <c r="I32" s="158"/>
      <c r="J32" s="170"/>
      <c r="L32" s="25" t="s">
        <v>104</v>
      </c>
      <c r="M32" s="158">
        <f>SUM(Q12:Q14)</f>
        <v>-1.8397179498575049E-2</v>
      </c>
      <c r="N32" s="158">
        <f>SUM(R12:R14)</f>
        <v>-2.288929712268107E-2</v>
      </c>
      <c r="O32" s="158" t="e">
        <f>SUM(S12:S14)</f>
        <v>#N/A</v>
      </c>
      <c r="P32" s="170">
        <f>SUM(T12:T14)</f>
        <v>-1.0757319742082279E-2</v>
      </c>
    </row>
    <row r="33" spans="2:16" x14ac:dyDescent="0.25">
      <c r="B33" s="25" t="s">
        <v>73</v>
      </c>
      <c r="C33" s="63">
        <f>SUM(G15:G17)</f>
        <v>-3.8136174451199761E-3</v>
      </c>
      <c r="D33" s="63">
        <f>SUM(H15:H17)</f>
        <v>-1.137782848927633E-3</v>
      </c>
      <c r="E33" s="63" t="e">
        <f>SUM(I15:I17)</f>
        <v>#N/A</v>
      </c>
      <c r="F33" s="170">
        <f>SUM(J15:J17)</f>
        <v>2.1856365549053122E-3</v>
      </c>
      <c r="G33" s="63"/>
      <c r="H33" s="63"/>
      <c r="I33" s="63"/>
      <c r="J33" s="170"/>
      <c r="L33" s="25" t="s">
        <v>106</v>
      </c>
      <c r="M33" s="63">
        <f>SUM(Q15:Q17)</f>
        <v>-1.8467343522780177E-2</v>
      </c>
      <c r="N33" s="63">
        <f>SUM(R15:R17)</f>
        <v>-0.12526675022052738</v>
      </c>
      <c r="O33" s="63" t="e">
        <f>SUM(S15:S17)</f>
        <v>#N/A</v>
      </c>
      <c r="P33" s="170">
        <f>SUM(T15:T17)</f>
        <v>2.3660260475261933E-3</v>
      </c>
    </row>
    <row r="34" spans="2:16" x14ac:dyDescent="0.25">
      <c r="B34" s="41" t="s">
        <v>53</v>
      </c>
      <c r="C34" s="65">
        <f t="shared" ref="C34:F37" si="2">G18</f>
        <v>5.3517991241650222E-2</v>
      </c>
      <c r="D34" s="65">
        <f t="shared" si="2"/>
        <v>0.21035402559660377</v>
      </c>
      <c r="E34" s="65" t="e">
        <f t="shared" si="2"/>
        <v>#N/A</v>
      </c>
      <c r="F34" s="172">
        <f t="shared" si="2"/>
        <v>0</v>
      </c>
      <c r="G34" s="65"/>
      <c r="H34" s="65"/>
      <c r="I34" s="65"/>
      <c r="J34" s="172"/>
      <c r="L34" s="41" t="s">
        <v>53</v>
      </c>
      <c r="M34" s="65">
        <f t="shared" ref="M34:P37" si="3">Q18</f>
        <v>0</v>
      </c>
      <c r="N34" s="65">
        <f t="shared" si="3"/>
        <v>0</v>
      </c>
      <c r="O34" s="65" t="e">
        <f t="shared" si="3"/>
        <v>#N/A</v>
      </c>
      <c r="P34" s="172">
        <f t="shared" si="3"/>
        <v>0</v>
      </c>
    </row>
    <row r="35" spans="2:16" x14ac:dyDescent="0.25">
      <c r="B35" s="25" t="s">
        <v>66</v>
      </c>
      <c r="C35" s="69">
        <f t="shared" si="2"/>
        <v>0.40639663035043189</v>
      </c>
      <c r="D35" s="69">
        <f t="shared" si="2"/>
        <v>0.92136689958899443</v>
      </c>
      <c r="E35" s="69" t="e">
        <f t="shared" si="2"/>
        <v>#N/A</v>
      </c>
      <c r="F35" s="173">
        <f t="shared" si="2"/>
        <v>0.16141802093068736</v>
      </c>
      <c r="G35" s="69"/>
      <c r="H35" s="69"/>
      <c r="I35" s="69"/>
      <c r="J35" s="173"/>
      <c r="L35" s="25" t="s">
        <v>66</v>
      </c>
      <c r="M35" s="69">
        <f t="shared" si="3"/>
        <v>1.3135721371534591E-2</v>
      </c>
      <c r="N35" s="69">
        <f t="shared" si="3"/>
        <v>-5.2096683920561382E-3</v>
      </c>
      <c r="O35" s="69" t="e">
        <f t="shared" si="3"/>
        <v>#N/A</v>
      </c>
      <c r="P35" s="173">
        <f t="shared" si="3"/>
        <v>-3.5138471479052552E-2</v>
      </c>
    </row>
    <row r="36" spans="2:16" ht="16.5" thickBot="1" x14ac:dyDescent="0.3">
      <c r="B36" s="9" t="s">
        <v>50</v>
      </c>
      <c r="C36" s="66">
        <f t="shared" si="2"/>
        <v>0.30674169007100205</v>
      </c>
      <c r="D36" s="66">
        <f t="shared" si="2"/>
        <v>0.73391915656400952</v>
      </c>
      <c r="E36" s="66" t="e">
        <f t="shared" si="2"/>
        <v>#N/A</v>
      </c>
      <c r="F36" s="174">
        <f t="shared" si="2"/>
        <v>0.44420061078608275</v>
      </c>
      <c r="G36" s="66"/>
      <c r="H36" s="66"/>
      <c r="I36" s="66"/>
      <c r="J36" s="174"/>
      <c r="L36" s="9" t="s">
        <v>50</v>
      </c>
      <c r="M36" s="66">
        <f t="shared" si="3"/>
        <v>-2.85730207278454E-2</v>
      </c>
      <c r="N36" s="66">
        <f t="shared" si="3"/>
        <v>-5.9045822187505759E-2</v>
      </c>
      <c r="O36" s="66" t="e">
        <f t="shared" si="3"/>
        <v>#N/A</v>
      </c>
      <c r="P36" s="174">
        <f t="shared" si="3"/>
        <v>3.3855879324180549E-2</v>
      </c>
    </row>
    <row r="37" spans="2:16" ht="17.25" thickTop="1" thickBot="1" x14ac:dyDescent="0.3">
      <c r="B37" s="57" t="s">
        <v>67</v>
      </c>
      <c r="C37" s="67">
        <f t="shared" si="2"/>
        <v>-0.34770626489506751</v>
      </c>
      <c r="D37" s="67">
        <f t="shared" si="2"/>
        <v>-0.19269007271380922</v>
      </c>
      <c r="E37" s="67" t="e">
        <f t="shared" si="2"/>
        <v>#N/A</v>
      </c>
      <c r="F37" s="175">
        <f t="shared" si="2"/>
        <v>0.21467224568204291</v>
      </c>
      <c r="G37" s="67"/>
      <c r="H37" s="67"/>
      <c r="I37" s="67"/>
      <c r="J37" s="175"/>
      <c r="L37" s="57" t="s">
        <v>67</v>
      </c>
      <c r="M37" s="67">
        <f t="shared" si="3"/>
        <v>-3.0672697472639454E-2</v>
      </c>
      <c r="N37" s="67">
        <f t="shared" si="3"/>
        <v>-4.8419964435040375E-2</v>
      </c>
      <c r="O37" s="67" t="e">
        <f t="shared" si="3"/>
        <v>#N/A</v>
      </c>
      <c r="P37" s="175">
        <f t="shared" si="3"/>
        <v>7.3772876069132187E-2</v>
      </c>
    </row>
    <row r="38" spans="2:16" ht="16.5" thickTop="1" x14ac:dyDescent="0.25"/>
  </sheetData>
  <mergeCells count="7">
    <mergeCell ref="Q3:T3"/>
    <mergeCell ref="C26:F26"/>
    <mergeCell ref="G26:J26"/>
    <mergeCell ref="M26:P26"/>
    <mergeCell ref="C3:F3"/>
    <mergeCell ref="G3:J3"/>
    <mergeCell ref="M3:P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showGridLines="0" topLeftCell="A84" workbookViewId="0">
      <selection activeCell="C91" sqref="C91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1" style="12" hidden="1" customWidth="1"/>
    <col min="14" max="15" width="10.125" style="12" hidden="1" customWidth="1"/>
    <col min="16" max="16" width="11" style="12" hidden="1" customWidth="1"/>
    <col min="17" max="17" width="10.5" style="12" hidden="1" customWidth="1"/>
    <col min="18" max="18" width="10.25" style="12" hidden="1" customWidth="1"/>
    <col min="19" max="20" width="11" style="12" hidden="1" customWidth="1"/>
    <col min="21" max="22" width="10.125" style="12" hidden="1" customWidth="1"/>
    <col min="23" max="23" width="10.5" style="12" hidden="1" customWidth="1"/>
    <col min="24" max="28" width="10.125" style="12" hidden="1" customWidth="1"/>
    <col min="29" max="29" width="10" style="12" bestFit="1" customWidth="1"/>
    <col min="30" max="30" width="12.125" style="12" customWidth="1"/>
    <col min="31" max="31" width="17.5" style="10" bestFit="1" customWidth="1"/>
    <col min="32" max="16384" width="11" style="12"/>
  </cols>
  <sheetData>
    <row r="1" spans="1:31" x14ac:dyDescent="0.25">
      <c r="B1" s="11" t="s">
        <v>36</v>
      </c>
      <c r="C1" s="12">
        <v>2002</v>
      </c>
    </row>
    <row r="2" spans="1:31" s="10" customFormat="1" x14ac:dyDescent="0.25">
      <c r="B2" s="15" t="s">
        <v>37</v>
      </c>
      <c r="C2" s="10">
        <v>2012</v>
      </c>
      <c r="E2" s="6"/>
      <c r="G2" s="106"/>
      <c r="H2" s="106"/>
      <c r="I2" s="17"/>
    </row>
    <row r="3" spans="1:31" x14ac:dyDescent="0.25">
      <c r="B3" s="18" t="s">
        <v>25</v>
      </c>
      <c r="C3" s="10"/>
      <c r="D3" s="10"/>
      <c r="E3" s="6"/>
      <c r="F3" s="10"/>
      <c r="G3" s="106"/>
      <c r="H3" s="106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76" t="s">
        <v>51</v>
      </c>
      <c r="H8" s="176"/>
      <c r="I8" s="176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176" t="s">
        <v>55</v>
      </c>
      <c r="AD8" s="176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2002</v>
      </c>
      <c r="H9" s="128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104"/>
      <c r="F11" s="104"/>
      <c r="G11" s="104" t="str">
        <f>CONCATENATE($C6,"_",$C7,"_",G9)</f>
        <v>0_1_2002</v>
      </c>
      <c r="H11" s="104" t="str">
        <f>CONCATENATE($C6,"_",$C7,"_",H9)</f>
        <v>0_1_2012</v>
      </c>
      <c r="I11" s="116"/>
      <c r="J11" s="104"/>
      <c r="K11" s="104"/>
      <c r="L11" s="104"/>
      <c r="M11" s="104" t="str">
        <f>IF($G9+M10&gt;$H9,0,CONCATENATE($C6,"_",$C7,"_",$G9+M10))</f>
        <v>0_1_2003</v>
      </c>
      <c r="N11" s="104" t="str">
        <f t="shared" ref="N11:AB11" si="0">IF($G9+N10&gt;$H9,0,CONCATENATE($C6,"_",$C7,"_",$G9+N10))</f>
        <v>0_1_2004</v>
      </c>
      <c r="O11" s="104" t="str">
        <f t="shared" si="0"/>
        <v>0_1_2005</v>
      </c>
      <c r="P11" s="104" t="str">
        <f t="shared" si="0"/>
        <v>0_1_2006</v>
      </c>
      <c r="Q11" s="104" t="str">
        <f t="shared" si="0"/>
        <v>0_1_2007</v>
      </c>
      <c r="R11" s="104" t="str">
        <f t="shared" si="0"/>
        <v>0_1_2008</v>
      </c>
      <c r="S11" s="104" t="str">
        <f t="shared" si="0"/>
        <v>0_1_2009</v>
      </c>
      <c r="T11" s="104" t="str">
        <f t="shared" si="0"/>
        <v>0_1_2010</v>
      </c>
      <c r="U11" s="104" t="str">
        <f t="shared" si="0"/>
        <v>0_1_2011</v>
      </c>
      <c r="V11" s="104" t="str">
        <f t="shared" si="0"/>
        <v>0_1_2012</v>
      </c>
      <c r="W11" s="104">
        <f t="shared" si="0"/>
        <v>0</v>
      </c>
      <c r="X11" s="104">
        <f t="shared" si="0"/>
        <v>0</v>
      </c>
      <c r="Y11" s="104">
        <f t="shared" si="0"/>
        <v>0</v>
      </c>
      <c r="Z11" s="104">
        <f t="shared" si="0"/>
        <v>0</v>
      </c>
      <c r="AA11" s="104">
        <f t="shared" si="0"/>
        <v>0</v>
      </c>
      <c r="AB11" s="104">
        <f t="shared" si="0"/>
        <v>0</v>
      </c>
      <c r="AC11" s="104"/>
      <c r="AD11" s="104"/>
    </row>
    <row r="12" spans="1:31" hidden="1" x14ac:dyDescent="0.25">
      <c r="B12" s="115"/>
      <c r="C12" s="116"/>
      <c r="D12" s="104"/>
      <c r="E12" s="104"/>
      <c r="F12" s="104" t="s">
        <v>23</v>
      </c>
      <c r="G12" s="117"/>
      <c r="H12" s="117"/>
      <c r="I12" s="116"/>
      <c r="J12" s="104"/>
      <c r="K12" s="104"/>
      <c r="L12" s="104" t="s">
        <v>23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87</v>
      </c>
      <c r="E13" s="118"/>
      <c r="F13" s="104">
        <f>MATCH($D13,FAC_TOTALS_APTA!$A$2:$BD$2,)</f>
        <v>12</v>
      </c>
      <c r="G13" s="117">
        <f>VLOOKUP(G11,FAC_TOTALS_APTA!$A$4:$BD$126,$F13,FALSE)</f>
        <v>69431799.636510193</v>
      </c>
      <c r="H13" s="117">
        <f>VLOOKUP(H11,FAC_TOTALS_APTA!$A$4:$BD$126,$F13,FALSE)</f>
        <v>63654979.010831997</v>
      </c>
      <c r="I13" s="119">
        <f>IFERROR(H13/G13-1,"-")</f>
        <v>-8.3201366750120909E-2</v>
      </c>
      <c r="J13" s="120" t="str">
        <f>IF(C13="Log","_log","")</f>
        <v>_log</v>
      </c>
      <c r="K13" s="120" t="str">
        <f>CONCATENATE(D13,J13,"_FAC")</f>
        <v>VRM_ADJ_BUS_log_FAC</v>
      </c>
      <c r="L13" s="104">
        <f>MATCH($K13,FAC_TOTALS_APTA!$A$2:$BB$2,)</f>
        <v>30</v>
      </c>
      <c r="M13" s="117">
        <f>IF(M11=0,0,VLOOKUP(M11,FAC_TOTALS_APTA!$A$4:$BD$126,$L13,FALSE))</f>
        <v>-1654184.03781188</v>
      </c>
      <c r="N13" s="117">
        <f>IF(N11=0,0,VLOOKUP(N11,FAC_TOTALS_APTA!$A$4:$BD$126,$L13,FALSE))</f>
        <v>22800811.929629099</v>
      </c>
      <c r="O13" s="117">
        <f>IF(O11=0,0,VLOOKUP(O11,FAC_TOTALS_APTA!$A$4:$BD$126,$L13,FALSE))</f>
        <v>-18433580.460927099</v>
      </c>
      <c r="P13" s="117">
        <f>IF(P11=0,0,VLOOKUP(P11,FAC_TOTALS_APTA!$A$4:$BD$126,$L13,FALSE))</f>
        <v>-4429955.7974834796</v>
      </c>
      <c r="Q13" s="117">
        <f>IF(Q11=0,0,VLOOKUP(Q11,FAC_TOTALS_APTA!$A$4:$BD$126,$L13,FALSE))</f>
        <v>19185059.6939964</v>
      </c>
      <c r="R13" s="117">
        <f>IF(R11=0,0,VLOOKUP(R11,FAC_TOTALS_APTA!$A$4:$BD$126,$L13,FALSE))</f>
        <v>9090785.4744599797</v>
      </c>
      <c r="S13" s="117">
        <f>IF(S11=0,0,VLOOKUP(S11,FAC_TOTALS_APTA!$A$4:$BD$126,$L13,FALSE))</f>
        <v>-12465021.932657</v>
      </c>
      <c r="T13" s="117">
        <f>IF(T11=0,0,VLOOKUP(T11,FAC_TOTALS_APTA!$A$4:$BD$126,$L13,FALSE))</f>
        <v>-54395881.465665199</v>
      </c>
      <c r="U13" s="117">
        <f>IF(U11=0,0,VLOOKUP(U11,FAC_TOTALS_APTA!$A$4:$BD$126,$L13,FALSE))</f>
        <v>-36247344.5327968</v>
      </c>
      <c r="V13" s="117">
        <f>IF(V11=0,0,VLOOKUP(V11,FAC_TOTALS_APTA!$A$4:$BD$126,$L13,FALSE))</f>
        <v>-13982351.9432179</v>
      </c>
      <c r="W13" s="117">
        <f>IF(W11=0,0,VLOOKUP(W11,FAC_TOTALS_APTA!$A$4:$BD$126,$L13,FALSE))</f>
        <v>0</v>
      </c>
      <c r="X13" s="117">
        <f>IF(X11=0,0,VLOOKUP(X11,FAC_TOTALS_APTA!$A$4:$BD$126,$L13,FALSE))</f>
        <v>0</v>
      </c>
      <c r="Y13" s="117">
        <f>IF(Y11=0,0,VLOOKUP(Y11,FAC_TOTALS_APTA!$A$4:$BD$126,$L13,FALSE))</f>
        <v>0</v>
      </c>
      <c r="Z13" s="117">
        <f>IF(Z11=0,0,VLOOKUP(Z11,FAC_TOTALS_APTA!$A$4:$BD$126,$L13,FALSE))</f>
        <v>0</v>
      </c>
      <c r="AA13" s="117">
        <f>IF(AA11=0,0,VLOOKUP(AA11,FAC_TOTALS_APTA!$A$4:$BD$126,$L13,FALSE))</f>
        <v>0</v>
      </c>
      <c r="AB13" s="117">
        <f>IF(AB11=0,0,VLOOKUP(AB11,FAC_TOTALS_APTA!$A$4:$BD$126,$L13,FALSE))</f>
        <v>0</v>
      </c>
      <c r="AC13" s="121">
        <f>SUM(M13:AB13)</f>
        <v>-90531663.072473884</v>
      </c>
      <c r="AD13" s="122">
        <f>AC13/G28</f>
        <v>-4.0821409147028705E-2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88</v>
      </c>
      <c r="E14" s="118"/>
      <c r="F14" s="104">
        <f>MATCH($D14,FAC_TOTALS_APTA!$A$2:$BD$2,)</f>
        <v>14</v>
      </c>
      <c r="G14" s="123">
        <f>VLOOKUP(G11,FAC_TOTALS_APTA!$A$4:$BD$126,$F14,FALSE)</f>
        <v>0.91027864284140703</v>
      </c>
      <c r="H14" s="123">
        <f>VLOOKUP(H11,FAC_TOTALS_APTA!$A$4:$BD$126,$F14,FALSE)</f>
        <v>1.03319372827068</v>
      </c>
      <c r="I14" s="119">
        <f t="shared" ref="I14:I25" si="1">IFERROR(H14/G14-1,"-")</f>
        <v>0.13503017608498125</v>
      </c>
      <c r="J14" s="120" t="str">
        <f t="shared" ref="J14:J25" si="2">IF(C14="Log","_log","")</f>
        <v>_log</v>
      </c>
      <c r="K14" s="120" t="str">
        <f t="shared" ref="K14:K26" si="3">CONCATENATE(D14,J14,"_FAC")</f>
        <v>FARE_per_UPT_cleaned_2018_BUS_log_FAC</v>
      </c>
      <c r="L14" s="104">
        <f>MATCH($K14,FAC_TOTALS_APTA!$A$2:$BB$2,)</f>
        <v>32</v>
      </c>
      <c r="M14" s="117">
        <f>IF(M11=0,0,VLOOKUP(M11,FAC_TOTALS_APTA!$A$4:$BD$126,$L14,FALSE))</f>
        <v>-3424269.1844878802</v>
      </c>
      <c r="N14" s="117">
        <f>IF(N11=0,0,VLOOKUP(N11,FAC_TOTALS_APTA!$A$4:$BD$126,$L14,FALSE))</f>
        <v>23883678.012509</v>
      </c>
      <c r="O14" s="117">
        <f>IF(O11=0,0,VLOOKUP(O11,FAC_TOTALS_APTA!$A$4:$BD$126,$L14,FALSE))</f>
        <v>-10941883.877299201</v>
      </c>
      <c r="P14" s="117">
        <f>IF(P11=0,0,VLOOKUP(P11,FAC_TOTALS_APTA!$A$4:$BD$126,$L14,FALSE))</f>
        <v>8030686.02679017</v>
      </c>
      <c r="Q14" s="117">
        <f>IF(Q11=0,0,VLOOKUP(Q11,FAC_TOTALS_APTA!$A$4:$BD$126,$L14,FALSE))</f>
        <v>-19422079.354122601</v>
      </c>
      <c r="R14" s="117">
        <f>IF(R11=0,0,VLOOKUP(R11,FAC_TOTALS_APTA!$A$4:$BD$126,$L14,FALSE))</f>
        <v>14651506.2194272</v>
      </c>
      <c r="S14" s="117">
        <f>IF(S11=0,0,VLOOKUP(S11,FAC_TOTALS_APTA!$A$4:$BD$126,$L14,FALSE))</f>
        <v>-72486080.190738395</v>
      </c>
      <c r="T14" s="117">
        <f>IF(T11=0,0,VLOOKUP(T11,FAC_TOTALS_APTA!$A$4:$BD$126,$L14,FALSE))</f>
        <v>-12809806.5610341</v>
      </c>
      <c r="U14" s="117">
        <f>IF(U11=0,0,VLOOKUP(U11,FAC_TOTALS_APTA!$A$4:$BD$126,$L14,FALSE))</f>
        <v>-14181457.185838699</v>
      </c>
      <c r="V14" s="117">
        <f>IF(V11=0,0,VLOOKUP(V11,FAC_TOTALS_APTA!$A$4:$BD$126,$L14,FALSE))</f>
        <v>538197.68256242096</v>
      </c>
      <c r="W14" s="117">
        <f>IF(W11=0,0,VLOOKUP(W11,FAC_TOTALS_APTA!$A$4:$BD$126,$L14,FALSE))</f>
        <v>0</v>
      </c>
      <c r="X14" s="117">
        <f>IF(X11=0,0,VLOOKUP(X11,FAC_TOTALS_APTA!$A$4:$BD$126,$L14,FALSE))</f>
        <v>0</v>
      </c>
      <c r="Y14" s="117">
        <f>IF(Y11=0,0,VLOOKUP(Y11,FAC_TOTALS_APTA!$A$4:$BD$126,$L14,FALSE))</f>
        <v>0</v>
      </c>
      <c r="Z14" s="117">
        <f>IF(Z11=0,0,VLOOKUP(Z11,FAC_TOTALS_APTA!$A$4:$BD$126,$L14,FALSE))</f>
        <v>0</v>
      </c>
      <c r="AA14" s="117">
        <f>IF(AA11=0,0,VLOOKUP(AA11,FAC_TOTALS_APTA!$A$4:$BD$126,$L14,FALSE))</f>
        <v>0</v>
      </c>
      <c r="AB14" s="117">
        <f>IF(AB11=0,0,VLOOKUP(AB11,FAC_TOTALS_APTA!$A$4:$BD$126,$L14,FALSE))</f>
        <v>0</v>
      </c>
      <c r="AC14" s="121">
        <f t="shared" ref="AC14:AC25" si="4">SUM(M14:AB14)</f>
        <v>-86161508.412232086</v>
      </c>
      <c r="AD14" s="122">
        <f>AC14/G28</f>
        <v>-3.8850873476224644E-2</v>
      </c>
      <c r="AE14" s="6"/>
    </row>
    <row r="15" spans="1:31" s="13" customFormat="1" x14ac:dyDescent="0.25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0</v>
      </c>
      <c r="I15" s="119" t="str">
        <f>IFERROR(H15/G15-1,"-")</f>
        <v>-</v>
      </c>
      <c r="J15" s="120" t="str">
        <f t="shared" ref="J15" si="5">IF(C15="Log","_log","")</f>
        <v/>
      </c>
      <c r="K15" s="120" t="str">
        <f t="shared" ref="K15" si="6">CONCATENATE(D15,J15,"_FAC")</f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0</v>
      </c>
      <c r="P15" s="117">
        <f>IF(P11=0,0,VLOOKUP(P11,FAC_TOTALS_APTA!$A$4:$BD$126,$L15,FALSE))</f>
        <v>0</v>
      </c>
      <c r="Q15" s="117">
        <f>IF(Q11=0,0,VLOOKUP(Q11,FAC_TOTALS_APTA!$A$4:$BD$126,$L15,FALSE))</f>
        <v>0</v>
      </c>
      <c r="R15" s="117">
        <f>IF(R11=0,0,VLOOKUP(R11,FAC_TOTALS_APTA!$A$4:$BD$126,$L15,FALSE))</f>
        <v>0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ref="AC15" si="7">SUM(M15:AB15)</f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117">
        <f>VLOOKUP(G11,FAC_TOTALS_APTA!$A$4:$BD$126,$F16,FALSE)</f>
        <v>0</v>
      </c>
      <c r="H16" s="117">
        <f>VLOOKUP(H11,FAC_TOTALS_APTA!$A$4:$BD$126,$F16,FALSE)</f>
        <v>0</v>
      </c>
      <c r="I16" s="119" t="str">
        <f>IFERROR(H16/G16-1,"-")</f>
        <v>-</v>
      </c>
      <c r="J16" s="120" t="str">
        <f t="shared" ref="J16" si="8">IF(C16="Log","_log","")</f>
        <v/>
      </c>
      <c r="K16" s="120" t="str">
        <f t="shared" ref="K16" si="9">CONCATENATE(D16,J16,"_FAC")</f>
        <v>MAINTENANCE_WMATA_FAC</v>
      </c>
      <c r="L16" s="104">
        <f>MATCH($K16,FAC_TOTALS_APTA!$A$2:$BB$2,)</f>
        <v>40</v>
      </c>
      <c r="M16" s="117">
        <f>IF(M12=0,0,VLOOKUP(M12,FAC_TOTALS_APTA!$A$4:$BD$126,$L16,FALSE))</f>
        <v>0</v>
      </c>
      <c r="N16" s="117">
        <f>IF(N12=0,0,VLOOKUP(N12,FAC_TOTALS_APTA!$A$4:$BD$126,$L16,FALSE))</f>
        <v>0</v>
      </c>
      <c r="O16" s="117">
        <f>IF(O12=0,0,VLOOKUP(O12,FAC_TOTALS_APTA!$A$4:$BD$126,$L16,FALSE))</f>
        <v>0</v>
      </c>
      <c r="P16" s="117">
        <f>IF(P12=0,0,VLOOKUP(P12,FAC_TOTALS_APTA!$A$4:$BD$126,$L16,FALSE))</f>
        <v>0</v>
      </c>
      <c r="Q16" s="117">
        <f>IF(Q12=0,0,VLOOKUP(Q12,FAC_TOTALS_APTA!$A$4:$BD$126,$L16,FALSE))</f>
        <v>0</v>
      </c>
      <c r="R16" s="117">
        <f>IF(R12=0,0,VLOOKUP(R12,FAC_TOTALS_APTA!$A$4:$BD$126,$L16,FALSE))</f>
        <v>0</v>
      </c>
      <c r="S16" s="117">
        <f>IF(S12=0,0,VLOOKUP(S12,FAC_TOTALS_APTA!$A$4:$BD$126,$L16,FALSE))</f>
        <v>0</v>
      </c>
      <c r="T16" s="117">
        <f>IF(T12=0,0,VLOOKUP(T12,FAC_TOTALS_APTA!$A$4:$BD$126,$L16,FALSE))</f>
        <v>0</v>
      </c>
      <c r="U16" s="117">
        <f>IF(U12=0,0,VLOOKUP(U12,FAC_TOTALS_APTA!$A$4:$BD$126,$L16,FALSE))</f>
        <v>0</v>
      </c>
      <c r="V16" s="117">
        <f>IF(V12=0,0,VLOOKUP(V12,FAC_TOTALS_APTA!$A$4:$BD$126,$L16,FALSE))</f>
        <v>0</v>
      </c>
      <c r="W16" s="117">
        <f>IF(W12=0,0,VLOOKUP(W12,FAC_TOTALS_APTA!$A$4:$BD$126,$L16,FALSE))</f>
        <v>0</v>
      </c>
      <c r="X16" s="117">
        <f>IF(X12=0,0,VLOOKUP(X12,FAC_TOTALS_APTA!$A$4:$BD$126,$L16,FALSE))</f>
        <v>0</v>
      </c>
      <c r="Y16" s="117">
        <f>IF(Y12=0,0,VLOOKUP(Y12,FAC_TOTALS_APTA!$A$4:$BD$126,$L16,FALSE))</f>
        <v>0</v>
      </c>
      <c r="Z16" s="117">
        <f>IF(Z12=0,0,VLOOKUP(Z12,FAC_TOTALS_APTA!$A$4:$BD$126,$L16,FALSE))</f>
        <v>0</v>
      </c>
      <c r="AA16" s="117">
        <f>IF(AA12=0,0,VLOOKUP(AA12,FAC_TOTALS_APTA!$A$4:$BD$126,$L16,FALSE))</f>
        <v>0</v>
      </c>
      <c r="AB16" s="117">
        <f>IF(AB12=0,0,VLOOKUP(AB12,FAC_TOTALS_APTA!$A$4:$BD$126,$L16,FALSE))</f>
        <v>0</v>
      </c>
      <c r="AC16" s="121">
        <f t="shared" ref="AC16" si="10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118"/>
      <c r="F17" s="104">
        <f>MATCH($D17,FAC_TOTALS_APTA!$A$2:$BD$2,)</f>
        <v>16</v>
      </c>
      <c r="G17" s="117">
        <f>VLOOKUP(G11,FAC_TOTALS_APTA!$A$4:$BD$126,$F17,FALSE)</f>
        <v>9573567.1438265797</v>
      </c>
      <c r="H17" s="117">
        <f>VLOOKUP(H11,FAC_TOTALS_APTA!$A$4:$BD$126,$F17,FALSE)</f>
        <v>10106162.1305601</v>
      </c>
      <c r="I17" s="119">
        <f t="shared" si="1"/>
        <v>5.5631822363825911E-2</v>
      </c>
      <c r="J17" s="120" t="str">
        <f t="shared" si="2"/>
        <v>_log</v>
      </c>
      <c r="K17" s="120" t="str">
        <f t="shared" si="3"/>
        <v>POP_EMP_log_FAC</v>
      </c>
      <c r="L17" s="104">
        <f>MATCH($K17,FAC_TOTALS_APTA!$A$2:$BB$2,)</f>
        <v>34</v>
      </c>
      <c r="M17" s="117">
        <f>IF(M11=0,0,VLOOKUP(M11,FAC_TOTALS_APTA!$A$4:$BD$126,$L17,FALSE))</f>
        <v>8348263.6157266796</v>
      </c>
      <c r="N17" s="117">
        <f>IF(N11=0,0,VLOOKUP(N11,FAC_TOTALS_APTA!$A$4:$BD$126,$L17,FALSE))</f>
        <v>9911548.6939433403</v>
      </c>
      <c r="O17" s="117">
        <f>IF(O11=0,0,VLOOKUP(O11,FAC_TOTALS_APTA!$A$4:$BD$126,$L17,FALSE))</f>
        <v>11437935.362945801</v>
      </c>
      <c r="P17" s="117">
        <f>IF(P11=0,0,VLOOKUP(P11,FAC_TOTALS_APTA!$A$4:$BD$126,$L17,FALSE))</f>
        <v>15494579.843892099</v>
      </c>
      <c r="Q17" s="117">
        <f>IF(Q11=0,0,VLOOKUP(Q11,FAC_TOTALS_APTA!$A$4:$BD$126,$L17,FALSE))</f>
        <v>4271216.1427105097</v>
      </c>
      <c r="R17" s="117">
        <f>IF(R11=0,0,VLOOKUP(R11,FAC_TOTALS_APTA!$A$4:$BD$126,$L17,FALSE))</f>
        <v>2824400.8044545902</v>
      </c>
      <c r="S17" s="117">
        <f>IF(S11=0,0,VLOOKUP(S11,FAC_TOTALS_APTA!$A$4:$BD$126,$L17,FALSE))</f>
        <v>-2672348.0330626001</v>
      </c>
      <c r="T17" s="117">
        <f>IF(T11=0,0,VLOOKUP(T11,FAC_TOTALS_APTA!$A$4:$BD$126,$L17,FALSE))</f>
        <v>305505.99222634698</v>
      </c>
      <c r="U17" s="117">
        <f>IF(U11=0,0,VLOOKUP(U11,FAC_TOTALS_APTA!$A$4:$BD$126,$L17,FALSE))</f>
        <v>5644179.1485857498</v>
      </c>
      <c r="V17" s="117">
        <f>IF(V11=0,0,VLOOKUP(V11,FAC_TOTALS_APTA!$A$4:$BD$126,$L17,FALSE))</f>
        <v>7129469.8848175304</v>
      </c>
      <c r="W17" s="117">
        <f>IF(W11=0,0,VLOOKUP(W11,FAC_TOTALS_APTA!$A$4:$BD$126,$L17,FALSE))</f>
        <v>0</v>
      </c>
      <c r="X17" s="117">
        <f>IF(X11=0,0,VLOOKUP(X11,FAC_TOTALS_APTA!$A$4:$BD$126,$L17,FALSE))</f>
        <v>0</v>
      </c>
      <c r="Y17" s="117">
        <f>IF(Y11=0,0,VLOOKUP(Y11,FAC_TOTALS_APTA!$A$4:$BD$126,$L17,FALSE))</f>
        <v>0</v>
      </c>
      <c r="Z17" s="117">
        <f>IF(Z11=0,0,VLOOKUP(Z11,FAC_TOTALS_APTA!$A$4:$BD$126,$L17,FALSE))</f>
        <v>0</v>
      </c>
      <c r="AA17" s="117">
        <f>IF(AA11=0,0,VLOOKUP(AA11,FAC_TOTALS_APTA!$A$4:$BD$126,$L17,FALSE))</f>
        <v>0</v>
      </c>
      <c r="AB17" s="117">
        <f>IF(AB11=0,0,VLOOKUP(AB11,FAC_TOTALS_APTA!$A$4:$BD$126,$L17,FALSE))</f>
        <v>0</v>
      </c>
      <c r="AC17" s="121">
        <f t="shared" si="4"/>
        <v>62694751.456240043</v>
      </c>
      <c r="AD17" s="122">
        <f>AC17/G28</f>
        <v>2.8269535913834316E-2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118"/>
      <c r="F18" s="104">
        <f>MATCH($D18,FAC_TOTALS_APTA!$A$2:$BD$2,)</f>
        <v>17</v>
      </c>
      <c r="G18" s="123">
        <f>VLOOKUP(G11,FAC_TOTALS_APTA!$A$4:$BD$126,$F18,FALSE)</f>
        <v>0.56791506562331096</v>
      </c>
      <c r="H18" s="123">
        <f>VLOOKUP(H11,FAC_TOTALS_APTA!$A$4:$BD$126,$F18,FALSE)</f>
        <v>0.55566673939080602</v>
      </c>
      <c r="I18" s="119">
        <f t="shared" si="1"/>
        <v>-2.1567179625815891E-2</v>
      </c>
      <c r="J18" s="120" t="str">
        <f t="shared" si="2"/>
        <v/>
      </c>
      <c r="K18" s="120" t="str">
        <f t="shared" si="3"/>
        <v>TSD_POP_EMP_PCT_FAC</v>
      </c>
      <c r="L18" s="104">
        <f>MATCH($K18,FAC_TOTALS_APTA!$A$2:$BB$2,)</f>
        <v>35</v>
      </c>
      <c r="M18" s="117">
        <f>IF(M11=0,0,VLOOKUP(M11,FAC_TOTALS_APTA!$A$4:$BD$126,$L18,FALSE))</f>
        <v>-3663444.0047366801</v>
      </c>
      <c r="N18" s="117">
        <f>IF(N11=0,0,VLOOKUP(N11,FAC_TOTALS_APTA!$A$4:$BD$126,$L18,FALSE))</f>
        <v>-2016237.1299159101</v>
      </c>
      <c r="O18" s="117">
        <f>IF(O11=0,0,VLOOKUP(O11,FAC_TOTALS_APTA!$A$4:$BD$126,$L18,FALSE))</f>
        <v>-1482752.1288063701</v>
      </c>
      <c r="P18" s="117">
        <f>IF(P11=0,0,VLOOKUP(P11,FAC_TOTALS_APTA!$A$4:$BD$126,$L18,FALSE))</f>
        <v>-444448.82300326403</v>
      </c>
      <c r="Q18" s="117">
        <f>IF(Q11=0,0,VLOOKUP(Q11,FAC_TOTALS_APTA!$A$4:$BD$126,$L18,FALSE))</f>
        <v>-6802199.2308213199</v>
      </c>
      <c r="R18" s="117">
        <f>IF(R11=0,0,VLOOKUP(R11,FAC_TOTALS_APTA!$A$4:$BD$126,$L18,FALSE))</f>
        <v>3128471.50667154</v>
      </c>
      <c r="S18" s="117">
        <f>IF(S11=0,0,VLOOKUP(S11,FAC_TOTALS_APTA!$A$4:$BD$126,$L18,FALSE))</f>
        <v>2808629.0445670099</v>
      </c>
      <c r="T18" s="117">
        <f>IF(T11=0,0,VLOOKUP(T11,FAC_TOTALS_APTA!$A$4:$BD$126,$L18,FALSE))</f>
        <v>3565300.9727867902</v>
      </c>
      <c r="U18" s="117">
        <f>IF(U11=0,0,VLOOKUP(U11,FAC_TOTALS_APTA!$A$4:$BD$126,$L18,FALSE))</f>
        <v>-4339183.1161548998</v>
      </c>
      <c r="V18" s="117">
        <f>IF(V11=0,0,VLOOKUP(V11,FAC_TOTALS_APTA!$A$4:$BD$126,$L18,FALSE))</f>
        <v>-3910804.0005435301</v>
      </c>
      <c r="W18" s="117">
        <f>IF(W11=0,0,VLOOKUP(W11,FAC_TOTALS_APTA!$A$4:$BD$126,$L18,FALSE))</f>
        <v>0</v>
      </c>
      <c r="X18" s="117">
        <f>IF(X11=0,0,VLOOKUP(X11,FAC_TOTALS_APTA!$A$4:$BD$126,$L18,FALSE))</f>
        <v>0</v>
      </c>
      <c r="Y18" s="117">
        <f>IF(Y11=0,0,VLOOKUP(Y11,FAC_TOTALS_APTA!$A$4:$BD$126,$L18,FALSE))</f>
        <v>0</v>
      </c>
      <c r="Z18" s="117">
        <f>IF(Z11=0,0,VLOOKUP(Z11,FAC_TOTALS_APTA!$A$4:$BD$126,$L18,FALSE))</f>
        <v>0</v>
      </c>
      <c r="AA18" s="117">
        <f>IF(AA11=0,0,VLOOKUP(AA11,FAC_TOTALS_APTA!$A$4:$BD$126,$L18,FALSE))</f>
        <v>0</v>
      </c>
      <c r="AB18" s="117">
        <f>IF(AB11=0,0,VLOOKUP(AB11,FAC_TOTALS_APTA!$A$4:$BD$126,$L18,FALSE))</f>
        <v>0</v>
      </c>
      <c r="AC18" s="121">
        <f t="shared" si="4"/>
        <v>-13156666.909956634</v>
      </c>
      <c r="AD18" s="122">
        <f>AC18/G28</f>
        <v>-5.9324402613985631E-3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82</v>
      </c>
      <c r="E19" s="118"/>
      <c r="F19" s="104">
        <f>MATCH($D19,FAC_TOTALS_APTA!$A$2:$BD$2,)</f>
        <v>18</v>
      </c>
      <c r="G19" s="125">
        <f>VLOOKUP(G11,FAC_TOTALS_APTA!$A$4:$BD$126,$F19,FALSE)</f>
        <v>1.99892297215457</v>
      </c>
      <c r="H19" s="125">
        <f>VLOOKUP(H11,FAC_TOTALS_APTA!$A$4:$BD$126,$F19,FALSE)</f>
        <v>4.1402142572755398</v>
      </c>
      <c r="I19" s="119">
        <f t="shared" si="1"/>
        <v>1.0712225107968747</v>
      </c>
      <c r="J19" s="120" t="str">
        <f t="shared" si="2"/>
        <v>_log</v>
      </c>
      <c r="K19" s="120" t="str">
        <f t="shared" si="3"/>
        <v>GAS_PRICE_2018_log_FAC</v>
      </c>
      <c r="L19" s="104">
        <f>MATCH($K19,FAC_TOTALS_APTA!$A$2:$BB$2,)</f>
        <v>36</v>
      </c>
      <c r="M19" s="117">
        <f>IF(M11=0,0,VLOOKUP(M11,FAC_TOTALS_APTA!$A$4:$BD$126,$L19,FALSE))</f>
        <v>31104621.1207777</v>
      </c>
      <c r="N19" s="117">
        <f>IF(N11=0,0,VLOOKUP(N11,FAC_TOTALS_APTA!$A$4:$BD$126,$L19,FALSE))</f>
        <v>28090424.1627253</v>
      </c>
      <c r="O19" s="117">
        <f>IF(O11=0,0,VLOOKUP(O11,FAC_TOTALS_APTA!$A$4:$BD$126,$L19,FALSE))</f>
        <v>40967248.354984596</v>
      </c>
      <c r="P19" s="117">
        <f>IF(P11=0,0,VLOOKUP(P11,FAC_TOTALS_APTA!$A$4:$BD$126,$L19,FALSE))</f>
        <v>25775093.106889602</v>
      </c>
      <c r="Q19" s="117">
        <f>IF(Q11=0,0,VLOOKUP(Q11,FAC_TOTALS_APTA!$A$4:$BD$126,$L19,FALSE))</f>
        <v>14726342.3365997</v>
      </c>
      <c r="R19" s="117">
        <f>IF(R11=0,0,VLOOKUP(R11,FAC_TOTALS_APTA!$A$4:$BD$126,$L19,FALSE))</f>
        <v>33736614.900928304</v>
      </c>
      <c r="S19" s="117">
        <f>IF(S11=0,0,VLOOKUP(S11,FAC_TOTALS_APTA!$A$4:$BD$126,$L19,FALSE))</f>
        <v>-90037621.651523501</v>
      </c>
      <c r="T19" s="117">
        <f>IF(T11=0,0,VLOOKUP(T11,FAC_TOTALS_APTA!$A$4:$BD$126,$L19,FALSE))</f>
        <v>40604373.398570403</v>
      </c>
      <c r="U19" s="117">
        <f>IF(U11=0,0,VLOOKUP(U11,FAC_TOTALS_APTA!$A$4:$BD$126,$L19,FALSE))</f>
        <v>55756492.121132798</v>
      </c>
      <c r="V19" s="117">
        <f>IF(V11=0,0,VLOOKUP(V11,FAC_TOTALS_APTA!$A$4:$BD$126,$L19,FALSE))</f>
        <v>3203326.7535713199</v>
      </c>
      <c r="W19" s="117">
        <f>IF(W11=0,0,VLOOKUP(W11,FAC_TOTALS_APTA!$A$4:$BD$126,$L19,FALSE))</f>
        <v>0</v>
      </c>
      <c r="X19" s="117">
        <f>IF(X11=0,0,VLOOKUP(X11,FAC_TOTALS_APTA!$A$4:$BD$126,$L19,FALSE))</f>
        <v>0</v>
      </c>
      <c r="Y19" s="117">
        <f>IF(Y11=0,0,VLOOKUP(Y11,FAC_TOTALS_APTA!$A$4:$BD$126,$L19,FALSE))</f>
        <v>0</v>
      </c>
      <c r="Z19" s="117">
        <f>IF(Z11=0,0,VLOOKUP(Z11,FAC_TOTALS_APTA!$A$4:$BD$126,$L19,FALSE))</f>
        <v>0</v>
      </c>
      <c r="AA19" s="117">
        <f>IF(AA11=0,0,VLOOKUP(AA11,FAC_TOTALS_APTA!$A$4:$BD$126,$L19,FALSE))</f>
        <v>0</v>
      </c>
      <c r="AB19" s="117">
        <f>IF(AB11=0,0,VLOOKUP(AB11,FAC_TOTALS_APTA!$A$4:$BD$126,$L19,FALSE))</f>
        <v>0</v>
      </c>
      <c r="AC19" s="121">
        <f t="shared" si="4"/>
        <v>183926914.60465625</v>
      </c>
      <c r="AD19" s="122">
        <f>AC19/G28</f>
        <v>8.2934031911208017E-2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118"/>
      <c r="F20" s="104">
        <f>MATCH($D20,FAC_TOTALS_APTA!$A$2:$BD$2,)</f>
        <v>19</v>
      </c>
      <c r="G20" s="123">
        <f>VLOOKUP(G11,FAC_TOTALS_APTA!$A$4:$BD$126,$F20,FALSE)</f>
        <v>39381.469965213502</v>
      </c>
      <c r="H20" s="123">
        <f>VLOOKUP(H11,FAC_TOTALS_APTA!$A$4:$BD$126,$F20,FALSE)</f>
        <v>32885.708578535901</v>
      </c>
      <c r="I20" s="119">
        <f t="shared" si="1"/>
        <v>-0.16494461462244669</v>
      </c>
      <c r="J20" s="120" t="str">
        <f t="shared" si="2"/>
        <v>_log</v>
      </c>
      <c r="K20" s="120" t="str">
        <f t="shared" si="3"/>
        <v>TOTAL_MED_INC_INDIV_2018_log_FAC</v>
      </c>
      <c r="L20" s="104">
        <f>MATCH($K20,FAC_TOTALS_APTA!$A$2:$BB$2,)</f>
        <v>37</v>
      </c>
      <c r="M20" s="117">
        <f>IF(M11=0,0,VLOOKUP(M11,FAC_TOTALS_APTA!$A$4:$BD$126,$L20,FALSE))</f>
        <v>3473957.8329330999</v>
      </c>
      <c r="N20" s="117">
        <f>IF(N11=0,0,VLOOKUP(N11,FAC_TOTALS_APTA!$A$4:$BD$126,$L20,FALSE))</f>
        <v>4736681.2034896696</v>
      </c>
      <c r="O20" s="117">
        <f>IF(O11=0,0,VLOOKUP(O11,FAC_TOTALS_APTA!$A$4:$BD$126,$L20,FALSE))</f>
        <v>4575296.1043723701</v>
      </c>
      <c r="P20" s="117">
        <f>IF(P11=0,0,VLOOKUP(P11,FAC_TOTALS_APTA!$A$4:$BD$126,$L20,FALSE))</f>
        <v>7400423.2698369799</v>
      </c>
      <c r="Q20" s="117">
        <f>IF(Q11=0,0,VLOOKUP(Q11,FAC_TOTALS_APTA!$A$4:$BD$126,$L20,FALSE))</f>
        <v>-2570783.5509136198</v>
      </c>
      <c r="R20" s="117">
        <f>IF(R11=0,0,VLOOKUP(R11,FAC_TOTALS_APTA!$A$4:$BD$126,$L20,FALSE))</f>
        <v>237098.76386560299</v>
      </c>
      <c r="S20" s="117">
        <f>IF(S11=0,0,VLOOKUP(S11,FAC_TOTALS_APTA!$A$4:$BD$126,$L20,FALSE))</f>
        <v>9495150.8449715395</v>
      </c>
      <c r="T20" s="117">
        <f>IF(T11=0,0,VLOOKUP(T11,FAC_TOTALS_APTA!$A$4:$BD$126,$L20,FALSE))</f>
        <v>4526657.4343047002</v>
      </c>
      <c r="U20" s="117">
        <f>IF(U11=0,0,VLOOKUP(U11,FAC_TOTALS_APTA!$A$4:$BD$126,$L20,FALSE))</f>
        <v>3525760.9735961901</v>
      </c>
      <c r="V20" s="117">
        <f>IF(V11=0,0,VLOOKUP(V11,FAC_TOTALS_APTA!$A$4:$BD$126,$L20,FALSE))</f>
        <v>1060492.5624096401</v>
      </c>
      <c r="W20" s="117">
        <f>IF(W11=0,0,VLOOKUP(W11,FAC_TOTALS_APTA!$A$4:$BD$126,$L20,FALSE))</f>
        <v>0</v>
      </c>
      <c r="X20" s="117">
        <f>IF(X11=0,0,VLOOKUP(X11,FAC_TOTALS_APTA!$A$4:$BD$126,$L20,FALSE))</f>
        <v>0</v>
      </c>
      <c r="Y20" s="117">
        <f>IF(Y11=0,0,VLOOKUP(Y11,FAC_TOTALS_APTA!$A$4:$BD$126,$L20,FALSE))</f>
        <v>0</v>
      </c>
      <c r="Z20" s="117">
        <f>IF(Z11=0,0,VLOOKUP(Z11,FAC_TOTALS_APTA!$A$4:$BD$126,$L20,FALSE))</f>
        <v>0</v>
      </c>
      <c r="AA20" s="117">
        <f>IF(AA11=0,0,VLOOKUP(AA11,FAC_TOTALS_APTA!$A$4:$BD$126,$L20,FALSE))</f>
        <v>0</v>
      </c>
      <c r="AB20" s="117">
        <f>IF(AB11=0,0,VLOOKUP(AB11,FAC_TOTALS_APTA!$A$4:$BD$126,$L20,FALSE))</f>
        <v>0</v>
      </c>
      <c r="AC20" s="121">
        <f t="shared" si="4"/>
        <v>36460735.438866168</v>
      </c>
      <c r="AD20" s="122">
        <f>AC20/G28</f>
        <v>1.6440420385959595E-2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118"/>
      <c r="F21" s="104">
        <f>MATCH($D21,FAC_TOTALS_APTA!$A$2:$BD$2,)</f>
        <v>20</v>
      </c>
      <c r="G21" s="117">
        <f>VLOOKUP(G11,FAC_TOTALS_APTA!$A$4:$BD$126,$F21,FALSE)</f>
        <v>9.9176880297119094</v>
      </c>
      <c r="H21" s="117">
        <f>VLOOKUP(H11,FAC_TOTALS_APTA!$A$4:$BD$126,$F21,FALSE)</f>
        <v>9.9589405328228597</v>
      </c>
      <c r="I21" s="119">
        <f t="shared" si="1"/>
        <v>4.1594878753359321E-3</v>
      </c>
      <c r="J21" s="120" t="str">
        <f t="shared" si="2"/>
        <v/>
      </c>
      <c r="K21" s="120" t="str">
        <f t="shared" si="3"/>
        <v>PCT_HH_NO_VEH_FAC</v>
      </c>
      <c r="L21" s="104">
        <f>MATCH($K21,FAC_TOTALS_APTA!$A$2:$BB$2,)</f>
        <v>38</v>
      </c>
      <c r="M21" s="117">
        <f>IF(M11=0,0,VLOOKUP(M11,FAC_TOTALS_APTA!$A$4:$BD$126,$L21,FALSE))</f>
        <v>-404120.81822783401</v>
      </c>
      <c r="N21" s="117">
        <f>IF(N11=0,0,VLOOKUP(N11,FAC_TOTALS_APTA!$A$4:$BD$126,$L21,FALSE))</f>
        <v>-385473.05551600602</v>
      </c>
      <c r="O21" s="117">
        <f>IF(O11=0,0,VLOOKUP(O11,FAC_TOTALS_APTA!$A$4:$BD$126,$L21,FALSE))</f>
        <v>-574376.69274083304</v>
      </c>
      <c r="P21" s="117">
        <f>IF(P11=0,0,VLOOKUP(P11,FAC_TOTALS_APTA!$A$4:$BD$126,$L21,FALSE))</f>
        <v>-641817.69786671398</v>
      </c>
      <c r="Q21" s="117">
        <f>IF(Q11=0,0,VLOOKUP(Q11,FAC_TOTALS_APTA!$A$4:$BD$126,$L21,FALSE))</f>
        <v>-853039.32659324701</v>
      </c>
      <c r="R21" s="117">
        <f>IF(R11=0,0,VLOOKUP(R11,FAC_TOTALS_APTA!$A$4:$BD$126,$L21,FALSE))</f>
        <v>838944.68461139</v>
      </c>
      <c r="S21" s="117">
        <f>IF(S11=0,0,VLOOKUP(S11,FAC_TOTALS_APTA!$A$4:$BD$126,$L21,FALSE))</f>
        <v>595732.59771988296</v>
      </c>
      <c r="T21" s="117">
        <f>IF(T11=0,0,VLOOKUP(T11,FAC_TOTALS_APTA!$A$4:$BD$126,$L21,FALSE))</f>
        <v>1111360.23198005</v>
      </c>
      <c r="U21" s="117">
        <f>IF(U11=0,0,VLOOKUP(U11,FAC_TOTALS_APTA!$A$4:$BD$126,$L21,FALSE))</f>
        <v>1446561.5986824899</v>
      </c>
      <c r="V21" s="117">
        <f>IF(V11=0,0,VLOOKUP(V11,FAC_TOTALS_APTA!$A$4:$BD$126,$L21,FALSE))</f>
        <v>-553170.886410748</v>
      </c>
      <c r="W21" s="117">
        <f>IF(W11=0,0,VLOOKUP(W11,FAC_TOTALS_APTA!$A$4:$BD$126,$L21,FALSE))</f>
        <v>0</v>
      </c>
      <c r="X21" s="117">
        <f>IF(X11=0,0,VLOOKUP(X11,FAC_TOTALS_APTA!$A$4:$BD$126,$L21,FALSE))</f>
        <v>0</v>
      </c>
      <c r="Y21" s="117">
        <f>IF(Y11=0,0,VLOOKUP(Y11,FAC_TOTALS_APTA!$A$4:$BD$126,$L21,FALSE))</f>
        <v>0</v>
      </c>
      <c r="Z21" s="117">
        <f>IF(Z11=0,0,VLOOKUP(Z11,FAC_TOTALS_APTA!$A$4:$BD$126,$L21,FALSE))</f>
        <v>0</v>
      </c>
      <c r="AA21" s="117">
        <f>IF(AA11=0,0,VLOOKUP(AA11,FAC_TOTALS_APTA!$A$4:$BD$126,$L21,FALSE))</f>
        <v>0</v>
      </c>
      <c r="AB21" s="117">
        <f>IF(AB11=0,0,VLOOKUP(AB11,FAC_TOTALS_APTA!$A$4:$BD$126,$L21,FALSE))</f>
        <v>0</v>
      </c>
      <c r="AC21" s="121">
        <f t="shared" si="4"/>
        <v>580600.63563843106</v>
      </c>
      <c r="AD21" s="122">
        <f>AC21/G28</f>
        <v>2.6179720215067595E-4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118"/>
      <c r="F22" s="104">
        <f>MATCH($D22,FAC_TOTALS_APTA!$A$2:$BD$2,)</f>
        <v>21</v>
      </c>
      <c r="G22" s="125">
        <f>VLOOKUP(G11,FAC_TOTALS_APTA!$A$4:$BD$126,$F22,FALSE)</f>
        <v>3.9438940773070499</v>
      </c>
      <c r="H22" s="125">
        <f>VLOOKUP(H11,FAC_TOTALS_APTA!$A$4:$BD$126,$F22,FALSE)</f>
        <v>4.9873568486467601</v>
      </c>
      <c r="I22" s="119">
        <f t="shared" si="1"/>
        <v>0.26457677383977884</v>
      </c>
      <c r="J22" s="120" t="str">
        <f t="shared" si="2"/>
        <v/>
      </c>
      <c r="K22" s="120" t="str">
        <f t="shared" si="3"/>
        <v>JTW_HOME_PCT_FAC</v>
      </c>
      <c r="L22" s="104">
        <f>MATCH($K22,FAC_TOTALS_APTA!$A$2:$BB$2,)</f>
        <v>39</v>
      </c>
      <c r="M22" s="117">
        <f>IF(M11=0,0,VLOOKUP(M11,FAC_TOTALS_APTA!$A$4:$BD$126,$L22,FALSE))</f>
        <v>0</v>
      </c>
      <c r="N22" s="117">
        <f>IF(N11=0,0,VLOOKUP(N11,FAC_TOTALS_APTA!$A$4:$BD$126,$L22,FALSE))</f>
        <v>0</v>
      </c>
      <c r="O22" s="117">
        <f>IF(O11=0,0,VLOOKUP(O11,FAC_TOTALS_APTA!$A$4:$BD$126,$L22,FALSE))</f>
        <v>0</v>
      </c>
      <c r="P22" s="117">
        <f>IF(P11=0,0,VLOOKUP(P11,FAC_TOTALS_APTA!$A$4:$BD$126,$L22,FALSE))</f>
        <v>-6156146.9799181102</v>
      </c>
      <c r="Q22" s="117">
        <f>IF(Q11=0,0,VLOOKUP(Q11,FAC_TOTALS_APTA!$A$4:$BD$126,$L22,FALSE))</f>
        <v>-2653016.83109832</v>
      </c>
      <c r="R22" s="117">
        <f>IF(R11=0,0,VLOOKUP(R11,FAC_TOTALS_APTA!$A$4:$BD$126,$L22,FALSE))</f>
        <v>-1609549.7204076101</v>
      </c>
      <c r="S22" s="117">
        <f>IF(S11=0,0,VLOOKUP(S11,FAC_TOTALS_APTA!$A$4:$BD$126,$L22,FALSE))</f>
        <v>-4331164.6050540404</v>
      </c>
      <c r="T22" s="117">
        <f>IF(T11=0,0,VLOOKUP(T11,FAC_TOTALS_APTA!$A$4:$BD$126,$L22,FALSE))</f>
        <v>-4479088.2520073904</v>
      </c>
      <c r="U22" s="117">
        <f>IF(U11=0,0,VLOOKUP(U11,FAC_TOTALS_APTA!$A$4:$BD$126,$L22,FALSE))</f>
        <v>1061633.38816647</v>
      </c>
      <c r="V22" s="117">
        <f>IF(V11=0,0,VLOOKUP(V11,FAC_TOTALS_APTA!$A$4:$BD$126,$L22,FALSE))</f>
        <v>-1976065.9640327599</v>
      </c>
      <c r="W22" s="117">
        <f>IF(W11=0,0,VLOOKUP(W11,FAC_TOTALS_APTA!$A$4:$BD$126,$L22,FALSE))</f>
        <v>0</v>
      </c>
      <c r="X22" s="117">
        <f>IF(X11=0,0,VLOOKUP(X11,FAC_TOTALS_APTA!$A$4:$BD$126,$L22,FALSE))</f>
        <v>0</v>
      </c>
      <c r="Y22" s="117">
        <f>IF(Y11=0,0,VLOOKUP(Y11,FAC_TOTALS_APTA!$A$4:$BD$126,$L22,FALSE))</f>
        <v>0</v>
      </c>
      <c r="Z22" s="117">
        <f>IF(Z11=0,0,VLOOKUP(Z11,FAC_TOTALS_APTA!$A$4:$BD$126,$L22,FALSE))</f>
        <v>0</v>
      </c>
      <c r="AA22" s="117">
        <f>IF(AA11=0,0,VLOOKUP(AA11,FAC_TOTALS_APTA!$A$4:$BD$126,$L22,FALSE))</f>
        <v>0</v>
      </c>
      <c r="AB22" s="117">
        <f>IF(AB11=0,0,VLOOKUP(AB11,FAC_TOTALS_APTA!$A$4:$BD$126,$L22,FALSE))</f>
        <v>0</v>
      </c>
      <c r="AC22" s="121">
        <f t="shared" si="4"/>
        <v>-20143398.964351766</v>
      </c>
      <c r="AD22" s="122">
        <f>AC22/G28</f>
        <v>-9.0828103983616338E-3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89</v>
      </c>
      <c r="E23" s="118"/>
      <c r="F23" s="104">
        <f>MATCH($D23,FAC_TOTALS_APTA!$A$2:$BD$2,)</f>
        <v>24</v>
      </c>
      <c r="G23" s="125">
        <f>VLOOKUP(G11,FAC_TOTALS_APTA!$A$4:$BD$126,$F23,FALSE)</f>
        <v>0</v>
      </c>
      <c r="H23" s="125">
        <f>VLOOKUP(H11,FAC_TOTALS_APTA!$A$4:$BD$126,$F23,FALSE)</f>
        <v>0.50499774940706799</v>
      </c>
      <c r="I23" s="119" t="str">
        <f t="shared" si="1"/>
        <v>-</v>
      </c>
      <c r="J23" s="120" t="str">
        <f t="shared" si="2"/>
        <v/>
      </c>
      <c r="K23" s="120" t="str">
        <f t="shared" si="3"/>
        <v>YEARS_SINCE_TNC_BUS_HINY_FAC</v>
      </c>
      <c r="L23" s="104">
        <f>MATCH($K23,FAC_TOTALS_APTA!$A$2:$BB$2,)</f>
        <v>42</v>
      </c>
      <c r="M23" s="117">
        <f>IF(M11=0,0,VLOOKUP(M11,FAC_TOTALS_APTA!$A$4:$BD$126,$L23,FALSE))</f>
        <v>0</v>
      </c>
      <c r="N23" s="117">
        <f>IF(N11=0,0,VLOOKUP(N11,FAC_TOTALS_APTA!$A$4:$BD$126,$L23,FALSE))</f>
        <v>0</v>
      </c>
      <c r="O23" s="117">
        <f>IF(O11=0,0,VLOOKUP(O11,FAC_TOTALS_APTA!$A$4:$BD$126,$L23,FALSE))</f>
        <v>0</v>
      </c>
      <c r="P23" s="117">
        <f>IF(P11=0,0,VLOOKUP(P11,FAC_TOTALS_APTA!$A$4:$BD$126,$L23,FALSE))</f>
        <v>0</v>
      </c>
      <c r="Q23" s="117">
        <f>IF(Q11=0,0,VLOOKUP(Q11,FAC_TOTALS_APTA!$A$4:$BD$126,$L23,FALSE))</f>
        <v>0</v>
      </c>
      <c r="R23" s="117">
        <f>IF(R11=0,0,VLOOKUP(R11,FAC_TOTALS_APTA!$A$4:$BD$126,$L23,FALSE))</f>
        <v>0</v>
      </c>
      <c r="S23" s="117">
        <f>IF(S11=0,0,VLOOKUP(S11,FAC_TOTALS_APTA!$A$4:$BD$126,$L23,FALSE))</f>
        <v>0</v>
      </c>
      <c r="T23" s="117">
        <f>IF(T11=0,0,VLOOKUP(T11,FAC_TOTALS_APTA!$A$4:$BD$126,$L23,FALSE))</f>
        <v>0</v>
      </c>
      <c r="U23" s="117">
        <f>IF(U11=0,0,VLOOKUP(U11,FAC_TOTALS_APTA!$A$4:$BD$126,$L23,FALSE))</f>
        <v>-5235238.1767890397</v>
      </c>
      <c r="V23" s="117">
        <f>IF(V11=0,0,VLOOKUP(V11,FAC_TOTALS_APTA!$A$4:$BD$126,$L23,FALSE))</f>
        <v>-18249966.2837101</v>
      </c>
      <c r="W23" s="117">
        <f>IF(W11=0,0,VLOOKUP(W11,FAC_TOTALS_APTA!$A$4:$BD$126,$L23,FALSE))</f>
        <v>0</v>
      </c>
      <c r="X23" s="117">
        <f>IF(X11=0,0,VLOOKUP(X11,FAC_TOTALS_APTA!$A$4:$BD$126,$L23,FALSE))</f>
        <v>0</v>
      </c>
      <c r="Y23" s="117">
        <f>IF(Y11=0,0,VLOOKUP(Y11,FAC_TOTALS_APTA!$A$4:$BD$126,$L23,FALSE))</f>
        <v>0</v>
      </c>
      <c r="Z23" s="117">
        <f>IF(Z11=0,0,VLOOKUP(Z11,FAC_TOTALS_APTA!$A$4:$BD$126,$L23,FALSE))</f>
        <v>0</v>
      </c>
      <c r="AA23" s="117">
        <f>IF(AA11=0,0,VLOOKUP(AA11,FAC_TOTALS_APTA!$A$4:$BD$126,$L23,FALSE))</f>
        <v>0</v>
      </c>
      <c r="AB23" s="117">
        <f>IF(AB11=0,0,VLOOKUP(AB11,FAC_TOTALS_APTA!$A$4:$BD$126,$L23,FALSE))</f>
        <v>0</v>
      </c>
      <c r="AC23" s="121">
        <f t="shared" si="4"/>
        <v>-23485204.460499138</v>
      </c>
      <c r="AD23" s="122">
        <f>AC23/G28</f>
        <v>-1.0589655681197255E-2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118"/>
      <c r="F24" s="104">
        <f>MATCH($D24,FAC_TOTALS_APTA!$A$2:$BD$2,)</f>
        <v>28</v>
      </c>
      <c r="G24" s="125">
        <f>VLOOKUP(G11,FAC_TOTALS_APTA!$A$4:$BD$126,$F24,FALSE)</f>
        <v>0</v>
      </c>
      <c r="H24" s="125">
        <f>VLOOKUP(H11,FAC_TOTALS_APTA!$A$4:$BD$126,$F24,FALSE)</f>
        <v>0.20578687227443601</v>
      </c>
      <c r="I24" s="119" t="str">
        <f t="shared" si="1"/>
        <v>-</v>
      </c>
      <c r="J24" s="120" t="str">
        <f t="shared" si="2"/>
        <v/>
      </c>
      <c r="K24" s="120" t="str">
        <f t="shared" si="3"/>
        <v>BIKE_SHARE_FAC</v>
      </c>
      <c r="L24" s="104">
        <f>MATCH($K24,FAC_TOTALS_APTA!$A$2:$BB$2,)</f>
        <v>46</v>
      </c>
      <c r="M24" s="117">
        <f>IF(M11=0,0,VLOOKUP(M11,FAC_TOTALS_APTA!$A$4:$BD$126,$L24,FALSE))</f>
        <v>0</v>
      </c>
      <c r="N24" s="117">
        <f>IF(N11=0,0,VLOOKUP(N11,FAC_TOTALS_APTA!$A$4:$BD$126,$L24,FALSE))</f>
        <v>0</v>
      </c>
      <c r="O24" s="117">
        <f>IF(O11=0,0,VLOOKUP(O11,FAC_TOTALS_APTA!$A$4:$BD$126,$L24,FALSE))</f>
        <v>0</v>
      </c>
      <c r="P24" s="117">
        <f>IF(P11=0,0,VLOOKUP(P11,FAC_TOTALS_APTA!$A$4:$BD$126,$L24,FALSE))</f>
        <v>0</v>
      </c>
      <c r="Q24" s="117">
        <f>IF(Q11=0,0,VLOOKUP(Q11,FAC_TOTALS_APTA!$A$4:$BD$126,$L24,FALSE))</f>
        <v>0</v>
      </c>
      <c r="R24" s="117">
        <f>IF(R11=0,0,VLOOKUP(R11,FAC_TOTALS_APTA!$A$4:$BD$126,$L24,FALSE))</f>
        <v>-1952077.4134720999</v>
      </c>
      <c r="S24" s="117">
        <f>IF(S11=0,0,VLOOKUP(S11,FAC_TOTALS_APTA!$A$4:$BD$126,$L24,FALSE))</f>
        <v>0</v>
      </c>
      <c r="T24" s="117">
        <f>IF(T11=0,0,VLOOKUP(T11,FAC_TOTALS_APTA!$A$4:$BD$126,$L24,FALSE))</f>
        <v>-1664644.54611339</v>
      </c>
      <c r="U24" s="117">
        <f>IF(U11=0,0,VLOOKUP(U11,FAC_TOTALS_APTA!$A$4:$BD$126,$L24,FALSE))</f>
        <v>-1152536.44476927</v>
      </c>
      <c r="V24" s="117">
        <f>IF(V11=0,0,VLOOKUP(V11,FAC_TOTALS_APTA!$A$4:$BD$126,$L24,FALSE))</f>
        <v>-720905.65613446501</v>
      </c>
      <c r="W24" s="117">
        <f>IF(W11=0,0,VLOOKUP(W11,FAC_TOTALS_APTA!$A$4:$BD$126,$L24,FALSE))</f>
        <v>0</v>
      </c>
      <c r="X24" s="117">
        <f>IF(X11=0,0,VLOOKUP(X11,FAC_TOTALS_APTA!$A$4:$BD$126,$L24,FALSE))</f>
        <v>0</v>
      </c>
      <c r="Y24" s="117">
        <f>IF(Y11=0,0,VLOOKUP(Y11,FAC_TOTALS_APTA!$A$4:$BD$126,$L24,FALSE))</f>
        <v>0</v>
      </c>
      <c r="Z24" s="117">
        <f>IF(Z11=0,0,VLOOKUP(Z11,FAC_TOTALS_APTA!$A$4:$BD$126,$L24,FALSE))</f>
        <v>0</v>
      </c>
      <c r="AA24" s="117">
        <f>IF(AA11=0,0,VLOOKUP(AA11,FAC_TOTALS_APTA!$A$4:$BD$126,$L24,FALSE))</f>
        <v>0</v>
      </c>
      <c r="AB24" s="117">
        <f>IF(AB11=0,0,VLOOKUP(AB11,FAC_TOTALS_APTA!$A$4:$BD$126,$L24,FALSE))</f>
        <v>0</v>
      </c>
      <c r="AC24" s="121">
        <f t="shared" si="4"/>
        <v>-5490164.0604892243</v>
      </c>
      <c r="AD24" s="122">
        <f>AC24/G28</f>
        <v>-2.4755563500267292E-3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130"/>
      <c r="F25" s="129">
        <f>MATCH($D25,FAC_TOTALS_APTA!$A$2:$BD$2,)</f>
        <v>29</v>
      </c>
      <c r="G25" s="131">
        <f>VLOOKUP(G11,FAC_TOTALS_APTA!$A$4:$BD$126,$F25,FALSE)</f>
        <v>0</v>
      </c>
      <c r="H25" s="131">
        <f>VLOOKUP(H11,FAC_TOTALS_APTA!$A$4:$BD$126,$F25,FALSE)</f>
        <v>0</v>
      </c>
      <c r="I25" s="132" t="str">
        <f t="shared" si="1"/>
        <v>-</v>
      </c>
      <c r="J25" s="133" t="str">
        <f t="shared" si="2"/>
        <v/>
      </c>
      <c r="K25" s="133" t="str">
        <f t="shared" si="3"/>
        <v>scooter_flag_FAC</v>
      </c>
      <c r="L25" s="129">
        <f>MATCH($K25,FAC_TOTALS_APTA!$A$2:$BB$2,)</f>
        <v>47</v>
      </c>
      <c r="M25" s="134">
        <f>IF(M11=0,0,VLOOKUP(M11,FAC_TOTALS_APTA!$A$4:$BD$126,$L25,FALSE))</f>
        <v>0</v>
      </c>
      <c r="N25" s="134">
        <f>IF(N11=0,0,VLOOKUP(N11,FAC_TOTALS_APTA!$A$4:$BD$126,$L25,FALSE))</f>
        <v>0</v>
      </c>
      <c r="O25" s="134">
        <f>IF(O11=0,0,VLOOKUP(O11,FAC_TOTALS_APTA!$A$4:$BD$126,$L25,FALSE))</f>
        <v>0</v>
      </c>
      <c r="P25" s="134">
        <f>IF(P11=0,0,VLOOKUP(P11,FAC_TOTALS_APTA!$A$4:$BD$126,$L25,FALSE))</f>
        <v>0</v>
      </c>
      <c r="Q25" s="134">
        <f>IF(Q11=0,0,VLOOKUP(Q11,FAC_TOTALS_APTA!$A$4:$BD$126,$L25,FALSE))</f>
        <v>0</v>
      </c>
      <c r="R25" s="134">
        <f>IF(R11=0,0,VLOOKUP(R11,FAC_TOTALS_APTA!$A$4:$BD$126,$L25,FALSE))</f>
        <v>0</v>
      </c>
      <c r="S25" s="134">
        <f>IF(S11=0,0,VLOOKUP(S11,FAC_TOTALS_APTA!$A$4:$BD$126,$L25,FALSE))</f>
        <v>0</v>
      </c>
      <c r="T25" s="134">
        <f>IF(T11=0,0,VLOOKUP(T11,FAC_TOTALS_APTA!$A$4:$BD$126,$L25,FALSE))</f>
        <v>0</v>
      </c>
      <c r="U25" s="134">
        <f>IF(U11=0,0,VLOOKUP(U11,FAC_TOTALS_APTA!$A$4:$BD$126,$L25,FALSE))</f>
        <v>0</v>
      </c>
      <c r="V25" s="134">
        <f>IF(V11=0,0,VLOOKUP(V11,FAC_TOTALS_APTA!$A$4:$BD$126,$L25,FALSE))</f>
        <v>0</v>
      </c>
      <c r="W25" s="134">
        <f>IF(W11=0,0,VLOOKUP(W11,FAC_TOTALS_APTA!$A$4:$BD$126,$L25,FALSE))</f>
        <v>0</v>
      </c>
      <c r="X25" s="134">
        <f>IF(X11=0,0,VLOOKUP(X11,FAC_TOTALS_APTA!$A$4:$BD$126,$L25,FALSE))</f>
        <v>0</v>
      </c>
      <c r="Y25" s="134">
        <f>IF(Y11=0,0,VLOOKUP(Y11,FAC_TOTALS_APTA!$A$4:$BD$126,$L25,FALSE))</f>
        <v>0</v>
      </c>
      <c r="Z25" s="134">
        <f>IF(Z11=0,0,VLOOKUP(Z11,FAC_TOTALS_APTA!$A$4:$BD$126,$L25,FALSE))</f>
        <v>0</v>
      </c>
      <c r="AA25" s="134">
        <f>IF(AA11=0,0,VLOOKUP(AA11,FAC_TOTALS_APTA!$A$4:$BD$126,$L25,FALSE))</f>
        <v>0</v>
      </c>
      <c r="AB25" s="134">
        <f>IF(AB11=0,0,VLOOKUP(AB11,FAC_TOTALS_APTA!$A$4:$BD$126,$L25,FALSE))</f>
        <v>0</v>
      </c>
      <c r="AC25" s="135">
        <f t="shared" si="4"/>
        <v>0</v>
      </c>
      <c r="AD25" s="136">
        <f>AC25/G28</f>
        <v>0</v>
      </c>
      <c r="AE25" s="6"/>
    </row>
    <row r="26" spans="1:31" s="13" customFormat="1" x14ac:dyDescent="0.25">
      <c r="A26" s="6"/>
      <c r="B26" s="137" t="s">
        <v>53</v>
      </c>
      <c r="C26" s="138"/>
      <c r="D26" s="137" t="s">
        <v>45</v>
      </c>
      <c r="E26" s="139"/>
      <c r="F26" s="140"/>
      <c r="G26" s="141"/>
      <c r="H26" s="141"/>
      <c r="I26" s="142"/>
      <c r="J26" s="143"/>
      <c r="K26" s="143" t="str">
        <f t="shared" si="3"/>
        <v>New_Reporter_FAC</v>
      </c>
      <c r="L26" s="140">
        <f>MATCH($K26,FAC_TOTALS_APTA!$A$2:$BB$2,)</f>
        <v>51</v>
      </c>
      <c r="M26" s="141">
        <f>IF(M11=0,0,VLOOKUP(M11,FAC_TOTALS_APTA!$A$4:$BD$126,$L26,FALSE))</f>
        <v>0</v>
      </c>
      <c r="N26" s="141">
        <f>IF(N11=0,0,VLOOKUP(N11,FAC_TOTALS_APTA!$A$4:$BD$126,$L26,FALSE))</f>
        <v>179225222.99999899</v>
      </c>
      <c r="O26" s="141">
        <f>IF(O11=0,0,VLOOKUP(O11,FAC_TOTALS_APTA!$A$4:$BD$126,$L26,FALSE))</f>
        <v>125667082.999999</v>
      </c>
      <c r="P26" s="141">
        <f>IF(P11=0,0,VLOOKUP(P11,FAC_TOTALS_APTA!$A$4:$BD$126,$L26,FALSE))</f>
        <v>0</v>
      </c>
      <c r="Q26" s="141">
        <f>IF(Q11=0,0,VLOOKUP(Q11,FAC_TOTALS_APTA!$A$4:$BD$126,$L26,FALSE))</f>
        <v>0</v>
      </c>
      <c r="R26" s="141">
        <f>IF(R11=0,0,VLOOKUP(R11,FAC_TOTALS_APTA!$A$4:$BD$126,$L26,FALSE))</f>
        <v>0</v>
      </c>
      <c r="S26" s="141">
        <f>IF(S11=0,0,VLOOKUP(S11,FAC_TOTALS_APTA!$A$4:$BD$126,$L26,FALSE))</f>
        <v>0</v>
      </c>
      <c r="T26" s="141">
        <f>IF(T11=0,0,VLOOKUP(T11,FAC_TOTALS_APTA!$A$4:$BD$126,$L26,FALSE))</f>
        <v>0</v>
      </c>
      <c r="U26" s="141">
        <f>IF(U11=0,0,VLOOKUP(U11,FAC_TOTALS_APTA!$A$4:$BD$126,$L26,FALSE))</f>
        <v>0</v>
      </c>
      <c r="V26" s="141">
        <f>IF(V11=0,0,VLOOKUP(V11,FAC_TOTALS_APTA!$A$4:$BD$126,$L26,FALSE))</f>
        <v>0</v>
      </c>
      <c r="W26" s="141">
        <f>IF(W11=0,0,VLOOKUP(W11,FAC_TOTALS_APTA!$A$4:$BD$126,$L26,FALSE))</f>
        <v>0</v>
      </c>
      <c r="X26" s="141">
        <f>IF(X11=0,0,VLOOKUP(X11,FAC_TOTALS_APTA!$A$4:$BD$126,$L26,FALSE))</f>
        <v>0</v>
      </c>
      <c r="Y26" s="141">
        <f>IF(Y11=0,0,VLOOKUP(Y11,FAC_TOTALS_APTA!$A$4:$BD$126,$L26,FALSE))</f>
        <v>0</v>
      </c>
      <c r="Z26" s="141">
        <f>IF(Z11=0,0,VLOOKUP(Z11,FAC_TOTALS_APTA!$A$4:$BD$126,$L26,FALSE))</f>
        <v>0</v>
      </c>
      <c r="AA26" s="141">
        <f>IF(AA11=0,0,VLOOKUP(AA11,FAC_TOTALS_APTA!$A$4:$BD$126,$L26,FALSE))</f>
        <v>0</v>
      </c>
      <c r="AB26" s="141">
        <f>IF(AB11=0,0,VLOOKUP(AB11,FAC_TOTALS_APTA!$A$4:$BD$126,$L26,FALSE))</f>
        <v>0</v>
      </c>
      <c r="AC26" s="144">
        <f>SUM(M26:AB26)</f>
        <v>304892305.99999797</v>
      </c>
      <c r="AD26" s="145">
        <f>AC26/G28</f>
        <v>0.13747823851466651</v>
      </c>
      <c r="AE26" s="6"/>
    </row>
    <row r="27" spans="1:31" s="105" customFormat="1" x14ac:dyDescent="0.25">
      <c r="A27" s="104"/>
      <c r="B27" s="115" t="s">
        <v>66</v>
      </c>
      <c r="C27" s="116"/>
      <c r="D27" s="104" t="s">
        <v>6</v>
      </c>
      <c r="E27" s="118"/>
      <c r="F27" s="104">
        <f>MATCH($D27,FAC_TOTALS_APTA!$A$2:$BB$2,)</f>
        <v>10</v>
      </c>
      <c r="G27" s="117">
        <f>VLOOKUP(G11,FAC_TOTALS_APTA!$A$4:$BD$126,$F27,FALSE)</f>
        <v>1989004769.90504</v>
      </c>
      <c r="H27" s="117">
        <f>VLOOKUP(H11,FAC_TOTALS_APTA!$A$4:$BB$126,$F27,FALSE)</f>
        <v>2596221372.9513698</v>
      </c>
      <c r="I27" s="146">
        <f t="shared" ref="I27:I28" si="11">H27/G27-1</f>
        <v>0.30528665000402166</v>
      </c>
      <c r="J27" s="120"/>
      <c r="K27" s="120"/>
      <c r="L27" s="104"/>
      <c r="M27" s="117">
        <f t="shared" ref="M27:AB27" si="12">SUM(M13:M20)</f>
        <v>34184945.342401043</v>
      </c>
      <c r="N27" s="117">
        <f t="shared" si="12"/>
        <v>87406906.87238051</v>
      </c>
      <c r="O27" s="117">
        <f t="shared" si="12"/>
        <v>26122263.355270095</v>
      </c>
      <c r="P27" s="117">
        <f t="shared" si="12"/>
        <v>51826377.626922101</v>
      </c>
      <c r="Q27" s="117">
        <f t="shared" si="12"/>
        <v>9387556.0374490693</v>
      </c>
      <c r="R27" s="117">
        <f t="shared" si="12"/>
        <v>63668877.669807225</v>
      </c>
      <c r="S27" s="117">
        <f t="shared" si="12"/>
        <v>-165357291.91844296</v>
      </c>
      <c r="T27" s="117">
        <f t="shared" si="12"/>
        <v>-18203850.228811063</v>
      </c>
      <c r="U27" s="117">
        <f t="shared" si="12"/>
        <v>10158447.408524338</v>
      </c>
      <c r="V27" s="117">
        <f t="shared" si="12"/>
        <v>-5961669.0604005186</v>
      </c>
      <c r="W27" s="117">
        <f t="shared" si="12"/>
        <v>0</v>
      </c>
      <c r="X27" s="117">
        <f t="shared" si="12"/>
        <v>0</v>
      </c>
      <c r="Y27" s="117">
        <f t="shared" si="12"/>
        <v>0</v>
      </c>
      <c r="Z27" s="117">
        <f t="shared" si="12"/>
        <v>0</v>
      </c>
      <c r="AA27" s="117">
        <f t="shared" si="12"/>
        <v>0</v>
      </c>
      <c r="AB27" s="117">
        <f t="shared" si="12"/>
        <v>0</v>
      </c>
      <c r="AC27" s="121">
        <f>H27-G27</f>
        <v>607216603.04632974</v>
      </c>
      <c r="AD27" s="122">
        <f>I27</f>
        <v>0.30528665000402166</v>
      </c>
      <c r="AE27" s="104"/>
    </row>
    <row r="28" spans="1:31" ht="13.5" thickBot="1" x14ac:dyDescent="0.3">
      <c r="B28" s="147" t="s">
        <v>50</v>
      </c>
      <c r="C28" s="148"/>
      <c r="D28" s="148" t="s">
        <v>4</v>
      </c>
      <c r="E28" s="148"/>
      <c r="F28" s="148">
        <f>MATCH($D28,FAC_TOTALS_APTA!$A$2:$BB$2,)</f>
        <v>8</v>
      </c>
      <c r="G28" s="114">
        <f>VLOOKUP(G11,FAC_TOTALS_APTA!$A$4:$BB$126,$F28,FALSE)</f>
        <v>2217749582</v>
      </c>
      <c r="H28" s="114">
        <f>VLOOKUP(H11,FAC_TOTALS_APTA!$A$4:$BB$126,$F28,FALSE)</f>
        <v>2541057030.99999</v>
      </c>
      <c r="I28" s="149">
        <f t="shared" si="11"/>
        <v>0.14578176527415976</v>
      </c>
      <c r="J28" s="150"/>
      <c r="K28" s="150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51">
        <f>H28-G28</f>
        <v>323307448.99998999</v>
      </c>
      <c r="AD28" s="152">
        <f>I28</f>
        <v>0.14578176527415976</v>
      </c>
    </row>
    <row r="29" spans="1:31" ht="14.25" thickTop="1" thickBot="1" x14ac:dyDescent="0.3">
      <c r="B29" s="153" t="s">
        <v>67</v>
      </c>
      <c r="C29" s="154"/>
      <c r="D29" s="154"/>
      <c r="E29" s="155"/>
      <c r="F29" s="154"/>
      <c r="G29" s="154"/>
      <c r="H29" s="154"/>
      <c r="I29" s="156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2">
        <f>AD28-AD27</f>
        <v>-0.15950488472986191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1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1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1" ht="13.5" thickBot="1" x14ac:dyDescent="0.3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1" ht="13.5" thickTop="1" x14ac:dyDescent="0.25">
      <c r="B36" s="61"/>
      <c r="C36" s="62"/>
      <c r="D36" s="62"/>
      <c r="E36" s="62"/>
      <c r="F36" s="62"/>
      <c r="G36" s="176" t="s">
        <v>51</v>
      </c>
      <c r="H36" s="176"/>
      <c r="I36" s="176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176" t="s">
        <v>55</v>
      </c>
      <c r="AD36" s="176"/>
    </row>
    <row r="37" spans="1:31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2002</v>
      </c>
      <c r="H37" s="128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1:31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1:31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0_2_2002</v>
      </c>
      <c r="H39" s="104" t="str">
        <f>CONCATENATE($C34,"_",$C35,"_",H37)</f>
        <v>0_2_2012</v>
      </c>
      <c r="I39" s="28"/>
      <c r="J39" s="6"/>
      <c r="K39" s="6"/>
      <c r="L39" s="6"/>
      <c r="M39" s="6" t="str">
        <f>IF($G37+M38&gt;$H37,0,CONCATENATE($C34,"_",$C35,"_",$G37+M38))</f>
        <v>0_2_2003</v>
      </c>
      <c r="N39" s="6" t="str">
        <f t="shared" ref="N39:AB39" si="13">IF($G37+N38&gt;$H37,0,CONCATENATE($C34,"_",$C35,"_",$G37+N38))</f>
        <v>0_2_2004</v>
      </c>
      <c r="O39" s="6" t="str">
        <f t="shared" si="13"/>
        <v>0_2_2005</v>
      </c>
      <c r="P39" s="6" t="str">
        <f t="shared" si="13"/>
        <v>0_2_2006</v>
      </c>
      <c r="Q39" s="6" t="str">
        <f t="shared" si="13"/>
        <v>0_2_2007</v>
      </c>
      <c r="R39" s="6" t="str">
        <f t="shared" si="13"/>
        <v>0_2_2008</v>
      </c>
      <c r="S39" s="6" t="str">
        <f t="shared" si="13"/>
        <v>0_2_2009</v>
      </c>
      <c r="T39" s="6" t="str">
        <f t="shared" si="13"/>
        <v>0_2_2010</v>
      </c>
      <c r="U39" s="6" t="str">
        <f t="shared" si="13"/>
        <v>0_2_2011</v>
      </c>
      <c r="V39" s="6" t="str">
        <f t="shared" si="13"/>
        <v>0_2_2012</v>
      </c>
      <c r="W39" s="6">
        <f t="shared" si="13"/>
        <v>0</v>
      </c>
      <c r="X39" s="6">
        <f t="shared" si="13"/>
        <v>0</v>
      </c>
      <c r="Y39" s="6">
        <f t="shared" si="13"/>
        <v>0</v>
      </c>
      <c r="Z39" s="6">
        <f t="shared" si="13"/>
        <v>0</v>
      </c>
      <c r="AA39" s="6">
        <f t="shared" si="13"/>
        <v>0</v>
      </c>
      <c r="AB39" s="6">
        <f t="shared" si="13"/>
        <v>0</v>
      </c>
      <c r="AC39" s="6"/>
      <c r="AD39" s="6"/>
    </row>
    <row r="40" spans="1:31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1" x14ac:dyDescent="0.25">
      <c r="B41" s="25" t="s">
        <v>31</v>
      </c>
      <c r="C41" s="28" t="s">
        <v>21</v>
      </c>
      <c r="D41" s="104" t="s">
        <v>87</v>
      </c>
      <c r="E41" s="55"/>
      <c r="F41" s="6">
        <f>MATCH($D41,FAC_TOTALS_APTA!$A$2:$BD$2,)</f>
        <v>12</v>
      </c>
      <c r="G41" s="117">
        <f>VLOOKUP(G39,FAC_TOTALS_APTA!$A$4:$BD$126,$F41,FALSE)</f>
        <v>13378352.2086371</v>
      </c>
      <c r="H41" s="117">
        <f>VLOOKUP(H39,FAC_TOTALS_APTA!$A$4:$BD$126,$F41,FALSE)</f>
        <v>11264859.978528</v>
      </c>
      <c r="I41" s="30">
        <f>IFERROR(H41/G41-1,"-")</f>
        <v>-0.15797851612432678</v>
      </c>
      <c r="J41" s="31" t="str">
        <f>IF(C41="Log","_log","")</f>
        <v>_log</v>
      </c>
      <c r="K41" s="31" t="str">
        <f>CONCATENATE(D41,J41,"_FAC")</f>
        <v>VRM_ADJ_BUS_log_FAC</v>
      </c>
      <c r="L41" s="6">
        <f>MATCH($K41,FAC_TOTALS_APTA!$A$2:$BB$2,)</f>
        <v>30</v>
      </c>
      <c r="M41" s="29">
        <f>IF(M39=0,0,VLOOKUP(M39,FAC_TOTALS_APTA!$A$4:$BD$126,$L41,FALSE))</f>
        <v>333222.708008288</v>
      </c>
      <c r="N41" s="29">
        <f>IF(N39=0,0,VLOOKUP(N39,FAC_TOTALS_APTA!$A$4:$BD$126,$L41,FALSE))</f>
        <v>-1024906.4510566</v>
      </c>
      <c r="O41" s="29">
        <f>IF(O39=0,0,VLOOKUP(O39,FAC_TOTALS_APTA!$A$4:$BD$126,$L41,FALSE))</f>
        <v>1130028.57316423</v>
      </c>
      <c r="P41" s="29">
        <f>IF(P39=0,0,VLOOKUP(P39,FAC_TOTALS_APTA!$A$4:$BD$126,$L41,FALSE))</f>
        <v>2564943.6904467898</v>
      </c>
      <c r="Q41" s="29">
        <f>IF(Q39=0,0,VLOOKUP(Q39,FAC_TOTALS_APTA!$A$4:$BD$126,$L41,FALSE))</f>
        <v>3203987.1291996301</v>
      </c>
      <c r="R41" s="29">
        <f>IF(R39=0,0,VLOOKUP(R39,FAC_TOTALS_APTA!$A$4:$BD$126,$L41,FALSE))</f>
        <v>7121812.4851595098</v>
      </c>
      <c r="S41" s="29">
        <f>IF(S39=0,0,VLOOKUP(S39,FAC_TOTALS_APTA!$A$4:$BD$126,$L41,FALSE))</f>
        <v>-6919273.3268606197</v>
      </c>
      <c r="T41" s="29">
        <f>IF(T39=0,0,VLOOKUP(T39,FAC_TOTALS_APTA!$A$4:$BD$126,$L41,FALSE))</f>
        <v>-6207014.64091451</v>
      </c>
      <c r="U41" s="29">
        <f>IF(U39=0,0,VLOOKUP(U39,FAC_TOTALS_APTA!$A$4:$BD$126,$L41,FALSE))</f>
        <v>-5889995.2738197502</v>
      </c>
      <c r="V41" s="29">
        <f>IF(V39=0,0,VLOOKUP(V39,FAC_TOTALS_APTA!$A$4:$BD$126,$L41,FALSE))</f>
        <v>-3436908.8120193901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-9124103.9186924212</v>
      </c>
      <c r="AD41" s="33">
        <f>AC41/G55</f>
        <v>-1.2780939052339178E-2</v>
      </c>
    </row>
    <row r="42" spans="1:31" x14ac:dyDescent="0.25">
      <c r="B42" s="25" t="s">
        <v>52</v>
      </c>
      <c r="C42" s="28" t="s">
        <v>21</v>
      </c>
      <c r="D42" s="104" t="s">
        <v>88</v>
      </c>
      <c r="E42" s="55"/>
      <c r="F42" s="6">
        <f>MATCH($D42,FAC_TOTALS_APTA!$A$2:$BD$2,)</f>
        <v>14</v>
      </c>
      <c r="G42" s="123">
        <f>VLOOKUP(G39,FAC_TOTALS_APTA!$A$4:$BD$126,$F42,FALSE)</f>
        <v>0.92425916812859699</v>
      </c>
      <c r="H42" s="123">
        <f>VLOOKUP(H39,FAC_TOTALS_APTA!$A$4:$BD$126,$F42,FALSE)</f>
        <v>0.99257439422925597</v>
      </c>
      <c r="I42" s="30">
        <f t="shared" ref="I42:I53" si="14">IFERROR(H42/G42-1,"-")</f>
        <v>7.3913495755720593E-2</v>
      </c>
      <c r="J42" s="31" t="str">
        <f t="shared" ref="J42:J53" si="15">IF(C42="Log","_log","")</f>
        <v>_log</v>
      </c>
      <c r="K42" s="31" t="str">
        <f t="shared" ref="K42:K54" si="16">CONCATENATE(D42,J42,"_FAC")</f>
        <v>FARE_per_UPT_cleaned_2018_BUS_log_FAC</v>
      </c>
      <c r="L42" s="6">
        <f>MATCH($K42,FAC_TOTALS_APTA!$A$2:$BB$2,)</f>
        <v>32</v>
      </c>
      <c r="M42" s="29">
        <f>IF(M39=0,0,VLOOKUP(M39,FAC_TOTALS_APTA!$A$4:$BD$126,$L42,FALSE))</f>
        <v>696187.48905043397</v>
      </c>
      <c r="N42" s="29">
        <f>IF(N39=0,0,VLOOKUP(N39,FAC_TOTALS_APTA!$A$4:$BD$126,$L42,FALSE))</f>
        <v>4394260.6842861697</v>
      </c>
      <c r="O42" s="29">
        <f>IF(O39=0,0,VLOOKUP(O39,FAC_TOTALS_APTA!$A$4:$BD$126,$L42,FALSE))</f>
        <v>-1633029.7777281399</v>
      </c>
      <c r="P42" s="29">
        <f>IF(P39=0,0,VLOOKUP(P39,FAC_TOTALS_APTA!$A$4:$BD$126,$L42,FALSE))</f>
        <v>-3657593.0869601802</v>
      </c>
      <c r="Q42" s="29">
        <f>IF(Q39=0,0,VLOOKUP(Q39,FAC_TOTALS_APTA!$A$4:$BD$126,$L42,FALSE))</f>
        <v>-4766119.0725097898</v>
      </c>
      <c r="R42" s="29">
        <f>IF(R39=0,0,VLOOKUP(R39,FAC_TOTALS_APTA!$A$4:$BD$126,$L42,FALSE))</f>
        <v>1576585.76013057</v>
      </c>
      <c r="S42" s="29">
        <f>IF(S39=0,0,VLOOKUP(S39,FAC_TOTALS_APTA!$A$4:$BD$126,$L42,FALSE))</f>
        <v>-33592774.510672599</v>
      </c>
      <c r="T42" s="29">
        <f>IF(T39=0,0,VLOOKUP(T39,FAC_TOTALS_APTA!$A$4:$BD$126,$L42,FALSE))</f>
        <v>767298.83282143401</v>
      </c>
      <c r="U42" s="29">
        <f>IF(U39=0,0,VLOOKUP(U39,FAC_TOTALS_APTA!$A$4:$BD$126,$L42,FALSE))</f>
        <v>4048712.7940840502</v>
      </c>
      <c r="V42" s="29">
        <f>IF(V39=0,0,VLOOKUP(V39,FAC_TOTALS_APTA!$A$4:$BD$126,$L42,FALSE))</f>
        <v>31760.717496051999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7">SUM(M42:AB42)</f>
        <v>-32134710.170001999</v>
      </c>
      <c r="AD42" s="33">
        <f>AC42/G55</f>
        <v>-4.5013929675434772E-2</v>
      </c>
    </row>
    <row r="43" spans="1:31" s="13" customFormat="1" x14ac:dyDescent="0.25">
      <c r="A43" s="6"/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0</v>
      </c>
      <c r="I43" s="119" t="str">
        <f>IFERROR(H43/G43-1,"-")</f>
        <v>-</v>
      </c>
      <c r="J43" s="120" t="str">
        <f t="shared" si="15"/>
        <v/>
      </c>
      <c r="K43" s="120" t="str">
        <f t="shared" si="16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0</v>
      </c>
      <c r="P43" s="117">
        <f>IF(P39=0,0,VLOOKUP(P39,FAC_TOTALS_APTA!$A$4:$BD$126,$L43,FALSE))</f>
        <v>0</v>
      </c>
      <c r="Q43" s="117">
        <f>IF(Q39=0,0,VLOOKUP(Q39,FAC_TOTALS_APTA!$A$4:$BD$126,$L43,FALSE))</f>
        <v>0</v>
      </c>
      <c r="R43" s="117">
        <f>IF(R39=0,0,VLOOKUP(R39,FAC_TOTALS_APTA!$A$4:$BD$126,$L43,FALSE))</f>
        <v>0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7"/>
        <v>0</v>
      </c>
      <c r="AD43" s="122">
        <f>AC43/G56</f>
        <v>0</v>
      </c>
      <c r="AE43" s="6"/>
    </row>
    <row r="44" spans="1:31" s="13" customFormat="1" x14ac:dyDescent="0.25">
      <c r="A44" s="6"/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117">
        <f>VLOOKUP(G39,FAC_TOTALS_APTA!$A$4:$BD$126,$F44,FALSE)</f>
        <v>0</v>
      </c>
      <c r="H44" s="117">
        <f>VLOOKUP(H39,FAC_TOTALS_APTA!$A$4:$BD$126,$F44,FALSE)</f>
        <v>0</v>
      </c>
      <c r="I44" s="119" t="str">
        <f>IFERROR(H44/G44-1,"-")</f>
        <v>-</v>
      </c>
      <c r="J44" s="120" t="str">
        <f t="shared" si="15"/>
        <v/>
      </c>
      <c r="K44" s="120" t="str">
        <f t="shared" si="16"/>
        <v>MAINTENANCE_WMATA_FAC</v>
      </c>
      <c r="L44" s="104">
        <f>MATCH($K44,FAC_TOTALS_APTA!$A$2:$BB$2,)</f>
        <v>40</v>
      </c>
      <c r="M44" s="117">
        <f>IF(M40=0,0,VLOOKUP(M40,FAC_TOTALS_APTA!$A$4:$BD$126,$L44,FALSE))</f>
        <v>0</v>
      </c>
      <c r="N44" s="117">
        <f>IF(N40=0,0,VLOOKUP(N40,FAC_TOTALS_APTA!$A$4:$BD$126,$L44,FALSE))</f>
        <v>0</v>
      </c>
      <c r="O44" s="117">
        <f>IF(O40=0,0,VLOOKUP(O40,FAC_TOTALS_APTA!$A$4:$BD$126,$L44,FALSE))</f>
        <v>0</v>
      </c>
      <c r="P44" s="117">
        <f>IF(P40=0,0,VLOOKUP(P40,FAC_TOTALS_APTA!$A$4:$BD$126,$L44,FALSE))</f>
        <v>0</v>
      </c>
      <c r="Q44" s="117">
        <f>IF(Q40=0,0,VLOOKUP(Q40,FAC_TOTALS_APTA!$A$4:$BD$126,$L44,FALSE))</f>
        <v>0</v>
      </c>
      <c r="R44" s="117">
        <f>IF(R40=0,0,VLOOKUP(R40,FAC_TOTALS_APTA!$A$4:$BD$126,$L44,FALSE))</f>
        <v>0</v>
      </c>
      <c r="S44" s="117">
        <f>IF(S40=0,0,VLOOKUP(S40,FAC_TOTALS_APTA!$A$4:$BD$126,$L44,FALSE))</f>
        <v>0</v>
      </c>
      <c r="T44" s="117">
        <f>IF(T40=0,0,VLOOKUP(T40,FAC_TOTALS_APTA!$A$4:$BD$126,$L44,FALSE))</f>
        <v>0</v>
      </c>
      <c r="U44" s="117">
        <f>IF(U40=0,0,VLOOKUP(U40,FAC_TOTALS_APTA!$A$4:$BD$126,$L44,FALSE))</f>
        <v>0</v>
      </c>
      <c r="V44" s="117">
        <f>IF(V40=0,0,VLOOKUP(V40,FAC_TOTALS_APTA!$A$4:$BD$126,$L44,FALSE))</f>
        <v>0</v>
      </c>
      <c r="W44" s="117">
        <f>IF(W40=0,0,VLOOKUP(W40,FAC_TOTALS_APTA!$A$4:$BD$126,$L44,FALSE))</f>
        <v>0</v>
      </c>
      <c r="X44" s="117">
        <f>IF(X40=0,0,VLOOKUP(X40,FAC_TOTALS_APTA!$A$4:$BD$126,$L44,FALSE))</f>
        <v>0</v>
      </c>
      <c r="Y44" s="117">
        <f>IF(Y40=0,0,VLOOKUP(Y40,FAC_TOTALS_APTA!$A$4:$BD$126,$L44,FALSE))</f>
        <v>0</v>
      </c>
      <c r="Z44" s="117">
        <f>IF(Z40=0,0,VLOOKUP(Z40,FAC_TOTALS_APTA!$A$4:$BD$126,$L44,FALSE))</f>
        <v>0</v>
      </c>
      <c r="AA44" s="117">
        <f>IF(AA40=0,0,VLOOKUP(AA40,FAC_TOTALS_APTA!$A$4:$BD$126,$L44,FALSE))</f>
        <v>0</v>
      </c>
      <c r="AB44" s="117">
        <f>IF(AB40=0,0,VLOOKUP(AB40,FAC_TOTALS_APTA!$A$4:$BD$126,$L44,FALSE))</f>
        <v>0</v>
      </c>
      <c r="AC44" s="121">
        <f t="shared" si="17"/>
        <v>0</v>
      </c>
      <c r="AD44" s="122">
        <f>AC44/G56</f>
        <v>0</v>
      </c>
      <c r="AE44" s="6"/>
    </row>
    <row r="45" spans="1:31" x14ac:dyDescent="0.25">
      <c r="B45" s="25" t="s">
        <v>48</v>
      </c>
      <c r="C45" s="28" t="s">
        <v>21</v>
      </c>
      <c r="D45" s="104" t="s">
        <v>8</v>
      </c>
      <c r="E45" s="55"/>
      <c r="F45" s="6">
        <f>MATCH($D45,FAC_TOTALS_APTA!$A$2:$BD$2,)</f>
        <v>16</v>
      </c>
      <c r="G45" s="117">
        <f>VLOOKUP(G39,FAC_TOTALS_APTA!$A$4:$BD$126,$F45,FALSE)</f>
        <v>2412902.98573989</v>
      </c>
      <c r="H45" s="117">
        <f>VLOOKUP(H39,FAC_TOTALS_APTA!$A$4:$BD$126,$F45,FALSE)</f>
        <v>2552570.2182420199</v>
      </c>
      <c r="I45" s="30">
        <f t="shared" si="14"/>
        <v>5.7883484469767321E-2</v>
      </c>
      <c r="J45" s="31" t="str">
        <f t="shared" si="15"/>
        <v>_log</v>
      </c>
      <c r="K45" s="31" t="str">
        <f t="shared" si="16"/>
        <v>POP_EMP_log_FAC</v>
      </c>
      <c r="L45" s="6">
        <f>MATCH($K45,FAC_TOTALS_APTA!$A$2:$BB$2,)</f>
        <v>34</v>
      </c>
      <c r="M45" s="29">
        <f>IF(M39=0,0,VLOOKUP(M39,FAC_TOTALS_APTA!$A$4:$BD$126,$L45,FALSE))</f>
        <v>3813432.70564014</v>
      </c>
      <c r="N45" s="29">
        <f>IF(N39=0,0,VLOOKUP(N39,FAC_TOTALS_APTA!$A$4:$BD$126,$L45,FALSE))</f>
        <v>4838516.9405761398</v>
      </c>
      <c r="O45" s="29">
        <f>IF(O39=0,0,VLOOKUP(O39,FAC_TOTALS_APTA!$A$4:$BD$126,$L45,FALSE))</f>
        <v>5015586.57068522</v>
      </c>
      <c r="P45" s="29">
        <f>IF(P39=0,0,VLOOKUP(P39,FAC_TOTALS_APTA!$A$4:$BD$126,$L45,FALSE))</f>
        <v>6077172.7326792805</v>
      </c>
      <c r="Q45" s="29">
        <f>IF(Q39=0,0,VLOOKUP(Q39,FAC_TOTALS_APTA!$A$4:$BD$126,$L45,FALSE))</f>
        <v>2532438.10012668</v>
      </c>
      <c r="R45" s="29">
        <f>IF(R39=0,0,VLOOKUP(R39,FAC_TOTALS_APTA!$A$4:$BD$126,$L45,FALSE))</f>
        <v>1139909.2205346799</v>
      </c>
      <c r="S45" s="29">
        <f>IF(S39=0,0,VLOOKUP(S39,FAC_TOTALS_APTA!$A$4:$BD$126,$L45,FALSE))</f>
        <v>-1066143.7088672</v>
      </c>
      <c r="T45" s="29">
        <f>IF(T39=0,0,VLOOKUP(T39,FAC_TOTALS_APTA!$A$4:$BD$126,$L45,FALSE))</f>
        <v>1896310.32872249</v>
      </c>
      <c r="U45" s="29">
        <f>IF(U39=0,0,VLOOKUP(U39,FAC_TOTALS_APTA!$A$4:$BD$126,$L45,FALSE))</f>
        <v>1545501.9265282899</v>
      </c>
      <c r="V45" s="29">
        <f>IF(V39=0,0,VLOOKUP(V39,FAC_TOTALS_APTA!$A$4:$BD$126,$L45,FALSE))</f>
        <v>2087529.43013197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7"/>
        <v>27880254.246757694</v>
      </c>
      <c r="AD45" s="33">
        <f>AC45/G55</f>
        <v>3.9054337112657218E-2</v>
      </c>
    </row>
    <row r="46" spans="1:31" x14ac:dyDescent="0.25">
      <c r="B46" s="25" t="s">
        <v>73</v>
      </c>
      <c r="C46" s="28"/>
      <c r="D46" s="104" t="s">
        <v>72</v>
      </c>
      <c r="E46" s="55"/>
      <c r="F46" s="6">
        <f>MATCH($D46,FAC_TOTALS_APTA!$A$2:$BD$2,)</f>
        <v>17</v>
      </c>
      <c r="G46" s="123">
        <f>VLOOKUP(G39,FAC_TOTALS_APTA!$A$4:$BD$126,$F46,FALSE)</f>
        <v>0.357365417272761</v>
      </c>
      <c r="H46" s="123">
        <f>VLOOKUP(H39,FAC_TOTALS_APTA!$A$4:$BD$126,$F46,FALSE)</f>
        <v>0.33060451780988898</v>
      </c>
      <c r="I46" s="30">
        <f t="shared" si="14"/>
        <v>-7.4883853247743382E-2</v>
      </c>
      <c r="J46" s="31" t="str">
        <f t="shared" si="15"/>
        <v/>
      </c>
      <c r="K46" s="31" t="str">
        <f t="shared" si="16"/>
        <v>TSD_POP_EMP_PCT_FAC</v>
      </c>
      <c r="L46" s="6">
        <f>MATCH($K46,FAC_TOTALS_APTA!$A$2:$BB$2,)</f>
        <v>35</v>
      </c>
      <c r="M46" s="29">
        <f>IF(M39=0,0,VLOOKUP(M39,FAC_TOTALS_APTA!$A$4:$BD$126,$L46,FALSE))</f>
        <v>-708547.43395985197</v>
      </c>
      <c r="N46" s="29">
        <f>IF(N39=0,0,VLOOKUP(N39,FAC_TOTALS_APTA!$A$4:$BD$126,$L46,FALSE))</f>
        <v>-1448095.7300891799</v>
      </c>
      <c r="O46" s="29">
        <f>IF(O39=0,0,VLOOKUP(O39,FAC_TOTALS_APTA!$A$4:$BD$126,$L46,FALSE))</f>
        <v>-949584.53927012905</v>
      </c>
      <c r="P46" s="29">
        <f>IF(P39=0,0,VLOOKUP(P39,FAC_TOTALS_APTA!$A$4:$BD$126,$L46,FALSE))</f>
        <v>-89397.054546426705</v>
      </c>
      <c r="Q46" s="29">
        <f>IF(Q39=0,0,VLOOKUP(Q39,FAC_TOTALS_APTA!$A$4:$BD$126,$L46,FALSE))</f>
        <v>-1307541.7305647701</v>
      </c>
      <c r="R46" s="29">
        <f>IF(R39=0,0,VLOOKUP(R39,FAC_TOTALS_APTA!$A$4:$BD$126,$L46,FALSE))</f>
        <v>-87998.107276090101</v>
      </c>
      <c r="S46" s="29">
        <f>IF(S39=0,0,VLOOKUP(S39,FAC_TOTALS_APTA!$A$4:$BD$126,$L46,FALSE))</f>
        <v>1543548.1077350599</v>
      </c>
      <c r="T46" s="29">
        <f>IF(T39=0,0,VLOOKUP(T39,FAC_TOTALS_APTA!$A$4:$BD$126,$L46,FALSE))</f>
        <v>182423.48767850699</v>
      </c>
      <c r="U46" s="29">
        <f>IF(U39=0,0,VLOOKUP(U39,FAC_TOTALS_APTA!$A$4:$BD$126,$L46,FALSE))</f>
        <v>-2583583.5668977499</v>
      </c>
      <c r="V46" s="29">
        <f>IF(V39=0,0,VLOOKUP(V39,FAC_TOTALS_APTA!$A$4:$BD$126,$L46,FALSE))</f>
        <v>-4690605.6089858804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7"/>
        <v>-10139382.176176511</v>
      </c>
      <c r="AD46" s="33">
        <f>AC46/G55</f>
        <v>-1.4203129071841816E-2</v>
      </c>
    </row>
    <row r="47" spans="1:31" x14ac:dyDescent="0.2">
      <c r="B47" s="25" t="s">
        <v>49</v>
      </c>
      <c r="C47" s="28" t="s">
        <v>21</v>
      </c>
      <c r="D47" s="124" t="s">
        <v>82</v>
      </c>
      <c r="E47" s="55"/>
      <c r="F47" s="6">
        <f>MATCH($D47,FAC_TOTALS_APTA!$A$2:$BD$2,)</f>
        <v>18</v>
      </c>
      <c r="G47" s="125">
        <f>VLOOKUP(G39,FAC_TOTALS_APTA!$A$4:$BD$126,$F47,FALSE)</f>
        <v>1.9468195567767399</v>
      </c>
      <c r="H47" s="125">
        <f>VLOOKUP(H39,FAC_TOTALS_APTA!$A$4:$BD$126,$F47,FALSE)</f>
        <v>4.0256358420234699</v>
      </c>
      <c r="I47" s="30">
        <f t="shared" si="14"/>
        <v>1.0678012135282486</v>
      </c>
      <c r="J47" s="31" t="str">
        <f t="shared" si="15"/>
        <v>_log</v>
      </c>
      <c r="K47" s="31" t="str">
        <f t="shared" si="16"/>
        <v>GAS_PRICE_2018_log_FAC</v>
      </c>
      <c r="L47" s="6">
        <f>MATCH($K47,FAC_TOTALS_APTA!$A$2:$BB$2,)</f>
        <v>36</v>
      </c>
      <c r="M47" s="29">
        <f>IF(M39=0,0,VLOOKUP(M39,FAC_TOTALS_APTA!$A$4:$BD$126,$L47,FALSE))</f>
        <v>8570553.4831008092</v>
      </c>
      <c r="N47" s="29">
        <f>IF(N39=0,0,VLOOKUP(N39,FAC_TOTALS_APTA!$A$4:$BD$126,$L47,FALSE))</f>
        <v>10510601.8856744</v>
      </c>
      <c r="O47" s="29">
        <f>IF(O39=0,0,VLOOKUP(O39,FAC_TOTALS_APTA!$A$4:$BD$126,$L47,FALSE))</f>
        <v>14450943.9167866</v>
      </c>
      <c r="P47" s="29">
        <f>IF(P39=0,0,VLOOKUP(P39,FAC_TOTALS_APTA!$A$4:$BD$126,$L47,FALSE))</f>
        <v>8488626.5625487901</v>
      </c>
      <c r="Q47" s="29">
        <f>IF(Q39=0,0,VLOOKUP(Q39,FAC_TOTALS_APTA!$A$4:$BD$126,$L47,FALSE))</f>
        <v>5638927.6675712503</v>
      </c>
      <c r="R47" s="29">
        <f>IF(R39=0,0,VLOOKUP(R39,FAC_TOTALS_APTA!$A$4:$BD$126,$L47,FALSE))</f>
        <v>11840986.614596199</v>
      </c>
      <c r="S47" s="29">
        <f>IF(S39=0,0,VLOOKUP(S39,FAC_TOTALS_APTA!$A$4:$BD$126,$L47,FALSE))</f>
        <v>-34035434.129789203</v>
      </c>
      <c r="T47" s="29">
        <f>IF(T39=0,0,VLOOKUP(T39,FAC_TOTALS_APTA!$A$4:$BD$126,$L47,FALSE))</f>
        <v>14911706.6226357</v>
      </c>
      <c r="U47" s="29">
        <f>IF(U39=0,0,VLOOKUP(U39,FAC_TOTALS_APTA!$A$4:$BD$126,$L47,FALSE))</f>
        <v>20840077.8821842</v>
      </c>
      <c r="V47" s="29">
        <f>IF(V39=0,0,VLOOKUP(V39,FAC_TOTALS_APTA!$A$4:$BD$126,$L47,FALSE))</f>
        <v>399674.96092674701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7"/>
        <v>61616665.466235496</v>
      </c>
      <c r="AD47" s="33">
        <f>AC47/G55</f>
        <v>8.6311911059994556E-2</v>
      </c>
    </row>
    <row r="48" spans="1:31" x14ac:dyDescent="0.2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MATCH($D48,FAC_TOTALS_APTA!$A$2:$BD$2,)</f>
        <v>19</v>
      </c>
      <c r="G48" s="123">
        <f>VLOOKUP(G39,FAC_TOTALS_APTA!$A$4:$BD$126,$F48,FALSE)</f>
        <v>35715.451599492502</v>
      </c>
      <c r="H48" s="123">
        <f>VLOOKUP(H39,FAC_TOTALS_APTA!$A$4:$BD$126,$F48,FALSE)</f>
        <v>28874.309502126802</v>
      </c>
      <c r="I48" s="30">
        <f t="shared" si="14"/>
        <v>-0.19154572575705331</v>
      </c>
      <c r="J48" s="31" t="str">
        <f t="shared" si="15"/>
        <v>_log</v>
      </c>
      <c r="K48" s="31" t="str">
        <f t="shared" si="16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987634.37035830796</v>
      </c>
      <c r="N48" s="29">
        <f>IF(N39=0,0,VLOOKUP(N39,FAC_TOTALS_APTA!$A$4:$BD$126,$L48,FALSE))</f>
        <v>1667679.5431373101</v>
      </c>
      <c r="O48" s="29">
        <f>IF(O39=0,0,VLOOKUP(O39,FAC_TOTALS_APTA!$A$4:$BD$126,$L48,FALSE))</f>
        <v>1620816.8477109601</v>
      </c>
      <c r="P48" s="29">
        <f>IF(P39=0,0,VLOOKUP(P39,FAC_TOTALS_APTA!$A$4:$BD$126,$L48,FALSE))</f>
        <v>2678635.4590072702</v>
      </c>
      <c r="Q48" s="29">
        <f>IF(Q39=0,0,VLOOKUP(Q39,FAC_TOTALS_APTA!$A$4:$BD$126,$L48,FALSE))</f>
        <v>-725667.42349317996</v>
      </c>
      <c r="R48" s="29">
        <f>IF(R39=0,0,VLOOKUP(R39,FAC_TOTALS_APTA!$A$4:$BD$126,$L48,FALSE))</f>
        <v>448679.02286403597</v>
      </c>
      <c r="S48" s="29">
        <f>IF(S39=0,0,VLOOKUP(S39,FAC_TOTALS_APTA!$A$4:$BD$126,$L48,FALSE))</f>
        <v>3635179.5877254</v>
      </c>
      <c r="T48" s="29">
        <f>IF(T39=0,0,VLOOKUP(T39,FAC_TOTALS_APTA!$A$4:$BD$126,$L48,FALSE))</f>
        <v>1041614.22283217</v>
      </c>
      <c r="U48" s="29">
        <f>IF(U39=0,0,VLOOKUP(U39,FAC_TOTALS_APTA!$A$4:$BD$126,$L48,FALSE))</f>
        <v>1276611.61797757</v>
      </c>
      <c r="V48" s="29">
        <f>IF(V39=0,0,VLOOKUP(V39,FAC_TOTALS_APTA!$A$4:$BD$126,$L48,FALSE))</f>
        <v>641022.13802432804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7"/>
        <v>13272205.386144174</v>
      </c>
      <c r="AD48" s="33">
        <f>AC48/G55</f>
        <v>1.8591551525724663E-2</v>
      </c>
    </row>
    <row r="49" spans="1:31" x14ac:dyDescent="0.25">
      <c r="B49" s="25" t="s">
        <v>62</v>
      </c>
      <c r="C49" s="28"/>
      <c r="D49" s="104" t="s">
        <v>9</v>
      </c>
      <c r="E49" s="55"/>
      <c r="F49" s="6">
        <f>MATCH($D49,FAC_TOTALS_APTA!$A$2:$BD$2,)</f>
        <v>20</v>
      </c>
      <c r="G49" s="117">
        <f>VLOOKUP(G39,FAC_TOTALS_APTA!$A$4:$BD$126,$F49,FALSE)</f>
        <v>7.8156462434034699</v>
      </c>
      <c r="H49" s="117">
        <f>VLOOKUP(H39,FAC_TOTALS_APTA!$A$4:$BD$126,$F49,FALSE)</f>
        <v>8.2569154106646199</v>
      </c>
      <c r="I49" s="30">
        <f t="shared" si="14"/>
        <v>5.6459716000271554E-2</v>
      </c>
      <c r="J49" s="31" t="str">
        <f t="shared" si="15"/>
        <v/>
      </c>
      <c r="K49" s="31" t="str">
        <f t="shared" si="16"/>
        <v>PCT_HH_NO_VEH_FAC</v>
      </c>
      <c r="L49" s="6">
        <f>MATCH($K49,FAC_TOTALS_APTA!$A$2:$BB$2,)</f>
        <v>38</v>
      </c>
      <c r="M49" s="29">
        <f>IF(M39=0,0,VLOOKUP(M39,FAC_TOTALS_APTA!$A$4:$BD$126,$L49,FALSE))</f>
        <v>-52518.3960302575</v>
      </c>
      <c r="N49" s="29">
        <f>IF(N39=0,0,VLOOKUP(N39,FAC_TOTALS_APTA!$A$4:$BD$126,$L49,FALSE))</f>
        <v>-56689.749115789098</v>
      </c>
      <c r="O49" s="29">
        <f>IF(O39=0,0,VLOOKUP(O39,FAC_TOTALS_APTA!$A$4:$BD$126,$L49,FALSE))</f>
        <v>-44801.174993676803</v>
      </c>
      <c r="P49" s="29">
        <f>IF(P39=0,0,VLOOKUP(P39,FAC_TOTALS_APTA!$A$4:$BD$126,$L49,FALSE))</f>
        <v>7054.1943029783497</v>
      </c>
      <c r="Q49" s="29">
        <f>IF(Q39=0,0,VLOOKUP(Q39,FAC_TOTALS_APTA!$A$4:$BD$126,$L49,FALSE))</f>
        <v>-160289.52654214899</v>
      </c>
      <c r="R49" s="29">
        <f>IF(R39=0,0,VLOOKUP(R39,FAC_TOTALS_APTA!$A$4:$BD$126,$L49,FALSE))</f>
        <v>316776.79456632899</v>
      </c>
      <c r="S49" s="29">
        <f>IF(S39=0,0,VLOOKUP(S39,FAC_TOTALS_APTA!$A$4:$BD$126,$L49,FALSE))</f>
        <v>177576.659682514</v>
      </c>
      <c r="T49" s="29">
        <f>IF(T39=0,0,VLOOKUP(T39,FAC_TOTALS_APTA!$A$4:$BD$126,$L49,FALSE))</f>
        <v>459276.92738579499</v>
      </c>
      <c r="U49" s="29">
        <f>IF(U39=0,0,VLOOKUP(U39,FAC_TOTALS_APTA!$A$4:$BD$126,$L49,FALSE))</f>
        <v>473238.30289521598</v>
      </c>
      <c r="V49" s="29">
        <f>IF(V39=0,0,VLOOKUP(V39,FAC_TOTALS_APTA!$A$4:$BD$126,$L49,FALSE))</f>
        <v>51087.676009695802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7"/>
        <v>1170711.7081606556</v>
      </c>
      <c r="AD49" s="33">
        <f>AC49/G55</f>
        <v>1.6399193962715797E-3</v>
      </c>
    </row>
    <row r="50" spans="1:31" x14ac:dyDescent="0.25">
      <c r="B50" s="25" t="s">
        <v>47</v>
      </c>
      <c r="C50" s="28"/>
      <c r="D50" s="104" t="s">
        <v>28</v>
      </c>
      <c r="E50" s="55"/>
      <c r="F50" s="6">
        <f>MATCH($D50,FAC_TOTALS_APTA!$A$2:$BD$2,)</f>
        <v>21</v>
      </c>
      <c r="G50" s="125">
        <f>VLOOKUP(G39,FAC_TOTALS_APTA!$A$4:$BD$126,$F50,FALSE)</f>
        <v>3.29893510953965</v>
      </c>
      <c r="H50" s="125">
        <f>VLOOKUP(H39,FAC_TOTALS_APTA!$A$4:$BD$126,$F50,FALSE)</f>
        <v>4.1251469761152801</v>
      </c>
      <c r="I50" s="30">
        <f t="shared" si="14"/>
        <v>0.25044805039857976</v>
      </c>
      <c r="J50" s="31" t="str">
        <f t="shared" si="15"/>
        <v/>
      </c>
      <c r="K50" s="31" t="str">
        <f t="shared" si="16"/>
        <v>JTW_HOME_PCT_FAC</v>
      </c>
      <c r="L50" s="6">
        <f>MATCH($K50,FAC_TOTALS_APTA!$A$2:$BB$2,)</f>
        <v>39</v>
      </c>
      <c r="M50" s="29">
        <f>IF(M39=0,0,VLOOKUP(M39,FAC_TOTALS_APTA!$A$4:$BD$126,$L50,FALSE))</f>
        <v>0</v>
      </c>
      <c r="N50" s="29">
        <f>IF(N39=0,0,VLOOKUP(N39,FAC_TOTALS_APTA!$A$4:$BD$126,$L50,FALSE))</f>
        <v>0</v>
      </c>
      <c r="O50" s="29">
        <f>IF(O39=0,0,VLOOKUP(O39,FAC_TOTALS_APTA!$A$4:$BD$126,$L50,FALSE))</f>
        <v>0</v>
      </c>
      <c r="P50" s="29">
        <f>IF(P39=0,0,VLOOKUP(P39,FAC_TOTALS_APTA!$A$4:$BD$126,$L50,FALSE))</f>
        <v>-1216924.01639579</v>
      </c>
      <c r="Q50" s="29">
        <f>IF(Q39=0,0,VLOOKUP(Q39,FAC_TOTALS_APTA!$A$4:$BD$126,$L50,FALSE))</f>
        <v>-1260882.7749158801</v>
      </c>
      <c r="R50" s="29">
        <f>IF(R39=0,0,VLOOKUP(R39,FAC_TOTALS_APTA!$A$4:$BD$126,$L50,FALSE))</f>
        <v>-277775.08076711401</v>
      </c>
      <c r="S50" s="29">
        <f>IF(S39=0,0,VLOOKUP(S39,FAC_TOTALS_APTA!$A$4:$BD$126,$L50,FALSE))</f>
        <v>-1630720.2636355001</v>
      </c>
      <c r="T50" s="29">
        <f>IF(T39=0,0,VLOOKUP(T39,FAC_TOTALS_APTA!$A$4:$BD$126,$L50,FALSE))</f>
        <v>-7754.5537634593002</v>
      </c>
      <c r="U50" s="29">
        <f>IF(U39=0,0,VLOOKUP(U39,FAC_TOTALS_APTA!$A$4:$BD$126,$L50,FALSE))</f>
        <v>-825325.50570206402</v>
      </c>
      <c r="V50" s="29">
        <f>IF(V39=0,0,VLOOKUP(V39,FAC_TOTALS_APTA!$A$4:$BD$126,$L50,FALSE))</f>
        <v>18531.0323485638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7"/>
        <v>-5200851.1628312441</v>
      </c>
      <c r="AD50" s="33">
        <f>AC50/G55</f>
        <v>-7.285292048926988E-3</v>
      </c>
    </row>
    <row r="51" spans="1:31" x14ac:dyDescent="0.25">
      <c r="B51" s="25" t="s">
        <v>63</v>
      </c>
      <c r="C51" s="28"/>
      <c r="D51" s="126" t="s">
        <v>90</v>
      </c>
      <c r="E51" s="55"/>
      <c r="F51" s="6">
        <f>MATCH($D51,FAC_TOTALS_APTA!$A$2:$BD$2,)</f>
        <v>25</v>
      </c>
      <c r="G51" s="125">
        <f>VLOOKUP(G39,FAC_TOTALS_APTA!$A$4:$BD$126,$F51,FALSE)</f>
        <v>0</v>
      </c>
      <c r="H51" s="125">
        <f>VLOOKUP(H39,FAC_TOTALS_APTA!$A$4:$BD$126,$F51,FALSE)</f>
        <v>0</v>
      </c>
      <c r="I51" s="30" t="str">
        <f t="shared" si="14"/>
        <v>-</v>
      </c>
      <c r="J51" s="31" t="str">
        <f t="shared" si="15"/>
        <v/>
      </c>
      <c r="K51" s="31" t="str">
        <f t="shared" si="16"/>
        <v>YEARS_SINCE_TNC_BUS_MIDLOW_FAC</v>
      </c>
      <c r="L51" s="6">
        <f>MATCH($K51,FAC_TOTALS_APTA!$A$2:$BB$2,)</f>
        <v>43</v>
      </c>
      <c r="M51" s="29">
        <f>IF(M39=0,0,VLOOKUP(M39,FAC_TOTALS_APTA!$A$4:$BD$126,$L51,FALSE))</f>
        <v>0</v>
      </c>
      <c r="N51" s="29">
        <f>IF(N39=0,0,VLOOKUP(N39,FAC_TOTALS_APTA!$A$4:$BD$126,$L51,FALSE))</f>
        <v>0</v>
      </c>
      <c r="O51" s="29">
        <f>IF(O39=0,0,VLOOKUP(O39,FAC_TOTALS_APTA!$A$4:$BD$126,$L51,FALSE))</f>
        <v>0</v>
      </c>
      <c r="P51" s="29">
        <f>IF(P39=0,0,VLOOKUP(P39,FAC_TOTALS_APTA!$A$4:$BD$126,$L51,FALSE))</f>
        <v>0</v>
      </c>
      <c r="Q51" s="29">
        <f>IF(Q39=0,0,VLOOKUP(Q39,FAC_TOTALS_APTA!$A$4:$BD$126,$L51,FALSE))</f>
        <v>0</v>
      </c>
      <c r="R51" s="29">
        <f>IF(R39=0,0,VLOOKUP(R39,FAC_TOTALS_APTA!$A$4:$BD$126,$L51,FALSE))</f>
        <v>0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7"/>
        <v>0</v>
      </c>
      <c r="AD51" s="33">
        <f>AC51/G55</f>
        <v>0</v>
      </c>
    </row>
    <row r="52" spans="1:31" x14ac:dyDescent="0.25">
      <c r="B52" s="25" t="s">
        <v>64</v>
      </c>
      <c r="C52" s="28"/>
      <c r="D52" s="104" t="s">
        <v>43</v>
      </c>
      <c r="E52" s="55"/>
      <c r="F52" s="6">
        <f>MATCH($D52,FAC_TOTALS_APTA!$A$2:$BD$2,)</f>
        <v>28</v>
      </c>
      <c r="G52" s="125">
        <f>VLOOKUP(G39,FAC_TOTALS_APTA!$A$4:$BD$126,$F52,FALSE)</f>
        <v>4.7394709953269498E-2</v>
      </c>
      <c r="H52" s="125">
        <f>VLOOKUP(H39,FAC_TOTALS_APTA!$A$4:$BD$126,$F52,FALSE)</f>
        <v>8.9326402136675601E-2</v>
      </c>
      <c r="I52" s="30">
        <f t="shared" si="14"/>
        <v>0.88473359631803095</v>
      </c>
      <c r="J52" s="31" t="str">
        <f t="shared" si="15"/>
        <v/>
      </c>
      <c r="K52" s="31" t="str">
        <f t="shared" si="16"/>
        <v>BIKE_SHARE_FAC</v>
      </c>
      <c r="L52" s="6">
        <f>MATCH($K52,FAC_TOTALS_APTA!$A$2:$BB$2,)</f>
        <v>46</v>
      </c>
      <c r="M52" s="29">
        <f>IF(M39=0,0,VLOOKUP(M39,FAC_TOTALS_APTA!$A$4:$BD$126,$L52,FALSE))</f>
        <v>0</v>
      </c>
      <c r="N52" s="29">
        <f>IF(N39=0,0,VLOOKUP(N39,FAC_TOTALS_APTA!$A$4:$BD$126,$L52,FALSE))</f>
        <v>0</v>
      </c>
      <c r="O52" s="29">
        <f>IF(O39=0,0,VLOOKUP(O39,FAC_TOTALS_APTA!$A$4:$BD$126,$L52,FALSE))</f>
        <v>0</v>
      </c>
      <c r="P52" s="29">
        <f>IF(P39=0,0,VLOOKUP(P39,FAC_TOTALS_APTA!$A$4:$BD$126,$L52,FALSE))</f>
        <v>0</v>
      </c>
      <c r="Q52" s="29">
        <f>IF(Q39=0,0,VLOOKUP(Q39,FAC_TOTALS_APTA!$A$4:$BD$126,$L52,FALSE))</f>
        <v>0</v>
      </c>
      <c r="R52" s="29">
        <f>IF(R39=0,0,VLOOKUP(R39,FAC_TOTALS_APTA!$A$4:$BD$126,$L52,FALSE))</f>
        <v>0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-146479.21827437801</v>
      </c>
      <c r="V52" s="29">
        <f>IF(V39=0,0,VLOOKUP(V39,FAC_TOTALS_APTA!$A$4:$BD$126,$L52,FALSE))</f>
        <v>-420579.39151501399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7"/>
        <v>-567058.60978939198</v>
      </c>
      <c r="AD52" s="33">
        <f>AC52/G55</f>
        <v>-7.9432913033514099E-4</v>
      </c>
    </row>
    <row r="53" spans="1:31" x14ac:dyDescent="0.25">
      <c r="B53" s="8" t="s">
        <v>65</v>
      </c>
      <c r="C53" s="27"/>
      <c r="D53" s="129" t="s">
        <v>44</v>
      </c>
      <c r="E53" s="56"/>
      <c r="F53" s="7">
        <f>MATCH($D53,FAC_TOTALS_APTA!$A$2:$BD$2,)</f>
        <v>29</v>
      </c>
      <c r="G53" s="131">
        <f>VLOOKUP(G39,FAC_TOTALS_APTA!$A$4:$BD$126,$F53,FALSE)</f>
        <v>0</v>
      </c>
      <c r="H53" s="131">
        <f>VLOOKUP(H39,FAC_TOTALS_APTA!$A$4:$BD$126,$F53,FALSE)</f>
        <v>0</v>
      </c>
      <c r="I53" s="36" t="str">
        <f t="shared" si="14"/>
        <v>-</v>
      </c>
      <c r="J53" s="37" t="str">
        <f t="shared" si="15"/>
        <v/>
      </c>
      <c r="K53" s="37" t="str">
        <f t="shared" si="16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0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7"/>
        <v>0</v>
      </c>
      <c r="AD53" s="40">
        <f>AC53/G55</f>
        <v>0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6"/>
        <v>New_Reporter_FAC</v>
      </c>
      <c r="L54" s="44">
        <f>MATCH($K54,FAC_TOTALS_APTA!$A$2:$BB$2,)</f>
        <v>51</v>
      </c>
      <c r="M54" s="45">
        <f>IF(M39=0,0,VLOOKUP(M39,FAC_TOTALS_APTA!$A$4:$BD$126,$L54,FALSE))</f>
        <v>64490437</v>
      </c>
      <c r="N54" s="45">
        <f>IF(N39=0,0,VLOOKUP(N39,FAC_TOTALS_APTA!$A$4:$BD$126,$L54,FALSE))</f>
        <v>27575194</v>
      </c>
      <c r="O54" s="45">
        <f>IF(O39=0,0,VLOOKUP(O39,FAC_TOTALS_APTA!$A$4:$BD$126,$L54,FALSE))</f>
        <v>22919974</v>
      </c>
      <c r="P54" s="45">
        <f>IF(P39=0,0,VLOOKUP(P39,FAC_TOTALS_APTA!$A$4:$BD$126,$L54,FALSE))</f>
        <v>15747264</v>
      </c>
      <c r="Q54" s="45">
        <f>IF(Q39=0,0,VLOOKUP(Q39,FAC_TOTALS_APTA!$A$4:$BD$126,$L54,FALSE))</f>
        <v>8688267.9999999907</v>
      </c>
      <c r="R54" s="45">
        <f>IF(R39=0,0,VLOOKUP(R39,FAC_TOTALS_APTA!$A$4:$BD$126,$L54,FALSE))</f>
        <v>0</v>
      </c>
      <c r="S54" s="45">
        <f>IF(S39=0,0,VLOOKUP(S39,FAC_TOTALS_APTA!$A$4:$BD$126,$L54,FALSE))</f>
        <v>0</v>
      </c>
      <c r="T54" s="45">
        <f>IF(T39=0,0,VLOOKUP(T39,FAC_TOTALS_APTA!$A$4:$BD$126,$L54,FALSE))</f>
        <v>2308521.9999999902</v>
      </c>
      <c r="U54" s="45">
        <f>IF(U39=0,0,VLOOKUP(U39,FAC_TOTALS_APTA!$A$4:$BD$126,$L54,FALSE))</f>
        <v>0</v>
      </c>
      <c r="V54" s="45">
        <f>IF(V39=0,0,VLOOKUP(V39,FAC_TOTALS_APTA!$A$4:$BD$126,$L54,FALSE))</f>
        <v>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141729659</v>
      </c>
      <c r="AD54" s="49">
        <f>AC54/G56</f>
        <v>0.20455094104988761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7">
        <f>VLOOKUP(G39,FAC_TOTALS_APTA!$A$4:$BD$126,$F55,FALSE)</f>
        <v>713883688.93148899</v>
      </c>
      <c r="H55" s="117">
        <f>VLOOKUP(H39,FAC_TOTALS_APTA!$A$4:$BB$126,$F55,FALSE)</f>
        <v>951074556.84306395</v>
      </c>
      <c r="I55" s="112">
        <f t="shared" ref="I55" si="18">H55/G55-1</f>
        <v>0.3322542195446323</v>
      </c>
      <c r="J55" s="31"/>
      <c r="K55" s="31"/>
      <c r="L55" s="6"/>
      <c r="M55" s="29">
        <f t="shared" ref="M55:AB55" si="19">SUM(M41:M48)</f>
        <v>13692483.322198128</v>
      </c>
      <c r="N55" s="29">
        <f t="shared" si="19"/>
        <v>18938056.87252824</v>
      </c>
      <c r="O55" s="29">
        <f t="shared" si="19"/>
        <v>19634761.591348741</v>
      </c>
      <c r="P55" s="29">
        <f t="shared" si="19"/>
        <v>16062388.303175524</v>
      </c>
      <c r="Q55" s="29">
        <f t="shared" si="19"/>
        <v>4576024.6703298204</v>
      </c>
      <c r="R55" s="29">
        <f t="shared" si="19"/>
        <v>22039974.996008907</v>
      </c>
      <c r="S55" s="29">
        <f t="shared" si="19"/>
        <v>-70434897.980729163</v>
      </c>
      <c r="T55" s="29">
        <f t="shared" si="19"/>
        <v>12592338.85377579</v>
      </c>
      <c r="U55" s="29">
        <f t="shared" si="19"/>
        <v>19237325.380056612</v>
      </c>
      <c r="V55" s="29">
        <f t="shared" si="19"/>
        <v>-4967527.1744261738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237190867.91157496</v>
      </c>
      <c r="AD55" s="33">
        <f>I55</f>
        <v>0.3322542195446323</v>
      </c>
      <c r="AE55" s="106"/>
    </row>
    <row r="56" spans="1:31" ht="13.5" customHeight="1" thickBot="1" x14ac:dyDescent="0.3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4">
        <f>VLOOKUP(G39,FAC_TOTALS_APTA!$A$4:$BB$126,$F56,FALSE)</f>
        <v>692881970</v>
      </c>
      <c r="H56" s="114">
        <f>VLOOKUP(H39,FAC_TOTALS_APTA!$A$4:$BB$126,$F56,FALSE)</f>
        <v>961216517.99999905</v>
      </c>
      <c r="I56" s="113">
        <f t="shared" ref="I56" si="20">H56/G56-1</f>
        <v>0.38727309934186782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268334547.99999905</v>
      </c>
      <c r="AD56" s="52">
        <f>I56</f>
        <v>0.38727309934186782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5.501887979723552E-2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76" t="s">
        <v>51</v>
      </c>
      <c r="H64" s="176"/>
      <c r="I64" s="176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176" t="s">
        <v>55</v>
      </c>
      <c r="AD64" s="176"/>
    </row>
    <row r="65" spans="1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2002</v>
      </c>
      <c r="H65" s="128">
        <f>$C$2</f>
        <v>2012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1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1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0_3_2002</v>
      </c>
      <c r="H67" s="104" t="str">
        <f>CONCATENATE($C62,"_",$C63,"_",H65)</f>
        <v>0_3_2012</v>
      </c>
      <c r="I67" s="28"/>
      <c r="J67" s="6"/>
      <c r="K67" s="6"/>
      <c r="L67" s="6"/>
      <c r="M67" s="6" t="str">
        <f>IF($G65+M66&gt;$H65,0,CONCATENATE($C62,"_",$C63,"_",$G65+M66))</f>
        <v>0_3_2003</v>
      </c>
      <c r="N67" s="6" t="str">
        <f t="shared" ref="N67:AB67" si="21">IF($G65+N66&gt;$H65,0,CONCATENATE($C62,"_",$C63,"_",$G65+N66))</f>
        <v>0_3_2004</v>
      </c>
      <c r="O67" s="6" t="str">
        <f t="shared" si="21"/>
        <v>0_3_2005</v>
      </c>
      <c r="P67" s="6" t="str">
        <f t="shared" si="21"/>
        <v>0_3_2006</v>
      </c>
      <c r="Q67" s="6" t="str">
        <f t="shared" si="21"/>
        <v>0_3_2007</v>
      </c>
      <c r="R67" s="6" t="str">
        <f t="shared" si="21"/>
        <v>0_3_2008</v>
      </c>
      <c r="S67" s="6" t="str">
        <f t="shared" si="21"/>
        <v>0_3_2009</v>
      </c>
      <c r="T67" s="6" t="str">
        <f t="shared" si="21"/>
        <v>0_3_2010</v>
      </c>
      <c r="U67" s="6" t="str">
        <f t="shared" si="21"/>
        <v>0_3_2011</v>
      </c>
      <c r="V67" s="6" t="str">
        <f t="shared" si="21"/>
        <v>0_3_2012</v>
      </c>
      <c r="W67" s="6">
        <f t="shared" si="21"/>
        <v>0</v>
      </c>
      <c r="X67" s="6">
        <f t="shared" si="21"/>
        <v>0</v>
      </c>
      <c r="Y67" s="6">
        <f t="shared" si="21"/>
        <v>0</v>
      </c>
      <c r="Z67" s="6">
        <f t="shared" si="21"/>
        <v>0</v>
      </c>
      <c r="AA67" s="6">
        <f t="shared" si="21"/>
        <v>0</v>
      </c>
      <c r="AB67" s="6">
        <f t="shared" si="21"/>
        <v>0</v>
      </c>
      <c r="AC67" s="6"/>
      <c r="AD67" s="6"/>
    </row>
    <row r="68" spans="1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3" x14ac:dyDescent="0.25">
      <c r="B69" s="25" t="s">
        <v>31</v>
      </c>
      <c r="C69" s="28" t="s">
        <v>21</v>
      </c>
      <c r="D69" s="104" t="s">
        <v>87</v>
      </c>
      <c r="E69" s="55"/>
      <c r="F69" s="6">
        <f>MATCH($D69,FAC_TOTALS_APTA!$A$2:$BD$2,)</f>
        <v>12</v>
      </c>
      <c r="G69" s="117">
        <f>VLOOKUP(G67,FAC_TOTALS_APTA!$A$4:$BD$126,$F69,FALSE)</f>
        <v>2436593.4779696302</v>
      </c>
      <c r="H69" s="117">
        <f>VLOOKUP(H67,FAC_TOTALS_APTA!$A$4:$BD$126,$F69,FALSE)</f>
        <v>1935564.7547657499</v>
      </c>
      <c r="I69" s="30">
        <f>IFERROR(H69/G69-1,"-")</f>
        <v>-0.20562671932512044</v>
      </c>
      <c r="J69" s="31" t="str">
        <f>IF(C69="Log","_log","")</f>
        <v>_log</v>
      </c>
      <c r="K69" s="31" t="str">
        <f>CONCATENATE(D69,J69,"_FAC")</f>
        <v>VRM_ADJ_BUS_log_FAC</v>
      </c>
      <c r="L69" s="6">
        <f>MATCH($K69,FAC_TOTALS_APTA!$A$2:$BB$2,)</f>
        <v>30</v>
      </c>
      <c r="M69" s="29">
        <f>IF(M67=0,0,VLOOKUP(M67,FAC_TOTALS_APTA!$A$4:$BD$126,$L69,FALSE))</f>
        <v>142744.48639822399</v>
      </c>
      <c r="N69" s="29">
        <f>IF(N67=0,0,VLOOKUP(N67,FAC_TOTALS_APTA!$A$4:$BD$126,$L69,FALSE))</f>
        <v>1086601.11573619</v>
      </c>
      <c r="O69" s="29">
        <f>IF(O67=0,0,VLOOKUP(O67,FAC_TOTALS_APTA!$A$4:$BD$126,$L69,FALSE))</f>
        <v>-1422027.3843189599</v>
      </c>
      <c r="P69" s="29">
        <f>IF(P67=0,0,VLOOKUP(P67,FAC_TOTALS_APTA!$A$4:$BD$126,$L69,FALSE))</f>
        <v>2801073.3661135999</v>
      </c>
      <c r="Q69" s="29">
        <f>IF(Q67=0,0,VLOOKUP(Q67,FAC_TOTALS_APTA!$A$4:$BD$126,$L69,FALSE))</f>
        <v>2987581.39479096</v>
      </c>
      <c r="R69" s="29">
        <f>IF(R67=0,0,VLOOKUP(R67,FAC_TOTALS_APTA!$A$4:$BD$126,$L69,FALSE))</f>
        <v>1639878.37723696</v>
      </c>
      <c r="S69" s="29">
        <f>IF(S67=0,0,VLOOKUP(S67,FAC_TOTALS_APTA!$A$4:$BD$126,$L69,FALSE))</f>
        <v>1383767.3761584701</v>
      </c>
      <c r="T69" s="29">
        <f>IF(T67=0,0,VLOOKUP(T67,FAC_TOTALS_APTA!$A$4:$BD$126,$L69,FALSE))</f>
        <v>524753.98951699096</v>
      </c>
      <c r="U69" s="29">
        <f>IF(U67=0,0,VLOOKUP(U67,FAC_TOTALS_APTA!$A$4:$BD$126,$L69,FALSE))</f>
        <v>-282303.18891704403</v>
      </c>
      <c r="V69" s="29">
        <f>IF(V67=0,0,VLOOKUP(V67,FAC_TOTALS_APTA!$A$4:$BD$126,$L69,FALSE))</f>
        <v>418133.244070335</v>
      </c>
      <c r="W69" s="29">
        <f>IF(W67=0,0,VLOOKUP(W67,FAC_TOTALS_APTA!$A$4:$BD$126,$L69,FALSE))</f>
        <v>0</v>
      </c>
      <c r="X69" s="29">
        <f>IF(X67=0,0,VLOOKUP(X67,FAC_TOTALS_APTA!$A$4:$BD$126,$L69,FALSE))</f>
        <v>0</v>
      </c>
      <c r="Y69" s="29">
        <f>IF(Y67=0,0,VLOOKUP(Y67,FAC_TOTALS_APTA!$A$4:$BD$126,$L69,FALSE))</f>
        <v>0</v>
      </c>
      <c r="Z69" s="29">
        <f>IF(Z67=0,0,VLOOKUP(Z67,FAC_TOTALS_APTA!$A$4:$BD$126,$L69,FALSE))</f>
        <v>0</v>
      </c>
      <c r="AA69" s="29">
        <f>IF(AA67=0,0,VLOOKUP(AA67,FAC_TOTALS_APTA!$A$4:$BD$126,$L69,FALSE))</f>
        <v>0</v>
      </c>
      <c r="AB69" s="29">
        <f>IF(AB67=0,0,VLOOKUP(AB67,FAC_TOTALS_APTA!$A$4:$BD$126,$L69,FALSE))</f>
        <v>0</v>
      </c>
      <c r="AC69" s="32">
        <f>SUM(M69:AB69)</f>
        <v>9280202.7767857239</v>
      </c>
      <c r="AD69" s="33">
        <f>AC69/G83</f>
        <v>8.8016453776118206E-2</v>
      </c>
    </row>
    <row r="70" spans="1:33" x14ac:dyDescent="0.25">
      <c r="B70" s="25" t="s">
        <v>52</v>
      </c>
      <c r="C70" s="28" t="s">
        <v>21</v>
      </c>
      <c r="D70" s="104" t="s">
        <v>88</v>
      </c>
      <c r="E70" s="55"/>
      <c r="F70" s="6">
        <f>MATCH($D70,FAC_TOTALS_APTA!$A$2:$BD$2,)</f>
        <v>14</v>
      </c>
      <c r="G70" s="123">
        <f>VLOOKUP(G67,FAC_TOTALS_APTA!$A$4:$BD$126,$F70,FALSE)</f>
        <v>0.90327811224383903</v>
      </c>
      <c r="H70" s="123">
        <f>VLOOKUP(H67,FAC_TOTALS_APTA!$A$4:$BD$126,$F70,FALSE)</f>
        <v>0.82821757692531495</v>
      </c>
      <c r="I70" s="30">
        <f t="shared" ref="I70:I81" si="22">IFERROR(H70/G70-1,"-")</f>
        <v>-8.3097923331791668E-2</v>
      </c>
      <c r="J70" s="31" t="str">
        <f t="shared" ref="J70:J79" si="23">IF(C70="Log","_log","")</f>
        <v>_log</v>
      </c>
      <c r="K70" s="31" t="str">
        <f t="shared" ref="K70:K82" si="24">CONCATENATE(D70,J70,"_FAC")</f>
        <v>FARE_per_UPT_cleaned_2018_BUS_log_FAC</v>
      </c>
      <c r="L70" s="6">
        <f>MATCH($K70,FAC_TOTALS_APTA!$A$2:$BB$2,)</f>
        <v>32</v>
      </c>
      <c r="M70" s="29">
        <f>IF(M67=0,0,VLOOKUP(M67,FAC_TOTALS_APTA!$A$4:$BD$126,$L70,FALSE))</f>
        <v>762555.70643313206</v>
      </c>
      <c r="N70" s="29">
        <f>IF(N67=0,0,VLOOKUP(N67,FAC_TOTALS_APTA!$A$4:$BD$126,$L70,FALSE))</f>
        <v>263870.86853300501</v>
      </c>
      <c r="O70" s="29">
        <f>IF(O67=0,0,VLOOKUP(O67,FAC_TOTALS_APTA!$A$4:$BD$126,$L70,FALSE))</f>
        <v>492495.26002911199</v>
      </c>
      <c r="P70" s="29">
        <f>IF(P67=0,0,VLOOKUP(P67,FAC_TOTALS_APTA!$A$4:$BD$126,$L70,FALSE))</f>
        <v>-271602.27327941603</v>
      </c>
      <c r="Q70" s="29">
        <f>IF(Q67=0,0,VLOOKUP(Q67,FAC_TOTALS_APTA!$A$4:$BD$126,$L70,FALSE))</f>
        <v>312721.07133529498</v>
      </c>
      <c r="R70" s="29">
        <f>IF(R67=0,0,VLOOKUP(R67,FAC_TOTALS_APTA!$A$4:$BD$126,$L70,FALSE))</f>
        <v>1157047.2611708699</v>
      </c>
      <c r="S70" s="29">
        <f>IF(S67=0,0,VLOOKUP(S67,FAC_TOTALS_APTA!$A$4:$BD$126,$L70,FALSE))</f>
        <v>-4040605.8601401499</v>
      </c>
      <c r="T70" s="29">
        <f>IF(T67=0,0,VLOOKUP(T67,FAC_TOTALS_APTA!$A$4:$BD$126,$L70,FALSE))</f>
        <v>1439996.06055076</v>
      </c>
      <c r="U70" s="29">
        <f>IF(U67=0,0,VLOOKUP(U67,FAC_TOTALS_APTA!$A$4:$BD$126,$L70,FALSE))</f>
        <v>2531896.78757963</v>
      </c>
      <c r="V70" s="29">
        <f>IF(V67=0,0,VLOOKUP(V67,FAC_TOTALS_APTA!$A$4:$BD$126,$L70,FALSE))</f>
        <v>-331557.23319185898</v>
      </c>
      <c r="W70" s="29">
        <f>IF(W67=0,0,VLOOKUP(W67,FAC_TOTALS_APTA!$A$4:$BD$126,$L70,FALSE))</f>
        <v>0</v>
      </c>
      <c r="X70" s="29">
        <f>IF(X67=0,0,VLOOKUP(X67,FAC_TOTALS_APTA!$A$4:$BD$126,$L70,FALSE))</f>
        <v>0</v>
      </c>
      <c r="Y70" s="29">
        <f>IF(Y67=0,0,VLOOKUP(Y67,FAC_TOTALS_APTA!$A$4:$BD$126,$L70,FALSE))</f>
        <v>0</v>
      </c>
      <c r="Z70" s="29">
        <f>IF(Z67=0,0,VLOOKUP(Z67,FAC_TOTALS_APTA!$A$4:$BD$126,$L70,FALSE))</f>
        <v>0</v>
      </c>
      <c r="AA70" s="29">
        <f>IF(AA67=0,0,VLOOKUP(AA67,FAC_TOTALS_APTA!$A$4:$BD$126,$L70,FALSE))</f>
        <v>0</v>
      </c>
      <c r="AB70" s="29">
        <f>IF(AB67=0,0,VLOOKUP(AB67,FAC_TOTALS_APTA!$A$4:$BD$126,$L70,FALSE))</f>
        <v>0</v>
      </c>
      <c r="AC70" s="32">
        <f t="shared" ref="AC70:AC81" si="25">SUM(M70:AB70)</f>
        <v>2316817.6490203789</v>
      </c>
      <c r="AD70" s="33">
        <f>AC70/G83</f>
        <v>2.1973450194730095E-2</v>
      </c>
    </row>
    <row r="71" spans="1:33" s="13" customFormat="1" x14ac:dyDescent="0.25">
      <c r="A71" s="6"/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>
        <f>VLOOKUP(G67,FAC_TOTALS_APTA!$A$4:$BD$126,$F71,FALSE)</f>
        <v>0</v>
      </c>
      <c r="H71" s="117">
        <f>VLOOKUP(H67,FAC_TOTALS_APTA!$A$4:$BD$126,$F71,FALSE)</f>
        <v>1.81254270699816E-2</v>
      </c>
      <c r="I71" s="119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MATCH($K71,FAC_TOTALS_APTA!$A$2:$BB$2,)</f>
        <v>41</v>
      </c>
      <c r="M71" s="117">
        <f>IF(M67=0,0,VLOOKUP(M67,FAC_TOTALS_APTA!$A$4:$BD$126,$L71,FALSE))</f>
        <v>0</v>
      </c>
      <c r="N71" s="117">
        <f>IF(N67=0,0,VLOOKUP(N67,FAC_TOTALS_APTA!$A$4:$BD$126,$L71,FALSE))</f>
        <v>0</v>
      </c>
      <c r="O71" s="117">
        <f>IF(O67=0,0,VLOOKUP(O67,FAC_TOTALS_APTA!$A$4:$BD$126,$L71,FALSE))</f>
        <v>0</v>
      </c>
      <c r="P71" s="117">
        <f>IF(P67=0,0,VLOOKUP(P67,FAC_TOTALS_APTA!$A$4:$BD$126,$L71,FALSE))</f>
        <v>0</v>
      </c>
      <c r="Q71" s="117">
        <f>IF(Q67=0,0,VLOOKUP(Q67,FAC_TOTALS_APTA!$A$4:$BD$126,$L71,FALSE))</f>
        <v>0</v>
      </c>
      <c r="R71" s="117">
        <f>IF(R67=0,0,VLOOKUP(R67,FAC_TOTALS_APTA!$A$4:$BD$126,$L71,FALSE))</f>
        <v>0</v>
      </c>
      <c r="S71" s="117">
        <f>IF(S67=0,0,VLOOKUP(S67,FAC_TOTALS_APTA!$A$4:$BD$126,$L71,FALSE))</f>
        <v>0</v>
      </c>
      <c r="T71" s="117">
        <f>IF(T67=0,0,VLOOKUP(T67,FAC_TOTALS_APTA!$A$4:$BD$126,$L71,FALSE))</f>
        <v>0</v>
      </c>
      <c r="U71" s="117">
        <f>IF(U67=0,0,VLOOKUP(U67,FAC_TOTALS_APTA!$A$4:$BD$126,$L71,FALSE))</f>
        <v>115179.426273119</v>
      </c>
      <c r="V71" s="117">
        <f>IF(V67=0,0,VLOOKUP(V67,FAC_TOTALS_APTA!$A$4:$BD$126,$L71,FALSE))</f>
        <v>111408.05717736699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>
        <f t="shared" si="25"/>
        <v>226587.48345048598</v>
      </c>
      <c r="AD71" s="122">
        <f>AC71/G84</f>
        <v>2.4269804156334574E-3</v>
      </c>
      <c r="AE71" s="6"/>
    </row>
    <row r="72" spans="1:33" s="13" customFormat="1" x14ac:dyDescent="0.25">
      <c r="A72" s="6"/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117">
        <f>VLOOKUP(G67,FAC_TOTALS_APTA!$A$4:$BD$126,$F72,FALSE)</f>
        <v>0</v>
      </c>
      <c r="H72" s="117">
        <f>VLOOKUP(H67,FAC_TOTALS_APTA!$A$4:$BD$126,$F72,FALSE)</f>
        <v>0</v>
      </c>
      <c r="I72" s="119" t="str">
        <f>IFERROR(H72/G72-1,"-")</f>
        <v>-</v>
      </c>
      <c r="J72" s="120" t="str">
        <f t="shared" si="23"/>
        <v/>
      </c>
      <c r="K72" s="120" t="str">
        <f t="shared" si="24"/>
        <v>MAINTENANCE_WMATA_FAC</v>
      </c>
      <c r="L72" s="104">
        <f>MATCH($K72,FAC_TOTALS_APTA!$A$2:$BB$2,)</f>
        <v>40</v>
      </c>
      <c r="M72" s="117">
        <f>IF(M68=0,0,VLOOKUP(M68,FAC_TOTALS_APTA!$A$4:$BD$126,$L72,FALSE))</f>
        <v>0</v>
      </c>
      <c r="N72" s="117">
        <f>IF(N68=0,0,VLOOKUP(N68,FAC_TOTALS_APTA!$A$4:$BD$126,$L72,FALSE))</f>
        <v>0</v>
      </c>
      <c r="O72" s="117">
        <f>IF(O68=0,0,VLOOKUP(O68,FAC_TOTALS_APTA!$A$4:$BD$126,$L72,FALSE))</f>
        <v>0</v>
      </c>
      <c r="P72" s="117">
        <f>IF(P68=0,0,VLOOKUP(P68,FAC_TOTALS_APTA!$A$4:$BD$126,$L72,FALSE))</f>
        <v>0</v>
      </c>
      <c r="Q72" s="117">
        <f>IF(Q68=0,0,VLOOKUP(Q68,FAC_TOTALS_APTA!$A$4:$BD$126,$L72,FALSE))</f>
        <v>0</v>
      </c>
      <c r="R72" s="117">
        <f>IF(R68=0,0,VLOOKUP(R68,FAC_TOTALS_APTA!$A$4:$BD$126,$L72,FALSE))</f>
        <v>0</v>
      </c>
      <c r="S72" s="117">
        <f>IF(S68=0,0,VLOOKUP(S68,FAC_TOTALS_APTA!$A$4:$BD$126,$L72,FALSE))</f>
        <v>0</v>
      </c>
      <c r="T72" s="117">
        <f>IF(T68=0,0,VLOOKUP(T68,FAC_TOTALS_APTA!$A$4:$BD$126,$L72,FALSE))</f>
        <v>0</v>
      </c>
      <c r="U72" s="117">
        <f>IF(U68=0,0,VLOOKUP(U68,FAC_TOTALS_APTA!$A$4:$BD$126,$L72,FALSE))</f>
        <v>0</v>
      </c>
      <c r="V72" s="117">
        <f>IF(V68=0,0,VLOOKUP(V68,FAC_TOTALS_APTA!$A$4:$BD$126,$L72,FALSE))</f>
        <v>0</v>
      </c>
      <c r="W72" s="117">
        <f>IF(W68=0,0,VLOOKUP(W68,FAC_TOTALS_APTA!$A$4:$BD$126,$L72,FALSE))</f>
        <v>0</v>
      </c>
      <c r="X72" s="117">
        <f>IF(X68=0,0,VLOOKUP(X68,FAC_TOTALS_APTA!$A$4:$BD$126,$L72,FALSE))</f>
        <v>0</v>
      </c>
      <c r="Y72" s="117">
        <f>IF(Y68=0,0,VLOOKUP(Y68,FAC_TOTALS_APTA!$A$4:$BD$126,$L72,FALSE))</f>
        <v>0</v>
      </c>
      <c r="Z72" s="117">
        <f>IF(Z68=0,0,VLOOKUP(Z68,FAC_TOTALS_APTA!$A$4:$BD$126,$L72,FALSE))</f>
        <v>0</v>
      </c>
      <c r="AA72" s="117">
        <f>IF(AA68=0,0,VLOOKUP(AA68,FAC_TOTALS_APTA!$A$4:$BD$126,$L72,FALSE))</f>
        <v>0</v>
      </c>
      <c r="AB72" s="117">
        <f>IF(AB68=0,0,VLOOKUP(AB68,FAC_TOTALS_APTA!$A$4:$BD$126,$L72,FALSE))</f>
        <v>0</v>
      </c>
      <c r="AC72" s="121">
        <f t="shared" si="25"/>
        <v>0</v>
      </c>
      <c r="AD72" s="122">
        <f>AC72/G84</f>
        <v>0</v>
      </c>
      <c r="AE72" s="6"/>
    </row>
    <row r="73" spans="1:33" x14ac:dyDescent="0.25">
      <c r="B73" s="25" t="s">
        <v>48</v>
      </c>
      <c r="C73" s="28" t="s">
        <v>21</v>
      </c>
      <c r="D73" s="104" t="s">
        <v>8</v>
      </c>
      <c r="E73" s="55"/>
      <c r="F73" s="6">
        <f>MATCH($D73,FAC_TOTALS_APTA!$A$2:$BD$2,)</f>
        <v>16</v>
      </c>
      <c r="G73" s="117">
        <f>VLOOKUP(G67,FAC_TOTALS_APTA!$A$4:$BD$126,$F73,FALSE)</f>
        <v>625427.99872995203</v>
      </c>
      <c r="H73" s="117">
        <f>VLOOKUP(H67,FAC_TOTALS_APTA!$A$4:$BD$126,$F73,FALSE)</f>
        <v>608223.96752153302</v>
      </c>
      <c r="I73" s="30">
        <f t="shared" si="22"/>
        <v>-2.750761277613889E-2</v>
      </c>
      <c r="J73" s="31" t="str">
        <f t="shared" si="23"/>
        <v>_log</v>
      </c>
      <c r="K73" s="31" t="str">
        <f t="shared" si="24"/>
        <v>POP_EMP_log_FAC</v>
      </c>
      <c r="L73" s="6">
        <f>MATCH($K73,FAC_TOTALS_APTA!$A$2:$BB$2,)</f>
        <v>34</v>
      </c>
      <c r="M73" s="29">
        <f>IF(M67=0,0,VLOOKUP(M67,FAC_TOTALS_APTA!$A$4:$BD$126,$L73,FALSE))</f>
        <v>603056.78578565503</v>
      </c>
      <c r="N73" s="29">
        <f>IF(N67=0,0,VLOOKUP(N67,FAC_TOTALS_APTA!$A$4:$BD$126,$L73,FALSE))</f>
        <v>797603.16454284196</v>
      </c>
      <c r="O73" s="29">
        <f>IF(O67=0,0,VLOOKUP(O67,FAC_TOTALS_APTA!$A$4:$BD$126,$L73,FALSE))</f>
        <v>1246649.6953129801</v>
      </c>
      <c r="P73" s="29">
        <f>IF(P67=0,0,VLOOKUP(P67,FAC_TOTALS_APTA!$A$4:$BD$126,$L73,FALSE))</f>
        <v>1601615.8553827801</v>
      </c>
      <c r="Q73" s="29">
        <f>IF(Q67=0,0,VLOOKUP(Q67,FAC_TOTALS_APTA!$A$4:$BD$126,$L73,FALSE))</f>
        <v>626656.09167142701</v>
      </c>
      <c r="R73" s="29">
        <f>IF(R67=0,0,VLOOKUP(R67,FAC_TOTALS_APTA!$A$4:$BD$126,$L73,FALSE))</f>
        <v>224149.63614407601</v>
      </c>
      <c r="S73" s="29">
        <f>IF(S67=0,0,VLOOKUP(S67,FAC_TOTALS_APTA!$A$4:$BD$126,$L73,FALSE))</f>
        <v>-222967.114686619</v>
      </c>
      <c r="T73" s="29">
        <f>IF(T67=0,0,VLOOKUP(T67,FAC_TOTALS_APTA!$A$4:$BD$126,$L73,FALSE))</f>
        <v>485485.39076213603</v>
      </c>
      <c r="U73" s="29">
        <f>IF(U67=0,0,VLOOKUP(U67,FAC_TOTALS_APTA!$A$4:$BD$126,$L73,FALSE))</f>
        <v>370350.58841328003</v>
      </c>
      <c r="V73" s="29">
        <f>IF(V67=0,0,VLOOKUP(V67,FAC_TOTALS_APTA!$A$4:$BD$126,$L73,FALSE))</f>
        <v>489773.87898028898</v>
      </c>
      <c r="W73" s="29">
        <f>IF(W67=0,0,VLOOKUP(W67,FAC_TOTALS_APTA!$A$4:$BD$126,$L73,FALSE))</f>
        <v>0</v>
      </c>
      <c r="X73" s="29">
        <f>IF(X67=0,0,VLOOKUP(X67,FAC_TOTALS_APTA!$A$4:$BD$126,$L73,FALSE))</f>
        <v>0</v>
      </c>
      <c r="Y73" s="29">
        <f>IF(Y67=0,0,VLOOKUP(Y67,FAC_TOTALS_APTA!$A$4:$BD$126,$L73,FALSE))</f>
        <v>0</v>
      </c>
      <c r="Z73" s="29">
        <f>IF(Z67=0,0,VLOOKUP(Z67,FAC_TOTALS_APTA!$A$4:$BD$126,$L73,FALSE))</f>
        <v>0</v>
      </c>
      <c r="AA73" s="29">
        <f>IF(AA67=0,0,VLOOKUP(AA67,FAC_TOTALS_APTA!$A$4:$BD$126,$L73,FALSE))</f>
        <v>0</v>
      </c>
      <c r="AB73" s="29">
        <f>IF(AB67=0,0,VLOOKUP(AB67,FAC_TOTALS_APTA!$A$4:$BD$126,$L73,FALSE))</f>
        <v>0</v>
      </c>
      <c r="AC73" s="32">
        <f t="shared" si="25"/>
        <v>6222373.9723088481</v>
      </c>
      <c r="AD73" s="33">
        <f>AC73/G83</f>
        <v>5.9015013387577434E-2</v>
      </c>
    </row>
    <row r="74" spans="1:33" x14ac:dyDescent="0.25">
      <c r="B74" s="25" t="s">
        <v>73</v>
      </c>
      <c r="C74" s="28"/>
      <c r="D74" s="104" t="s">
        <v>72</v>
      </c>
      <c r="E74" s="55"/>
      <c r="F74" s="6">
        <f>MATCH($D74,FAC_TOTALS_APTA!$A$2:$BD$2,)</f>
        <v>17</v>
      </c>
      <c r="G74" s="123">
        <f>VLOOKUP(G67,FAC_TOTALS_APTA!$A$4:$BD$126,$F74,FALSE)</f>
        <v>0.24101167174693</v>
      </c>
      <c r="H74" s="123">
        <f>VLOOKUP(H67,FAC_TOTALS_APTA!$A$4:$BD$126,$F74,FALSE)</f>
        <v>0.20287939749310699</v>
      </c>
      <c r="I74" s="30">
        <f t="shared" si="22"/>
        <v>-0.15821754182039416</v>
      </c>
      <c r="J74" s="31" t="str">
        <f t="shared" si="23"/>
        <v/>
      </c>
      <c r="K74" s="31" t="str">
        <f t="shared" si="24"/>
        <v>TSD_POP_EMP_PCT_FAC</v>
      </c>
      <c r="L74" s="6">
        <f>MATCH($K74,FAC_TOTALS_APTA!$A$2:$BB$2,)</f>
        <v>35</v>
      </c>
      <c r="M74" s="29">
        <f>IF(M67=0,0,VLOOKUP(M67,FAC_TOTALS_APTA!$A$4:$BD$126,$L74,FALSE))</f>
        <v>-149998.622044207</v>
      </c>
      <c r="N74" s="29">
        <f>IF(N67=0,0,VLOOKUP(N67,FAC_TOTALS_APTA!$A$4:$BD$126,$L74,FALSE))</f>
        <v>-11717.8473243961</v>
      </c>
      <c r="O74" s="29">
        <f>IF(O67=0,0,VLOOKUP(O67,FAC_TOTALS_APTA!$A$4:$BD$126,$L74,FALSE))</f>
        <v>-370608.15981672902</v>
      </c>
      <c r="P74" s="29">
        <f>IF(P67=0,0,VLOOKUP(P67,FAC_TOTALS_APTA!$A$4:$BD$126,$L74,FALSE))</f>
        <v>-35181.587071080801</v>
      </c>
      <c r="Q74" s="29">
        <f>IF(Q67=0,0,VLOOKUP(Q67,FAC_TOTALS_APTA!$A$4:$BD$126,$L74,FALSE))</f>
        <v>-340143.87342832901</v>
      </c>
      <c r="R74" s="29">
        <f>IF(R67=0,0,VLOOKUP(R67,FAC_TOTALS_APTA!$A$4:$BD$126,$L74,FALSE))</f>
        <v>-427889.08140581101</v>
      </c>
      <c r="S74" s="29">
        <f>IF(S67=0,0,VLOOKUP(S67,FAC_TOTALS_APTA!$A$4:$BD$126,$L74,FALSE))</f>
        <v>703949.37108553399</v>
      </c>
      <c r="T74" s="29">
        <f>IF(T67=0,0,VLOOKUP(T67,FAC_TOTALS_APTA!$A$4:$BD$126,$L74,FALSE))</f>
        <v>277424.94428671198</v>
      </c>
      <c r="U74" s="29">
        <f>IF(U67=0,0,VLOOKUP(U67,FAC_TOTALS_APTA!$A$4:$BD$126,$L74,FALSE))</f>
        <v>-733136.18876095803</v>
      </c>
      <c r="V74" s="29">
        <f>IF(V67=0,0,VLOOKUP(V67,FAC_TOTALS_APTA!$A$4:$BD$126,$L74,FALSE))</f>
        <v>-1203020.45702273</v>
      </c>
      <c r="W74" s="29">
        <f>IF(W67=0,0,VLOOKUP(W67,FAC_TOTALS_APTA!$A$4:$BD$126,$L74,FALSE))</f>
        <v>0</v>
      </c>
      <c r="X74" s="29">
        <f>IF(X67=0,0,VLOOKUP(X67,FAC_TOTALS_APTA!$A$4:$BD$126,$L74,FALSE))</f>
        <v>0</v>
      </c>
      <c r="Y74" s="29">
        <f>IF(Y67=0,0,VLOOKUP(Y67,FAC_TOTALS_APTA!$A$4:$BD$126,$L74,FALSE))</f>
        <v>0</v>
      </c>
      <c r="Z74" s="29">
        <f>IF(Z67=0,0,VLOOKUP(Z67,FAC_TOTALS_APTA!$A$4:$BD$126,$L74,FALSE))</f>
        <v>0</v>
      </c>
      <c r="AA74" s="29">
        <f>IF(AA67=0,0,VLOOKUP(AA67,FAC_TOTALS_APTA!$A$4:$BD$126,$L74,FALSE))</f>
        <v>0</v>
      </c>
      <c r="AB74" s="29">
        <f>IF(AB67=0,0,VLOOKUP(AB67,FAC_TOTALS_APTA!$A$4:$BD$126,$L74,FALSE))</f>
        <v>0</v>
      </c>
      <c r="AC74" s="32">
        <f t="shared" si="25"/>
        <v>-2290321.5015019951</v>
      </c>
      <c r="AD74" s="33">
        <f>AC74/G83</f>
        <v>-2.1722152135906347E-2</v>
      </c>
    </row>
    <row r="75" spans="1:33" x14ac:dyDescent="0.2">
      <c r="B75" s="25" t="s">
        <v>49</v>
      </c>
      <c r="C75" s="28" t="s">
        <v>21</v>
      </c>
      <c r="D75" s="124" t="s">
        <v>82</v>
      </c>
      <c r="E75" s="55"/>
      <c r="F75" s="6">
        <f>MATCH($D75,FAC_TOTALS_APTA!$A$2:$BD$2,)</f>
        <v>18</v>
      </c>
      <c r="G75" s="125">
        <f>VLOOKUP(G67,FAC_TOTALS_APTA!$A$4:$BD$126,$F75,FALSE)</f>
        <v>1.9327110653241599</v>
      </c>
      <c r="H75" s="125">
        <f>VLOOKUP(H67,FAC_TOTALS_APTA!$A$4:$BD$126,$F75,FALSE)</f>
        <v>3.99676458590372</v>
      </c>
      <c r="I75" s="30">
        <f t="shared" si="22"/>
        <v>1.0679576257475252</v>
      </c>
      <c r="J75" s="31" t="str">
        <f t="shared" si="23"/>
        <v>_log</v>
      </c>
      <c r="K75" s="31" t="str">
        <f t="shared" si="24"/>
        <v>GAS_PRICE_2018_log_FAC</v>
      </c>
      <c r="L75" s="6">
        <f>MATCH($K75,FAC_TOTALS_APTA!$A$2:$BB$2,)</f>
        <v>36</v>
      </c>
      <c r="M75" s="29">
        <f>IF(M67=0,0,VLOOKUP(M67,FAC_TOTALS_APTA!$A$4:$BD$126,$L75,FALSE))</f>
        <v>1094902.4705316699</v>
      </c>
      <c r="N75" s="29">
        <f>IF(N67=0,0,VLOOKUP(N67,FAC_TOTALS_APTA!$A$4:$BD$126,$L75,FALSE))</f>
        <v>1481847.3268381499</v>
      </c>
      <c r="O75" s="29">
        <f>IF(O67=0,0,VLOOKUP(O67,FAC_TOTALS_APTA!$A$4:$BD$126,$L75,FALSE))</f>
        <v>2798361.5131083098</v>
      </c>
      <c r="P75" s="29">
        <f>IF(P67=0,0,VLOOKUP(P67,FAC_TOTALS_APTA!$A$4:$BD$126,$L75,FALSE))</f>
        <v>1830390.0911379</v>
      </c>
      <c r="Q75" s="29">
        <f>IF(Q67=0,0,VLOOKUP(Q67,FAC_TOTALS_APTA!$A$4:$BD$126,$L75,FALSE))</f>
        <v>1325623.2282261299</v>
      </c>
      <c r="R75" s="29">
        <f>IF(R67=0,0,VLOOKUP(R67,FAC_TOTALS_APTA!$A$4:$BD$126,$L75,FALSE))</f>
        <v>3188946.4325709199</v>
      </c>
      <c r="S75" s="29">
        <f>IF(S67=0,0,VLOOKUP(S67,FAC_TOTALS_APTA!$A$4:$BD$126,$L75,FALSE))</f>
        <v>-9296950.0291764699</v>
      </c>
      <c r="T75" s="29">
        <f>IF(T67=0,0,VLOOKUP(T67,FAC_TOTALS_APTA!$A$4:$BD$126,$L75,FALSE))</f>
        <v>4477529.0107670398</v>
      </c>
      <c r="U75" s="29">
        <f>IF(U67=0,0,VLOOKUP(U67,FAC_TOTALS_APTA!$A$4:$BD$126,$L75,FALSE))</f>
        <v>6468232.3992128503</v>
      </c>
      <c r="V75" s="29">
        <f>IF(V67=0,0,VLOOKUP(V67,FAC_TOTALS_APTA!$A$4:$BD$126,$L75,FALSE))</f>
        <v>68276.930620733896</v>
      </c>
      <c r="W75" s="29">
        <f>IF(W67=0,0,VLOOKUP(W67,FAC_TOTALS_APTA!$A$4:$BD$126,$L75,FALSE))</f>
        <v>0</v>
      </c>
      <c r="X75" s="29">
        <f>IF(X67=0,0,VLOOKUP(X67,FAC_TOTALS_APTA!$A$4:$BD$126,$L75,FALSE))</f>
        <v>0</v>
      </c>
      <c r="Y75" s="29">
        <f>IF(Y67=0,0,VLOOKUP(Y67,FAC_TOTALS_APTA!$A$4:$BD$126,$L75,FALSE))</f>
        <v>0</v>
      </c>
      <c r="Z75" s="29">
        <f>IF(Z67=0,0,VLOOKUP(Z67,FAC_TOTALS_APTA!$A$4:$BD$126,$L75,FALSE))</f>
        <v>0</v>
      </c>
      <c r="AA75" s="29">
        <f>IF(AA67=0,0,VLOOKUP(AA67,FAC_TOTALS_APTA!$A$4:$BD$126,$L75,FALSE))</f>
        <v>0</v>
      </c>
      <c r="AB75" s="29">
        <f>IF(AB67=0,0,VLOOKUP(AB67,FAC_TOTALS_APTA!$A$4:$BD$126,$L75,FALSE))</f>
        <v>0</v>
      </c>
      <c r="AC75" s="32">
        <f t="shared" si="25"/>
        <v>13437159.373837233</v>
      </c>
      <c r="AD75" s="33">
        <f>AC75/G83</f>
        <v>0.12744237872346506</v>
      </c>
    </row>
    <row r="76" spans="1:33" x14ac:dyDescent="0.2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MATCH($D76,FAC_TOTALS_APTA!$A$2:$BD$2,)</f>
        <v>19</v>
      </c>
      <c r="G76" s="123">
        <f>VLOOKUP(G67,FAC_TOTALS_APTA!$A$4:$BD$126,$F76,FALSE)</f>
        <v>34213.9259747588</v>
      </c>
      <c r="H76" s="123">
        <f>VLOOKUP(H67,FAC_TOTALS_APTA!$A$4:$BD$126,$F76,FALSE)</f>
        <v>25928.146323228299</v>
      </c>
      <c r="I76" s="30">
        <f t="shared" si="22"/>
        <v>-0.24217564677153114</v>
      </c>
      <c r="J76" s="31" t="str">
        <f t="shared" si="23"/>
        <v>_log</v>
      </c>
      <c r="K76" s="31" t="str">
        <f t="shared" si="24"/>
        <v>TOTAL_MED_INC_INDIV_2018_log_FAC</v>
      </c>
      <c r="L76" s="6">
        <f>MATCH($K76,FAC_TOTALS_APTA!$A$2:$BB$2,)</f>
        <v>37</v>
      </c>
      <c r="M76" s="29">
        <f>IF(M67=0,0,VLOOKUP(M67,FAC_TOTALS_APTA!$A$4:$BD$126,$L76,FALSE))</f>
        <v>238794.733529877</v>
      </c>
      <c r="N76" s="29">
        <f>IF(N67=0,0,VLOOKUP(N67,FAC_TOTALS_APTA!$A$4:$BD$126,$L76,FALSE))</f>
        <v>365722.965671991</v>
      </c>
      <c r="O76" s="29">
        <f>IF(O67=0,0,VLOOKUP(O67,FAC_TOTALS_APTA!$A$4:$BD$126,$L76,FALSE))</f>
        <v>458438.35186153499</v>
      </c>
      <c r="P76" s="29">
        <f>IF(P67=0,0,VLOOKUP(P67,FAC_TOTALS_APTA!$A$4:$BD$126,$L76,FALSE))</f>
        <v>768304.957474372</v>
      </c>
      <c r="Q76" s="29">
        <f>IF(Q67=0,0,VLOOKUP(Q67,FAC_TOTALS_APTA!$A$4:$BD$126,$L76,FALSE))</f>
        <v>-187173.08829948399</v>
      </c>
      <c r="R76" s="29">
        <f>IF(R67=0,0,VLOOKUP(R67,FAC_TOTALS_APTA!$A$4:$BD$126,$L76,FALSE))</f>
        <v>-121559.27838309501</v>
      </c>
      <c r="S76" s="29">
        <f>IF(S67=0,0,VLOOKUP(S67,FAC_TOTALS_APTA!$A$4:$BD$126,$L76,FALSE))</f>
        <v>978074.78526260203</v>
      </c>
      <c r="T76" s="29">
        <f>IF(T67=0,0,VLOOKUP(T67,FAC_TOTALS_APTA!$A$4:$BD$126,$L76,FALSE))</f>
        <v>-60883.636981080803</v>
      </c>
      <c r="U76" s="29">
        <f>IF(U67=0,0,VLOOKUP(U67,FAC_TOTALS_APTA!$A$4:$BD$126,$L76,FALSE))</f>
        <v>114271.56979679099</v>
      </c>
      <c r="V76" s="29">
        <f>IF(V67=0,0,VLOOKUP(V67,FAC_TOTALS_APTA!$A$4:$BD$126,$L76,FALSE))</f>
        <v>342342.71775774902</v>
      </c>
      <c r="W76" s="29">
        <f>IF(W67=0,0,VLOOKUP(W67,FAC_TOTALS_APTA!$A$4:$BD$126,$L76,FALSE))</f>
        <v>0</v>
      </c>
      <c r="X76" s="29">
        <f>IF(X67=0,0,VLOOKUP(X67,FAC_TOTALS_APTA!$A$4:$BD$126,$L76,FALSE))</f>
        <v>0</v>
      </c>
      <c r="Y76" s="29">
        <f>IF(Y67=0,0,VLOOKUP(Y67,FAC_TOTALS_APTA!$A$4:$BD$126,$L76,FALSE))</f>
        <v>0</v>
      </c>
      <c r="Z76" s="29">
        <f>IF(Z67=0,0,VLOOKUP(Z67,FAC_TOTALS_APTA!$A$4:$BD$126,$L76,FALSE))</f>
        <v>0</v>
      </c>
      <c r="AA76" s="29">
        <f>IF(AA67=0,0,VLOOKUP(AA67,FAC_TOTALS_APTA!$A$4:$BD$126,$L76,FALSE))</f>
        <v>0</v>
      </c>
      <c r="AB76" s="29">
        <f>IF(AB67=0,0,VLOOKUP(AB67,FAC_TOTALS_APTA!$A$4:$BD$126,$L76,FALSE))</f>
        <v>0</v>
      </c>
      <c r="AC76" s="32">
        <f t="shared" si="25"/>
        <v>2896334.077691257</v>
      </c>
      <c r="AD76" s="33">
        <f>AC76/G83</f>
        <v>2.7469772008322853E-2</v>
      </c>
    </row>
    <row r="77" spans="1:33" x14ac:dyDescent="0.25">
      <c r="B77" s="25" t="s">
        <v>62</v>
      </c>
      <c r="C77" s="28"/>
      <c r="D77" s="104" t="s">
        <v>9</v>
      </c>
      <c r="E77" s="55"/>
      <c r="F77" s="6">
        <f>MATCH($D77,FAC_TOTALS_APTA!$A$2:$BD$2,)</f>
        <v>20</v>
      </c>
      <c r="G77" s="117">
        <f>VLOOKUP(G67,FAC_TOTALS_APTA!$A$4:$BD$126,$F77,FALSE)</f>
        <v>6.6866462964353799</v>
      </c>
      <c r="H77" s="117">
        <f>VLOOKUP(H67,FAC_TOTALS_APTA!$A$4:$BD$126,$F77,FALSE)</f>
        <v>7.33093904795337</v>
      </c>
      <c r="I77" s="30">
        <f t="shared" si="22"/>
        <v>9.6355141719019821E-2</v>
      </c>
      <c r="J77" s="31" t="str">
        <f t="shared" si="23"/>
        <v/>
      </c>
      <c r="K77" s="31" t="str">
        <f t="shared" si="24"/>
        <v>PCT_HH_NO_VEH_FAC</v>
      </c>
      <c r="L77" s="6">
        <f>MATCH($K77,FAC_TOTALS_APTA!$A$2:$BB$2,)</f>
        <v>38</v>
      </c>
      <c r="M77" s="29">
        <f>IF(M67=0,0,VLOOKUP(M67,FAC_TOTALS_APTA!$A$4:$BD$126,$L77,FALSE))</f>
        <v>27216.1696971007</v>
      </c>
      <c r="N77" s="29">
        <f>IF(N67=0,0,VLOOKUP(N67,FAC_TOTALS_APTA!$A$4:$BD$126,$L77,FALSE))</f>
        <v>22408.771499434701</v>
      </c>
      <c r="O77" s="29">
        <f>IF(O67=0,0,VLOOKUP(O67,FAC_TOTALS_APTA!$A$4:$BD$126,$L77,FALSE))</f>
        <v>31633.821974726801</v>
      </c>
      <c r="P77" s="29">
        <f>IF(P67=0,0,VLOOKUP(P67,FAC_TOTALS_APTA!$A$4:$BD$126,$L77,FALSE))</f>
        <v>45806.906894689302</v>
      </c>
      <c r="Q77" s="29">
        <f>IF(Q67=0,0,VLOOKUP(Q67,FAC_TOTALS_APTA!$A$4:$BD$126,$L77,FALSE))</f>
        <v>42170.932212345098</v>
      </c>
      <c r="R77" s="29">
        <f>IF(R67=0,0,VLOOKUP(R67,FAC_TOTALS_APTA!$A$4:$BD$126,$L77,FALSE))</f>
        <v>-13058.654078724399</v>
      </c>
      <c r="S77" s="29">
        <f>IF(S67=0,0,VLOOKUP(S67,FAC_TOTALS_APTA!$A$4:$BD$126,$L77,FALSE))</f>
        <v>46970.136867890098</v>
      </c>
      <c r="T77" s="29">
        <f>IF(T67=0,0,VLOOKUP(T67,FAC_TOTALS_APTA!$A$4:$BD$126,$L77,FALSE))</f>
        <v>146018.878183208</v>
      </c>
      <c r="U77" s="29">
        <f>IF(U67=0,0,VLOOKUP(U67,FAC_TOTALS_APTA!$A$4:$BD$126,$L77,FALSE))</f>
        <v>52614.545562815802</v>
      </c>
      <c r="V77" s="29">
        <f>IF(V67=0,0,VLOOKUP(V67,FAC_TOTALS_APTA!$A$4:$BD$126,$L77,FALSE))</f>
        <v>-67834.095583404604</v>
      </c>
      <c r="W77" s="29">
        <f>IF(W67=0,0,VLOOKUP(W67,FAC_TOTALS_APTA!$A$4:$BD$126,$L77,FALSE))</f>
        <v>0</v>
      </c>
      <c r="X77" s="29">
        <f>IF(X67=0,0,VLOOKUP(X67,FAC_TOTALS_APTA!$A$4:$BD$126,$L77,FALSE))</f>
        <v>0</v>
      </c>
      <c r="Y77" s="29">
        <f>IF(Y67=0,0,VLOOKUP(Y67,FAC_TOTALS_APTA!$A$4:$BD$126,$L77,FALSE))</f>
        <v>0</v>
      </c>
      <c r="Z77" s="29">
        <f>IF(Z67=0,0,VLOOKUP(Z67,FAC_TOTALS_APTA!$A$4:$BD$126,$L77,FALSE))</f>
        <v>0</v>
      </c>
      <c r="AA77" s="29">
        <f>IF(AA67=0,0,VLOOKUP(AA67,FAC_TOTALS_APTA!$A$4:$BD$126,$L77,FALSE))</f>
        <v>0</v>
      </c>
      <c r="AB77" s="29">
        <f>IF(AB67=0,0,VLOOKUP(AB67,FAC_TOTALS_APTA!$A$4:$BD$126,$L77,FALSE))</f>
        <v>0</v>
      </c>
      <c r="AC77" s="32">
        <f t="shared" si="25"/>
        <v>333947.41323008155</v>
      </c>
      <c r="AD77" s="33">
        <f>AC77/G83</f>
        <v>3.1672656047716436E-3</v>
      </c>
    </row>
    <row r="78" spans="1:33" x14ac:dyDescent="0.25">
      <c r="B78" s="25" t="s">
        <v>47</v>
      </c>
      <c r="C78" s="28"/>
      <c r="D78" s="104" t="s">
        <v>28</v>
      </c>
      <c r="E78" s="55"/>
      <c r="F78" s="6">
        <f>MATCH($D78,FAC_TOTALS_APTA!$A$2:$BD$2,)</f>
        <v>21</v>
      </c>
      <c r="G78" s="125">
        <f>VLOOKUP(G67,FAC_TOTALS_APTA!$A$4:$BD$126,$F78,FALSE)</f>
        <v>3.3043487636261699</v>
      </c>
      <c r="H78" s="125">
        <f>VLOOKUP(H67,FAC_TOTALS_APTA!$A$4:$BD$126,$F78,FALSE)</f>
        <v>3.7964745491418501</v>
      </c>
      <c r="I78" s="30">
        <f t="shared" si="22"/>
        <v>0.14893276125478505</v>
      </c>
      <c r="J78" s="31" t="str">
        <f t="shared" si="23"/>
        <v/>
      </c>
      <c r="K78" s="31" t="str">
        <f t="shared" si="24"/>
        <v>JTW_HOME_PCT_FAC</v>
      </c>
      <c r="L78" s="6">
        <f>MATCH($K78,FAC_TOTALS_APTA!$A$2:$BB$2,)</f>
        <v>39</v>
      </c>
      <c r="M78" s="29">
        <f>IF(M67=0,0,VLOOKUP(M67,FAC_TOTALS_APTA!$A$4:$BD$126,$L78,FALSE))</f>
        <v>0</v>
      </c>
      <c r="N78" s="29">
        <f>IF(N67=0,0,VLOOKUP(N67,FAC_TOTALS_APTA!$A$4:$BD$126,$L78,FALSE))</f>
        <v>0</v>
      </c>
      <c r="O78" s="29">
        <f>IF(O67=0,0,VLOOKUP(O67,FAC_TOTALS_APTA!$A$4:$BD$126,$L78,FALSE))</f>
        <v>0</v>
      </c>
      <c r="P78" s="29">
        <f>IF(P67=0,0,VLOOKUP(P67,FAC_TOTALS_APTA!$A$4:$BD$126,$L78,FALSE))</f>
        <v>-465907.27640573098</v>
      </c>
      <c r="Q78" s="29">
        <f>IF(Q67=0,0,VLOOKUP(Q67,FAC_TOTALS_APTA!$A$4:$BD$126,$L78,FALSE))</f>
        <v>-242001.09571344499</v>
      </c>
      <c r="R78" s="29">
        <f>IF(R67=0,0,VLOOKUP(R67,FAC_TOTALS_APTA!$A$4:$BD$126,$L78,FALSE))</f>
        <v>57244.615807169801</v>
      </c>
      <c r="S78" s="29">
        <f>IF(S67=0,0,VLOOKUP(S67,FAC_TOTALS_APTA!$A$4:$BD$126,$L78,FALSE))</f>
        <v>78355.445944563704</v>
      </c>
      <c r="T78" s="29">
        <f>IF(T67=0,0,VLOOKUP(T67,FAC_TOTALS_APTA!$A$4:$BD$126,$L78,FALSE))</f>
        <v>-621733.18623941601</v>
      </c>
      <c r="U78" s="29">
        <f>IF(U67=0,0,VLOOKUP(U67,FAC_TOTALS_APTA!$A$4:$BD$126,$L78,FALSE))</f>
        <v>188725.621204177</v>
      </c>
      <c r="V78" s="29">
        <f>IF(V67=0,0,VLOOKUP(V67,FAC_TOTALS_APTA!$A$4:$BD$126,$L78,FALSE))</f>
        <v>266999.03489283897</v>
      </c>
      <c r="W78" s="29">
        <f>IF(W67=0,0,VLOOKUP(W67,FAC_TOTALS_APTA!$A$4:$BD$126,$L78,FALSE))</f>
        <v>0</v>
      </c>
      <c r="X78" s="29">
        <f>IF(X67=0,0,VLOOKUP(X67,FAC_TOTALS_APTA!$A$4:$BD$126,$L78,FALSE))</f>
        <v>0</v>
      </c>
      <c r="Y78" s="29">
        <f>IF(Y67=0,0,VLOOKUP(Y67,FAC_TOTALS_APTA!$A$4:$BD$126,$L78,FALSE))</f>
        <v>0</v>
      </c>
      <c r="Z78" s="29">
        <f>IF(Z67=0,0,VLOOKUP(Z67,FAC_TOTALS_APTA!$A$4:$BD$126,$L78,FALSE))</f>
        <v>0</v>
      </c>
      <c r="AA78" s="29">
        <f>IF(AA67=0,0,VLOOKUP(AA67,FAC_TOTALS_APTA!$A$4:$BD$126,$L78,FALSE))</f>
        <v>0</v>
      </c>
      <c r="AB78" s="29">
        <f>IF(AB67=0,0,VLOOKUP(AB67,FAC_TOTALS_APTA!$A$4:$BD$126,$L78,FALSE))</f>
        <v>0</v>
      </c>
      <c r="AC78" s="32">
        <f t="shared" si="25"/>
        <v>-738316.84050984238</v>
      </c>
      <c r="AD78" s="33">
        <f>AC78/G83</f>
        <v>-7.0024364367792351E-3</v>
      </c>
    </row>
    <row r="79" spans="1:33" x14ac:dyDescent="0.25">
      <c r="B79" s="25" t="s">
        <v>63</v>
      </c>
      <c r="C79" s="28"/>
      <c r="D79" s="126" t="s">
        <v>90</v>
      </c>
      <c r="E79" s="55"/>
      <c r="F79" s="6">
        <f>MATCH($D79,FAC_TOTALS_APTA!$A$2:$BD$2,)</f>
        <v>25</v>
      </c>
      <c r="G79" s="125">
        <f>VLOOKUP(G67,FAC_TOTALS_APTA!$A$4:$BD$126,$F79,FALSE)</f>
        <v>0</v>
      </c>
      <c r="H79" s="125">
        <f>VLOOKUP(H67,FAC_TOTALS_APTA!$A$4:$BD$126,$F79,FALSE)</f>
        <v>0</v>
      </c>
      <c r="I79" s="30" t="str">
        <f t="shared" si="22"/>
        <v>-</v>
      </c>
      <c r="J79" s="31" t="str">
        <f t="shared" si="23"/>
        <v/>
      </c>
      <c r="K79" s="31" t="str">
        <f t="shared" si="24"/>
        <v>YEARS_SINCE_TNC_BUS_MIDLOW_FAC</v>
      </c>
      <c r="L79" s="6">
        <f>MATCH($K79,FAC_TOTALS_APTA!$A$2:$BB$2,)</f>
        <v>43</v>
      </c>
      <c r="M79" s="29">
        <f>IF(M67=0,0,VLOOKUP(M67,FAC_TOTALS_APTA!$A$4:$BD$126,$L79,FALSE))</f>
        <v>0</v>
      </c>
      <c r="N79" s="29">
        <f>IF(N67=0,0,VLOOKUP(N67,FAC_TOTALS_APTA!$A$4:$BD$126,$L79,FALSE))</f>
        <v>0</v>
      </c>
      <c r="O79" s="29">
        <f>IF(O67=0,0,VLOOKUP(O67,FAC_TOTALS_APTA!$A$4:$BD$126,$L79,FALSE))</f>
        <v>0</v>
      </c>
      <c r="P79" s="29">
        <f>IF(P67=0,0,VLOOKUP(P67,FAC_TOTALS_APTA!$A$4:$BD$126,$L79,FALSE))</f>
        <v>0</v>
      </c>
      <c r="Q79" s="29">
        <f>IF(Q67=0,0,VLOOKUP(Q67,FAC_TOTALS_APTA!$A$4:$BD$126,$L79,FALSE))</f>
        <v>0</v>
      </c>
      <c r="R79" s="29">
        <f>IF(R67=0,0,VLOOKUP(R67,FAC_TOTALS_APTA!$A$4:$BD$126,$L79,FALSE))</f>
        <v>0</v>
      </c>
      <c r="S79" s="29">
        <f>IF(S67=0,0,VLOOKUP(S67,FAC_TOTALS_APTA!$A$4:$BD$126,$L79,FALSE))</f>
        <v>0</v>
      </c>
      <c r="T79" s="29">
        <f>IF(T67=0,0,VLOOKUP(T67,FAC_TOTALS_APTA!$A$4:$BD$126,$L79,FALSE))</f>
        <v>0</v>
      </c>
      <c r="U79" s="29">
        <f>IF(U67=0,0,VLOOKUP(U67,FAC_TOTALS_APTA!$A$4:$BD$126,$L79,FALSE))</f>
        <v>0</v>
      </c>
      <c r="V79" s="29">
        <f>IF(V67=0,0,VLOOKUP(V67,FAC_TOTALS_APTA!$A$4:$BD$126,$L79,FALSE))</f>
        <v>0</v>
      </c>
      <c r="W79" s="29">
        <f>IF(W67=0,0,VLOOKUP(W67,FAC_TOTALS_APTA!$A$4:$BD$126,$L79,FALSE))</f>
        <v>0</v>
      </c>
      <c r="X79" s="29">
        <f>IF(X67=0,0,VLOOKUP(X67,FAC_TOTALS_APTA!$A$4:$BD$126,$L79,FALSE))</f>
        <v>0</v>
      </c>
      <c r="Y79" s="29">
        <f>IF(Y67=0,0,VLOOKUP(Y67,FAC_TOTALS_APTA!$A$4:$BD$126,$L79,FALSE))</f>
        <v>0</v>
      </c>
      <c r="Z79" s="29">
        <f>IF(Z67=0,0,VLOOKUP(Z67,FAC_TOTALS_APTA!$A$4:$BD$126,$L79,FALSE))</f>
        <v>0</v>
      </c>
      <c r="AA79" s="29">
        <f>IF(AA67=0,0,VLOOKUP(AA67,FAC_TOTALS_APTA!$A$4:$BD$126,$L79,FALSE))</f>
        <v>0</v>
      </c>
      <c r="AB79" s="29">
        <f>IF(AB67=0,0,VLOOKUP(AB67,FAC_TOTALS_APTA!$A$4:$BD$126,$L79,FALSE))</f>
        <v>0</v>
      </c>
      <c r="AC79" s="32">
        <f t="shared" si="25"/>
        <v>0</v>
      </c>
      <c r="AD79" s="33">
        <f>AC79/G83</f>
        <v>0</v>
      </c>
    </row>
    <row r="80" spans="1:33" x14ac:dyDescent="0.25">
      <c r="B80" s="25" t="s">
        <v>64</v>
      </c>
      <c r="C80" s="28"/>
      <c r="D80" s="104" t="s">
        <v>43</v>
      </c>
      <c r="E80" s="55"/>
      <c r="F80" s="6">
        <f>MATCH($D80,FAC_TOTALS_APTA!$A$2:$BD$2,)</f>
        <v>28</v>
      </c>
      <c r="G80" s="125">
        <f>VLOOKUP(G67,FAC_TOTALS_APTA!$A$4:$BD$126,$F80,FALSE)</f>
        <v>3.0372520728264501E-2</v>
      </c>
      <c r="H80" s="125">
        <f>VLOOKUP(H67,FAC_TOTALS_APTA!$A$4:$BD$126,$F80,FALSE)</f>
        <v>3.8681875663871497E-2</v>
      </c>
      <c r="I80" s="30">
        <f t="shared" si="22"/>
        <v>0.27358134051331318</v>
      </c>
      <c r="J80" s="31" t="str">
        <f t="shared" ref="J80:J81" si="26">IF(C80="Log","_log","")</f>
        <v/>
      </c>
      <c r="K80" s="31" t="str">
        <f t="shared" si="24"/>
        <v>BIKE_SHARE_FAC</v>
      </c>
      <c r="L80" s="6">
        <f>MATCH($K80,FAC_TOTALS_APTA!$A$2:$BB$2,)</f>
        <v>46</v>
      </c>
      <c r="M80" s="29">
        <f>IF(M67=0,0,VLOOKUP(M67,FAC_TOTALS_APTA!$A$4:$BD$126,$L80,FALSE))</f>
        <v>0</v>
      </c>
      <c r="N80" s="29">
        <f>IF(N67=0,0,VLOOKUP(N67,FAC_TOTALS_APTA!$A$4:$BD$126,$L80,FALSE))</f>
        <v>0</v>
      </c>
      <c r="O80" s="29">
        <f>IF(O67=0,0,VLOOKUP(O67,FAC_TOTALS_APTA!$A$4:$BD$126,$L80,FALSE))</f>
        <v>0</v>
      </c>
      <c r="P80" s="29">
        <f>IF(P67=0,0,VLOOKUP(P67,FAC_TOTALS_APTA!$A$4:$BD$126,$L80,FALSE))</f>
        <v>0</v>
      </c>
      <c r="Q80" s="29">
        <f>IF(Q67=0,0,VLOOKUP(Q67,FAC_TOTALS_APTA!$A$4:$BD$126,$L80,FALSE))</f>
        <v>0</v>
      </c>
      <c r="R80" s="29">
        <f>IF(R67=0,0,VLOOKUP(R67,FAC_TOTALS_APTA!$A$4:$BD$126,$L80,FALSE))</f>
        <v>0</v>
      </c>
      <c r="S80" s="29">
        <f>IF(S67=0,0,VLOOKUP(S67,FAC_TOTALS_APTA!$A$4:$BD$126,$L80,FALSE))</f>
        <v>0</v>
      </c>
      <c r="T80" s="29">
        <f>IF(T67=0,0,VLOOKUP(T67,FAC_TOTALS_APTA!$A$4:$BD$126,$L80,FALSE))</f>
        <v>-45409.698275823503</v>
      </c>
      <c r="U80" s="29">
        <f>IF(U67=0,0,VLOOKUP(U67,FAC_TOTALS_APTA!$A$4:$BD$126,$L80,FALSE))</f>
        <v>0</v>
      </c>
      <c r="V80" s="29">
        <f>IF(V67=0,0,VLOOKUP(V67,FAC_TOTALS_APTA!$A$4:$BD$126,$L80,FALSE))</f>
        <v>-29481.8343631891</v>
      </c>
      <c r="W80" s="29">
        <f>IF(W67=0,0,VLOOKUP(W67,FAC_TOTALS_APTA!$A$4:$BD$126,$L80,FALSE))</f>
        <v>0</v>
      </c>
      <c r="X80" s="29">
        <f>IF(X67=0,0,VLOOKUP(X67,FAC_TOTALS_APTA!$A$4:$BD$126,$L80,FALSE))</f>
        <v>0</v>
      </c>
      <c r="Y80" s="29">
        <f>IF(Y67=0,0,VLOOKUP(Y67,FAC_TOTALS_APTA!$A$4:$BD$126,$L80,FALSE))</f>
        <v>0</v>
      </c>
      <c r="Z80" s="29">
        <f>IF(Z67=0,0,VLOOKUP(Z67,FAC_TOTALS_APTA!$A$4:$BD$126,$L80,FALSE))</f>
        <v>0</v>
      </c>
      <c r="AA80" s="29">
        <f>IF(AA67=0,0,VLOOKUP(AA67,FAC_TOTALS_APTA!$A$4:$BD$126,$L80,FALSE))</f>
        <v>0</v>
      </c>
      <c r="AB80" s="29">
        <f>IF(AB67=0,0,VLOOKUP(AB67,FAC_TOTALS_APTA!$A$4:$BD$126,$L80,FALSE))</f>
        <v>0</v>
      </c>
      <c r="AC80" s="32">
        <f t="shared" si="25"/>
        <v>-74891.532639012599</v>
      </c>
      <c r="AD80" s="33">
        <f>AC80/G83</f>
        <v>-7.1029559151803226E-4</v>
      </c>
      <c r="AG80" s="53"/>
    </row>
    <row r="81" spans="1:31" x14ac:dyDescent="0.25">
      <c r="B81" s="8" t="s">
        <v>65</v>
      </c>
      <c r="C81" s="27"/>
      <c r="D81" s="129" t="s">
        <v>44</v>
      </c>
      <c r="E81" s="56"/>
      <c r="F81" s="7">
        <f>MATCH($D81,FAC_TOTALS_APTA!$A$2:$BD$2,)</f>
        <v>29</v>
      </c>
      <c r="G81" s="131">
        <f>VLOOKUP(G67,FAC_TOTALS_APTA!$A$4:$BD$126,$F81,FALSE)</f>
        <v>0</v>
      </c>
      <c r="H81" s="131">
        <f>VLOOKUP(H67,FAC_TOTALS_APTA!$A$4:$BD$126,$F81,FALSE)</f>
        <v>0</v>
      </c>
      <c r="I81" s="36" t="str">
        <f t="shared" si="22"/>
        <v>-</v>
      </c>
      <c r="J81" s="37" t="str">
        <f t="shared" si="26"/>
        <v/>
      </c>
      <c r="K81" s="37" t="str">
        <f t="shared" si="24"/>
        <v>scooter_flag_FAC</v>
      </c>
      <c r="L81" s="7">
        <f>MATCH($K81,FAC_TOTALS_APTA!$A$2:$BB$2,)</f>
        <v>47</v>
      </c>
      <c r="M81" s="38">
        <f>IF(M67=0,0,VLOOKUP(M67,FAC_TOTALS_APTA!$A$4:$BD$126,$L81,FALSE))</f>
        <v>0</v>
      </c>
      <c r="N81" s="38">
        <f>IF(N67=0,0,VLOOKUP(N67,FAC_TOTALS_APTA!$A$4:$BD$126,$L81,FALSE))</f>
        <v>0</v>
      </c>
      <c r="O81" s="38">
        <f>IF(O67=0,0,VLOOKUP(O67,FAC_TOTALS_APTA!$A$4:$BD$126,$L81,FALSE))</f>
        <v>0</v>
      </c>
      <c r="P81" s="38">
        <f>IF(P67=0,0,VLOOKUP(P67,FAC_TOTALS_APTA!$A$4:$BD$126,$L81,FALSE))</f>
        <v>0</v>
      </c>
      <c r="Q81" s="38">
        <f>IF(Q67=0,0,VLOOKUP(Q67,FAC_TOTALS_APTA!$A$4:$BD$126,$L81,FALSE))</f>
        <v>0</v>
      </c>
      <c r="R81" s="38">
        <f>IF(R67=0,0,VLOOKUP(R67,FAC_TOTALS_APTA!$A$4:$BD$126,$L81,FALSE))</f>
        <v>0</v>
      </c>
      <c r="S81" s="38">
        <f>IF(S67=0,0,VLOOKUP(S67,FAC_TOTALS_APTA!$A$4:$BD$126,$L81,FALSE))</f>
        <v>0</v>
      </c>
      <c r="T81" s="38">
        <f>IF(T67=0,0,VLOOKUP(T67,FAC_TOTALS_APTA!$A$4:$BD$126,$L81,FALSE))</f>
        <v>0</v>
      </c>
      <c r="U81" s="38">
        <f>IF(U67=0,0,VLOOKUP(U67,FAC_TOTALS_APTA!$A$4:$BD$126,$L81,FALSE))</f>
        <v>0</v>
      </c>
      <c r="V81" s="38">
        <f>IF(V67=0,0,VLOOKUP(V67,FAC_TOTALS_APTA!$A$4:$BD$126,$L81,FALSE))</f>
        <v>0</v>
      </c>
      <c r="W81" s="38">
        <f>IF(W67=0,0,VLOOKUP(W67,FAC_TOTALS_APTA!$A$4:$BD$126,$L81,FALSE))</f>
        <v>0</v>
      </c>
      <c r="X81" s="38">
        <f>IF(X67=0,0,VLOOKUP(X67,FAC_TOTALS_APTA!$A$4:$BD$126,$L81,FALSE))</f>
        <v>0</v>
      </c>
      <c r="Y81" s="38">
        <f>IF(Y67=0,0,VLOOKUP(Y67,FAC_TOTALS_APTA!$A$4:$BD$126,$L81,FALSE))</f>
        <v>0</v>
      </c>
      <c r="Z81" s="38">
        <f>IF(Z67=0,0,VLOOKUP(Z67,FAC_TOTALS_APTA!$A$4:$BD$126,$L81,FALSE))</f>
        <v>0</v>
      </c>
      <c r="AA81" s="38">
        <f>IF(AA67=0,0,VLOOKUP(AA67,FAC_TOTALS_APTA!$A$4:$BD$126,$L81,FALSE))</f>
        <v>0</v>
      </c>
      <c r="AB81" s="38">
        <f>IF(AB67=0,0,VLOOKUP(AB67,FAC_TOTALS_APTA!$A$4:$BD$126,$L81,FALSE))</f>
        <v>0</v>
      </c>
      <c r="AC81" s="39">
        <f t="shared" si="25"/>
        <v>0</v>
      </c>
      <c r="AD81" s="40">
        <f>AC81/G83</f>
        <v>0</v>
      </c>
    </row>
    <row r="82" spans="1:31" x14ac:dyDescent="0.2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si="24"/>
        <v>New_Reporter_FAC</v>
      </c>
      <c r="L82" s="44">
        <f>MATCH($K82,FAC_TOTALS_APTA!$A$2:$BB$2,)</f>
        <v>51</v>
      </c>
      <c r="M82" s="45">
        <f>IF(M67=0,0,VLOOKUP(M67,FAC_TOTALS_APTA!$A$4:$BD$126,$L82,FALSE))</f>
        <v>13655748</v>
      </c>
      <c r="N82" s="45">
        <f>IF(N67=0,0,VLOOKUP(N67,FAC_TOTALS_APTA!$A$4:$BD$126,$L82,FALSE))</f>
        <v>44950739</v>
      </c>
      <c r="O82" s="45">
        <f>IF(O67=0,0,VLOOKUP(O67,FAC_TOTALS_APTA!$A$4:$BD$126,$L82,FALSE))</f>
        <v>27514218</v>
      </c>
      <c r="P82" s="45">
        <f>IF(P67=0,0,VLOOKUP(P67,FAC_TOTALS_APTA!$A$4:$BD$126,$L82,FALSE))</f>
        <v>26468097.999999899</v>
      </c>
      <c r="Q82" s="45">
        <f>IF(Q67=0,0,VLOOKUP(Q67,FAC_TOTALS_APTA!$A$4:$BD$126,$L82,FALSE))</f>
        <v>12183549</v>
      </c>
      <c r="R82" s="45">
        <f>IF(R67=0,0,VLOOKUP(R67,FAC_TOTALS_APTA!$A$4:$BD$126,$L82,FALSE))</f>
        <v>4015598.9999999902</v>
      </c>
      <c r="S82" s="45">
        <f>IF(S67=0,0,VLOOKUP(S67,FAC_TOTALS_APTA!$A$4:$BD$126,$L82,FALSE))</f>
        <v>13248340.999999899</v>
      </c>
      <c r="T82" s="45">
        <f>IF(T67=0,0,VLOOKUP(T67,FAC_TOTALS_APTA!$A$4:$BD$126,$L82,FALSE))</f>
        <v>1770537</v>
      </c>
      <c r="U82" s="45">
        <f>IF(U67=0,0,VLOOKUP(U67,FAC_TOTALS_APTA!$A$4:$BD$126,$L82,FALSE))</f>
        <v>1273013.99999999</v>
      </c>
      <c r="V82" s="45">
        <f>IF(V67=0,0,VLOOKUP(V67,FAC_TOTALS_APTA!$A$4:$BD$126,$L82,FALSE))</f>
        <v>6209327.9999999898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>
        <f>SUM(M82:AB82)</f>
        <v>151289170.99999979</v>
      </c>
      <c r="AD82" s="49">
        <f>AC82/G84</f>
        <v>1.6204595660936241</v>
      </c>
    </row>
    <row r="83" spans="1:31" s="107" customFormat="1" ht="15.75" customHeigh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7">
        <f>VLOOKUP(G67,FAC_TOTALS_APTA!$A$4:$BD$126,$F83,FALSE)</f>
        <v>105437135.656376</v>
      </c>
      <c r="H83" s="117">
        <f>VLOOKUP(H67,FAC_TOTALS_APTA!$A$4:$BB$126,$F83,FALSE)</f>
        <v>308203651.52852601</v>
      </c>
      <c r="I83" s="112">
        <f t="shared" ref="I83" si="27">H83/G83-1</f>
        <v>1.9231034171202688</v>
      </c>
      <c r="J83" s="31"/>
      <c r="K83" s="31"/>
      <c r="L83" s="6"/>
      <c r="M83" s="29">
        <f t="shared" ref="M83:AB83" si="28">SUM(M69:M76)</f>
        <v>2692055.5606343509</v>
      </c>
      <c r="N83" s="29">
        <f t="shared" si="28"/>
        <v>3983927.5939977821</v>
      </c>
      <c r="O83" s="29">
        <f t="shared" si="28"/>
        <v>3203309.2761762482</v>
      </c>
      <c r="P83" s="29">
        <f t="shared" si="28"/>
        <v>6694600.4097581552</v>
      </c>
      <c r="Q83" s="29">
        <f t="shared" si="28"/>
        <v>4725264.8242959986</v>
      </c>
      <c r="R83" s="29">
        <f t="shared" si="28"/>
        <v>5660573.3473339202</v>
      </c>
      <c r="S83" s="29">
        <f t="shared" si="28"/>
        <v>-10494731.471496634</v>
      </c>
      <c r="T83" s="29">
        <f t="shared" si="28"/>
        <v>7144305.7589025572</v>
      </c>
      <c r="U83" s="29">
        <f t="shared" si="28"/>
        <v>8584491.393597668</v>
      </c>
      <c r="V83" s="29">
        <f t="shared" si="28"/>
        <v>-104642.86160811514</v>
      </c>
      <c r="W83" s="29">
        <f t="shared" si="28"/>
        <v>0</v>
      </c>
      <c r="X83" s="29">
        <f t="shared" si="28"/>
        <v>0</v>
      </c>
      <c r="Y83" s="29">
        <f t="shared" si="28"/>
        <v>0</v>
      </c>
      <c r="Z83" s="29">
        <f t="shared" si="28"/>
        <v>0</v>
      </c>
      <c r="AA83" s="29">
        <f t="shared" si="28"/>
        <v>0</v>
      </c>
      <c r="AB83" s="29">
        <f t="shared" si="28"/>
        <v>0</v>
      </c>
      <c r="AC83" s="32">
        <f>H83-G83</f>
        <v>202766515.87215</v>
      </c>
      <c r="AD83" s="33">
        <f>I83</f>
        <v>1.9231034171202688</v>
      </c>
      <c r="AE83" s="106"/>
    </row>
    <row r="84" spans="1:31" ht="13.5" customHeight="1" thickBot="1" x14ac:dyDescent="0.3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4">
        <f>VLOOKUP(G67,FAC_TOTALS_APTA!$A$4:$BB$126,$F84,FALSE)</f>
        <v>93361892</v>
      </c>
      <c r="H84" s="114">
        <f>VLOOKUP(H67,FAC_TOTALS_APTA!$A$4:$BB$126,$F84,FALSE)</f>
        <v>308556319.99999899</v>
      </c>
      <c r="I84" s="113">
        <f t="shared" ref="I84" si="29">H84/G84-1</f>
        <v>2.3049493041550506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215194427.99999899</v>
      </c>
      <c r="AD84" s="52">
        <f>I84</f>
        <v>2.3049493041550506</v>
      </c>
    </row>
    <row r="85" spans="1:31" ht="14.25" thickTop="1" thickBot="1" x14ac:dyDescent="0.3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0.38184588703478184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76" t="s">
        <v>51</v>
      </c>
      <c r="H92" s="176"/>
      <c r="I92" s="176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176" t="s">
        <v>55</v>
      </c>
      <c r="AD92" s="176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2002</v>
      </c>
      <c r="H93" s="128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0_10_2002</v>
      </c>
      <c r="H95" s="104" t="str">
        <f>CONCATENATE($C90,"_",$C91,"_",H93)</f>
        <v>0_10_2012</v>
      </c>
      <c r="I95" s="28"/>
      <c r="J95" s="6"/>
      <c r="K95" s="6"/>
      <c r="L95" s="6"/>
      <c r="M95" s="6" t="str">
        <f>IF($G93+M94&gt;$H93,0,CONCATENATE($C90,"_",$C91,"_",$G93+M94))</f>
        <v>0_10_2003</v>
      </c>
      <c r="N95" s="6" t="str">
        <f t="shared" ref="N95:AB95" si="30">IF($G93+N94&gt;$H93,0,CONCATENATE($C90,"_",$C91,"_",$G93+N94))</f>
        <v>0_10_2004</v>
      </c>
      <c r="O95" s="6" t="str">
        <f t="shared" si="30"/>
        <v>0_10_2005</v>
      </c>
      <c r="P95" s="6" t="str">
        <f t="shared" si="30"/>
        <v>0_10_2006</v>
      </c>
      <c r="Q95" s="6" t="str">
        <f t="shared" si="30"/>
        <v>0_10_2007</v>
      </c>
      <c r="R95" s="6" t="str">
        <f t="shared" si="30"/>
        <v>0_10_2008</v>
      </c>
      <c r="S95" s="6" t="str">
        <f t="shared" si="30"/>
        <v>0_10_2009</v>
      </c>
      <c r="T95" s="6" t="str">
        <f t="shared" si="30"/>
        <v>0_10_2010</v>
      </c>
      <c r="U95" s="6" t="str">
        <f t="shared" si="30"/>
        <v>0_10_2011</v>
      </c>
      <c r="V95" s="6" t="str">
        <f t="shared" si="30"/>
        <v>0_10_2012</v>
      </c>
      <c r="W95" s="6">
        <f t="shared" si="30"/>
        <v>0</v>
      </c>
      <c r="X95" s="6">
        <f t="shared" si="30"/>
        <v>0</v>
      </c>
      <c r="Y95" s="6">
        <f t="shared" si="30"/>
        <v>0</v>
      </c>
      <c r="Z95" s="6">
        <f t="shared" si="30"/>
        <v>0</v>
      </c>
      <c r="AA95" s="6">
        <f t="shared" si="30"/>
        <v>0</v>
      </c>
      <c r="AB95" s="6">
        <f t="shared" si="30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31</v>
      </c>
      <c r="C97" s="28" t="s">
        <v>21</v>
      </c>
      <c r="D97" s="104" t="s">
        <v>87</v>
      </c>
      <c r="E97" s="55"/>
      <c r="F97" s="6">
        <f>MATCH($D97,FAC_TOTALS_APTA!$A$2:$BD$2,)</f>
        <v>12</v>
      </c>
      <c r="G97" s="117">
        <f>VLOOKUP(G95,FAC_TOTALS_APTA!$A$4:$BD$126,$F97,FALSE)</f>
        <v>253905652</v>
      </c>
      <c r="H97" s="117">
        <f>VLOOKUP(H95,FAC_TOTALS_APTA!$A$4:$BD$126,$F97,FALSE)</f>
        <v>227959423.99999899</v>
      </c>
      <c r="I97" s="30">
        <f>IFERROR(H97/G97-1,"-")</f>
        <v>-0.10218846172042284</v>
      </c>
      <c r="J97" s="31" t="str">
        <f>IF(C97="Log","_log","")</f>
        <v>_log</v>
      </c>
      <c r="K97" s="31" t="str">
        <f>CONCATENATE(D97,J97,"_FAC")</f>
        <v>VRM_ADJ_BUS_log_FAC</v>
      </c>
      <c r="L97" s="6">
        <f>MATCH($K97,FAC_TOTALS_APTA!$A$2:$BB$2,)</f>
        <v>30</v>
      </c>
      <c r="M97" s="29">
        <f>IF(M95=0,0,VLOOKUP(M95,FAC_TOTALS_APTA!$A$4:$BD$126,$L97,FALSE))</f>
        <v>-46579034.451082297</v>
      </c>
      <c r="N97" s="29">
        <f>IF(N95=0,0,VLOOKUP(N95,FAC_TOTALS_APTA!$A$4:$BD$126,$L97,FALSE))</f>
        <v>22784448.220681001</v>
      </c>
      <c r="O97" s="29">
        <f>IF(O95=0,0,VLOOKUP(O95,FAC_TOTALS_APTA!$A$4:$BD$126,$L97,FALSE))</f>
        <v>22266464.2209429</v>
      </c>
      <c r="P97" s="29">
        <f>IF(P95=0,0,VLOOKUP(P95,FAC_TOTALS_APTA!$A$4:$BD$126,$L97,FALSE))</f>
        <v>-3826210.6589630698</v>
      </c>
      <c r="Q97" s="29">
        <f>IF(Q95=0,0,VLOOKUP(Q95,FAC_TOTALS_APTA!$A$4:$BD$126,$L97,FALSE))</f>
        <v>8222083.6345542204</v>
      </c>
      <c r="R97" s="29">
        <f>IF(R95=0,0,VLOOKUP(R95,FAC_TOTALS_APTA!$A$4:$BD$126,$L97,FALSE))</f>
        <v>9001569.9128233492</v>
      </c>
      <c r="S97" s="29">
        <f>IF(S95=0,0,VLOOKUP(S95,FAC_TOTALS_APTA!$A$4:$BD$126,$L97,FALSE))</f>
        <v>509651.42683237302</v>
      </c>
      <c r="T97" s="29">
        <f>IF(T95=0,0,VLOOKUP(T95,FAC_TOTALS_APTA!$A$4:$BD$126,$L97,FALSE))</f>
        <v>-51229712.277286202</v>
      </c>
      <c r="U97" s="29">
        <f>IF(U95=0,0,VLOOKUP(U95,FAC_TOTALS_APTA!$A$4:$BD$126,$L97,FALSE))</f>
        <v>-12098335.2359237</v>
      </c>
      <c r="V97" s="29">
        <f>IF(V95=0,0,VLOOKUP(V95,FAC_TOTALS_APTA!$A$4:$BD$126,$L97,FALSE))</f>
        <v>-1112310.66126201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-52061385.868683442</v>
      </c>
      <c r="AD97" s="33">
        <f>AC97/G111</f>
        <v>-4.0091251820148568E-2</v>
      </c>
      <c r="AE97" s="103"/>
    </row>
    <row r="98" spans="1:31" x14ac:dyDescent="0.25">
      <c r="B98" s="25" t="s">
        <v>52</v>
      </c>
      <c r="C98" s="28" t="s">
        <v>21</v>
      </c>
      <c r="D98" s="104" t="s">
        <v>88</v>
      </c>
      <c r="E98" s="55"/>
      <c r="F98" s="6">
        <f>MATCH($D98,FAC_TOTALS_APTA!$A$2:$BD$2,)</f>
        <v>14</v>
      </c>
      <c r="G98" s="123">
        <f>VLOOKUP(G95,FAC_TOTALS_APTA!$A$4:$BD$126,$F98,FALSE)</f>
        <v>0.97956348559999995</v>
      </c>
      <c r="H98" s="123">
        <f>VLOOKUP(H95,FAC_TOTALS_APTA!$A$4:$BD$126,$F98,FALSE)</f>
        <v>1.36910030643</v>
      </c>
      <c r="I98" s="30">
        <f t="shared" ref="I98:I109" si="31">IFERROR(H98/G98-1,"-")</f>
        <v>0.39766368036003485</v>
      </c>
      <c r="J98" s="31" t="str">
        <f t="shared" ref="J98:J107" si="32">IF(C98="Log","_log","")</f>
        <v>_log</v>
      </c>
      <c r="K98" s="31" t="str">
        <f t="shared" ref="K98:K110" si="33">CONCATENATE(D98,J98,"_FAC")</f>
        <v>FARE_per_UPT_cleaned_2018_BUS_log_FAC</v>
      </c>
      <c r="L98" s="6">
        <f>MATCH($K98,FAC_TOTALS_APTA!$A$2:$BB$2,)</f>
        <v>32</v>
      </c>
      <c r="M98" s="29">
        <f>IF(M95=0,0,VLOOKUP(M95,FAC_TOTALS_APTA!$A$4:$BD$126,$L98,FALSE))</f>
        <v>-56502325.618615702</v>
      </c>
      <c r="N98" s="29">
        <f>IF(N95=0,0,VLOOKUP(N95,FAC_TOTALS_APTA!$A$4:$BD$126,$L98,FALSE))</f>
        <v>-16308411.813094201</v>
      </c>
      <c r="O98" s="29">
        <f>IF(O95=0,0,VLOOKUP(O95,FAC_TOTALS_APTA!$A$4:$BD$126,$L98,FALSE))</f>
        <v>10540834.094417701</v>
      </c>
      <c r="P98" s="29">
        <f>IF(P95=0,0,VLOOKUP(P95,FAC_TOTALS_APTA!$A$4:$BD$126,$L98,FALSE))</f>
        <v>-10186709.025641199</v>
      </c>
      <c r="Q98" s="29">
        <f>IF(Q95=0,0,VLOOKUP(Q95,FAC_TOTALS_APTA!$A$4:$BD$126,$L98,FALSE))</f>
        <v>-8503364.2332102302</v>
      </c>
      <c r="R98" s="29">
        <f>IF(R95=0,0,VLOOKUP(R95,FAC_TOTALS_APTA!$A$4:$BD$126,$L98,FALSE))</f>
        <v>-3174594.6553274002</v>
      </c>
      <c r="S98" s="29">
        <f>IF(S95=0,0,VLOOKUP(S95,FAC_TOTALS_APTA!$A$4:$BD$126,$L98,FALSE))</f>
        <v>-15890580.9530131</v>
      </c>
      <c r="T98" s="29">
        <f>IF(T95=0,0,VLOOKUP(T95,FAC_TOTALS_APTA!$A$4:$BD$126,$L98,FALSE))</f>
        <v>-9241846.7825973295</v>
      </c>
      <c r="U98" s="29">
        <f>IF(U95=0,0,VLOOKUP(U95,FAC_TOTALS_APTA!$A$4:$BD$126,$L98,FALSE))</f>
        <v>-19795021.104775399</v>
      </c>
      <c r="V98" s="29">
        <f>IF(V95=0,0,VLOOKUP(V95,FAC_TOTALS_APTA!$A$4:$BD$126,$L98,FALSE))</f>
        <v>10286120.5413123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4">SUM(M98:AB98)</f>
        <v>-118775899.55054456</v>
      </c>
      <c r="AD98" s="33">
        <f>AC98/G111</f>
        <v>-9.1466533585114765E-2</v>
      </c>
      <c r="AE98" s="103"/>
    </row>
    <row r="99" spans="1:31" s="13" customFormat="1" x14ac:dyDescent="0.25">
      <c r="A99" s="6"/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119" t="str">
        <f>IFERROR(H99/G99-1,"-")</f>
        <v>-</v>
      </c>
      <c r="J99" s="120" t="str">
        <f t="shared" si="32"/>
        <v/>
      </c>
      <c r="K99" s="120" t="str">
        <f t="shared" si="33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4"/>
        <v>0</v>
      </c>
      <c r="AD99" s="122">
        <f>AC99/G112</f>
        <v>0</v>
      </c>
      <c r="AE99" s="6"/>
    </row>
    <row r="100" spans="1:31" s="13" customFormat="1" x14ac:dyDescent="0.25">
      <c r="A100" s="6"/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117">
        <f>VLOOKUP(G95,FAC_TOTALS_APTA!$A$4:$BD$126,$F100,FALSE)</f>
        <v>0</v>
      </c>
      <c r="H100" s="117">
        <f>VLOOKUP(H95,FAC_TOTALS_APTA!$A$4:$BD$126,$F100,FALSE)</f>
        <v>0</v>
      </c>
      <c r="I100" s="119" t="str">
        <f>IFERROR(H100/G100-1,"-")</f>
        <v>-</v>
      </c>
      <c r="J100" s="120" t="str">
        <f t="shared" si="32"/>
        <v/>
      </c>
      <c r="K100" s="120" t="str">
        <f t="shared" si="33"/>
        <v>MAINTENANCE_WMATA_FAC</v>
      </c>
      <c r="L100" s="104">
        <f>MATCH($K100,FAC_TOTALS_APTA!$A$2:$BB$2,)</f>
        <v>40</v>
      </c>
      <c r="M100" s="117">
        <f>IF(M96=0,0,VLOOKUP(M96,FAC_TOTALS_APTA!$A$4:$BD$126,$L100,FALSE))</f>
        <v>0</v>
      </c>
      <c r="N100" s="117">
        <f>IF(N96=0,0,VLOOKUP(N96,FAC_TOTALS_APTA!$A$4:$BD$126,$L100,FALSE))</f>
        <v>0</v>
      </c>
      <c r="O100" s="117">
        <f>IF(O96=0,0,VLOOKUP(O96,FAC_TOTALS_APTA!$A$4:$BD$126,$L100,FALSE))</f>
        <v>0</v>
      </c>
      <c r="P100" s="117">
        <f>IF(P96=0,0,VLOOKUP(P96,FAC_TOTALS_APTA!$A$4:$BD$126,$L100,FALSE))</f>
        <v>0</v>
      </c>
      <c r="Q100" s="117">
        <f>IF(Q96=0,0,VLOOKUP(Q96,FAC_TOTALS_APTA!$A$4:$BD$126,$L100,FALSE))</f>
        <v>0</v>
      </c>
      <c r="R100" s="117">
        <f>IF(R96=0,0,VLOOKUP(R96,FAC_TOTALS_APTA!$A$4:$BD$126,$L100,FALSE))</f>
        <v>0</v>
      </c>
      <c r="S100" s="117">
        <f>IF(S96=0,0,VLOOKUP(S96,FAC_TOTALS_APTA!$A$4:$BD$126,$L100,FALSE))</f>
        <v>0</v>
      </c>
      <c r="T100" s="117">
        <f>IF(T96=0,0,VLOOKUP(T96,FAC_TOTALS_APTA!$A$4:$BD$126,$L100,FALSE))</f>
        <v>0</v>
      </c>
      <c r="U100" s="117">
        <f>IF(U96=0,0,VLOOKUP(U96,FAC_TOTALS_APTA!$A$4:$BD$126,$L100,FALSE))</f>
        <v>0</v>
      </c>
      <c r="V100" s="117">
        <f>IF(V96=0,0,VLOOKUP(V96,FAC_TOTALS_APTA!$A$4:$BD$126,$L100,FALSE))</f>
        <v>0</v>
      </c>
      <c r="W100" s="117">
        <f>IF(W96=0,0,VLOOKUP(W96,FAC_TOTALS_APTA!$A$4:$BD$126,$L100,FALSE))</f>
        <v>0</v>
      </c>
      <c r="X100" s="117">
        <f>IF(X96=0,0,VLOOKUP(X96,FAC_TOTALS_APTA!$A$4:$BD$126,$L100,FALSE))</f>
        <v>0</v>
      </c>
      <c r="Y100" s="117">
        <f>IF(Y96=0,0,VLOOKUP(Y96,FAC_TOTALS_APTA!$A$4:$BD$126,$L100,FALSE))</f>
        <v>0</v>
      </c>
      <c r="Z100" s="117">
        <f>IF(Z96=0,0,VLOOKUP(Z96,FAC_TOTALS_APTA!$A$4:$BD$126,$L100,FALSE))</f>
        <v>0</v>
      </c>
      <c r="AA100" s="117">
        <f>IF(AA96=0,0,VLOOKUP(AA96,FAC_TOTALS_APTA!$A$4:$BD$126,$L100,FALSE))</f>
        <v>0</v>
      </c>
      <c r="AB100" s="117">
        <f>IF(AB96=0,0,VLOOKUP(AB96,FAC_TOTALS_APTA!$A$4:$BD$126,$L100,FALSE))</f>
        <v>0</v>
      </c>
      <c r="AC100" s="121">
        <f t="shared" si="34"/>
        <v>0</v>
      </c>
      <c r="AD100" s="122">
        <f>AC100/G112</f>
        <v>0</v>
      </c>
      <c r="AE100" s="6"/>
    </row>
    <row r="101" spans="1:31" x14ac:dyDescent="0.2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MATCH($D101,FAC_TOTALS_APTA!$A$2:$BD$2,)</f>
        <v>16</v>
      </c>
      <c r="G101" s="117">
        <f>VLOOKUP(G95,FAC_TOTALS_APTA!$A$4:$BD$126,$F101,FALSE)</f>
        <v>25697520.3899999</v>
      </c>
      <c r="H101" s="117">
        <f>VLOOKUP(H95,FAC_TOTALS_APTA!$A$4:$BD$126,$F101,FALSE)</f>
        <v>27909105.420000002</v>
      </c>
      <c r="I101" s="30">
        <f t="shared" si="31"/>
        <v>8.606219574635432E-2</v>
      </c>
      <c r="J101" s="31" t="str">
        <f t="shared" si="32"/>
        <v>_log</v>
      </c>
      <c r="K101" s="31" t="str">
        <f t="shared" si="33"/>
        <v>POP_EMP_log_FAC</v>
      </c>
      <c r="L101" s="6">
        <f>MATCH($K101,FAC_TOTALS_APTA!$A$2:$BB$2,)</f>
        <v>34</v>
      </c>
      <c r="M101" s="29">
        <f>IF(M95=0,0,VLOOKUP(M95,FAC_TOTALS_APTA!$A$4:$BD$126,$L101,FALSE))</f>
        <v>3491462.1806977699</v>
      </c>
      <c r="N101" s="29">
        <f>IF(N95=0,0,VLOOKUP(N95,FAC_TOTALS_APTA!$A$4:$BD$126,$L101,FALSE))</f>
        <v>4881593.7827261696</v>
      </c>
      <c r="O101" s="29">
        <f>IF(O95=0,0,VLOOKUP(O95,FAC_TOTALS_APTA!$A$4:$BD$126,$L101,FALSE))</f>
        <v>4671012.9048612705</v>
      </c>
      <c r="P101" s="29">
        <f>IF(P95=0,0,VLOOKUP(P95,FAC_TOTALS_APTA!$A$4:$BD$126,$L101,FALSE))</f>
        <v>5427302.6205821997</v>
      </c>
      <c r="Q101" s="29">
        <f>IF(Q95=0,0,VLOOKUP(Q95,FAC_TOTALS_APTA!$A$4:$BD$126,$L101,FALSE))</f>
        <v>539413.49576975696</v>
      </c>
      <c r="R101" s="29">
        <f>IF(R95=0,0,VLOOKUP(R95,FAC_TOTALS_APTA!$A$4:$BD$126,$L101,FALSE))</f>
        <v>2092505.9210791001</v>
      </c>
      <c r="S101" s="29">
        <f>IF(S95=0,0,VLOOKUP(S95,FAC_TOTALS_APTA!$A$4:$BD$126,$L101,FALSE))</f>
        <v>-1932859.9884963499</v>
      </c>
      <c r="T101" s="29">
        <f>IF(T95=0,0,VLOOKUP(T95,FAC_TOTALS_APTA!$A$4:$BD$126,$L101,FALSE))</f>
        <v>-1537412.1365938899</v>
      </c>
      <c r="U101" s="29">
        <f>IF(U95=0,0,VLOOKUP(U95,FAC_TOTALS_APTA!$A$4:$BD$126,$L101,FALSE))</f>
        <v>1075130.8060596599</v>
      </c>
      <c r="V101" s="29">
        <f>IF(V95=0,0,VLOOKUP(V95,FAC_TOTALS_APTA!$A$4:$BD$126,$L101,FALSE))</f>
        <v>1819259.9217173799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4"/>
        <v>20527409.508403067</v>
      </c>
      <c r="AD101" s="33">
        <f>AC101/G111</f>
        <v>1.5807676458950003E-2</v>
      </c>
      <c r="AE101" s="103"/>
    </row>
    <row r="102" spans="1:31" x14ac:dyDescent="0.25">
      <c r="B102" s="25" t="s">
        <v>73</v>
      </c>
      <c r="C102" s="28"/>
      <c r="D102" s="104" t="s">
        <v>72</v>
      </c>
      <c r="E102" s="55"/>
      <c r="F102" s="6">
        <f>MATCH($D102,FAC_TOTALS_APTA!$A$2:$BD$2,)</f>
        <v>17</v>
      </c>
      <c r="G102" s="123">
        <f>VLOOKUP(G95,FAC_TOTALS_APTA!$A$4:$BD$126,$F102,FALSE)</f>
        <v>0.70319922136740198</v>
      </c>
      <c r="H102" s="123">
        <f>VLOOKUP(H95,FAC_TOTALS_APTA!$A$4:$BD$126,$F102,FALSE)</f>
        <v>0.70702565886186597</v>
      </c>
      <c r="I102" s="30">
        <f t="shared" si="31"/>
        <v>5.4414700389220361E-3</v>
      </c>
      <c r="J102" s="31" t="str">
        <f t="shared" si="32"/>
        <v/>
      </c>
      <c r="K102" s="31" t="str">
        <f t="shared" si="33"/>
        <v>TSD_POP_EMP_PCT_FAC</v>
      </c>
      <c r="L102" s="6">
        <f>MATCH($K102,FAC_TOTALS_APTA!$A$2:$BB$2,)</f>
        <v>35</v>
      </c>
      <c r="M102" s="29">
        <f>IF(M95=0,0,VLOOKUP(M95,FAC_TOTALS_APTA!$A$4:$BD$126,$L102,FALSE))</f>
        <v>-583253.26178469998</v>
      </c>
      <c r="N102" s="29">
        <f>IF(N95=0,0,VLOOKUP(N95,FAC_TOTALS_APTA!$A$4:$BD$126,$L102,FALSE))</f>
        <v>-1612398.9423768399</v>
      </c>
      <c r="O102" s="29">
        <f>IF(O95=0,0,VLOOKUP(O95,FAC_TOTALS_APTA!$A$4:$BD$126,$L102,FALSE))</f>
        <v>-1036230.3578777</v>
      </c>
      <c r="P102" s="29">
        <f>IF(P95=0,0,VLOOKUP(P95,FAC_TOTALS_APTA!$A$4:$BD$126,$L102,FALSE))</f>
        <v>2254493.7563626198</v>
      </c>
      <c r="Q102" s="29">
        <f>IF(Q95=0,0,VLOOKUP(Q95,FAC_TOTALS_APTA!$A$4:$BD$126,$L102,FALSE))</f>
        <v>-477670.03641741403</v>
      </c>
      <c r="R102" s="29">
        <f>IF(R95=0,0,VLOOKUP(R95,FAC_TOTALS_APTA!$A$4:$BD$126,$L102,FALSE))</f>
        <v>-513418.128241873</v>
      </c>
      <c r="S102" s="29">
        <f>IF(S95=0,0,VLOOKUP(S95,FAC_TOTALS_APTA!$A$4:$BD$126,$L102,FALSE))</f>
        <v>3751403.24109382</v>
      </c>
      <c r="T102" s="29">
        <f>IF(T95=0,0,VLOOKUP(T95,FAC_TOTALS_APTA!$A$4:$BD$126,$L102,FALSE))</f>
        <v>2124029.2390560498</v>
      </c>
      <c r="U102" s="29">
        <f>IF(U95=0,0,VLOOKUP(U95,FAC_TOTALS_APTA!$A$4:$BD$126,$L102,FALSE))</f>
        <v>-56257.419454822302</v>
      </c>
      <c r="V102" s="29">
        <f>IF(V95=0,0,VLOOKUP(V95,FAC_TOTALS_APTA!$A$4:$BD$126,$L102,FALSE))</f>
        <v>-1968084.85187924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4"/>
        <v>1882613.2384799006</v>
      </c>
      <c r="AD102" s="33">
        <f>AC102/G111</f>
        <v>1.4497562860546992E-3</v>
      </c>
      <c r="AE102" s="103"/>
    </row>
    <row r="103" spans="1:31" x14ac:dyDescent="0.2">
      <c r="B103" s="25" t="s">
        <v>49</v>
      </c>
      <c r="C103" s="28" t="s">
        <v>21</v>
      </c>
      <c r="D103" s="124" t="s">
        <v>82</v>
      </c>
      <c r="E103" s="55"/>
      <c r="F103" s="6">
        <f>MATCH($D103,FAC_TOTALS_APTA!$A$2:$BD$2,)</f>
        <v>18</v>
      </c>
      <c r="G103" s="125">
        <f>VLOOKUP(G95,FAC_TOTALS_APTA!$A$4:$BD$126,$F103,FALSE)</f>
        <v>1.974</v>
      </c>
      <c r="H103" s="125">
        <f>VLOOKUP(H95,FAC_TOTALS_APTA!$A$4:$BD$126,$F103,FALSE)</f>
        <v>4.1093000000000002</v>
      </c>
      <c r="I103" s="30">
        <f t="shared" si="31"/>
        <v>1.0817122593718338</v>
      </c>
      <c r="J103" s="31" t="str">
        <f t="shared" si="32"/>
        <v>_log</v>
      </c>
      <c r="K103" s="31" t="str">
        <f t="shared" si="33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15205112.537418</v>
      </c>
      <c r="N103" s="29">
        <f>IF(N95=0,0,VLOOKUP(N95,FAC_TOTALS_APTA!$A$4:$BD$126,$L103,FALSE))</f>
        <v>15302946.9173308</v>
      </c>
      <c r="O103" s="29">
        <f>IF(O95=0,0,VLOOKUP(O95,FAC_TOTALS_APTA!$A$4:$BD$126,$L103,FALSE))</f>
        <v>19641413.347507801</v>
      </c>
      <c r="P103" s="29">
        <f>IF(P95=0,0,VLOOKUP(P95,FAC_TOTALS_APTA!$A$4:$BD$126,$L103,FALSE))</f>
        <v>12991766.4682872</v>
      </c>
      <c r="Q103" s="29">
        <f>IF(Q95=0,0,VLOOKUP(Q95,FAC_TOTALS_APTA!$A$4:$BD$126,$L103,FALSE))</f>
        <v>4180925.8240630501</v>
      </c>
      <c r="R103" s="29">
        <f>IF(R95=0,0,VLOOKUP(R95,FAC_TOTALS_APTA!$A$4:$BD$126,$L103,FALSE))</f>
        <v>15560198.20482</v>
      </c>
      <c r="S103" s="29">
        <f>IF(S95=0,0,VLOOKUP(S95,FAC_TOTALS_APTA!$A$4:$BD$126,$L103,FALSE))</f>
        <v>-38693166.636340499</v>
      </c>
      <c r="T103" s="29">
        <f>IF(T95=0,0,VLOOKUP(T95,FAC_TOTALS_APTA!$A$4:$BD$126,$L103,FALSE))</f>
        <v>17113954.2142663</v>
      </c>
      <c r="U103" s="29">
        <f>IF(U95=0,0,VLOOKUP(U95,FAC_TOTALS_APTA!$A$4:$BD$126,$L103,FALSE))</f>
        <v>25490543.0713282</v>
      </c>
      <c r="V103" s="29">
        <f>IF(V95=0,0,VLOOKUP(V95,FAC_TOTALS_APTA!$A$4:$BD$126,$L103,FALSE))</f>
        <v>1261776.0729549699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4"/>
        <v>88055470.021635816</v>
      </c>
      <c r="AD103" s="33">
        <f>AC103/G111</f>
        <v>6.7809451551740257E-2</v>
      </c>
      <c r="AE103" s="103"/>
    </row>
    <row r="104" spans="1:31" x14ac:dyDescent="0.2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MATCH($D104,FAC_TOTALS_APTA!$A$2:$BD$2,)</f>
        <v>19</v>
      </c>
      <c r="G104" s="123">
        <f>VLOOKUP(G95,FAC_TOTALS_APTA!$A$4:$BD$126,$F104,FALSE)</f>
        <v>42439.074999999903</v>
      </c>
      <c r="H104" s="123">
        <f>VLOOKUP(H95,FAC_TOTALS_APTA!$A$4:$BD$126,$F104,FALSE)</f>
        <v>33963.31</v>
      </c>
      <c r="I104" s="30">
        <f t="shared" si="31"/>
        <v>-0.19971606355699134</v>
      </c>
      <c r="J104" s="31" t="str">
        <f t="shared" si="32"/>
        <v>_log</v>
      </c>
      <c r="K104" s="31" t="str">
        <f t="shared" si="33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2636539.7898162398</v>
      </c>
      <c r="N104" s="29">
        <f>IF(N95=0,0,VLOOKUP(N95,FAC_TOTALS_APTA!$A$4:$BD$126,$L104,FALSE))</f>
        <v>3215167.5956603698</v>
      </c>
      <c r="O104" s="29">
        <f>IF(O95=0,0,VLOOKUP(O95,FAC_TOTALS_APTA!$A$4:$BD$126,$L104,FALSE))</f>
        <v>2874339.0643200502</v>
      </c>
      <c r="P104" s="29">
        <f>IF(P95=0,0,VLOOKUP(P95,FAC_TOTALS_APTA!$A$4:$BD$126,$L104,FALSE))</f>
        <v>4752422.2105713803</v>
      </c>
      <c r="Q104" s="29">
        <f>IF(Q95=0,0,VLOOKUP(Q95,FAC_TOTALS_APTA!$A$4:$BD$126,$L104,FALSE))</f>
        <v>-1430668.97276035</v>
      </c>
      <c r="R104" s="29">
        <f>IF(R95=0,0,VLOOKUP(R95,FAC_TOTALS_APTA!$A$4:$BD$126,$L104,FALSE))</f>
        <v>-120071.205288995</v>
      </c>
      <c r="S104" s="29">
        <f>IF(S95=0,0,VLOOKUP(S95,FAC_TOTALS_APTA!$A$4:$BD$126,$L104,FALSE))</f>
        <v>2678971.8098487998</v>
      </c>
      <c r="T104" s="29">
        <f>IF(T95=0,0,VLOOKUP(T95,FAC_TOTALS_APTA!$A$4:$BD$126,$L104,FALSE))</f>
        <v>609847.79531761596</v>
      </c>
      <c r="U104" s="29">
        <f>IF(U95=0,0,VLOOKUP(U95,FAC_TOTALS_APTA!$A$4:$BD$126,$L104,FALSE))</f>
        <v>2305887.8702718201</v>
      </c>
      <c r="V104" s="29">
        <f>IF(V95=0,0,VLOOKUP(V95,FAC_TOTALS_APTA!$A$4:$BD$126,$L104,FALSE))</f>
        <v>393791.38283874898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4"/>
        <v>17916227.340595681</v>
      </c>
      <c r="AD104" s="33">
        <f>AC104/G111</f>
        <v>1.3796866333727826E-2</v>
      </c>
      <c r="AE104" s="103"/>
    </row>
    <row r="105" spans="1:31" x14ac:dyDescent="0.25">
      <c r="B105" s="25" t="s">
        <v>62</v>
      </c>
      <c r="C105" s="28"/>
      <c r="D105" s="104" t="s">
        <v>9</v>
      </c>
      <c r="E105" s="55"/>
      <c r="F105" s="6">
        <f>MATCH($D105,FAC_TOTALS_APTA!$A$2:$BD$2,)</f>
        <v>20</v>
      </c>
      <c r="G105" s="117">
        <f>VLOOKUP(G95,FAC_TOTALS_APTA!$A$4:$BD$126,$F105,FALSE)</f>
        <v>31.709999999999901</v>
      </c>
      <c r="H105" s="117">
        <f>VLOOKUP(H95,FAC_TOTALS_APTA!$A$4:$BD$126,$F105,FALSE)</f>
        <v>31.51</v>
      </c>
      <c r="I105" s="30">
        <f t="shared" si="31"/>
        <v>-6.3071586250362799E-3</v>
      </c>
      <c r="J105" s="31" t="str">
        <f t="shared" si="32"/>
        <v/>
      </c>
      <c r="K105" s="31" t="str">
        <f t="shared" si="33"/>
        <v>PCT_HH_NO_VEH_FAC</v>
      </c>
      <c r="L105" s="6">
        <f>MATCH($K105,FAC_TOTALS_APTA!$A$2:$BB$2,)</f>
        <v>38</v>
      </c>
      <c r="M105" s="29">
        <f>IF(M95=0,0,VLOOKUP(M95,FAC_TOTALS_APTA!$A$4:$BD$126,$L105,FALSE))</f>
        <v>-841477.71213293204</v>
      </c>
      <c r="N105" s="29">
        <f>IF(N95=0,0,VLOOKUP(N95,FAC_TOTALS_APTA!$A$4:$BD$126,$L105,FALSE))</f>
        <v>-812675.18942878395</v>
      </c>
      <c r="O105" s="29">
        <f>IF(O95=0,0,VLOOKUP(O95,FAC_TOTALS_APTA!$A$4:$BD$126,$L105,FALSE))</f>
        <v>-710585.03696564503</v>
      </c>
      <c r="P105" s="29">
        <f>IF(P95=0,0,VLOOKUP(P95,FAC_TOTALS_APTA!$A$4:$BD$126,$L105,FALSE))</f>
        <v>-1186324.50791581</v>
      </c>
      <c r="Q105" s="29">
        <f>IF(Q95=0,0,VLOOKUP(Q95,FAC_TOTALS_APTA!$A$4:$BD$126,$L105,FALSE))</f>
        <v>510957.993768332</v>
      </c>
      <c r="R105" s="29">
        <f>IF(R95=0,0,VLOOKUP(R95,FAC_TOTALS_APTA!$A$4:$BD$126,$L105,FALSE))</f>
        <v>44085.243398793202</v>
      </c>
      <c r="S105" s="29">
        <f>IF(S95=0,0,VLOOKUP(S95,FAC_TOTALS_APTA!$A$4:$BD$126,$L105,FALSE))</f>
        <v>423392.66359329497</v>
      </c>
      <c r="T105" s="29">
        <f>IF(T95=0,0,VLOOKUP(T95,FAC_TOTALS_APTA!$A$4:$BD$126,$L105,FALSE))</f>
        <v>691665.28840056399</v>
      </c>
      <c r="U105" s="29">
        <f>IF(U95=0,0,VLOOKUP(U95,FAC_TOTALS_APTA!$A$4:$BD$126,$L105,FALSE))</f>
        <v>782576.52821878903</v>
      </c>
      <c r="V105" s="29">
        <f>IF(V95=0,0,VLOOKUP(V95,FAC_TOTALS_APTA!$A$4:$BD$126,$L105,FALSE))</f>
        <v>430744.91572990402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4"/>
        <v>-667639.81333349412</v>
      </c>
      <c r="AD105" s="33">
        <f>AC105/G111</f>
        <v>-5.141337564279286E-4</v>
      </c>
      <c r="AE105" s="103"/>
    </row>
    <row r="106" spans="1:31" x14ac:dyDescent="0.25">
      <c r="B106" s="25" t="s">
        <v>47</v>
      </c>
      <c r="C106" s="28"/>
      <c r="D106" s="104" t="s">
        <v>28</v>
      </c>
      <c r="E106" s="55"/>
      <c r="F106" s="6">
        <f>MATCH($D106,FAC_TOTALS_APTA!$A$2:$BD$2,)</f>
        <v>21</v>
      </c>
      <c r="G106" s="125">
        <f>VLOOKUP(G95,FAC_TOTALS_APTA!$A$4:$BD$126,$F106,FALSE)</f>
        <v>3.5</v>
      </c>
      <c r="H106" s="125">
        <f>VLOOKUP(H95,FAC_TOTALS_APTA!$A$4:$BD$126,$F106,FALSE)</f>
        <v>4.0999999999999996</v>
      </c>
      <c r="I106" s="30">
        <f t="shared" si="31"/>
        <v>0.17142857142857126</v>
      </c>
      <c r="J106" s="31" t="str">
        <f t="shared" si="32"/>
        <v/>
      </c>
      <c r="K106" s="31" t="str">
        <f t="shared" si="33"/>
        <v>JTW_HOME_PCT_FAC</v>
      </c>
      <c r="L106" s="6">
        <f>MATCH($K106,FAC_TOTALS_APTA!$A$2:$BB$2,)</f>
        <v>39</v>
      </c>
      <c r="M106" s="29">
        <f>IF(M95=0,0,VLOOKUP(M95,FAC_TOTALS_APTA!$A$4:$BD$126,$L106,FALSE))</f>
        <v>0</v>
      </c>
      <c r="N106" s="29">
        <f>IF(N95=0,0,VLOOKUP(N95,FAC_TOTALS_APTA!$A$4:$BD$126,$L106,FALSE))</f>
        <v>0</v>
      </c>
      <c r="O106" s="29">
        <f>IF(O95=0,0,VLOOKUP(O95,FAC_TOTALS_APTA!$A$4:$BD$126,$L106,FALSE))</f>
        <v>0</v>
      </c>
      <c r="P106" s="29">
        <f>IF(P95=0,0,VLOOKUP(P95,FAC_TOTALS_APTA!$A$4:$BD$126,$L106,FALSE))</f>
        <v>-1811889.2047870599</v>
      </c>
      <c r="Q106" s="29">
        <f>IF(Q95=0,0,VLOOKUP(Q95,FAC_TOTALS_APTA!$A$4:$BD$126,$L106,FALSE))</f>
        <v>887188.27909027098</v>
      </c>
      <c r="R106" s="29">
        <f>IF(R95=0,0,VLOOKUP(R95,FAC_TOTALS_APTA!$A$4:$BD$126,$L106,FALSE))</f>
        <v>-841533.36172624805</v>
      </c>
      <c r="S106" s="29">
        <f>IF(S95=0,0,VLOOKUP(S95,FAC_TOTALS_APTA!$A$4:$BD$126,$L106,FALSE))</f>
        <v>-1700543.86474928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-1565273.6671887899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4"/>
        <v>-5032051.8193611065</v>
      </c>
      <c r="AD106" s="33">
        <f>AC106/G111</f>
        <v>-3.8750650466912863E-3</v>
      </c>
      <c r="AE106" s="103"/>
    </row>
    <row r="107" spans="1:31" x14ac:dyDescent="0.25">
      <c r="B107" s="25" t="s">
        <v>63</v>
      </c>
      <c r="C107" s="28"/>
      <c r="D107" s="126" t="s">
        <v>89</v>
      </c>
      <c r="E107" s="55"/>
      <c r="F107" s="6">
        <f>MATCH($D107,FAC_TOTALS_APTA!$A$2:$BD$2,)</f>
        <v>24</v>
      </c>
      <c r="G107" s="125">
        <f>VLOOKUP(G95,FAC_TOTALS_APTA!$A$4:$BD$126,$F107,FALSE)</f>
        <v>0</v>
      </c>
      <c r="H107" s="125">
        <f>VLOOKUP(H95,FAC_TOTALS_APTA!$A$4:$BD$126,$F107,FALSE)</f>
        <v>1</v>
      </c>
      <c r="I107" s="30" t="str">
        <f t="shared" si="31"/>
        <v>-</v>
      </c>
      <c r="J107" s="31" t="str">
        <f t="shared" si="32"/>
        <v/>
      </c>
      <c r="K107" s="31" t="str">
        <f t="shared" si="33"/>
        <v>YEARS_SINCE_TNC_BUS_HINY_FAC</v>
      </c>
      <c r="L107" s="6">
        <f>MATCH($K107,FAC_TOTALS_APTA!$A$2:$BB$2,)</f>
        <v>42</v>
      </c>
      <c r="M107" s="29">
        <f>IF(M95=0,0,VLOOKUP(M95,FAC_TOTALS_APTA!$A$4:$BD$126,$L107,FALSE))</f>
        <v>0</v>
      </c>
      <c r="N107" s="29">
        <f>IF(N95=0,0,VLOOKUP(N95,FAC_TOTALS_APTA!$A$4:$BD$126,$L107,FALSE))</f>
        <v>0</v>
      </c>
      <c r="O107" s="29">
        <f>IF(O95=0,0,VLOOKUP(O95,FAC_TOTALS_APTA!$A$4:$BD$126,$L107,FALSE))</f>
        <v>0</v>
      </c>
      <c r="P107" s="29">
        <f>IF(P95=0,0,VLOOKUP(P95,FAC_TOTALS_APTA!$A$4:$BD$126,$L107,FALSE))</f>
        <v>0</v>
      </c>
      <c r="Q107" s="29">
        <f>IF(Q95=0,0,VLOOKUP(Q95,FAC_TOTALS_APTA!$A$4:$BD$126,$L107,FALSE))</f>
        <v>0</v>
      </c>
      <c r="R107" s="29">
        <f>IF(R95=0,0,VLOOKUP(R95,FAC_TOTALS_APTA!$A$4:$BD$126,$L107,FALSE))</f>
        <v>0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-19681089.6061197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4"/>
        <v>-19681089.6061197</v>
      </c>
      <c r="AD107" s="33">
        <f>AC107/G111</f>
        <v>-1.5155945358121661E-2</v>
      </c>
      <c r="AE107" s="103"/>
    </row>
    <row r="108" spans="1:31" x14ac:dyDescent="0.25">
      <c r="B108" s="25" t="s">
        <v>64</v>
      </c>
      <c r="C108" s="28"/>
      <c r="D108" s="104" t="s">
        <v>43</v>
      </c>
      <c r="E108" s="55"/>
      <c r="F108" s="6">
        <f>MATCH($D108,FAC_TOTALS_APTA!$A$2:$BD$2,)</f>
        <v>28</v>
      </c>
      <c r="G108" s="125">
        <f>VLOOKUP(G95,FAC_TOTALS_APTA!$A$4:$BD$126,$F108,FALSE)</f>
        <v>0</v>
      </c>
      <c r="H108" s="125">
        <f>VLOOKUP(H95,FAC_TOTALS_APTA!$A$4:$BD$126,$F108,FALSE)</f>
        <v>0</v>
      </c>
      <c r="I108" s="30" t="str">
        <f t="shared" si="31"/>
        <v>-</v>
      </c>
      <c r="J108" s="31" t="str">
        <f t="shared" ref="J108:J109" si="35">IF(C108="Log","_log","")</f>
        <v/>
      </c>
      <c r="K108" s="31" t="str">
        <f t="shared" si="33"/>
        <v>BIKE_SHARE_FAC</v>
      </c>
      <c r="L108" s="6">
        <f>MATCH($K108,FAC_TOTALS_APTA!$A$2:$BB$2,)</f>
        <v>46</v>
      </c>
      <c r="M108" s="29">
        <f>IF(M95=0,0,VLOOKUP(M95,FAC_TOTALS_APTA!$A$4:$BD$126,$L108,FALSE))</f>
        <v>0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4"/>
        <v>0</v>
      </c>
      <c r="AD108" s="33">
        <f>AC108/G111</f>
        <v>0</v>
      </c>
      <c r="AE108" s="103"/>
    </row>
    <row r="109" spans="1:31" x14ac:dyDescent="0.25">
      <c r="B109" s="8" t="s">
        <v>65</v>
      </c>
      <c r="C109" s="27"/>
      <c r="D109" s="129" t="s">
        <v>44</v>
      </c>
      <c r="E109" s="56"/>
      <c r="F109" s="7">
        <f>MATCH($D109,FAC_TOTALS_APTA!$A$2:$BD$2,)</f>
        <v>29</v>
      </c>
      <c r="G109" s="131">
        <f>VLOOKUP(G95,FAC_TOTALS_APTA!$A$4:$BD$126,$F109,FALSE)</f>
        <v>0</v>
      </c>
      <c r="H109" s="131">
        <f>VLOOKUP(H95,FAC_TOTALS_APTA!$A$4:$BD$126,$F109,FALSE)</f>
        <v>0</v>
      </c>
      <c r="I109" s="36" t="str">
        <f t="shared" si="31"/>
        <v>-</v>
      </c>
      <c r="J109" s="37" t="str">
        <f t="shared" si="35"/>
        <v/>
      </c>
      <c r="K109" s="37" t="str">
        <f t="shared" si="33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4"/>
        <v>0</v>
      </c>
      <c r="AD109" s="40">
        <f>AC109/G111</f>
        <v>0</v>
      </c>
      <c r="AE109" s="103"/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si="33"/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1298572219.7509201</v>
      </c>
      <c r="H111" s="117">
        <f>VLOOKUP(H95,FAC_TOTALS_APTA!$A$4:$BB$126,$F111,FALSE)</f>
        <v>1217968573.43753</v>
      </c>
      <c r="I111" s="112">
        <f t="shared" ref="I111" si="36">H111/G111-1</f>
        <v>-6.2070976944856082E-2</v>
      </c>
      <c r="J111" s="31"/>
      <c r="K111" s="31"/>
      <c r="L111" s="6"/>
      <c r="M111" s="29">
        <f t="shared" ref="M111:AB111" si="37">SUM(M97:M104)</f>
        <v>-82331498.823550686</v>
      </c>
      <c r="N111" s="29">
        <f t="shared" si="37"/>
        <v>28263345.760927301</v>
      </c>
      <c r="O111" s="29">
        <f t="shared" si="37"/>
        <v>58957833.274172015</v>
      </c>
      <c r="P111" s="29">
        <f t="shared" si="37"/>
        <v>11413065.371199131</v>
      </c>
      <c r="Q111" s="29">
        <f t="shared" si="37"/>
        <v>2530719.7119990331</v>
      </c>
      <c r="R111" s="29">
        <f t="shared" si="37"/>
        <v>22846190.04986418</v>
      </c>
      <c r="S111" s="29">
        <f t="shared" si="37"/>
        <v>-49576581.100074954</v>
      </c>
      <c r="T111" s="29">
        <f t="shared" si="37"/>
        <v>-42161139.947837465</v>
      </c>
      <c r="U111" s="29">
        <f t="shared" si="37"/>
        <v>-3078052.0124942404</v>
      </c>
      <c r="V111" s="29">
        <f t="shared" si="37"/>
        <v>10680552.405682148</v>
      </c>
      <c r="W111" s="29">
        <f t="shared" si="37"/>
        <v>0</v>
      </c>
      <c r="X111" s="29">
        <f t="shared" si="37"/>
        <v>0</v>
      </c>
      <c r="Y111" s="29">
        <f t="shared" si="37"/>
        <v>0</v>
      </c>
      <c r="Z111" s="29">
        <f t="shared" si="37"/>
        <v>0</v>
      </c>
      <c r="AA111" s="29">
        <f t="shared" si="37"/>
        <v>0</v>
      </c>
      <c r="AB111" s="29">
        <f t="shared" si="37"/>
        <v>0</v>
      </c>
      <c r="AC111" s="32">
        <f>H111-G111</f>
        <v>-80603646.313390017</v>
      </c>
      <c r="AD111" s="33">
        <f>I111</f>
        <v>-6.2070976944856082E-2</v>
      </c>
      <c r="AE111" s="106"/>
    </row>
    <row r="112" spans="1:31" ht="13.5" customHeight="1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1201007994</v>
      </c>
      <c r="H112" s="114">
        <f>VLOOKUP(H95,FAC_TOTALS_APTA!$A$4:$BB$126,$F112,FALSE)</f>
        <v>1032661299</v>
      </c>
      <c r="I112" s="113">
        <f t="shared" ref="I112" si="38">H112/G112-1</f>
        <v>-0.14017116941854424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-168346695</v>
      </c>
      <c r="AD112" s="52">
        <f>I112</f>
        <v>-0.14017116941854424</v>
      </c>
    </row>
    <row r="113" spans="2:31" ht="14.25" thickTop="1" thickBot="1" x14ac:dyDescent="0.3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-7.8100192473688157E-2</v>
      </c>
    </row>
    <row r="114" spans="2:31" ht="13.5" thickTop="1" x14ac:dyDescent="0.25">
      <c r="AE114" s="103"/>
    </row>
    <row r="115" spans="2:31" x14ac:dyDescent="0.25">
      <c r="AE115" s="103"/>
    </row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workbookViewId="0">
      <selection activeCell="D22" sqref="D22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1" style="10"/>
    <col min="32" max="16384" width="11" style="12"/>
  </cols>
  <sheetData>
    <row r="1" spans="1:31" x14ac:dyDescent="0.25">
      <c r="B1" s="11" t="s">
        <v>36</v>
      </c>
      <c r="C1" s="12">
        <v>2012</v>
      </c>
    </row>
    <row r="2" spans="1:31" x14ac:dyDescent="0.25">
      <c r="B2" s="15" t="s">
        <v>37</v>
      </c>
      <c r="C2" s="10">
        <v>2018</v>
      </c>
      <c r="D2" s="10"/>
    </row>
    <row r="3" spans="1:31" s="10" customFormat="1" x14ac:dyDescent="0.25">
      <c r="B3" s="18" t="s">
        <v>25</v>
      </c>
      <c r="E3" s="6"/>
      <c r="G3" s="106"/>
      <c r="H3" s="10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76" t="s">
        <v>51</v>
      </c>
      <c r="H8" s="176"/>
      <c r="I8" s="17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76" t="s">
        <v>55</v>
      </c>
      <c r="AD8" s="176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2012</v>
      </c>
      <c r="H9" s="128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6"/>
      <c r="F11" s="6"/>
      <c r="G11" s="104" t="str">
        <f>CONCATENATE($C6,"_",$C7,"_",G9)</f>
        <v>0_1_2012</v>
      </c>
      <c r="H11" s="104" t="str">
        <f>CONCATENATE($C6,"_",$C7,"_",H9)</f>
        <v>0_1_2018</v>
      </c>
      <c r="I11" s="28"/>
      <c r="J11" s="6"/>
      <c r="K11" s="6"/>
      <c r="L11" s="6"/>
      <c r="M11" s="6" t="str">
        <f>IF($G9+M10&gt;$H9,0,CONCATENATE($C6,"_",$C7,"_",$G9+M10))</f>
        <v>0_1_2013</v>
      </c>
      <c r="N11" s="6" t="str">
        <f t="shared" ref="N11:AB11" si="0">IF($G9+N10&gt;$H9,0,CONCATENATE($C6,"_",$C7,"_",$G9+N10))</f>
        <v>0_1_2014</v>
      </c>
      <c r="O11" s="6" t="str">
        <f t="shared" si="0"/>
        <v>0_1_2015</v>
      </c>
      <c r="P11" s="6" t="str">
        <f t="shared" si="0"/>
        <v>0_1_2016</v>
      </c>
      <c r="Q11" s="6" t="str">
        <f t="shared" si="0"/>
        <v>0_1_2017</v>
      </c>
      <c r="R11" s="6" t="str">
        <f t="shared" si="0"/>
        <v>0_1_2018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115"/>
      <c r="C12" s="116"/>
      <c r="D12" s="104"/>
      <c r="E12" s="6"/>
      <c r="F12" s="6" t="s">
        <v>23</v>
      </c>
      <c r="G12" s="117"/>
      <c r="H12" s="117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87</v>
      </c>
      <c r="E13" s="55"/>
      <c r="F13" s="6">
        <f>MATCH($D13,FAC_TOTALS_APTA!$A$2:$BD$2,)</f>
        <v>12</v>
      </c>
      <c r="G13" s="117">
        <f>VLOOKUP(G11,FAC_TOTALS_APTA!$A$4:$BD$126,$F13,FALSE)</f>
        <v>63654979.010831997</v>
      </c>
      <c r="H13" s="117">
        <f>VLOOKUP(H11,FAC_TOTALS_APTA!$A$4:$BD$126,$F13,FALSE)</f>
        <v>66335689.749269299</v>
      </c>
      <c r="I13" s="30">
        <f>IFERROR(H13/G13-1,"-")</f>
        <v>4.2113135218866837E-2</v>
      </c>
      <c r="J13" s="31" t="str">
        <f>IF(C13="Log","_log","")</f>
        <v>_log</v>
      </c>
      <c r="K13" s="31" t="str">
        <f>CONCATENATE(D13,J13,"_FAC")</f>
        <v>VRM_ADJ_BUS_log_FAC</v>
      </c>
      <c r="L13" s="6">
        <f>MATCH($K13,FAC_TOTALS_APTA!$A$2:$BB$2,)</f>
        <v>30</v>
      </c>
      <c r="M13" s="29">
        <f>IF(M11=0,0,VLOOKUP(M11,FAC_TOTALS_APTA!$A$4:$BD$126,$L13,FALSE))</f>
        <v>15320256.4839039</v>
      </c>
      <c r="N13" s="29">
        <f>IF(N11=0,0,VLOOKUP(N11,FAC_TOTALS_APTA!$A$4:$BD$126,$L13,FALSE))</f>
        <v>2799364.69961853</v>
      </c>
      <c r="O13" s="29">
        <f>IF(O11=0,0,VLOOKUP(O11,FAC_TOTALS_APTA!$A$4:$BD$126,$L13,FALSE))</f>
        <v>16164729.3272873</v>
      </c>
      <c r="P13" s="29">
        <f>IF(P11=0,0,VLOOKUP(P11,FAC_TOTALS_APTA!$A$4:$BD$126,$L13,FALSE))</f>
        <v>15483945.021248</v>
      </c>
      <c r="Q13" s="29">
        <f>IF(Q11=0,0,VLOOKUP(Q11,FAC_TOTALS_APTA!$A$4:$BD$126,$L13,FALSE))</f>
        <v>7834323.8755453601</v>
      </c>
      <c r="R13" s="29">
        <f>IF(R11=0,0,VLOOKUP(R11,FAC_TOTALS_APTA!$A$4:$BD$126,$L13,FALSE))</f>
        <v>6055640.0625807</v>
      </c>
      <c r="S13" s="29">
        <f>IF(S11=0,0,VLOOKUP(S11,FAC_TOTALS_APTA!$A$4:$BD$126,$L13,FALSE))</f>
        <v>0</v>
      </c>
      <c r="T13" s="29">
        <f>IF(T11=0,0,VLOOKUP(T11,FAC_TOTALS_APTA!$A$4:$BD$126,$L13,FALSE))</f>
        <v>0</v>
      </c>
      <c r="U13" s="29">
        <f>IF(U11=0,0,VLOOKUP(U11,FAC_TOTALS_APTA!$A$4:$BD$126,$L13,FALSE))</f>
        <v>0</v>
      </c>
      <c r="V13" s="29">
        <f>IF(V11=0,0,VLOOKUP(V11,FAC_TOTALS_APTA!$A$4:$BD$126,$L13,FALSE))</f>
        <v>0</v>
      </c>
      <c r="W13" s="29">
        <f>IF(W11=0,0,VLOOKUP(W11,FAC_TOTALS_APTA!$A$4:$BD$126,$L13,FALSE))</f>
        <v>0</v>
      </c>
      <c r="X13" s="29">
        <f>IF(X11=0,0,VLOOKUP(X11,FAC_TOTALS_APTA!$A$4:$BD$126,$L13,FALSE))</f>
        <v>0</v>
      </c>
      <c r="Y13" s="29">
        <f>IF(Y11=0,0,VLOOKUP(Y11,FAC_TOTALS_APTA!$A$4:$BD$126,$L13,FALSE))</f>
        <v>0</v>
      </c>
      <c r="Z13" s="29">
        <f>IF(Z11=0,0,VLOOKUP(Z11,FAC_TOTALS_APTA!$A$4:$BD$126,$L13,FALSE))</f>
        <v>0</v>
      </c>
      <c r="AA13" s="29">
        <f>IF(AA11=0,0,VLOOKUP(AA11,FAC_TOTALS_APTA!$A$4:$BD$126,$L13,FALSE))</f>
        <v>0</v>
      </c>
      <c r="AB13" s="29">
        <f>IF(AB11=0,0,VLOOKUP(AB11,FAC_TOTALS_APTA!$A$4:$BD$126,$L13,FALSE))</f>
        <v>0</v>
      </c>
      <c r="AC13" s="32">
        <f>SUM(M13:AB13)</f>
        <v>63658259.470183782</v>
      </c>
      <c r="AD13" s="33">
        <f>AC13/G27</f>
        <v>2.4519580700399762E-2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88</v>
      </c>
      <c r="E14" s="55"/>
      <c r="F14" s="6">
        <f>MATCH($D14,FAC_TOTALS_APTA!$A$2:$BD$2,)</f>
        <v>14</v>
      </c>
      <c r="G14" s="123">
        <f>VLOOKUP(G11,FAC_TOTALS_APTA!$A$4:$BD$126,$F14,FALSE)</f>
        <v>1.03319372827068</v>
      </c>
      <c r="H14" s="123">
        <f>VLOOKUP(H11,FAC_TOTALS_APTA!$A$4:$BD$126,$F14,FALSE)</f>
        <v>1.03280582691442</v>
      </c>
      <c r="I14" s="30">
        <f t="shared" ref="I14:I25" si="1">IFERROR(H14/G14-1,"-")</f>
        <v>-3.75439131738875E-4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FARE_per_UPT_cleaned_2018_BUS_log_FAC</v>
      </c>
      <c r="L14" s="6">
        <f>MATCH($K14,FAC_TOTALS_APTA!$A$2:$BB$2,)</f>
        <v>32</v>
      </c>
      <c r="M14" s="29">
        <f>IF(M11=0,0,VLOOKUP(M11,FAC_TOTALS_APTA!$A$4:$BD$126,$L14,FALSE))</f>
        <v>-12210318.4265201</v>
      </c>
      <c r="N14" s="29">
        <f>IF(N11=0,0,VLOOKUP(N11,FAC_TOTALS_APTA!$A$4:$BD$126,$L14,FALSE))</f>
        <v>-3440403.9505489198</v>
      </c>
      <c r="O14" s="29">
        <f>IF(O11=0,0,VLOOKUP(O11,FAC_TOTALS_APTA!$A$4:$BD$126,$L14,FALSE))</f>
        <v>-20089434.082403801</v>
      </c>
      <c r="P14" s="29">
        <f>IF(P11=0,0,VLOOKUP(P11,FAC_TOTALS_APTA!$A$4:$BD$126,$L14,FALSE))</f>
        <v>-15961361.153643901</v>
      </c>
      <c r="Q14" s="29">
        <f>IF(Q11=0,0,VLOOKUP(Q11,FAC_TOTALS_APTA!$A$4:$BD$126,$L14,FALSE))</f>
        <v>24426564.490045901</v>
      </c>
      <c r="R14" s="29">
        <f>IF(R11=0,0,VLOOKUP(R11,FAC_TOTALS_APTA!$A$4:$BD$126,$L14,FALSE))</f>
        <v>20065591.094436999</v>
      </c>
      <c r="S14" s="29">
        <f>IF(S11=0,0,VLOOKUP(S11,FAC_TOTALS_APTA!$A$4:$BD$126,$L14,FALSE))</f>
        <v>0</v>
      </c>
      <c r="T14" s="29">
        <f>IF(T11=0,0,VLOOKUP(T11,FAC_TOTALS_APTA!$A$4:$BD$126,$L14,FALSE))</f>
        <v>0</v>
      </c>
      <c r="U14" s="29">
        <f>IF(U11=0,0,VLOOKUP(U11,FAC_TOTALS_APTA!$A$4:$BD$126,$L14,FALSE))</f>
        <v>0</v>
      </c>
      <c r="V14" s="29">
        <f>IF(V11=0,0,VLOOKUP(V11,FAC_TOTALS_APTA!$A$4:$BD$126,$L14,FALSE))</f>
        <v>0</v>
      </c>
      <c r="W14" s="29">
        <f>IF(W11=0,0,VLOOKUP(W11,FAC_TOTALS_APTA!$A$4:$BD$126,$L14,FALSE))</f>
        <v>0</v>
      </c>
      <c r="X14" s="29">
        <f>IF(X11=0,0,VLOOKUP(X11,FAC_TOTALS_APTA!$A$4:$BD$126,$L14,FALSE))</f>
        <v>0</v>
      </c>
      <c r="Y14" s="29">
        <f>IF(Y11=0,0,VLOOKUP(Y11,FAC_TOTALS_APTA!$A$4:$BD$126,$L14,FALSE))</f>
        <v>0</v>
      </c>
      <c r="Z14" s="29">
        <f>IF(Z11=0,0,VLOOKUP(Z11,FAC_TOTALS_APTA!$A$4:$BD$126,$L14,FALSE))</f>
        <v>0</v>
      </c>
      <c r="AA14" s="29">
        <f>IF(AA11=0,0,VLOOKUP(AA11,FAC_TOTALS_APTA!$A$4:$BD$126,$L14,FALSE))</f>
        <v>0</v>
      </c>
      <c r="AB14" s="29">
        <f>IF(AB11=0,0,VLOOKUP(AB11,FAC_TOTALS_APTA!$A$4:$BD$126,$L14,FALSE))</f>
        <v>0</v>
      </c>
      <c r="AC14" s="32">
        <f t="shared" ref="AC14:AC25" si="4">SUM(M14:AB14)</f>
        <v>-7209362.028633818</v>
      </c>
      <c r="AD14" s="33">
        <f>AC14/G27</f>
        <v>-2.7768672208557687E-3</v>
      </c>
      <c r="AE14" s="6"/>
    </row>
    <row r="15" spans="1:31" s="13" customFormat="1" x14ac:dyDescent="0.25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3.2146127591773301E-2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1621605.7212227201</v>
      </c>
      <c r="P15" s="117">
        <f>IF(P11=0,0,VLOOKUP(P11,FAC_TOTALS_APTA!$A$4:$BD$126,$L15,FALSE))</f>
        <v>1596379.6869196401</v>
      </c>
      <c r="Q15" s="117">
        <f>IF(Q11=0,0,VLOOKUP(Q11,FAC_TOTALS_APTA!$A$4:$BD$126,$L15,FALSE))</f>
        <v>1763685.3685756</v>
      </c>
      <c r="R15" s="117">
        <f>IF(R11=0,0,VLOOKUP(R11,FAC_TOTALS_APTA!$A$4:$BD$126,$L15,FALSE))</f>
        <v>-1460674.8951131499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si="4"/>
        <v>3520995.8816048102</v>
      </c>
      <c r="AD15" s="122">
        <f>AC15/G28</f>
        <v>1.3856422105643106E-3</v>
      </c>
      <c r="AE15" s="6"/>
    </row>
    <row r="16" spans="1:31" s="13" customFormat="1" x14ac:dyDescent="0.25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117">
        <f>VLOOKUP(G11,FAC_TOTALS_APTA!$A$4:$BD$126,$F16,FALSE)</f>
        <v>0</v>
      </c>
      <c r="H16" s="117">
        <f>VLOOKUP(H11,FAC_TOTALS_APTA!$A$4:$BD$126,$F16,FALSE)</f>
        <v>0</v>
      </c>
      <c r="I16" s="119" t="str">
        <f>IFERROR(H16/G16-1,"-")</f>
        <v>-</v>
      </c>
      <c r="J16" s="120" t="str">
        <f t="shared" si="2"/>
        <v/>
      </c>
      <c r="K16" s="120" t="str">
        <f t="shared" si="3"/>
        <v>MAINTENANCE_WMATA_FAC</v>
      </c>
      <c r="L16" s="104">
        <f>MATCH($K16,FAC_TOTALS_APTA!$A$2:$BB$2,)</f>
        <v>40</v>
      </c>
      <c r="M16" s="117">
        <f>IF(M12=0,0,VLOOKUP(M12,FAC_TOTALS_APTA!$A$4:$BD$126,$L16,FALSE))</f>
        <v>0</v>
      </c>
      <c r="N16" s="117">
        <f>IF(N12=0,0,VLOOKUP(N12,FAC_TOTALS_APTA!$A$4:$BD$126,$L16,FALSE))</f>
        <v>0</v>
      </c>
      <c r="O16" s="117">
        <f>IF(O12=0,0,VLOOKUP(O12,FAC_TOTALS_APTA!$A$4:$BD$126,$L16,FALSE))</f>
        <v>0</v>
      </c>
      <c r="P16" s="117">
        <f>IF(P12=0,0,VLOOKUP(P12,FAC_TOTALS_APTA!$A$4:$BD$126,$L16,FALSE))</f>
        <v>0</v>
      </c>
      <c r="Q16" s="117">
        <f>IF(Q12=0,0,VLOOKUP(Q12,FAC_TOTALS_APTA!$A$4:$BD$126,$L16,FALSE))</f>
        <v>0</v>
      </c>
      <c r="R16" s="117">
        <f>IF(R12=0,0,VLOOKUP(R12,FAC_TOTALS_APTA!$A$4:$BD$126,$L16,FALSE))</f>
        <v>0</v>
      </c>
      <c r="S16" s="117">
        <f>IF(S12=0,0,VLOOKUP(S12,FAC_TOTALS_APTA!$A$4:$BD$126,$L16,FALSE))</f>
        <v>0</v>
      </c>
      <c r="T16" s="117">
        <f>IF(T12=0,0,VLOOKUP(T12,FAC_TOTALS_APTA!$A$4:$BD$126,$L16,FALSE))</f>
        <v>0</v>
      </c>
      <c r="U16" s="117">
        <f>IF(U12=0,0,VLOOKUP(U12,FAC_TOTALS_APTA!$A$4:$BD$126,$L16,FALSE))</f>
        <v>0</v>
      </c>
      <c r="V16" s="117">
        <f>IF(V12=0,0,VLOOKUP(V12,FAC_TOTALS_APTA!$A$4:$BD$126,$L16,FALSE))</f>
        <v>0</v>
      </c>
      <c r="W16" s="117">
        <f>IF(W12=0,0,VLOOKUP(W12,FAC_TOTALS_APTA!$A$4:$BD$126,$L16,FALSE))</f>
        <v>0</v>
      </c>
      <c r="X16" s="117">
        <f>IF(X12=0,0,VLOOKUP(X12,FAC_TOTALS_APTA!$A$4:$BD$126,$L16,FALSE))</f>
        <v>0</v>
      </c>
      <c r="Y16" s="117">
        <f>IF(Y12=0,0,VLOOKUP(Y12,FAC_TOTALS_APTA!$A$4:$BD$126,$L16,FALSE))</f>
        <v>0</v>
      </c>
      <c r="Z16" s="117">
        <f>IF(Z12=0,0,VLOOKUP(Z12,FAC_TOTALS_APTA!$A$4:$BD$126,$L16,FALSE))</f>
        <v>0</v>
      </c>
      <c r="AA16" s="117">
        <f>IF(AA12=0,0,VLOOKUP(AA12,FAC_TOTALS_APTA!$A$4:$BD$126,$L16,FALSE))</f>
        <v>0</v>
      </c>
      <c r="AB16" s="117">
        <f>IF(AB12=0,0,VLOOKUP(AB12,FAC_TOTALS_APTA!$A$4:$BD$126,$L16,FALSE))</f>
        <v>0</v>
      </c>
      <c r="AC16" s="121">
        <f t="shared" si="4"/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MATCH($D17,FAC_TOTALS_APTA!$A$2:$BD$2,)</f>
        <v>16</v>
      </c>
      <c r="G17" s="117">
        <f>VLOOKUP(G11,FAC_TOTALS_APTA!$A$4:$BD$126,$F17,FALSE)</f>
        <v>10106162.1305601</v>
      </c>
      <c r="H17" s="117">
        <f>VLOOKUP(H11,FAC_TOTALS_APTA!$A$4:$BD$126,$F17,FALSE)</f>
        <v>10741812.069976499</v>
      </c>
      <c r="I17" s="30">
        <f t="shared" si="1"/>
        <v>6.2897263194922726E-2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MATCH($K17,FAC_TOTALS_APTA!$A$2:$BB$2,)</f>
        <v>34</v>
      </c>
      <c r="M17" s="29">
        <f>IF(M11=0,0,VLOOKUP(M11,FAC_TOTALS_APTA!$A$4:$BD$126,$L17,FALSE))</f>
        <v>6671214.1760201901</v>
      </c>
      <c r="N17" s="29">
        <f>IF(N11=0,0,VLOOKUP(N11,FAC_TOTALS_APTA!$A$4:$BD$126,$L17,FALSE))</f>
        <v>7918046.8659014003</v>
      </c>
      <c r="O17" s="29">
        <f>IF(O11=0,0,VLOOKUP(O11,FAC_TOTALS_APTA!$A$4:$BD$126,$L17,FALSE))</f>
        <v>6834317.78860592</v>
      </c>
      <c r="P17" s="29">
        <f>IF(P11=0,0,VLOOKUP(P11,FAC_TOTALS_APTA!$A$4:$BD$126,$L17,FALSE))</f>
        <v>5152490.4286909699</v>
      </c>
      <c r="Q17" s="29">
        <f>IF(Q11=0,0,VLOOKUP(Q11,FAC_TOTALS_APTA!$A$4:$BD$126,$L17,FALSE))</f>
        <v>5982112.4413540503</v>
      </c>
      <c r="R17" s="29">
        <f>IF(R11=0,0,VLOOKUP(R11,FAC_TOTALS_APTA!$A$4:$BD$126,$L17,FALSE))</f>
        <v>4631399.2725235298</v>
      </c>
      <c r="S17" s="29">
        <f>IF(S11=0,0,VLOOKUP(S11,FAC_TOTALS_APTA!$A$4:$BD$126,$L17,FALSE))</f>
        <v>0</v>
      </c>
      <c r="T17" s="29">
        <f>IF(T11=0,0,VLOOKUP(T11,FAC_TOTALS_APTA!$A$4:$BD$126,$L17,FALSE))</f>
        <v>0</v>
      </c>
      <c r="U17" s="29">
        <f>IF(U11=0,0,VLOOKUP(U11,FAC_TOTALS_APTA!$A$4:$BD$126,$L17,FALSE))</f>
        <v>0</v>
      </c>
      <c r="V17" s="29">
        <f>IF(V11=0,0,VLOOKUP(V11,FAC_TOTALS_APTA!$A$4:$BD$126,$L17,FALSE))</f>
        <v>0</v>
      </c>
      <c r="W17" s="29">
        <f>IF(W11=0,0,VLOOKUP(W11,FAC_TOTALS_APTA!$A$4:$BD$126,$L17,FALSE))</f>
        <v>0</v>
      </c>
      <c r="X17" s="29">
        <f>IF(X11=0,0,VLOOKUP(X11,FAC_TOTALS_APTA!$A$4:$BD$126,$L17,FALSE))</f>
        <v>0</v>
      </c>
      <c r="Y17" s="29">
        <f>IF(Y11=0,0,VLOOKUP(Y11,FAC_TOTALS_APTA!$A$4:$BD$126,$L17,FALSE))</f>
        <v>0</v>
      </c>
      <c r="Z17" s="29">
        <f>IF(Z11=0,0,VLOOKUP(Z11,FAC_TOTALS_APTA!$A$4:$BD$126,$L17,FALSE))</f>
        <v>0</v>
      </c>
      <c r="AA17" s="29">
        <f>IF(AA11=0,0,VLOOKUP(AA11,FAC_TOTALS_APTA!$A$4:$BD$126,$L17,FALSE))</f>
        <v>0</v>
      </c>
      <c r="AB17" s="29">
        <f>IF(AB11=0,0,VLOOKUP(AB11,FAC_TOTALS_APTA!$A$4:$BD$126,$L17,FALSE))</f>
        <v>0</v>
      </c>
      <c r="AC17" s="32">
        <f t="shared" si="4"/>
        <v>37189580.973096058</v>
      </c>
      <c r="AD17" s="33">
        <f>AC17/G27</f>
        <v>1.4324503049144515E-2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MATCH($D18,FAC_TOTALS_APTA!$A$2:$BD$2,)</f>
        <v>17</v>
      </c>
      <c r="G18" s="123">
        <f>VLOOKUP(G11,FAC_TOTALS_APTA!$A$4:$BD$126,$F18,FALSE)</f>
        <v>0.55566673939080602</v>
      </c>
      <c r="H18" s="123">
        <f>VLOOKUP(H11,FAC_TOTALS_APTA!$A$4:$BD$126,$F18,FALSE)</f>
        <v>0.55478249392358903</v>
      </c>
      <c r="I18" s="30">
        <f t="shared" si="1"/>
        <v>-1.5913233680072691E-3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MATCH($K18,FAC_TOTALS_APTA!$A$2:$BB$2,)</f>
        <v>35</v>
      </c>
      <c r="M18" s="29">
        <f>IF(M11=0,0,VLOOKUP(M11,FAC_TOTALS_APTA!$A$4:$BD$126,$L18,FALSE))</f>
        <v>-141277.05670140201</v>
      </c>
      <c r="N18" s="29">
        <f>IF(N11=0,0,VLOOKUP(N11,FAC_TOTALS_APTA!$A$4:$BD$126,$L18,FALSE))</f>
        <v>-539722.07620426</v>
      </c>
      <c r="O18" s="29">
        <f>IF(O11=0,0,VLOOKUP(O11,FAC_TOTALS_APTA!$A$4:$BD$126,$L18,FALSE))</f>
        <v>663623.33570457099</v>
      </c>
      <c r="P18" s="29">
        <f>IF(P11=0,0,VLOOKUP(P11,FAC_TOTALS_APTA!$A$4:$BD$126,$L18,FALSE))</f>
        <v>-525345.63220226602</v>
      </c>
      <c r="Q18" s="29">
        <f>IF(Q11=0,0,VLOOKUP(Q11,FAC_TOTALS_APTA!$A$4:$BD$126,$L18,FALSE))</f>
        <v>-1104070.2500897001</v>
      </c>
      <c r="R18" s="29">
        <f>IF(R11=0,0,VLOOKUP(R11,FAC_TOTALS_APTA!$A$4:$BD$126,$L18,FALSE))</f>
        <v>828465.11952008202</v>
      </c>
      <c r="S18" s="29">
        <f>IF(S11=0,0,VLOOKUP(S11,FAC_TOTALS_APTA!$A$4:$BD$126,$L18,FALSE))</f>
        <v>0</v>
      </c>
      <c r="T18" s="29">
        <f>IF(T11=0,0,VLOOKUP(T11,FAC_TOTALS_APTA!$A$4:$BD$126,$L18,FALSE))</f>
        <v>0</v>
      </c>
      <c r="U18" s="29">
        <f>IF(U11=0,0,VLOOKUP(U11,FAC_TOTALS_APTA!$A$4:$BD$126,$L18,FALSE))</f>
        <v>0</v>
      </c>
      <c r="V18" s="29">
        <f>IF(V11=0,0,VLOOKUP(V11,FAC_TOTALS_APTA!$A$4:$BD$126,$L18,FALSE))</f>
        <v>0</v>
      </c>
      <c r="W18" s="29">
        <f>IF(W11=0,0,VLOOKUP(W11,FAC_TOTALS_APTA!$A$4:$BD$126,$L18,FALSE))</f>
        <v>0</v>
      </c>
      <c r="X18" s="29">
        <f>IF(X11=0,0,VLOOKUP(X11,FAC_TOTALS_APTA!$A$4:$BD$126,$L18,FALSE))</f>
        <v>0</v>
      </c>
      <c r="Y18" s="29">
        <f>IF(Y11=0,0,VLOOKUP(Y11,FAC_TOTALS_APTA!$A$4:$BD$126,$L18,FALSE))</f>
        <v>0</v>
      </c>
      <c r="Z18" s="29">
        <f>IF(Z11=0,0,VLOOKUP(Z11,FAC_TOTALS_APTA!$A$4:$BD$126,$L18,FALSE))</f>
        <v>0</v>
      </c>
      <c r="AA18" s="29">
        <f>IF(AA11=0,0,VLOOKUP(AA11,FAC_TOTALS_APTA!$A$4:$BD$126,$L18,FALSE))</f>
        <v>0</v>
      </c>
      <c r="AB18" s="29">
        <f>IF(AB11=0,0,VLOOKUP(AB11,FAC_TOTALS_APTA!$A$4:$BD$126,$L18,FALSE))</f>
        <v>0</v>
      </c>
      <c r="AC18" s="32">
        <f t="shared" si="4"/>
        <v>-818326.55997297505</v>
      </c>
      <c r="AD18" s="33">
        <f>AC18/G27</f>
        <v>-3.1519906911586126E-4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MATCH($D19,FAC_TOTALS_APTA!$A$2:$BD$2,)</f>
        <v>18</v>
      </c>
      <c r="G19" s="125">
        <f>VLOOKUP(G11,FAC_TOTALS_APTA!$A$4:$BD$126,$F19,FALSE)</f>
        <v>4.1402142572755398</v>
      </c>
      <c r="H19" s="125">
        <f>VLOOKUP(H11,FAC_TOTALS_APTA!$A$4:$BD$126,$F19,FALSE)</f>
        <v>3.0460655824605101</v>
      </c>
      <c r="I19" s="30">
        <f t="shared" si="1"/>
        <v>-0.26427344258628593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MATCH($K19,FAC_TOTALS_APTA!$A$2:$BB$2,)</f>
        <v>36</v>
      </c>
      <c r="M19" s="29">
        <f>IF(M11=0,0,VLOOKUP(M11,FAC_TOTALS_APTA!$A$4:$BD$126,$L19,FALSE))</f>
        <v>-12437139.929720201</v>
      </c>
      <c r="N19" s="29">
        <f>IF(N11=0,0,VLOOKUP(N11,FAC_TOTALS_APTA!$A$4:$BD$126,$L19,FALSE))</f>
        <v>-15504484.674719101</v>
      </c>
      <c r="O19" s="29">
        <f>IF(O11=0,0,VLOOKUP(O11,FAC_TOTALS_APTA!$A$4:$BD$126,$L19,FALSE))</f>
        <v>-75298478.472686797</v>
      </c>
      <c r="P19" s="29">
        <f>IF(P11=0,0,VLOOKUP(P11,FAC_TOTALS_APTA!$A$4:$BD$126,$L19,FALSE))</f>
        <v>-31611109.506399099</v>
      </c>
      <c r="Q19" s="29">
        <f>IF(Q11=0,0,VLOOKUP(Q11,FAC_TOTALS_APTA!$A$4:$BD$126,$L19,FALSE))</f>
        <v>20418865.6239613</v>
      </c>
      <c r="R19" s="29">
        <f>IF(R11=0,0,VLOOKUP(R11,FAC_TOTALS_APTA!$A$4:$BD$126,$L19,FALSE))</f>
        <v>25062075.526025999</v>
      </c>
      <c r="S19" s="29">
        <f>IF(S11=0,0,VLOOKUP(S11,FAC_TOTALS_APTA!$A$4:$BD$126,$L19,FALSE))</f>
        <v>0</v>
      </c>
      <c r="T19" s="29">
        <f>IF(T11=0,0,VLOOKUP(T11,FAC_TOTALS_APTA!$A$4:$BD$126,$L19,FALSE))</f>
        <v>0</v>
      </c>
      <c r="U19" s="29">
        <f>IF(U11=0,0,VLOOKUP(U11,FAC_TOTALS_APTA!$A$4:$BD$126,$L19,FALSE))</f>
        <v>0</v>
      </c>
      <c r="V19" s="29">
        <f>IF(V11=0,0,VLOOKUP(V11,FAC_TOTALS_APTA!$A$4:$BD$126,$L19,FALSE))</f>
        <v>0</v>
      </c>
      <c r="W19" s="29">
        <f>IF(W11=0,0,VLOOKUP(W11,FAC_TOTALS_APTA!$A$4:$BD$126,$L19,FALSE))</f>
        <v>0</v>
      </c>
      <c r="X19" s="29">
        <f>IF(X11=0,0,VLOOKUP(X11,FAC_TOTALS_APTA!$A$4:$BD$126,$L19,FALSE))</f>
        <v>0</v>
      </c>
      <c r="Y19" s="29">
        <f>IF(Y11=0,0,VLOOKUP(Y11,FAC_TOTALS_APTA!$A$4:$BD$126,$L19,FALSE))</f>
        <v>0</v>
      </c>
      <c r="Z19" s="29">
        <f>IF(Z11=0,0,VLOOKUP(Z11,FAC_TOTALS_APTA!$A$4:$BD$126,$L19,FALSE))</f>
        <v>0</v>
      </c>
      <c r="AA19" s="29">
        <f>IF(AA11=0,0,VLOOKUP(AA11,FAC_TOTALS_APTA!$A$4:$BD$126,$L19,FALSE))</f>
        <v>0</v>
      </c>
      <c r="AB19" s="29">
        <f>IF(AB11=0,0,VLOOKUP(AB11,FAC_TOTALS_APTA!$A$4:$BD$126,$L19,FALSE))</f>
        <v>0</v>
      </c>
      <c r="AC19" s="32">
        <f t="shared" si="4"/>
        <v>-89370271.433537915</v>
      </c>
      <c r="AD19" s="33">
        <f>AC19/G27</f>
        <v>-3.4423209193421858E-2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MATCH($D20,FAC_TOTALS_APTA!$A$2:$BD$2,)</f>
        <v>19</v>
      </c>
      <c r="G20" s="123">
        <f>VLOOKUP(G11,FAC_TOTALS_APTA!$A$4:$BD$126,$F20,FALSE)</f>
        <v>32885.708578535901</v>
      </c>
      <c r="H20" s="123">
        <f>VLOOKUP(H11,FAC_TOTALS_APTA!$A$4:$BD$126,$F20,FALSE)</f>
        <v>36989.701487673403</v>
      </c>
      <c r="I20" s="30">
        <f t="shared" si="1"/>
        <v>0.12479563574969244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MATCH($K20,FAC_TOTALS_APTA!$A$2:$BB$2,)</f>
        <v>37</v>
      </c>
      <c r="M20" s="29">
        <f>IF(M11=0,0,VLOOKUP(M11,FAC_TOTALS_APTA!$A$4:$BD$126,$L20,FALSE))</f>
        <v>-1059156.6157464499</v>
      </c>
      <c r="N20" s="29">
        <f>IF(N11=0,0,VLOOKUP(N11,FAC_TOTALS_APTA!$A$4:$BD$126,$L20,FALSE))</f>
        <v>-1542060.0905571899</v>
      </c>
      <c r="O20" s="29">
        <f>IF(O11=0,0,VLOOKUP(O11,FAC_TOTALS_APTA!$A$4:$BD$126,$L20,FALSE))</f>
        <v>-5961392.6371671697</v>
      </c>
      <c r="P20" s="29">
        <f>IF(P11=0,0,VLOOKUP(P11,FAC_TOTALS_APTA!$A$4:$BD$126,$L20,FALSE))</f>
        <v>-3833078.8870814401</v>
      </c>
      <c r="Q20" s="29">
        <f>IF(Q11=0,0,VLOOKUP(Q11,FAC_TOTALS_APTA!$A$4:$BD$126,$L20,FALSE))</f>
        <v>-3793188.78230666</v>
      </c>
      <c r="R20" s="29">
        <f>IF(R11=0,0,VLOOKUP(R11,FAC_TOTALS_APTA!$A$4:$BD$126,$L20,FALSE))</f>
        <v>-3853069.15477901</v>
      </c>
      <c r="S20" s="29">
        <f>IF(S11=0,0,VLOOKUP(S11,FAC_TOTALS_APTA!$A$4:$BD$126,$L20,FALSE))</f>
        <v>0</v>
      </c>
      <c r="T20" s="29">
        <f>IF(T11=0,0,VLOOKUP(T11,FAC_TOTALS_APTA!$A$4:$BD$126,$L20,FALSE))</f>
        <v>0</v>
      </c>
      <c r="U20" s="29">
        <f>IF(U11=0,0,VLOOKUP(U11,FAC_TOTALS_APTA!$A$4:$BD$126,$L20,FALSE))</f>
        <v>0</v>
      </c>
      <c r="V20" s="29">
        <f>IF(V11=0,0,VLOOKUP(V11,FAC_TOTALS_APTA!$A$4:$BD$126,$L20,FALSE))</f>
        <v>0</v>
      </c>
      <c r="W20" s="29">
        <f>IF(W11=0,0,VLOOKUP(W11,FAC_TOTALS_APTA!$A$4:$BD$126,$L20,FALSE))</f>
        <v>0</v>
      </c>
      <c r="X20" s="29">
        <f>IF(X11=0,0,VLOOKUP(X11,FAC_TOTALS_APTA!$A$4:$BD$126,$L20,FALSE))</f>
        <v>0</v>
      </c>
      <c r="Y20" s="29">
        <f>IF(Y11=0,0,VLOOKUP(Y11,FAC_TOTALS_APTA!$A$4:$BD$126,$L20,FALSE))</f>
        <v>0</v>
      </c>
      <c r="Z20" s="29">
        <f>IF(Z11=0,0,VLOOKUP(Z11,FAC_TOTALS_APTA!$A$4:$BD$126,$L20,FALSE))</f>
        <v>0</v>
      </c>
      <c r="AA20" s="29">
        <f>IF(AA11=0,0,VLOOKUP(AA11,FAC_TOTALS_APTA!$A$4:$BD$126,$L20,FALSE))</f>
        <v>0</v>
      </c>
      <c r="AB20" s="29">
        <f>IF(AB11=0,0,VLOOKUP(AB11,FAC_TOTALS_APTA!$A$4:$BD$126,$L20,FALSE))</f>
        <v>0</v>
      </c>
      <c r="AC20" s="32">
        <f t="shared" si="4"/>
        <v>-20041946.167637922</v>
      </c>
      <c r="AD20" s="33">
        <f>AC20/G27</f>
        <v>-7.7196599552118899E-3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MATCH($D21,FAC_TOTALS_APTA!$A$2:$BD$2,)</f>
        <v>20</v>
      </c>
      <c r="G21" s="117">
        <f>VLOOKUP(G11,FAC_TOTALS_APTA!$A$4:$BD$126,$F21,FALSE)</f>
        <v>9.9589405328228597</v>
      </c>
      <c r="H21" s="117">
        <f>VLOOKUP(H11,FAC_TOTALS_APTA!$A$4:$BD$126,$F21,FALSE)</f>
        <v>9.0962859730607892</v>
      </c>
      <c r="I21" s="30">
        <f t="shared" si="1"/>
        <v>-8.6621117669988812E-2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MATCH($K21,FAC_TOTALS_APTA!$A$2:$BB$2,)</f>
        <v>38</v>
      </c>
      <c r="M21" s="29">
        <f>IF(M11=0,0,VLOOKUP(M11,FAC_TOTALS_APTA!$A$4:$BD$126,$L21,FALSE))</f>
        <v>-1294855.2653189099</v>
      </c>
      <c r="N21" s="29">
        <f>IF(N11=0,0,VLOOKUP(N11,FAC_TOTALS_APTA!$A$4:$BD$126,$L21,FALSE))</f>
        <v>-320568.56732176902</v>
      </c>
      <c r="O21" s="29">
        <f>IF(O11=0,0,VLOOKUP(O11,FAC_TOTALS_APTA!$A$4:$BD$126,$L21,FALSE))</f>
        <v>-639524.48604372202</v>
      </c>
      <c r="P21" s="29">
        <f>IF(P11=0,0,VLOOKUP(P11,FAC_TOTALS_APTA!$A$4:$BD$126,$L21,FALSE))</f>
        <v>-644927.72871518601</v>
      </c>
      <c r="Q21" s="29">
        <f>IF(Q11=0,0,VLOOKUP(Q11,FAC_TOTALS_APTA!$A$4:$BD$126,$L21,FALSE))</f>
        <v>-674079.68177445501</v>
      </c>
      <c r="R21" s="29">
        <f>IF(R11=0,0,VLOOKUP(R11,FAC_TOTALS_APTA!$A$4:$BD$126,$L21,FALSE))</f>
        <v>-614414.86120328098</v>
      </c>
      <c r="S21" s="29">
        <f>IF(S11=0,0,VLOOKUP(S11,FAC_TOTALS_APTA!$A$4:$BD$126,$L21,FALSE))</f>
        <v>0</v>
      </c>
      <c r="T21" s="29">
        <f>IF(T11=0,0,VLOOKUP(T11,FAC_TOTALS_APTA!$A$4:$BD$126,$L21,FALSE))</f>
        <v>0</v>
      </c>
      <c r="U21" s="29">
        <f>IF(U11=0,0,VLOOKUP(U11,FAC_TOTALS_APTA!$A$4:$BD$126,$L21,FALSE))</f>
        <v>0</v>
      </c>
      <c r="V21" s="29">
        <f>IF(V11=0,0,VLOOKUP(V11,FAC_TOTALS_APTA!$A$4:$BD$126,$L21,FALSE))</f>
        <v>0</v>
      </c>
      <c r="W21" s="29">
        <f>IF(W11=0,0,VLOOKUP(W11,FAC_TOTALS_APTA!$A$4:$BD$126,$L21,FALSE))</f>
        <v>0</v>
      </c>
      <c r="X21" s="29">
        <f>IF(X11=0,0,VLOOKUP(X11,FAC_TOTALS_APTA!$A$4:$BD$126,$L21,FALSE))</f>
        <v>0</v>
      </c>
      <c r="Y21" s="29">
        <f>IF(Y11=0,0,VLOOKUP(Y11,FAC_TOTALS_APTA!$A$4:$BD$126,$L21,FALSE))</f>
        <v>0</v>
      </c>
      <c r="Z21" s="29">
        <f>IF(Z11=0,0,VLOOKUP(Z11,FAC_TOTALS_APTA!$A$4:$BD$126,$L21,FALSE))</f>
        <v>0</v>
      </c>
      <c r="AA21" s="29">
        <f>IF(AA11=0,0,VLOOKUP(AA11,FAC_TOTALS_APTA!$A$4:$BD$126,$L21,FALSE))</f>
        <v>0</v>
      </c>
      <c r="AB21" s="29">
        <f>IF(AB11=0,0,VLOOKUP(AB11,FAC_TOTALS_APTA!$A$4:$BD$126,$L21,FALSE))</f>
        <v>0</v>
      </c>
      <c r="AC21" s="32">
        <f t="shared" si="4"/>
        <v>-4188370.5903773233</v>
      </c>
      <c r="AD21" s="33">
        <f>AC21/G27</f>
        <v>-1.613256340161782E-3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MATCH($D22,FAC_TOTALS_APTA!$A$2:$BD$2,)</f>
        <v>21</v>
      </c>
      <c r="G22" s="125">
        <f>VLOOKUP(G11,FAC_TOTALS_APTA!$A$4:$BD$126,$F22,FALSE)</f>
        <v>4.9873568486467601</v>
      </c>
      <c r="H22" s="125">
        <f>VLOOKUP(H11,FAC_TOTALS_APTA!$A$4:$BD$126,$F22,FALSE)</f>
        <v>6.1187931809606004</v>
      </c>
      <c r="I22" s="30">
        <f t="shared" si="1"/>
        <v>0.22686091383672236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MATCH($K22,FAC_TOTALS_APTA!$A$2:$BB$2,)</f>
        <v>39</v>
      </c>
      <c r="M22" s="29">
        <f>IF(M11=0,0,VLOOKUP(M11,FAC_TOTALS_APTA!$A$4:$BD$126,$L22,FALSE))</f>
        <v>-29172.88919989</v>
      </c>
      <c r="N22" s="29">
        <f>IF(N11=0,0,VLOOKUP(N11,FAC_TOTALS_APTA!$A$4:$BD$126,$L22,FALSE))</f>
        <v>-3140707.32232256</v>
      </c>
      <c r="O22" s="29">
        <f>IF(O11=0,0,VLOOKUP(O11,FAC_TOTALS_APTA!$A$4:$BD$126,$L22,FALSE))</f>
        <v>-2579850.28401493</v>
      </c>
      <c r="P22" s="29">
        <f>IF(P11=0,0,VLOOKUP(P11,FAC_TOTALS_APTA!$A$4:$BD$126,$L22,FALSE))</f>
        <v>-8108202.2660836903</v>
      </c>
      <c r="Q22" s="29">
        <f>IF(Q11=0,0,VLOOKUP(Q11,FAC_TOTALS_APTA!$A$4:$BD$126,$L22,FALSE))</f>
        <v>-2992337.6675694198</v>
      </c>
      <c r="R22" s="29">
        <f>IF(R11=0,0,VLOOKUP(R11,FAC_TOTALS_APTA!$A$4:$BD$126,$L22,FALSE))</f>
        <v>-4021421.5012425599</v>
      </c>
      <c r="S22" s="29">
        <f>IF(S11=0,0,VLOOKUP(S11,FAC_TOTALS_APTA!$A$4:$BD$126,$L22,FALSE))</f>
        <v>0</v>
      </c>
      <c r="T22" s="29">
        <f>IF(T11=0,0,VLOOKUP(T11,FAC_TOTALS_APTA!$A$4:$BD$126,$L22,FALSE))</f>
        <v>0</v>
      </c>
      <c r="U22" s="29">
        <f>IF(U11=0,0,VLOOKUP(U11,FAC_TOTALS_APTA!$A$4:$BD$126,$L22,FALSE))</f>
        <v>0</v>
      </c>
      <c r="V22" s="29">
        <f>IF(V11=0,0,VLOOKUP(V11,FAC_TOTALS_APTA!$A$4:$BD$126,$L22,FALSE))</f>
        <v>0</v>
      </c>
      <c r="W22" s="29">
        <f>IF(W11=0,0,VLOOKUP(W11,FAC_TOTALS_APTA!$A$4:$BD$126,$L22,FALSE))</f>
        <v>0</v>
      </c>
      <c r="X22" s="29">
        <f>IF(X11=0,0,VLOOKUP(X11,FAC_TOTALS_APTA!$A$4:$BD$126,$L22,FALSE))</f>
        <v>0</v>
      </c>
      <c r="Y22" s="29">
        <f>IF(Y11=0,0,VLOOKUP(Y11,FAC_TOTALS_APTA!$A$4:$BD$126,$L22,FALSE))</f>
        <v>0</v>
      </c>
      <c r="Z22" s="29">
        <f>IF(Z11=0,0,VLOOKUP(Z11,FAC_TOTALS_APTA!$A$4:$BD$126,$L22,FALSE))</f>
        <v>0</v>
      </c>
      <c r="AA22" s="29">
        <f>IF(AA11=0,0,VLOOKUP(AA11,FAC_TOTALS_APTA!$A$4:$BD$126,$L22,FALSE))</f>
        <v>0</v>
      </c>
      <c r="AB22" s="29">
        <f>IF(AB11=0,0,VLOOKUP(AB11,FAC_TOTALS_APTA!$A$4:$BD$126,$L22,FALSE))</f>
        <v>0</v>
      </c>
      <c r="AC22" s="32">
        <f t="shared" si="4"/>
        <v>-20871691.93043305</v>
      </c>
      <c r="AD22" s="33">
        <f>AC22/G27</f>
        <v>-8.0392574176778413E-3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89</v>
      </c>
      <c r="E23" s="55"/>
      <c r="F23" s="6">
        <f>MATCH($D23,FAC_TOTALS_APTA!$A$2:$BD$2,)</f>
        <v>24</v>
      </c>
      <c r="G23" s="125">
        <f>VLOOKUP(G11,FAC_TOTALS_APTA!$A$4:$BD$126,$F23,FALSE)</f>
        <v>0.50499774940706799</v>
      </c>
      <c r="H23" s="125">
        <f>VLOOKUP(H11,FAC_TOTALS_APTA!$A$4:$BD$126,$F23,FALSE)</f>
        <v>6.1833497858733697</v>
      </c>
      <c r="I23" s="30">
        <f t="shared" si="1"/>
        <v>11.2443115699692</v>
      </c>
      <c r="J23" s="31" t="str">
        <f t="shared" si="2"/>
        <v/>
      </c>
      <c r="K23" s="31" t="str">
        <f t="shared" si="3"/>
        <v>YEARS_SINCE_TNC_BUS_HINY_FAC</v>
      </c>
      <c r="L23" s="6">
        <f>MATCH($K23,FAC_TOTALS_APTA!$A$2:$BB$2,)</f>
        <v>42</v>
      </c>
      <c r="M23" s="29">
        <f>IF(M11=0,0,VLOOKUP(M11,FAC_TOTALS_APTA!$A$4:$BD$126,$L23,FALSE))</f>
        <v>-39894662.3628949</v>
      </c>
      <c r="N23" s="29">
        <f>IF(N11=0,0,VLOOKUP(N11,FAC_TOTALS_APTA!$A$4:$BD$126,$L23,FALSE))</f>
        <v>-42702945.434217602</v>
      </c>
      <c r="O23" s="29">
        <f>IF(O11=0,0,VLOOKUP(O11,FAC_TOTALS_APTA!$A$4:$BD$126,$L23,FALSE))</f>
        <v>-48256290.604243197</v>
      </c>
      <c r="P23" s="29">
        <f>IF(P11=0,0,VLOOKUP(P11,FAC_TOTALS_APTA!$A$4:$BD$126,$L23,FALSE))</f>
        <v>-47002561.869898602</v>
      </c>
      <c r="Q23" s="29">
        <f>IF(Q11=0,0,VLOOKUP(Q11,FAC_TOTALS_APTA!$A$4:$BD$126,$L23,FALSE))</f>
        <v>-44654416.589023598</v>
      </c>
      <c r="R23" s="29">
        <f>IF(R11=0,0,VLOOKUP(R11,FAC_TOTALS_APTA!$A$4:$BD$126,$L23,FALSE))</f>
        <v>-42872765.687049396</v>
      </c>
      <c r="S23" s="29">
        <f>IF(S11=0,0,VLOOKUP(S11,FAC_TOTALS_APTA!$A$4:$BD$126,$L23,FALSE))</f>
        <v>0</v>
      </c>
      <c r="T23" s="29">
        <f>IF(T11=0,0,VLOOKUP(T11,FAC_TOTALS_APTA!$A$4:$BD$126,$L23,FALSE))</f>
        <v>0</v>
      </c>
      <c r="U23" s="29">
        <f>IF(U11=0,0,VLOOKUP(U11,FAC_TOTALS_APTA!$A$4:$BD$126,$L23,FALSE))</f>
        <v>0</v>
      </c>
      <c r="V23" s="29">
        <f>IF(V11=0,0,VLOOKUP(V11,FAC_TOTALS_APTA!$A$4:$BD$126,$L23,FALSE))</f>
        <v>0</v>
      </c>
      <c r="W23" s="29">
        <f>IF(W11=0,0,VLOOKUP(W11,FAC_TOTALS_APTA!$A$4:$BD$126,$L23,FALSE))</f>
        <v>0</v>
      </c>
      <c r="X23" s="29">
        <f>IF(X11=0,0,VLOOKUP(X11,FAC_TOTALS_APTA!$A$4:$BD$126,$L23,FALSE))</f>
        <v>0</v>
      </c>
      <c r="Y23" s="29">
        <f>IF(Y11=0,0,VLOOKUP(Y11,FAC_TOTALS_APTA!$A$4:$BD$126,$L23,FALSE))</f>
        <v>0</v>
      </c>
      <c r="Z23" s="29">
        <f>IF(Z11=0,0,VLOOKUP(Z11,FAC_TOTALS_APTA!$A$4:$BD$126,$L23,FALSE))</f>
        <v>0</v>
      </c>
      <c r="AA23" s="29">
        <f>IF(AA11=0,0,VLOOKUP(AA11,FAC_TOTALS_APTA!$A$4:$BD$126,$L23,FALSE))</f>
        <v>0</v>
      </c>
      <c r="AB23" s="29">
        <f>IF(AB11=0,0,VLOOKUP(AB11,FAC_TOTALS_APTA!$A$4:$BD$126,$L23,FALSE))</f>
        <v>0</v>
      </c>
      <c r="AC23" s="32">
        <f t="shared" si="4"/>
        <v>-265383642.54732728</v>
      </c>
      <c r="AD23" s="33">
        <f>AC23/G27</f>
        <v>-0.10221918874569647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MATCH($D24,FAC_TOTALS_APTA!$A$2:$BD$2,)</f>
        <v>28</v>
      </c>
      <c r="G24" s="125">
        <f>VLOOKUP(G11,FAC_TOTALS_APTA!$A$4:$BD$126,$F24,FALSE)</f>
        <v>0.20578687227443601</v>
      </c>
      <c r="H24" s="125">
        <f>VLOOKUP(H11,FAC_TOTALS_APTA!$A$4:$BD$126,$F24,FALSE)</f>
        <v>1</v>
      </c>
      <c r="I24" s="30">
        <f t="shared" si="1"/>
        <v>3.8593964665851308</v>
      </c>
      <c r="J24" s="31" t="str">
        <f t="shared" si="2"/>
        <v/>
      </c>
      <c r="K24" s="31" t="str">
        <f t="shared" si="3"/>
        <v>BIKE_SHARE_FAC</v>
      </c>
      <c r="L24" s="6">
        <f>MATCH($K24,FAC_TOTALS_APTA!$A$2:$BB$2,)</f>
        <v>46</v>
      </c>
      <c r="M24" s="29">
        <f>IF(M11=0,0,VLOOKUP(M11,FAC_TOTALS_APTA!$A$4:$BD$126,$L24,FALSE))</f>
        <v>0</v>
      </c>
      <c r="N24" s="29">
        <f>IF(N11=0,0,VLOOKUP(N11,FAC_TOTALS_APTA!$A$4:$BD$126,$L24,FALSE))</f>
        <v>-7793655.2959113503</v>
      </c>
      <c r="O24" s="29">
        <f>IF(O11=0,0,VLOOKUP(O11,FAC_TOTALS_APTA!$A$4:$BD$126,$L24,FALSE))</f>
        <v>-6666096.4804303804</v>
      </c>
      <c r="P24" s="29">
        <f>IF(P11=0,0,VLOOKUP(P11,FAC_TOTALS_APTA!$A$4:$BD$126,$L24,FALSE))</f>
        <v>-6466561.3965962296</v>
      </c>
      <c r="Q24" s="29">
        <f>IF(Q11=0,0,VLOOKUP(Q11,FAC_TOTALS_APTA!$A$4:$BD$126,$L24,FALSE))</f>
        <v>0</v>
      </c>
      <c r="R24" s="29">
        <f>IF(R11=0,0,VLOOKUP(R11,FAC_TOTALS_APTA!$A$4:$BD$126,$L24,FALSE))</f>
        <v>-310695.32207366801</v>
      </c>
      <c r="S24" s="29">
        <f>IF(S11=0,0,VLOOKUP(S11,FAC_TOTALS_APTA!$A$4:$BD$126,$L24,FALSE))</f>
        <v>0</v>
      </c>
      <c r="T24" s="29">
        <f>IF(T11=0,0,VLOOKUP(T11,FAC_TOTALS_APTA!$A$4:$BD$126,$L24,FALSE))</f>
        <v>0</v>
      </c>
      <c r="U24" s="29">
        <f>IF(U11=0,0,VLOOKUP(U11,FAC_TOTALS_APTA!$A$4:$BD$126,$L24,FALSE))</f>
        <v>0</v>
      </c>
      <c r="V24" s="29">
        <f>IF(V11=0,0,VLOOKUP(V11,FAC_TOTALS_APTA!$A$4:$BD$126,$L24,FALSE))</f>
        <v>0</v>
      </c>
      <c r="W24" s="29">
        <f>IF(W11=0,0,VLOOKUP(W11,FAC_TOTALS_APTA!$A$4:$BD$126,$L24,FALSE))</f>
        <v>0</v>
      </c>
      <c r="X24" s="29">
        <f>IF(X11=0,0,VLOOKUP(X11,FAC_TOTALS_APTA!$A$4:$BD$126,$L24,FALSE))</f>
        <v>0</v>
      </c>
      <c r="Y24" s="29">
        <f>IF(Y11=0,0,VLOOKUP(Y11,FAC_TOTALS_APTA!$A$4:$BD$126,$L24,FALSE))</f>
        <v>0</v>
      </c>
      <c r="Z24" s="29">
        <f>IF(Z11=0,0,VLOOKUP(Z11,FAC_TOTALS_APTA!$A$4:$BD$126,$L24,FALSE))</f>
        <v>0</v>
      </c>
      <c r="AA24" s="29">
        <f>IF(AA11=0,0,VLOOKUP(AA11,FAC_TOTALS_APTA!$A$4:$BD$126,$L24,FALSE))</f>
        <v>0</v>
      </c>
      <c r="AB24" s="29">
        <f>IF(AB11=0,0,VLOOKUP(AB11,FAC_TOTALS_APTA!$A$4:$BD$126,$L24,FALSE))</f>
        <v>0</v>
      </c>
      <c r="AC24" s="32">
        <f t="shared" si="4"/>
        <v>-21237008.495011628</v>
      </c>
      <c r="AD24" s="33">
        <f>AC24/G27</f>
        <v>-8.1799682863212542E-3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MATCH($D25,FAC_TOTALS_APTA!$A$2:$BD$2,)</f>
        <v>29</v>
      </c>
      <c r="G25" s="131">
        <f>VLOOKUP(G11,FAC_TOTALS_APTA!$A$4:$BD$126,$F25,FALSE)</f>
        <v>0</v>
      </c>
      <c r="H25" s="131">
        <f>VLOOKUP(H11,FAC_TOTALS_APTA!$A$4:$BD$126,$F25,FALSE)</f>
        <v>0.535820345896039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MATCH($K25,FAC_TOTALS_APTA!$A$2:$BB$2,)</f>
        <v>47</v>
      </c>
      <c r="M25" s="38">
        <f>IF(M11=0,0,VLOOKUP(M11,FAC_TOTALS_APTA!$A$4:$BD$126,$L25,FALSE))</f>
        <v>0</v>
      </c>
      <c r="N25" s="38">
        <f>IF(N11=0,0,VLOOKUP(N11,FAC_TOTALS_APTA!$A$4:$BD$126,$L25,FALSE))</f>
        <v>0</v>
      </c>
      <c r="O25" s="38">
        <f>IF(O11=0,0,VLOOKUP(O11,FAC_TOTALS_APTA!$A$4:$BD$126,$L25,FALSE))</f>
        <v>0</v>
      </c>
      <c r="P25" s="38">
        <f>IF(P11=0,0,VLOOKUP(P11,FAC_TOTALS_APTA!$A$4:$BD$126,$L25,FALSE))</f>
        <v>0</v>
      </c>
      <c r="Q25" s="38">
        <f>IF(Q11=0,0,VLOOKUP(Q11,FAC_TOTALS_APTA!$A$4:$BD$126,$L25,FALSE))</f>
        <v>0</v>
      </c>
      <c r="R25" s="38">
        <f>IF(R11=0,0,VLOOKUP(R11,FAC_TOTALS_APTA!$A$4:$BD$126,$L25,FALSE))</f>
        <v>-49443353.3376531</v>
      </c>
      <c r="S25" s="38">
        <f>IF(S11=0,0,VLOOKUP(S11,FAC_TOTALS_APTA!$A$4:$BD$126,$L25,FALSE))</f>
        <v>0</v>
      </c>
      <c r="T25" s="38">
        <f>IF(T11=0,0,VLOOKUP(T11,FAC_TOTALS_APTA!$A$4:$BD$126,$L25,FALSE))</f>
        <v>0</v>
      </c>
      <c r="U25" s="38">
        <f>IF(U11=0,0,VLOOKUP(U11,FAC_TOTALS_APTA!$A$4:$BD$126,$L25,FALSE))</f>
        <v>0</v>
      </c>
      <c r="V25" s="38">
        <f>IF(V11=0,0,VLOOKUP(V11,FAC_TOTALS_APTA!$A$4:$BD$126,$L25,FALSE))</f>
        <v>0</v>
      </c>
      <c r="W25" s="38">
        <f>IF(W11=0,0,VLOOKUP(W11,FAC_TOTALS_APTA!$A$4:$BD$126,$L25,FALSE))</f>
        <v>0</v>
      </c>
      <c r="X25" s="38">
        <f>IF(X11=0,0,VLOOKUP(X11,FAC_TOTALS_APTA!$A$4:$BD$126,$L25,FALSE))</f>
        <v>0</v>
      </c>
      <c r="Y25" s="38">
        <f>IF(Y11=0,0,VLOOKUP(Y11,FAC_TOTALS_APTA!$A$4:$BD$126,$L25,FALSE))</f>
        <v>0</v>
      </c>
      <c r="Z25" s="38">
        <f>IF(Z11=0,0,VLOOKUP(Z11,FAC_TOTALS_APTA!$A$4:$BD$126,$L25,FALSE))</f>
        <v>0</v>
      </c>
      <c r="AA25" s="38">
        <f>IF(AA11=0,0,VLOOKUP(AA11,FAC_TOTALS_APTA!$A$4:$BD$126,$L25,FALSE))</f>
        <v>0</v>
      </c>
      <c r="AB25" s="38">
        <f>IF(AB11=0,0,VLOOKUP(AB11,FAC_TOTALS_APTA!$A$4:$BD$126,$L25,FALSE))</f>
        <v>0</v>
      </c>
      <c r="AC25" s="39">
        <f t="shared" si="4"/>
        <v>-49443353.3376531</v>
      </c>
      <c r="AD25" s="40">
        <f>AC25/G27</f>
        <v>-1.9044351861816074E-2</v>
      </c>
      <c r="AE25" s="6"/>
    </row>
    <row r="26" spans="1:31" s="13" customFormat="1" x14ac:dyDescent="0.25">
      <c r="A26" s="6"/>
      <c r="B26" s="137" t="s">
        <v>53</v>
      </c>
      <c r="C26" s="138"/>
      <c r="D26" s="137" t="s">
        <v>45</v>
      </c>
      <c r="E26" s="43"/>
      <c r="F26" s="44"/>
      <c r="G26" s="141"/>
      <c r="H26" s="141"/>
      <c r="I26" s="46"/>
      <c r="J26" s="47"/>
      <c r="K26" s="47" t="str">
        <f t="shared" ref="K26" si="5">CONCATENATE(D26,J26,"_FAC")</f>
        <v>New_Reporter_FAC</v>
      </c>
      <c r="L26" s="44">
        <f>MATCH($K26,FAC_TOTALS_APTA!$A$2:$BB$2,)</f>
        <v>51</v>
      </c>
      <c r="M26" s="45">
        <f>IF(M11=0,0,VLOOKUP(M11,FAC_TOTALS_APTA!$A$4:$BD$126,$L26,FALSE))</f>
        <v>0</v>
      </c>
      <c r="N26" s="45">
        <f>IF(N11=0,0,VLOOKUP(N11,FAC_TOTALS_APTA!$A$4:$BD$126,$L26,FALSE))</f>
        <v>0</v>
      </c>
      <c r="O26" s="45">
        <f>IF(O11=0,0,VLOOKUP(O11,FAC_TOTALS_APTA!$A$4:$BD$126,$L26,FALSE))</f>
        <v>0</v>
      </c>
      <c r="P26" s="45">
        <f>IF(P11=0,0,VLOOKUP(P11,FAC_TOTALS_APTA!$A$4:$BD$126,$L26,FALSE))</f>
        <v>0</v>
      </c>
      <c r="Q26" s="45">
        <f>IF(Q11=0,0,VLOOKUP(Q11,FAC_TOTALS_APTA!$A$4:$BD$126,$L26,FALSE))</f>
        <v>0</v>
      </c>
      <c r="R26" s="45">
        <f>IF(R11=0,0,VLOOKUP(R11,FAC_TOTALS_APTA!$A$4:$BD$126,$L26,FALSE))</f>
        <v>0</v>
      </c>
      <c r="S26" s="45">
        <f>IF(S11=0,0,VLOOKUP(S11,FAC_TOTALS_APTA!$A$4:$BD$126,$L26,FALSE))</f>
        <v>0</v>
      </c>
      <c r="T26" s="45">
        <f>IF(T11=0,0,VLOOKUP(T11,FAC_TOTALS_APTA!$A$4:$BD$126,$L26,FALSE))</f>
        <v>0</v>
      </c>
      <c r="U26" s="45">
        <f>IF(U11=0,0,VLOOKUP(U11,FAC_TOTALS_APTA!$A$4:$BD$126,$L26,FALSE))</f>
        <v>0</v>
      </c>
      <c r="V26" s="45">
        <f>IF(V11=0,0,VLOOKUP(V11,FAC_TOTALS_APTA!$A$4:$BD$126,$L26,FALSE))</f>
        <v>0</v>
      </c>
      <c r="W26" s="45">
        <f>IF(W11=0,0,VLOOKUP(W11,FAC_TOTALS_APTA!$A$4:$BD$126,$L26,FALSE))</f>
        <v>0</v>
      </c>
      <c r="X26" s="45">
        <f>IF(X11=0,0,VLOOKUP(X11,FAC_TOTALS_APTA!$A$4:$BD$126,$L26,FALSE))</f>
        <v>0</v>
      </c>
      <c r="Y26" s="45">
        <f>IF(Y11=0,0,VLOOKUP(Y11,FAC_TOTALS_APTA!$A$4:$BD$126,$L26,FALSE))</f>
        <v>0</v>
      </c>
      <c r="Z26" s="45">
        <f>IF(Z11=0,0,VLOOKUP(Z11,FAC_TOTALS_APTA!$A$4:$BD$126,$L26,FALSE))</f>
        <v>0</v>
      </c>
      <c r="AA26" s="45">
        <f>IF(AA11=0,0,VLOOKUP(AA11,FAC_TOTALS_APTA!$A$4:$BD$126,$L26,FALSE))</f>
        <v>0</v>
      </c>
      <c r="AB26" s="45">
        <f>IF(AB11=0,0,VLOOKUP(AB11,FAC_TOTALS_APTA!$A$4:$BD$126,$L26,FALSE))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115" t="s">
        <v>66</v>
      </c>
      <c r="C27" s="116"/>
      <c r="D27" s="104" t="s">
        <v>6</v>
      </c>
      <c r="E27" s="55"/>
      <c r="F27" s="6">
        <f>MATCH($D27,FAC_TOTALS_APTA!$A$2:$BB$2,)</f>
        <v>10</v>
      </c>
      <c r="G27" s="117">
        <f>VLOOKUP(G11,FAC_TOTALS_APTA!$A$4:$BD$126,$F27,FALSE)</f>
        <v>2596221372.9513698</v>
      </c>
      <c r="H27" s="117">
        <f>VLOOKUP(H11,FAC_TOTALS_APTA!$A$4:$BB$126,$F27,FALSE)</f>
        <v>2226350490.5049801</v>
      </c>
      <c r="I27" s="112">
        <f t="shared" ref="I27:I28" si="6">H27/G27-1</f>
        <v>-0.1424650787871462</v>
      </c>
      <c r="J27" s="31"/>
      <c r="K27" s="31"/>
      <c r="L27" s="6"/>
      <c r="M27" s="29">
        <f t="shared" ref="M27:AB27" si="7">SUM(M13:M20)</f>
        <v>-3856421.3687640615</v>
      </c>
      <c r="N27" s="29">
        <f t="shared" si="7"/>
        <v>-10309259.226509539</v>
      </c>
      <c r="O27" s="29">
        <f t="shared" si="7"/>
        <v>-76065029.019437253</v>
      </c>
      <c r="P27" s="29">
        <f t="shared" si="7"/>
        <v>-29698080.042468097</v>
      </c>
      <c r="Q27" s="29">
        <f t="shared" si="7"/>
        <v>55528292.76708585</v>
      </c>
      <c r="R27" s="29">
        <f t="shared" si="7"/>
        <v>51329427.025195152</v>
      </c>
      <c r="S27" s="29">
        <f t="shared" si="7"/>
        <v>0</v>
      </c>
      <c r="T27" s="29">
        <f t="shared" si="7"/>
        <v>0</v>
      </c>
      <c r="U27" s="29">
        <f t="shared" si="7"/>
        <v>0</v>
      </c>
      <c r="V27" s="29">
        <f t="shared" si="7"/>
        <v>0</v>
      </c>
      <c r="W27" s="29">
        <f t="shared" si="7"/>
        <v>0</v>
      </c>
      <c r="X27" s="29">
        <f t="shared" si="7"/>
        <v>0</v>
      </c>
      <c r="Y27" s="29">
        <f t="shared" si="7"/>
        <v>0</v>
      </c>
      <c r="Z27" s="29">
        <f t="shared" si="7"/>
        <v>0</v>
      </c>
      <c r="AA27" s="29">
        <f t="shared" si="7"/>
        <v>0</v>
      </c>
      <c r="AB27" s="29">
        <f t="shared" si="7"/>
        <v>0</v>
      </c>
      <c r="AC27" s="32">
        <f>H27-G27</f>
        <v>-369870882.44638968</v>
      </c>
      <c r="AD27" s="33">
        <f>I27</f>
        <v>-0.1424650787871462</v>
      </c>
      <c r="AE27" s="104"/>
    </row>
    <row r="28" spans="1:31" ht="13.5" thickBot="1" x14ac:dyDescent="0.3">
      <c r="B28" s="147" t="s">
        <v>50</v>
      </c>
      <c r="C28" s="148"/>
      <c r="D28" s="148" t="s">
        <v>4</v>
      </c>
      <c r="E28" s="23"/>
      <c r="F28" s="23">
        <f>MATCH($D28,FAC_TOTALS_APTA!$A$2:$BB$2,)</f>
        <v>8</v>
      </c>
      <c r="G28" s="114">
        <f>VLOOKUP(G11,FAC_TOTALS_APTA!$A$4:$BB$126,$F28,FALSE)</f>
        <v>2541057030.99999</v>
      </c>
      <c r="H28" s="114">
        <f>VLOOKUP(H11,FAC_TOTALS_APTA!$A$4:$BB$126,$F28,FALSE)</f>
        <v>2176386603</v>
      </c>
      <c r="I28" s="113">
        <f t="shared" si="6"/>
        <v>-0.14351131184823507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-364670427.99998999</v>
      </c>
      <c r="AD28" s="52">
        <f>I28</f>
        <v>-0.14351131184823507</v>
      </c>
    </row>
    <row r="29" spans="1:31" ht="14.25" thickTop="1" thickBot="1" x14ac:dyDescent="0.3">
      <c r="B29" s="153" t="s">
        <v>67</v>
      </c>
      <c r="C29" s="154"/>
      <c r="D29" s="154"/>
      <c r="E29" s="59"/>
      <c r="F29" s="58"/>
      <c r="G29" s="154"/>
      <c r="H29" s="154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-1.0462330610888637E-3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61"/>
      <c r="C36" s="62"/>
      <c r="D36" s="62"/>
      <c r="E36" s="62"/>
      <c r="F36" s="62"/>
      <c r="G36" s="176" t="s">
        <v>51</v>
      </c>
      <c r="H36" s="176"/>
      <c r="I36" s="17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176" t="s">
        <v>55</v>
      </c>
      <c r="AD36" s="176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2012</v>
      </c>
      <c r="H37" s="128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0_2_2012</v>
      </c>
      <c r="H39" s="104" t="str">
        <f>CONCATENATE($C34,"_",$C35,"_",H37)</f>
        <v>0_2_2018</v>
      </c>
      <c r="I39" s="28"/>
      <c r="J39" s="6"/>
      <c r="K39" s="6"/>
      <c r="L39" s="6"/>
      <c r="M39" s="6" t="str">
        <f>IF($G37+M38&gt;$H37,0,CONCATENATE($C34,"_",$C35,"_",$G37+M38))</f>
        <v>0_2_2013</v>
      </c>
      <c r="N39" s="6" t="str">
        <f t="shared" ref="N39:AB39" si="8">IF($G37+N38&gt;$H37,0,CONCATENATE($C34,"_",$C35,"_",$G37+N38))</f>
        <v>0_2_2014</v>
      </c>
      <c r="O39" s="6" t="str">
        <f t="shared" si="8"/>
        <v>0_2_2015</v>
      </c>
      <c r="P39" s="6" t="str">
        <f t="shared" si="8"/>
        <v>0_2_2016</v>
      </c>
      <c r="Q39" s="6" t="str">
        <f t="shared" si="8"/>
        <v>0_2_2017</v>
      </c>
      <c r="R39" s="6" t="str">
        <f t="shared" si="8"/>
        <v>0_2_2018</v>
      </c>
      <c r="S39" s="6">
        <f t="shared" si="8"/>
        <v>0</v>
      </c>
      <c r="T39" s="6">
        <f t="shared" si="8"/>
        <v>0</v>
      </c>
      <c r="U39" s="6">
        <f t="shared" si="8"/>
        <v>0</v>
      </c>
      <c r="V39" s="6">
        <f t="shared" si="8"/>
        <v>0</v>
      </c>
      <c r="W39" s="6">
        <f t="shared" si="8"/>
        <v>0</v>
      </c>
      <c r="X39" s="6">
        <f t="shared" si="8"/>
        <v>0</v>
      </c>
      <c r="Y39" s="6">
        <f t="shared" si="8"/>
        <v>0</v>
      </c>
      <c r="Z39" s="6">
        <f t="shared" si="8"/>
        <v>0</v>
      </c>
      <c r="AA39" s="6">
        <f t="shared" si="8"/>
        <v>0</v>
      </c>
      <c r="AB39" s="6">
        <f t="shared" si="8"/>
        <v>0</v>
      </c>
      <c r="AC39" s="6"/>
      <c r="AD39" s="6"/>
    </row>
    <row r="40" spans="2:30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25" t="s">
        <v>31</v>
      </c>
      <c r="C41" s="28" t="s">
        <v>21</v>
      </c>
      <c r="D41" s="104" t="s">
        <v>87</v>
      </c>
      <c r="E41" s="55"/>
      <c r="F41" s="6">
        <f>MATCH($D41,FAC_TOTALS_APTA!$A$2:$BD$2,)</f>
        <v>12</v>
      </c>
      <c r="G41" s="117">
        <f>VLOOKUP(G39,FAC_TOTALS_APTA!$A$4:$BD$126,$F41,FALSE)</f>
        <v>11264859.978528</v>
      </c>
      <c r="H41" s="117">
        <f>VLOOKUP(H39,FAC_TOTALS_APTA!$A$4:$BD$126,$F41,FALSE)</f>
        <v>12605880.249967899</v>
      </c>
      <c r="I41" s="30">
        <f>IFERROR(H41/G41-1,"-")</f>
        <v>0.11904455749969589</v>
      </c>
      <c r="J41" s="31" t="str">
        <f>IF(C41="Log","_log","")</f>
        <v>_log</v>
      </c>
      <c r="K41" s="31" t="str">
        <f>CONCATENATE(D41,J41,"_FAC")</f>
        <v>VRM_ADJ_BUS_log_FAC</v>
      </c>
      <c r="L41" s="6">
        <f>MATCH($K41,FAC_TOTALS_APTA!$A$2:$BB$2,)</f>
        <v>30</v>
      </c>
      <c r="M41" s="29">
        <f>IF(M39=0,0,VLOOKUP(M39,FAC_TOTALS_APTA!$A$4:$BD$126,$L41,FALSE))</f>
        <v>2859690.6191149699</v>
      </c>
      <c r="N41" s="29">
        <f>IF(N39=0,0,VLOOKUP(N39,FAC_TOTALS_APTA!$A$4:$BD$126,$L41,FALSE))</f>
        <v>6515568.5939772604</v>
      </c>
      <c r="O41" s="29">
        <f>IF(O39=0,0,VLOOKUP(O39,FAC_TOTALS_APTA!$A$4:$BD$126,$L41,FALSE))</f>
        <v>12705383.8041442</v>
      </c>
      <c r="P41" s="29">
        <f>IF(P39=0,0,VLOOKUP(P39,FAC_TOTALS_APTA!$A$4:$BD$126,$L41,FALSE))</f>
        <v>12309222.749712501</v>
      </c>
      <c r="Q41" s="29">
        <f>IF(Q39=0,0,VLOOKUP(Q39,FAC_TOTALS_APTA!$A$4:$BD$126,$L41,FALSE))</f>
        <v>3763137.9382464699</v>
      </c>
      <c r="R41" s="29">
        <f>IF(R39=0,0,VLOOKUP(R39,FAC_TOTALS_APTA!$A$4:$BD$126,$L41,FALSE))</f>
        <v>6961380.5081279203</v>
      </c>
      <c r="S41" s="29">
        <f>IF(S39=0,0,VLOOKUP(S39,FAC_TOTALS_APTA!$A$4:$BD$126,$L41,FALSE))</f>
        <v>0</v>
      </c>
      <c r="T41" s="29">
        <f>IF(T39=0,0,VLOOKUP(T39,FAC_TOTALS_APTA!$A$4:$BD$126,$L41,FALSE))</f>
        <v>0</v>
      </c>
      <c r="U41" s="29">
        <f>IF(U39=0,0,VLOOKUP(U39,FAC_TOTALS_APTA!$A$4:$BD$126,$L41,FALSE))</f>
        <v>0</v>
      </c>
      <c r="V41" s="29">
        <f>IF(V39=0,0,VLOOKUP(V39,FAC_TOTALS_APTA!$A$4:$BD$126,$L41,FALSE))</f>
        <v>0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45114384.213323317</v>
      </c>
      <c r="AD41" s="33">
        <f>AC41/G55</f>
        <v>4.7435170974474514E-2</v>
      </c>
    </row>
    <row r="42" spans="2:30" x14ac:dyDescent="0.25">
      <c r="B42" s="25" t="s">
        <v>52</v>
      </c>
      <c r="C42" s="28" t="s">
        <v>21</v>
      </c>
      <c r="D42" s="104" t="s">
        <v>88</v>
      </c>
      <c r="E42" s="55"/>
      <c r="F42" s="6">
        <f>MATCH($D42,FAC_TOTALS_APTA!$A$2:$BD$2,)</f>
        <v>14</v>
      </c>
      <c r="G42" s="123">
        <f>VLOOKUP(G39,FAC_TOTALS_APTA!$A$4:$BD$126,$F42,FALSE)</f>
        <v>0.99257439422925597</v>
      </c>
      <c r="H42" s="123">
        <f>VLOOKUP(H39,FAC_TOTALS_APTA!$A$4:$BD$126,$F42,FALSE)</f>
        <v>1.0085579264681701</v>
      </c>
      <c r="I42" s="30">
        <f t="shared" ref="I42:I53" si="9">IFERROR(H42/G42-1,"-")</f>
        <v>1.6103107567393415E-2</v>
      </c>
      <c r="J42" s="31" t="str">
        <f t="shared" ref="J42:J53" si="10">IF(C42="Log","_log","")</f>
        <v>_log</v>
      </c>
      <c r="K42" s="31" t="str">
        <f t="shared" ref="K42:K54" si="11">CONCATENATE(D42,J42,"_FAC")</f>
        <v>FARE_per_UPT_cleaned_2018_BUS_log_FAC</v>
      </c>
      <c r="L42" s="6">
        <f>MATCH($K42,FAC_TOTALS_APTA!$A$2:$BB$2,)</f>
        <v>32</v>
      </c>
      <c r="M42" s="29">
        <f>IF(M39=0,0,VLOOKUP(M39,FAC_TOTALS_APTA!$A$4:$BD$126,$L42,FALSE))</f>
        <v>-7798464.8489393601</v>
      </c>
      <c r="N42" s="29">
        <f>IF(N39=0,0,VLOOKUP(N39,FAC_TOTALS_APTA!$A$4:$BD$126,$L42,FALSE))</f>
        <v>3482394.4997145901</v>
      </c>
      <c r="O42" s="29">
        <f>IF(O39=0,0,VLOOKUP(O39,FAC_TOTALS_APTA!$A$4:$BD$126,$L42,FALSE))</f>
        <v>-1947175.51258246</v>
      </c>
      <c r="P42" s="29">
        <f>IF(P39=0,0,VLOOKUP(P39,FAC_TOTALS_APTA!$A$4:$BD$126,$L42,FALSE))</f>
        <v>-3581815.2317296299</v>
      </c>
      <c r="Q42" s="29">
        <f>IF(Q39=0,0,VLOOKUP(Q39,FAC_TOTALS_APTA!$A$4:$BD$126,$L42,FALSE))</f>
        <v>2794796.8384182798</v>
      </c>
      <c r="R42" s="29">
        <f>IF(R39=0,0,VLOOKUP(R39,FAC_TOTALS_APTA!$A$4:$BD$126,$L42,FALSE))</f>
        <v>3759697.7564474298</v>
      </c>
      <c r="S42" s="29">
        <f>IF(S39=0,0,VLOOKUP(S39,FAC_TOTALS_APTA!$A$4:$BD$126,$L42,FALSE))</f>
        <v>0</v>
      </c>
      <c r="T42" s="29">
        <f>IF(T39=0,0,VLOOKUP(T39,FAC_TOTALS_APTA!$A$4:$BD$126,$L42,FALSE))</f>
        <v>0</v>
      </c>
      <c r="U42" s="29">
        <f>IF(U39=0,0,VLOOKUP(U39,FAC_TOTALS_APTA!$A$4:$BD$126,$L42,FALSE))</f>
        <v>0</v>
      </c>
      <c r="V42" s="29">
        <f>IF(V39=0,0,VLOOKUP(V39,FAC_TOTALS_APTA!$A$4:$BD$126,$L42,FALSE))</f>
        <v>0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2">SUM(M42:AB42)</f>
        <v>-3290566.4986711517</v>
      </c>
      <c r="AD42" s="33">
        <f>AC42/G55</f>
        <v>-3.4598407401346615E-3</v>
      </c>
    </row>
    <row r="43" spans="2:30" x14ac:dyDescent="0.25"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2.9190098907668102E-2</v>
      </c>
      <c r="I43" s="119" t="str">
        <f>IFERROR(H43/G43-1,"-")</f>
        <v>-</v>
      </c>
      <c r="J43" s="120" t="str">
        <f t="shared" si="10"/>
        <v/>
      </c>
      <c r="K43" s="120" t="str">
        <f t="shared" si="11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534945.43560017098</v>
      </c>
      <c r="P43" s="117">
        <f>IF(P39=0,0,VLOOKUP(P39,FAC_TOTALS_APTA!$A$4:$BD$126,$L43,FALSE))</f>
        <v>0</v>
      </c>
      <c r="Q43" s="117">
        <f>IF(Q39=0,0,VLOOKUP(Q39,FAC_TOTALS_APTA!$A$4:$BD$126,$L43,FALSE))</f>
        <v>438955.454091575</v>
      </c>
      <c r="R43" s="117">
        <f>IF(R39=0,0,VLOOKUP(R39,FAC_TOTALS_APTA!$A$4:$BD$126,$L43,FALSE))</f>
        <v>435455.77237049199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2"/>
        <v>1409356.662062238</v>
      </c>
      <c r="AD43" s="122">
        <f>AC43/G56</f>
        <v>1.466221850821585E-3</v>
      </c>
    </row>
    <row r="44" spans="2:30" x14ac:dyDescent="0.25"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117">
        <f>VLOOKUP(G39,FAC_TOTALS_APTA!$A$4:$BD$126,$F44,FALSE)</f>
        <v>0</v>
      </c>
      <c r="H44" s="117">
        <f>VLOOKUP(H39,FAC_TOTALS_APTA!$A$4:$BD$126,$F44,FALSE)</f>
        <v>0</v>
      </c>
      <c r="I44" s="119" t="str">
        <f>IFERROR(H44/G44-1,"-")</f>
        <v>-</v>
      </c>
      <c r="J44" s="120" t="str">
        <f t="shared" si="10"/>
        <v/>
      </c>
      <c r="K44" s="120" t="str">
        <f t="shared" si="11"/>
        <v>MAINTENANCE_WMATA_FAC</v>
      </c>
      <c r="L44" s="104">
        <f>MATCH($K44,FAC_TOTALS_APTA!$A$2:$BB$2,)</f>
        <v>40</v>
      </c>
      <c r="M44" s="117">
        <f>IF(M40=0,0,VLOOKUP(M40,FAC_TOTALS_APTA!$A$4:$BD$126,$L44,FALSE))</f>
        <v>0</v>
      </c>
      <c r="N44" s="117">
        <f>IF(N40=0,0,VLOOKUP(N40,FAC_TOTALS_APTA!$A$4:$BD$126,$L44,FALSE))</f>
        <v>0</v>
      </c>
      <c r="O44" s="117">
        <f>IF(O40=0,0,VLOOKUP(O40,FAC_TOTALS_APTA!$A$4:$BD$126,$L44,FALSE))</f>
        <v>0</v>
      </c>
      <c r="P44" s="117">
        <f>IF(P40=0,0,VLOOKUP(P40,FAC_TOTALS_APTA!$A$4:$BD$126,$L44,FALSE))</f>
        <v>0</v>
      </c>
      <c r="Q44" s="117">
        <f>IF(Q40=0,0,VLOOKUP(Q40,FAC_TOTALS_APTA!$A$4:$BD$126,$L44,FALSE))</f>
        <v>0</v>
      </c>
      <c r="R44" s="117">
        <f>IF(R40=0,0,VLOOKUP(R40,FAC_TOTALS_APTA!$A$4:$BD$126,$L44,FALSE))</f>
        <v>0</v>
      </c>
      <c r="S44" s="117">
        <f>IF(S40=0,0,VLOOKUP(S40,FAC_TOTALS_APTA!$A$4:$BD$126,$L44,FALSE))</f>
        <v>0</v>
      </c>
      <c r="T44" s="117">
        <f>IF(T40=0,0,VLOOKUP(T40,FAC_TOTALS_APTA!$A$4:$BD$126,$L44,FALSE))</f>
        <v>0</v>
      </c>
      <c r="U44" s="117">
        <f>IF(U40=0,0,VLOOKUP(U40,FAC_TOTALS_APTA!$A$4:$BD$126,$L44,FALSE))</f>
        <v>0</v>
      </c>
      <c r="V44" s="117">
        <f>IF(V40=0,0,VLOOKUP(V40,FAC_TOTALS_APTA!$A$4:$BD$126,$L44,FALSE))</f>
        <v>0</v>
      </c>
      <c r="W44" s="117">
        <f>IF(W40=0,0,VLOOKUP(W40,FAC_TOTALS_APTA!$A$4:$BD$126,$L44,FALSE))</f>
        <v>0</v>
      </c>
      <c r="X44" s="117">
        <f>IF(X40=0,0,VLOOKUP(X40,FAC_TOTALS_APTA!$A$4:$BD$126,$L44,FALSE))</f>
        <v>0</v>
      </c>
      <c r="Y44" s="117">
        <f>IF(Y40=0,0,VLOOKUP(Y40,FAC_TOTALS_APTA!$A$4:$BD$126,$L44,FALSE))</f>
        <v>0</v>
      </c>
      <c r="Z44" s="117">
        <f>IF(Z40=0,0,VLOOKUP(Z40,FAC_TOTALS_APTA!$A$4:$BD$126,$L44,FALSE))</f>
        <v>0</v>
      </c>
      <c r="AA44" s="117">
        <f>IF(AA40=0,0,VLOOKUP(AA40,FAC_TOTALS_APTA!$A$4:$BD$126,$L44,FALSE))</f>
        <v>0</v>
      </c>
      <c r="AB44" s="117">
        <f>IF(AB40=0,0,VLOOKUP(AB40,FAC_TOTALS_APTA!$A$4:$BD$126,$L44,FALSE))</f>
        <v>0</v>
      </c>
      <c r="AC44" s="121">
        <f t="shared" si="12"/>
        <v>0</v>
      </c>
      <c r="AD44" s="122">
        <f>AC44/G56</f>
        <v>0</v>
      </c>
    </row>
    <row r="45" spans="2:30" x14ac:dyDescent="0.25">
      <c r="B45" s="25" t="s">
        <v>48</v>
      </c>
      <c r="C45" s="28" t="s">
        <v>21</v>
      </c>
      <c r="D45" s="104" t="s">
        <v>8</v>
      </c>
      <c r="E45" s="55"/>
      <c r="F45" s="6">
        <f>MATCH($D45,FAC_TOTALS_APTA!$A$2:$BD$2,)</f>
        <v>16</v>
      </c>
      <c r="G45" s="117">
        <f>VLOOKUP(G39,FAC_TOTALS_APTA!$A$4:$BD$126,$F45,FALSE)</f>
        <v>2552570.2182420199</v>
      </c>
      <c r="H45" s="117">
        <f>VLOOKUP(H39,FAC_TOTALS_APTA!$A$4:$BD$126,$F45,FALSE)</f>
        <v>2755043.8205972002</v>
      </c>
      <c r="I45" s="30">
        <f t="shared" si="9"/>
        <v>7.9321462308145962E-2</v>
      </c>
      <c r="J45" s="31" t="str">
        <f t="shared" si="10"/>
        <v>_log</v>
      </c>
      <c r="K45" s="31" t="str">
        <f t="shared" si="11"/>
        <v>POP_EMP_log_FAC</v>
      </c>
      <c r="L45" s="6">
        <f>MATCH($K45,FAC_TOTALS_APTA!$A$2:$BB$2,)</f>
        <v>34</v>
      </c>
      <c r="M45" s="29">
        <f>IF(M39=0,0,VLOOKUP(M39,FAC_TOTALS_APTA!$A$4:$BD$126,$L45,FALSE))</f>
        <v>3569289.2427819902</v>
      </c>
      <c r="N45" s="29">
        <f>IF(N39=0,0,VLOOKUP(N39,FAC_TOTALS_APTA!$A$4:$BD$126,$L45,FALSE))</f>
        <v>2703293.2888610102</v>
      </c>
      <c r="O45" s="29">
        <f>IF(O39=0,0,VLOOKUP(O39,FAC_TOTALS_APTA!$A$4:$BD$126,$L45,FALSE))</f>
        <v>2648913.8839835399</v>
      </c>
      <c r="P45" s="29">
        <f>IF(P39=0,0,VLOOKUP(P39,FAC_TOTALS_APTA!$A$4:$BD$126,$L45,FALSE))</f>
        <v>2467364.1328561502</v>
      </c>
      <c r="Q45" s="29">
        <f>IF(Q39=0,0,VLOOKUP(Q39,FAC_TOTALS_APTA!$A$4:$BD$126,$L45,FALSE))</f>
        <v>2501719.0852741101</v>
      </c>
      <c r="R45" s="29">
        <f>IF(R39=0,0,VLOOKUP(R39,FAC_TOTALS_APTA!$A$4:$BD$126,$L45,FALSE))</f>
        <v>2172162.36234122</v>
      </c>
      <c r="S45" s="29">
        <f>IF(S39=0,0,VLOOKUP(S39,FAC_TOTALS_APTA!$A$4:$BD$126,$L45,FALSE))</f>
        <v>0</v>
      </c>
      <c r="T45" s="29">
        <f>IF(T39=0,0,VLOOKUP(T39,FAC_TOTALS_APTA!$A$4:$BD$126,$L45,FALSE))</f>
        <v>0</v>
      </c>
      <c r="U45" s="29">
        <f>IF(U39=0,0,VLOOKUP(U39,FAC_TOTALS_APTA!$A$4:$BD$126,$L45,FALSE))</f>
        <v>0</v>
      </c>
      <c r="V45" s="29">
        <f>IF(V39=0,0,VLOOKUP(V39,FAC_TOTALS_APTA!$A$4:$BD$126,$L45,FALSE))</f>
        <v>0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2"/>
        <v>16062741.996098019</v>
      </c>
      <c r="AD45" s="33">
        <f>AC45/G55</f>
        <v>1.6889046059034171E-2</v>
      </c>
    </row>
    <row r="46" spans="2:30" x14ac:dyDescent="0.25">
      <c r="B46" s="25" t="s">
        <v>73</v>
      </c>
      <c r="C46" s="28"/>
      <c r="D46" s="104" t="s">
        <v>72</v>
      </c>
      <c r="E46" s="55"/>
      <c r="F46" s="6">
        <f>MATCH($D46,FAC_TOTALS_APTA!$A$2:$BD$2,)</f>
        <v>17</v>
      </c>
      <c r="G46" s="123">
        <f>VLOOKUP(G39,FAC_TOTALS_APTA!$A$4:$BD$126,$F46,FALSE)</f>
        <v>0.33060451780988898</v>
      </c>
      <c r="H46" s="123">
        <f>VLOOKUP(H39,FAC_TOTALS_APTA!$A$4:$BD$126,$F46,FALSE)</f>
        <v>0.32665160783327502</v>
      </c>
      <c r="I46" s="30">
        <f t="shared" si="9"/>
        <v>-1.1956612095927355E-2</v>
      </c>
      <c r="J46" s="31" t="str">
        <f t="shared" si="10"/>
        <v/>
      </c>
      <c r="K46" s="31" t="str">
        <f t="shared" si="11"/>
        <v>TSD_POP_EMP_PCT_FAC</v>
      </c>
      <c r="L46" s="6">
        <f>MATCH($K46,FAC_TOTALS_APTA!$A$2:$BB$2,)</f>
        <v>35</v>
      </c>
      <c r="M46" s="29">
        <f>IF(M39=0,0,VLOOKUP(M39,FAC_TOTALS_APTA!$A$4:$BD$126,$L46,FALSE))</f>
        <v>-313652.08092510398</v>
      </c>
      <c r="N46" s="29">
        <f>IF(N39=0,0,VLOOKUP(N39,FAC_TOTALS_APTA!$A$4:$BD$126,$L46,FALSE))</f>
        <v>-563893.191899581</v>
      </c>
      <c r="O46" s="29">
        <f>IF(O39=0,0,VLOOKUP(O39,FAC_TOTALS_APTA!$A$4:$BD$126,$L46,FALSE))</f>
        <v>335904.15712262702</v>
      </c>
      <c r="P46" s="29">
        <f>IF(P39=0,0,VLOOKUP(P39,FAC_TOTALS_APTA!$A$4:$BD$126,$L46,FALSE))</f>
        <v>-1283070.03787311</v>
      </c>
      <c r="Q46" s="29">
        <f>IF(Q39=0,0,VLOOKUP(Q39,FAC_TOTALS_APTA!$A$4:$BD$126,$L46,FALSE))</f>
        <v>-487577.69900485798</v>
      </c>
      <c r="R46" s="29">
        <f>IF(R39=0,0,VLOOKUP(R39,FAC_TOTALS_APTA!$A$4:$BD$126,$L46,FALSE))</f>
        <v>680041.21113127901</v>
      </c>
      <c r="S46" s="29">
        <f>IF(S39=0,0,VLOOKUP(S39,FAC_TOTALS_APTA!$A$4:$BD$126,$L46,FALSE))</f>
        <v>0</v>
      </c>
      <c r="T46" s="29">
        <f>IF(T39=0,0,VLOOKUP(T39,FAC_TOTALS_APTA!$A$4:$BD$126,$L46,FALSE))</f>
        <v>0</v>
      </c>
      <c r="U46" s="29">
        <f>IF(U39=0,0,VLOOKUP(U39,FAC_TOTALS_APTA!$A$4:$BD$126,$L46,FALSE))</f>
        <v>0</v>
      </c>
      <c r="V46" s="29">
        <f>IF(V39=0,0,VLOOKUP(V39,FAC_TOTALS_APTA!$A$4:$BD$126,$L46,FALSE))</f>
        <v>0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2"/>
        <v>-1632247.6414487469</v>
      </c>
      <c r="AD46" s="33">
        <f>AC46/G55</f>
        <v>-1.7162141807964303E-3</v>
      </c>
    </row>
    <row r="47" spans="2:30" x14ac:dyDescent="0.2">
      <c r="B47" s="25" t="s">
        <v>49</v>
      </c>
      <c r="C47" s="28" t="s">
        <v>21</v>
      </c>
      <c r="D47" s="124" t="s">
        <v>82</v>
      </c>
      <c r="E47" s="55"/>
      <c r="F47" s="6">
        <f>MATCH($D47,FAC_TOTALS_APTA!$A$2:$BD$2,)</f>
        <v>18</v>
      </c>
      <c r="G47" s="125">
        <f>VLOOKUP(G39,FAC_TOTALS_APTA!$A$4:$BD$126,$F47,FALSE)</f>
        <v>4.0256358420234699</v>
      </c>
      <c r="H47" s="125">
        <f>VLOOKUP(H39,FAC_TOTALS_APTA!$A$4:$BD$126,$F47,FALSE)</f>
        <v>2.86612689037909</v>
      </c>
      <c r="I47" s="30">
        <f t="shared" si="9"/>
        <v>-0.28803125696077803</v>
      </c>
      <c r="J47" s="31" t="str">
        <f t="shared" si="10"/>
        <v>_log</v>
      </c>
      <c r="K47" s="31" t="str">
        <f t="shared" si="11"/>
        <v>GAS_PRICE_2018_log_FAC</v>
      </c>
      <c r="L47" s="6">
        <f>MATCH($K47,FAC_TOTALS_APTA!$A$2:$BB$2,)</f>
        <v>36</v>
      </c>
      <c r="M47" s="29">
        <f>IF(M39=0,0,VLOOKUP(M39,FAC_TOTALS_APTA!$A$4:$BD$126,$L47,FALSE))</f>
        <v>-4364919.7605556501</v>
      </c>
      <c r="N47" s="29">
        <f>IF(N39=0,0,VLOOKUP(N39,FAC_TOTALS_APTA!$A$4:$BD$126,$L47,FALSE))</f>
        <v>-6179036.9691080097</v>
      </c>
      <c r="O47" s="29">
        <f>IF(O39=0,0,VLOOKUP(O39,FAC_TOTALS_APTA!$A$4:$BD$126,$L47,FALSE))</f>
        <v>-31064398.9370116</v>
      </c>
      <c r="P47" s="29">
        <f>IF(P39=0,0,VLOOKUP(P39,FAC_TOTALS_APTA!$A$4:$BD$126,$L47,FALSE))</f>
        <v>-11135438.185518499</v>
      </c>
      <c r="Q47" s="29">
        <f>IF(Q39=0,0,VLOOKUP(Q39,FAC_TOTALS_APTA!$A$4:$BD$126,$L47,FALSE))</f>
        <v>7622303.2845630003</v>
      </c>
      <c r="R47" s="29">
        <f>IF(R39=0,0,VLOOKUP(R39,FAC_TOTALS_APTA!$A$4:$BD$126,$L47,FALSE))</f>
        <v>8852873.0354119502</v>
      </c>
      <c r="S47" s="29">
        <f>IF(S39=0,0,VLOOKUP(S39,FAC_TOTALS_APTA!$A$4:$BD$126,$L47,FALSE))</f>
        <v>0</v>
      </c>
      <c r="T47" s="29">
        <f>IF(T39=0,0,VLOOKUP(T39,FAC_TOTALS_APTA!$A$4:$BD$126,$L47,FALSE))</f>
        <v>0</v>
      </c>
      <c r="U47" s="29">
        <f>IF(U39=0,0,VLOOKUP(U39,FAC_TOTALS_APTA!$A$4:$BD$126,$L47,FALSE))</f>
        <v>0</v>
      </c>
      <c r="V47" s="29">
        <f>IF(V39=0,0,VLOOKUP(V39,FAC_TOTALS_APTA!$A$4:$BD$126,$L47,FALSE))</f>
        <v>0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2"/>
        <v>-36268617.532218814</v>
      </c>
      <c r="AD47" s="33">
        <f>AC47/G55</f>
        <v>-3.8134357891569028E-2</v>
      </c>
    </row>
    <row r="48" spans="2:30" x14ac:dyDescent="0.2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MATCH($D48,FAC_TOTALS_APTA!$A$2:$BD$2,)</f>
        <v>19</v>
      </c>
      <c r="G48" s="123">
        <f>VLOOKUP(G39,FAC_TOTALS_APTA!$A$4:$BD$126,$F48,FALSE)</f>
        <v>28874.309502126802</v>
      </c>
      <c r="H48" s="123">
        <f>VLOOKUP(H39,FAC_TOTALS_APTA!$A$4:$BD$126,$F48,FALSE)</f>
        <v>31624.666409858299</v>
      </c>
      <c r="I48" s="30">
        <f t="shared" si="9"/>
        <v>9.5252733490610808E-2</v>
      </c>
      <c r="J48" s="31" t="str">
        <f t="shared" si="10"/>
        <v>_log</v>
      </c>
      <c r="K48" s="31" t="str">
        <f t="shared" si="11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-306374.38226036902</v>
      </c>
      <c r="N48" s="29">
        <f>IF(N39=0,0,VLOOKUP(N39,FAC_TOTALS_APTA!$A$4:$BD$126,$L48,FALSE))</f>
        <v>-234024.08051166101</v>
      </c>
      <c r="O48" s="29">
        <f>IF(O39=0,0,VLOOKUP(O39,FAC_TOTALS_APTA!$A$4:$BD$126,$L48,FALSE))</f>
        <v>-2593014.71420437</v>
      </c>
      <c r="P48" s="29">
        <f>IF(P39=0,0,VLOOKUP(P39,FAC_TOTALS_APTA!$A$4:$BD$126,$L48,FALSE))</f>
        <v>-1588145.6810755001</v>
      </c>
      <c r="Q48" s="29">
        <f>IF(Q39=0,0,VLOOKUP(Q39,FAC_TOTALS_APTA!$A$4:$BD$126,$L48,FALSE))</f>
        <v>-312763.91394067399</v>
      </c>
      <c r="R48" s="29">
        <f>IF(R39=0,0,VLOOKUP(R39,FAC_TOTALS_APTA!$A$4:$BD$126,$L48,FALSE))</f>
        <v>-738018.56474398798</v>
      </c>
      <c r="S48" s="29">
        <f>IF(S39=0,0,VLOOKUP(S39,FAC_TOTALS_APTA!$A$4:$BD$126,$L48,FALSE))</f>
        <v>0</v>
      </c>
      <c r="T48" s="29">
        <f>IF(T39=0,0,VLOOKUP(T39,FAC_TOTALS_APTA!$A$4:$BD$126,$L48,FALSE))</f>
        <v>0</v>
      </c>
      <c r="U48" s="29">
        <f>IF(U39=0,0,VLOOKUP(U39,FAC_TOTALS_APTA!$A$4:$BD$126,$L48,FALSE))</f>
        <v>0</v>
      </c>
      <c r="V48" s="29">
        <f>IF(V39=0,0,VLOOKUP(V39,FAC_TOTALS_APTA!$A$4:$BD$126,$L48,FALSE))</f>
        <v>0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2"/>
        <v>-5772341.3367365617</v>
      </c>
      <c r="AD48" s="33">
        <f>AC48/G55</f>
        <v>-6.0692837330197352E-3</v>
      </c>
    </row>
    <row r="49" spans="1:31" x14ac:dyDescent="0.25">
      <c r="B49" s="25" t="s">
        <v>62</v>
      </c>
      <c r="C49" s="28"/>
      <c r="D49" s="104" t="s">
        <v>9</v>
      </c>
      <c r="E49" s="55"/>
      <c r="F49" s="6">
        <f>MATCH($D49,FAC_TOTALS_APTA!$A$2:$BD$2,)</f>
        <v>20</v>
      </c>
      <c r="G49" s="117">
        <f>VLOOKUP(G39,FAC_TOTALS_APTA!$A$4:$BD$126,$F49,FALSE)</f>
        <v>8.2569154106646199</v>
      </c>
      <c r="H49" s="117">
        <f>VLOOKUP(H39,FAC_TOTALS_APTA!$A$4:$BD$126,$F49,FALSE)</f>
        <v>7.1994298882696199</v>
      </c>
      <c r="I49" s="30">
        <f t="shared" si="9"/>
        <v>-0.12807270872960053</v>
      </c>
      <c r="J49" s="31" t="str">
        <f t="shared" si="10"/>
        <v/>
      </c>
      <c r="K49" s="31" t="str">
        <f t="shared" si="11"/>
        <v>PCT_HH_NO_VEH_FAC</v>
      </c>
      <c r="L49" s="6">
        <f>MATCH($K49,FAC_TOTALS_APTA!$A$2:$BB$2,)</f>
        <v>38</v>
      </c>
      <c r="M49" s="29">
        <f>IF(M39=0,0,VLOOKUP(M39,FAC_TOTALS_APTA!$A$4:$BD$126,$L49,FALSE))</f>
        <v>-347710.02824967599</v>
      </c>
      <c r="N49" s="29">
        <f>IF(N39=0,0,VLOOKUP(N39,FAC_TOTALS_APTA!$A$4:$BD$126,$L49,FALSE))</f>
        <v>68314.828546623496</v>
      </c>
      <c r="O49" s="29">
        <f>IF(O39=0,0,VLOOKUP(O39,FAC_TOTALS_APTA!$A$4:$BD$126,$L49,FALSE))</f>
        <v>-392206.67624373501</v>
      </c>
      <c r="P49" s="29">
        <f>IF(P39=0,0,VLOOKUP(P39,FAC_TOTALS_APTA!$A$4:$BD$126,$L49,FALSE))</f>
        <v>-246506.59503809499</v>
      </c>
      <c r="Q49" s="29">
        <f>IF(Q39=0,0,VLOOKUP(Q39,FAC_TOTALS_APTA!$A$4:$BD$126,$L49,FALSE))</f>
        <v>-508709.58773357002</v>
      </c>
      <c r="R49" s="29">
        <f>IF(R39=0,0,VLOOKUP(R39,FAC_TOTALS_APTA!$A$4:$BD$126,$L49,FALSE))</f>
        <v>-412081.23558392102</v>
      </c>
      <c r="S49" s="29">
        <f>IF(S39=0,0,VLOOKUP(S39,FAC_TOTALS_APTA!$A$4:$BD$126,$L49,FALSE))</f>
        <v>0</v>
      </c>
      <c r="T49" s="29">
        <f>IF(T39=0,0,VLOOKUP(T39,FAC_TOTALS_APTA!$A$4:$BD$126,$L49,FALSE))</f>
        <v>0</v>
      </c>
      <c r="U49" s="29">
        <f>IF(U39=0,0,VLOOKUP(U39,FAC_TOTALS_APTA!$A$4:$BD$126,$L49,FALSE))</f>
        <v>0</v>
      </c>
      <c r="V49" s="29">
        <f>IF(V39=0,0,VLOOKUP(V39,FAC_TOTALS_APTA!$A$4:$BD$126,$L49,FALSE))</f>
        <v>0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2"/>
        <v>-1838899.2943023737</v>
      </c>
      <c r="AD49" s="33">
        <f>AC49/G55</f>
        <v>-1.9334964657306136E-3</v>
      </c>
    </row>
    <row r="50" spans="1:31" x14ac:dyDescent="0.25">
      <c r="B50" s="25" t="s">
        <v>47</v>
      </c>
      <c r="C50" s="28"/>
      <c r="D50" s="104" t="s">
        <v>28</v>
      </c>
      <c r="E50" s="55"/>
      <c r="F50" s="6">
        <f>MATCH($D50,FAC_TOTALS_APTA!$A$2:$BD$2,)</f>
        <v>21</v>
      </c>
      <c r="G50" s="125">
        <f>VLOOKUP(G39,FAC_TOTALS_APTA!$A$4:$BD$126,$F50,FALSE)</f>
        <v>4.1251469761152801</v>
      </c>
      <c r="H50" s="125">
        <f>VLOOKUP(H39,FAC_TOTALS_APTA!$A$4:$BD$126,$F50,FALSE)</f>
        <v>5.4675502827794897</v>
      </c>
      <c r="I50" s="30">
        <f t="shared" si="9"/>
        <v>0.32541950976214018</v>
      </c>
      <c r="J50" s="31" t="str">
        <f t="shared" si="10"/>
        <v/>
      </c>
      <c r="K50" s="31" t="str">
        <f t="shared" si="11"/>
        <v>JTW_HOME_PCT_FAC</v>
      </c>
      <c r="L50" s="6">
        <f>MATCH($K50,FAC_TOTALS_APTA!$A$2:$BB$2,)</f>
        <v>39</v>
      </c>
      <c r="M50" s="29">
        <f>IF(M39=0,0,VLOOKUP(M39,FAC_TOTALS_APTA!$A$4:$BD$126,$L50,FALSE))</f>
        <v>-489061.04749145999</v>
      </c>
      <c r="N50" s="29">
        <f>IF(N39=0,0,VLOOKUP(N39,FAC_TOTALS_APTA!$A$4:$BD$126,$L50,FALSE))</f>
        <v>-613685.94614765397</v>
      </c>
      <c r="O50" s="29">
        <f>IF(O39=0,0,VLOOKUP(O39,FAC_TOTALS_APTA!$A$4:$BD$126,$L50,FALSE))</f>
        <v>-1065921.6889583</v>
      </c>
      <c r="P50" s="29">
        <f>IF(P39=0,0,VLOOKUP(P39,FAC_TOTALS_APTA!$A$4:$BD$126,$L50,FALSE))</f>
        <v>-3538397.02378385</v>
      </c>
      <c r="Q50" s="29">
        <f>IF(Q39=0,0,VLOOKUP(Q39,FAC_TOTALS_APTA!$A$4:$BD$126,$L50,FALSE))</f>
        <v>-1502187.8095598801</v>
      </c>
      <c r="R50" s="29">
        <f>IF(R39=0,0,VLOOKUP(R39,FAC_TOTALS_APTA!$A$4:$BD$126,$L50,FALSE))</f>
        <v>-1866706.86989657</v>
      </c>
      <c r="S50" s="29">
        <f>IF(S39=0,0,VLOOKUP(S39,FAC_TOTALS_APTA!$A$4:$BD$126,$L50,FALSE))</f>
        <v>0</v>
      </c>
      <c r="T50" s="29">
        <f>IF(T39=0,0,VLOOKUP(T39,FAC_TOTALS_APTA!$A$4:$BD$126,$L50,FALSE))</f>
        <v>0</v>
      </c>
      <c r="U50" s="29">
        <f>IF(U39=0,0,VLOOKUP(U39,FAC_TOTALS_APTA!$A$4:$BD$126,$L50,FALSE))</f>
        <v>0</v>
      </c>
      <c r="V50" s="29">
        <f>IF(V39=0,0,VLOOKUP(V39,FAC_TOTALS_APTA!$A$4:$BD$126,$L50,FALSE))</f>
        <v>0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2"/>
        <v>-9075960.3858377133</v>
      </c>
      <c r="AD50" s="33">
        <f>AC50/G55</f>
        <v>-9.54284847653151E-3</v>
      </c>
    </row>
    <row r="51" spans="1:31" x14ac:dyDescent="0.25">
      <c r="B51" s="25" t="s">
        <v>63</v>
      </c>
      <c r="C51" s="28"/>
      <c r="D51" s="126" t="s">
        <v>90</v>
      </c>
      <c r="E51" s="55"/>
      <c r="F51" s="6">
        <f>MATCH($D51,FAC_TOTALS_APTA!$A$2:$BD$2,)</f>
        <v>25</v>
      </c>
      <c r="G51" s="125">
        <f>VLOOKUP(G39,FAC_TOTALS_APTA!$A$4:$BD$126,$F51,FALSE)</f>
        <v>0</v>
      </c>
      <c r="H51" s="125">
        <f>VLOOKUP(H39,FAC_TOTALS_APTA!$A$4:$BD$126,$F51,FALSE)</f>
        <v>3.85967537363417</v>
      </c>
      <c r="I51" s="30" t="str">
        <f t="shared" si="9"/>
        <v>-</v>
      </c>
      <c r="J51" s="31" t="str">
        <f t="shared" si="10"/>
        <v/>
      </c>
      <c r="K51" s="31" t="str">
        <f t="shared" si="11"/>
        <v>YEARS_SINCE_TNC_BUS_MIDLOW_FAC</v>
      </c>
      <c r="L51" s="6">
        <f>MATCH($K51,FAC_TOTALS_APTA!$A$2:$BB$2,)</f>
        <v>43</v>
      </c>
      <c r="M51" s="29">
        <f>IF(M39=0,0,VLOOKUP(M39,FAC_TOTALS_APTA!$A$4:$BD$126,$L51,FALSE))</f>
        <v>0</v>
      </c>
      <c r="N51" s="29">
        <f>IF(N39=0,0,VLOOKUP(N39,FAC_TOTALS_APTA!$A$4:$BD$126,$L51,FALSE))</f>
        <v>-4689347.1843558298</v>
      </c>
      <c r="O51" s="29">
        <f>IF(O39=0,0,VLOOKUP(O39,FAC_TOTALS_APTA!$A$4:$BD$126,$L51,FALSE))</f>
        <v>-25361398.034484498</v>
      </c>
      <c r="P51" s="29">
        <f>IF(P39=0,0,VLOOKUP(P39,FAC_TOTALS_APTA!$A$4:$BD$126,$L51,FALSE))</f>
        <v>-28007602.155899402</v>
      </c>
      <c r="Q51" s="29">
        <f>IF(Q39=0,0,VLOOKUP(Q39,FAC_TOTALS_APTA!$A$4:$BD$126,$L51,FALSE))</f>
        <v>-26869250.096822701</v>
      </c>
      <c r="R51" s="29">
        <f>IF(R39=0,0,VLOOKUP(R39,FAC_TOTALS_APTA!$A$4:$BD$126,$L51,FALSE))</f>
        <v>-27322000.040593199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2"/>
        <v>-112249597.51215562</v>
      </c>
      <c r="AD51" s="33">
        <f>AC51/G55</f>
        <v>-0.11802397267859815</v>
      </c>
    </row>
    <row r="52" spans="1:31" x14ac:dyDescent="0.25">
      <c r="B52" s="25" t="s">
        <v>64</v>
      </c>
      <c r="C52" s="28"/>
      <c r="D52" s="104" t="s">
        <v>43</v>
      </c>
      <c r="E52" s="55"/>
      <c r="F52" s="6">
        <f>MATCH($D52,FAC_TOTALS_APTA!$A$2:$BD$2,)</f>
        <v>28</v>
      </c>
      <c r="G52" s="125">
        <f>VLOOKUP(G39,FAC_TOTALS_APTA!$A$4:$BD$126,$F52,FALSE)</f>
        <v>8.9326402136675601E-2</v>
      </c>
      <c r="H52" s="125">
        <f>VLOOKUP(H39,FAC_TOTALS_APTA!$A$4:$BD$126,$F52,FALSE)</f>
        <v>0.82475758674098198</v>
      </c>
      <c r="I52" s="30">
        <f t="shared" si="9"/>
        <v>8.2330774218247988</v>
      </c>
      <c r="J52" s="31" t="str">
        <f t="shared" si="10"/>
        <v/>
      </c>
      <c r="K52" s="31" t="str">
        <f t="shared" si="11"/>
        <v>BIKE_SHARE_FAC</v>
      </c>
      <c r="L52" s="6">
        <f>MATCH($K52,FAC_TOTALS_APTA!$A$2:$BB$2,)</f>
        <v>46</v>
      </c>
      <c r="M52" s="29">
        <f>IF(M39=0,0,VLOOKUP(M39,FAC_TOTALS_APTA!$A$4:$BD$126,$L52,FALSE))</f>
        <v>-648997.01470398996</v>
      </c>
      <c r="N52" s="29">
        <f>IF(N39=0,0,VLOOKUP(N39,FAC_TOTALS_APTA!$A$4:$BD$126,$L52,FALSE))</f>
        <v>-995508.07544095803</v>
      </c>
      <c r="O52" s="29">
        <f>IF(O39=0,0,VLOOKUP(O39,FAC_TOTALS_APTA!$A$4:$BD$126,$L52,FALSE))</f>
        <v>-2171107.0985205998</v>
      </c>
      <c r="P52" s="29">
        <f>IF(P39=0,0,VLOOKUP(P39,FAC_TOTALS_APTA!$A$4:$BD$126,$L52,FALSE))</f>
        <v>-1401794.50363023</v>
      </c>
      <c r="Q52" s="29">
        <f>IF(Q39=0,0,VLOOKUP(Q39,FAC_TOTALS_APTA!$A$4:$BD$126,$L52,FALSE))</f>
        <v>-1011666.98310909</v>
      </c>
      <c r="R52" s="29">
        <f>IF(R39=0,0,VLOOKUP(R39,FAC_TOTALS_APTA!$A$4:$BD$126,$L52,FALSE))</f>
        <v>-967724.68381831201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0</v>
      </c>
      <c r="V52" s="29">
        <f>IF(V39=0,0,VLOOKUP(V39,FAC_TOTALS_APTA!$A$4:$BD$126,$L52,FALSE))</f>
        <v>0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2"/>
        <v>-7196798.3592231795</v>
      </c>
      <c r="AD52" s="33">
        <f>AC52/G55</f>
        <v>-7.5670180717606114E-3</v>
      </c>
    </row>
    <row r="53" spans="1:31" x14ac:dyDescent="0.25">
      <c r="B53" s="8" t="s">
        <v>65</v>
      </c>
      <c r="C53" s="27"/>
      <c r="D53" s="129" t="s">
        <v>44</v>
      </c>
      <c r="E53" s="56"/>
      <c r="F53" s="7">
        <f>MATCH($D53,FAC_TOTALS_APTA!$A$2:$BD$2,)</f>
        <v>29</v>
      </c>
      <c r="G53" s="131">
        <f>VLOOKUP(G39,FAC_TOTALS_APTA!$A$4:$BD$126,$F53,FALSE)</f>
        <v>0</v>
      </c>
      <c r="H53" s="131">
        <f>VLOOKUP(H39,FAC_TOTALS_APTA!$A$4:$BD$126,$F53,FALSE)</f>
        <v>0.41079761662414999</v>
      </c>
      <c r="I53" s="36" t="str">
        <f t="shared" si="9"/>
        <v>-</v>
      </c>
      <c r="J53" s="37" t="str">
        <f t="shared" si="10"/>
        <v/>
      </c>
      <c r="K53" s="37" t="str">
        <f t="shared" si="11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-12522673.699328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2"/>
        <v>-12522673.699328</v>
      </c>
      <c r="AD53" s="40">
        <f>AC53/G55</f>
        <v>-1.3166868579572734E-2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1"/>
        <v>New_Reporter_FAC</v>
      </c>
      <c r="L54" s="44">
        <f>MATCH($K54,FAC_TOTALS_APTA!$A$2:$BB$2,)</f>
        <v>51</v>
      </c>
      <c r="M54" s="45">
        <f>IF(M39=0,0,VLOOKUP(M39,FAC_TOTALS_APTA!$A$4:$BD$126,$L54,FALSE))</f>
        <v>0</v>
      </c>
      <c r="N54" s="45">
        <f>IF(N39=0,0,VLOOKUP(N39,FAC_TOTALS_APTA!$A$4:$BD$126,$L54,FALSE))</f>
        <v>0</v>
      </c>
      <c r="O54" s="45">
        <f>IF(O39=0,0,VLOOKUP(O39,FAC_TOTALS_APTA!$A$4:$BD$126,$L54,FALSE))</f>
        <v>0</v>
      </c>
      <c r="P54" s="45">
        <f>IF(P39=0,0,VLOOKUP(P39,FAC_TOTALS_APTA!$A$4:$BD$126,$L54,FALSE))</f>
        <v>0</v>
      </c>
      <c r="Q54" s="45">
        <f>IF(Q39=0,0,VLOOKUP(Q39,FAC_TOTALS_APTA!$A$4:$BD$126,$L54,FALSE))</f>
        <v>0</v>
      </c>
      <c r="R54" s="45">
        <f>IF(R39=0,0,VLOOKUP(R39,FAC_TOTALS_APTA!$A$4:$BD$126,$L54,FALSE))</f>
        <v>0</v>
      </c>
      <c r="S54" s="45">
        <f>IF(S39=0,0,VLOOKUP(S39,FAC_TOTALS_APTA!$A$4:$BD$126,$L54,FALSE))</f>
        <v>0</v>
      </c>
      <c r="T54" s="45">
        <f>IF(T39=0,0,VLOOKUP(T39,FAC_TOTALS_APTA!$A$4:$BD$126,$L54,FALSE))</f>
        <v>0</v>
      </c>
      <c r="U54" s="45">
        <f>IF(U39=0,0,VLOOKUP(U39,FAC_TOTALS_APTA!$A$4:$BD$126,$L54,FALSE))</f>
        <v>0</v>
      </c>
      <c r="V54" s="45">
        <f>IF(V39=0,0,VLOOKUP(V39,FAC_TOTALS_APTA!$A$4:$BD$126,$L54,FALSE))</f>
        <v>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7">
        <f>VLOOKUP(G39,FAC_TOTALS_APTA!$A$4:$BD$126,$F55,FALSE)</f>
        <v>951074556.84306395</v>
      </c>
      <c r="H55" s="117">
        <f>VLOOKUP(H39,FAC_TOTALS_APTA!$A$4:$BB$126,$F55,FALSE)</f>
        <v>824632468.02864695</v>
      </c>
      <c r="I55" s="112">
        <f t="shared" ref="I55" si="13">H55/G55-1</f>
        <v>-0.13294655808491063</v>
      </c>
      <c r="J55" s="31"/>
      <c r="K55" s="31"/>
      <c r="L55" s="6"/>
      <c r="M55" s="29">
        <f t="shared" ref="M55:AB55" si="14">SUM(M41:M48)</f>
        <v>-6354431.2107835235</v>
      </c>
      <c r="N55" s="29">
        <f t="shared" si="14"/>
        <v>5724302.1410336085</v>
      </c>
      <c r="O55" s="29">
        <f t="shared" si="14"/>
        <v>-19379441.882947892</v>
      </c>
      <c r="P55" s="29">
        <f t="shared" si="14"/>
        <v>-2811882.25362809</v>
      </c>
      <c r="Q55" s="29">
        <f t="shared" si="14"/>
        <v>16320570.987647904</v>
      </c>
      <c r="R55" s="29">
        <f t="shared" si="14"/>
        <v>22123592.0810863</v>
      </c>
      <c r="S55" s="29">
        <f t="shared" si="14"/>
        <v>0</v>
      </c>
      <c r="T55" s="29">
        <f t="shared" si="14"/>
        <v>0</v>
      </c>
      <c r="U55" s="29">
        <f t="shared" si="14"/>
        <v>0</v>
      </c>
      <c r="V55" s="29">
        <f t="shared" si="14"/>
        <v>0</v>
      </c>
      <c r="W55" s="29">
        <f t="shared" si="14"/>
        <v>0</v>
      </c>
      <c r="X55" s="29">
        <f t="shared" si="14"/>
        <v>0</v>
      </c>
      <c r="Y55" s="29">
        <f t="shared" si="14"/>
        <v>0</v>
      </c>
      <c r="Z55" s="29">
        <f t="shared" si="14"/>
        <v>0</v>
      </c>
      <c r="AA55" s="29">
        <f t="shared" si="14"/>
        <v>0</v>
      </c>
      <c r="AB55" s="29">
        <f t="shared" si="14"/>
        <v>0</v>
      </c>
      <c r="AC55" s="32">
        <f>H55-G55</f>
        <v>-126442088.814417</v>
      </c>
      <c r="AD55" s="33">
        <f>I55</f>
        <v>-0.13294655808491063</v>
      </c>
      <c r="AE55" s="106"/>
    </row>
    <row r="56" spans="1:31" ht="13.5" customHeight="1" thickBot="1" x14ac:dyDescent="0.3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4">
        <f>VLOOKUP(G39,FAC_TOTALS_APTA!$A$4:$BB$126,$F56,FALSE)</f>
        <v>961216517.99999905</v>
      </c>
      <c r="H56" s="114">
        <f>VLOOKUP(H39,FAC_TOTALS_APTA!$A$4:$BB$126,$F56,FALSE)</f>
        <v>809531783</v>
      </c>
      <c r="I56" s="113">
        <f t="shared" ref="I56" si="15">H56/G56-1</f>
        <v>-0.15780496085898432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-151684734.99999905</v>
      </c>
      <c r="AD56" s="52">
        <f>I56</f>
        <v>-0.15780496085898432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-2.4858402774073696E-2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76" t="s">
        <v>51</v>
      </c>
      <c r="H64" s="176"/>
      <c r="I64" s="17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176" t="s">
        <v>55</v>
      </c>
      <c r="AD64" s="176"/>
    </row>
    <row r="65" spans="2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2012</v>
      </c>
      <c r="H65" s="128">
        <f>$C$2</f>
        <v>2018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2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2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0_3_2012</v>
      </c>
      <c r="H67" s="104" t="str">
        <f>CONCATENATE($C62,"_",$C63,"_",H65)</f>
        <v>0_3_2018</v>
      </c>
      <c r="I67" s="28"/>
      <c r="J67" s="6"/>
      <c r="K67" s="6"/>
      <c r="L67" s="6"/>
      <c r="M67" s="6" t="str">
        <f>IF($G65+M66&gt;$H65,0,CONCATENATE($C62,"_",$C63,"_",$G65+M66))</f>
        <v>0_3_2013</v>
      </c>
      <c r="N67" s="6" t="str">
        <f t="shared" ref="N67:AB67" si="16">IF($G65+N66&gt;$H65,0,CONCATENATE($C62,"_",$C63,"_",$G65+N66))</f>
        <v>0_3_2014</v>
      </c>
      <c r="O67" s="6" t="str">
        <f t="shared" si="16"/>
        <v>0_3_2015</v>
      </c>
      <c r="P67" s="6" t="str">
        <f t="shared" si="16"/>
        <v>0_3_2016</v>
      </c>
      <c r="Q67" s="6" t="str">
        <f t="shared" si="16"/>
        <v>0_3_2017</v>
      </c>
      <c r="R67" s="6" t="str">
        <f t="shared" si="16"/>
        <v>0_3_2018</v>
      </c>
      <c r="S67" s="6">
        <f t="shared" si="16"/>
        <v>0</v>
      </c>
      <c r="T67" s="6">
        <f t="shared" si="16"/>
        <v>0</v>
      </c>
      <c r="U67" s="6">
        <f t="shared" si="16"/>
        <v>0</v>
      </c>
      <c r="V67" s="6">
        <f t="shared" si="16"/>
        <v>0</v>
      </c>
      <c r="W67" s="6">
        <f t="shared" si="16"/>
        <v>0</v>
      </c>
      <c r="X67" s="6">
        <f t="shared" si="16"/>
        <v>0</v>
      </c>
      <c r="Y67" s="6">
        <f t="shared" si="16"/>
        <v>0</v>
      </c>
      <c r="Z67" s="6">
        <f t="shared" si="16"/>
        <v>0</v>
      </c>
      <c r="AA67" s="6">
        <f t="shared" si="16"/>
        <v>0</v>
      </c>
      <c r="AB67" s="6">
        <f t="shared" si="16"/>
        <v>0</v>
      </c>
      <c r="AC67" s="6"/>
      <c r="AD67" s="6"/>
    </row>
    <row r="68" spans="2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2:33" x14ac:dyDescent="0.25">
      <c r="B69" s="25" t="s">
        <v>31</v>
      </c>
      <c r="C69" s="28" t="s">
        <v>21</v>
      </c>
      <c r="D69" s="104" t="s">
        <v>87</v>
      </c>
      <c r="E69" s="55"/>
      <c r="F69" s="6">
        <f>MATCH($D69,FAC_TOTALS_APTA!$A$2:$BD$2,)</f>
        <v>12</v>
      </c>
      <c r="G69" s="117">
        <f>VLOOKUP(G67,FAC_TOTALS_APTA!$A$4:$BD$126,$F69,FALSE)</f>
        <v>1935564.7547657499</v>
      </c>
      <c r="H69" s="117">
        <f>VLOOKUP(H67,FAC_TOTALS_APTA!$A$4:$BD$126,$F69,FALSE)</f>
        <v>2110597.3381989901</v>
      </c>
      <c r="I69" s="30">
        <f>IFERROR(H69/G69-1,"-")</f>
        <v>9.0429722385817701E-2</v>
      </c>
      <c r="J69" s="31" t="str">
        <f>IF(C69="Log","_log","")</f>
        <v>_log</v>
      </c>
      <c r="K69" s="31" t="str">
        <f>CONCATENATE(D69,J69,"_FAC")</f>
        <v>VRM_ADJ_BUS_log_FAC</v>
      </c>
      <c r="L69" s="6">
        <f>MATCH($K69,FAC_TOTALS_APTA!$A$2:$BB$2,)</f>
        <v>30</v>
      </c>
      <c r="M69" s="29">
        <f>IF(M67=0,0,VLOOKUP(M67,FAC_TOTALS_APTA!$A$4:$BD$126,$L69,FALSE))</f>
        <v>1030600.11939784</v>
      </c>
      <c r="N69" s="29">
        <f>IF(N67=0,0,VLOOKUP(N67,FAC_TOTALS_APTA!$A$4:$BD$126,$L69,FALSE))</f>
        <v>3061470.30521109</v>
      </c>
      <c r="O69" s="29">
        <f>IF(O67=0,0,VLOOKUP(O67,FAC_TOTALS_APTA!$A$4:$BD$126,$L69,FALSE))</f>
        <v>2988159.9024330801</v>
      </c>
      <c r="P69" s="29">
        <f>IF(P67=0,0,VLOOKUP(P67,FAC_TOTALS_APTA!$A$4:$BD$126,$L69,FALSE))</f>
        <v>2000583.3408287601</v>
      </c>
      <c r="Q69" s="29">
        <f>IF(Q67=0,0,VLOOKUP(Q67,FAC_TOTALS_APTA!$A$4:$BD$126,$L69,FALSE))</f>
        <v>1574497.8194190899</v>
      </c>
      <c r="R69" s="29">
        <f>IF(R67=0,0,VLOOKUP(R67,FAC_TOTALS_APTA!$A$4:$BD$126,$L69,FALSE))</f>
        <v>1660266.4426704601</v>
      </c>
      <c r="S69" s="29">
        <f>IF(S67=0,0,VLOOKUP(S67,FAC_TOTALS_APTA!$A$4:$BD$126,$L69,FALSE))</f>
        <v>0</v>
      </c>
      <c r="T69" s="29">
        <f>IF(T67=0,0,VLOOKUP(T67,FAC_TOTALS_APTA!$A$4:$BD$126,$L69,FALSE))</f>
        <v>0</v>
      </c>
      <c r="U69" s="29">
        <f>IF(U67=0,0,VLOOKUP(U67,FAC_TOTALS_APTA!$A$4:$BD$126,$L69,FALSE))</f>
        <v>0</v>
      </c>
      <c r="V69" s="29">
        <f>IF(V67=0,0,VLOOKUP(V67,FAC_TOTALS_APTA!$A$4:$BD$126,$L69,FALSE))</f>
        <v>0</v>
      </c>
      <c r="W69" s="29">
        <f>IF(W67=0,0,VLOOKUP(W67,FAC_TOTALS_APTA!$A$4:$BD$126,$L69,FALSE))</f>
        <v>0</v>
      </c>
      <c r="X69" s="29">
        <f>IF(X67=0,0,VLOOKUP(X67,FAC_TOTALS_APTA!$A$4:$BD$126,$L69,FALSE))</f>
        <v>0</v>
      </c>
      <c r="Y69" s="29">
        <f>IF(Y67=0,0,VLOOKUP(Y67,FAC_TOTALS_APTA!$A$4:$BD$126,$L69,FALSE))</f>
        <v>0</v>
      </c>
      <c r="Z69" s="29">
        <f>IF(Z67=0,0,VLOOKUP(Z67,FAC_TOTALS_APTA!$A$4:$BD$126,$L69,FALSE))</f>
        <v>0</v>
      </c>
      <c r="AA69" s="29">
        <f>IF(AA67=0,0,VLOOKUP(AA67,FAC_TOTALS_APTA!$A$4:$BD$126,$L69,FALSE))</f>
        <v>0</v>
      </c>
      <c r="AB69" s="29">
        <f>IF(AB67=0,0,VLOOKUP(AB67,FAC_TOTALS_APTA!$A$4:$BD$126,$L69,FALSE))</f>
        <v>0</v>
      </c>
      <c r="AC69" s="32">
        <f>SUM(M69:AB69)</f>
        <v>12315577.92996032</v>
      </c>
      <c r="AD69" s="33">
        <f>AC69/G83</f>
        <v>3.9959221342387122E-2</v>
      </c>
    </row>
    <row r="70" spans="2:33" x14ac:dyDescent="0.25">
      <c r="B70" s="25" t="s">
        <v>52</v>
      </c>
      <c r="C70" s="28" t="s">
        <v>21</v>
      </c>
      <c r="D70" s="104" t="s">
        <v>88</v>
      </c>
      <c r="E70" s="55"/>
      <c r="F70" s="6">
        <f>MATCH($D70,FAC_TOTALS_APTA!$A$2:$BD$2,)</f>
        <v>14</v>
      </c>
      <c r="G70" s="123">
        <f>VLOOKUP(G67,FAC_TOTALS_APTA!$A$4:$BD$126,$F70,FALSE)</f>
        <v>0.82821757692531495</v>
      </c>
      <c r="H70" s="123">
        <f>VLOOKUP(H67,FAC_TOTALS_APTA!$A$4:$BD$126,$F70,FALSE)</f>
        <v>0.97569250120411</v>
      </c>
      <c r="I70" s="30">
        <f t="shared" ref="I70:I81" si="17">IFERROR(H70/G70-1,"-")</f>
        <v>0.17806302158701182</v>
      </c>
      <c r="J70" s="31" t="str">
        <f t="shared" ref="J70:J79" si="18">IF(C70="Log","_log","")</f>
        <v>_log</v>
      </c>
      <c r="K70" s="31" t="str">
        <f t="shared" ref="K70:K81" si="19">CONCATENATE(D70,J70,"_FAC")</f>
        <v>FARE_per_UPT_cleaned_2018_BUS_log_FAC</v>
      </c>
      <c r="L70" s="6">
        <f>MATCH($K70,FAC_TOTALS_APTA!$A$2:$BB$2,)</f>
        <v>32</v>
      </c>
      <c r="M70" s="29">
        <f>IF(M67=0,0,VLOOKUP(M67,FAC_TOTALS_APTA!$A$4:$BD$126,$L70,FALSE))</f>
        <v>-6147447.9760548295</v>
      </c>
      <c r="N70" s="29">
        <f>IF(N67=0,0,VLOOKUP(N67,FAC_TOTALS_APTA!$A$4:$BD$126,$L70,FALSE))</f>
        <v>447741.35888656898</v>
      </c>
      <c r="O70" s="29">
        <f>IF(O67=0,0,VLOOKUP(O67,FAC_TOTALS_APTA!$A$4:$BD$126,$L70,FALSE))</f>
        <v>-3853910.57985149</v>
      </c>
      <c r="P70" s="29">
        <f>IF(P67=0,0,VLOOKUP(P67,FAC_TOTALS_APTA!$A$4:$BD$126,$L70,FALSE))</f>
        <v>-4226856.1928318301</v>
      </c>
      <c r="Q70" s="29">
        <f>IF(Q67=0,0,VLOOKUP(Q67,FAC_TOTALS_APTA!$A$4:$BD$126,$L70,FALSE))</f>
        <v>491585.72433331702</v>
      </c>
      <c r="R70" s="29">
        <f>IF(R67=0,0,VLOOKUP(R67,FAC_TOTALS_APTA!$A$4:$BD$126,$L70,FALSE))</f>
        <v>872883.82367694203</v>
      </c>
      <c r="S70" s="29">
        <f>IF(S67=0,0,VLOOKUP(S67,FAC_TOTALS_APTA!$A$4:$BD$126,$L70,FALSE))</f>
        <v>0</v>
      </c>
      <c r="T70" s="29">
        <f>IF(T67=0,0,VLOOKUP(T67,FAC_TOTALS_APTA!$A$4:$BD$126,$L70,FALSE))</f>
        <v>0</v>
      </c>
      <c r="U70" s="29">
        <f>IF(U67=0,0,VLOOKUP(U67,FAC_TOTALS_APTA!$A$4:$BD$126,$L70,FALSE))</f>
        <v>0</v>
      </c>
      <c r="V70" s="29">
        <f>IF(V67=0,0,VLOOKUP(V67,FAC_TOTALS_APTA!$A$4:$BD$126,$L70,FALSE))</f>
        <v>0</v>
      </c>
      <c r="W70" s="29">
        <f>IF(W67=0,0,VLOOKUP(W67,FAC_TOTALS_APTA!$A$4:$BD$126,$L70,FALSE))</f>
        <v>0</v>
      </c>
      <c r="X70" s="29">
        <f>IF(X67=0,0,VLOOKUP(X67,FAC_TOTALS_APTA!$A$4:$BD$126,$L70,FALSE))</f>
        <v>0</v>
      </c>
      <c r="Y70" s="29">
        <f>IF(Y67=0,0,VLOOKUP(Y67,FAC_TOTALS_APTA!$A$4:$BD$126,$L70,FALSE))</f>
        <v>0</v>
      </c>
      <c r="Z70" s="29">
        <f>IF(Z67=0,0,VLOOKUP(Z67,FAC_TOTALS_APTA!$A$4:$BD$126,$L70,FALSE))</f>
        <v>0</v>
      </c>
      <c r="AA70" s="29">
        <f>IF(AA67=0,0,VLOOKUP(AA67,FAC_TOTALS_APTA!$A$4:$BD$126,$L70,FALSE))</f>
        <v>0</v>
      </c>
      <c r="AB70" s="29">
        <f>IF(AB67=0,0,VLOOKUP(AB67,FAC_TOTALS_APTA!$A$4:$BD$126,$L70,FALSE))</f>
        <v>0</v>
      </c>
      <c r="AC70" s="32">
        <f t="shared" ref="AC70:AC81" si="20">SUM(M70:AB70)</f>
        <v>-12416003.841841323</v>
      </c>
      <c r="AD70" s="33">
        <f>AC70/G83</f>
        <v>-4.0285064048607329E-2</v>
      </c>
    </row>
    <row r="71" spans="2:33" x14ac:dyDescent="0.25"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>
        <f>VLOOKUP(G67,FAC_TOTALS_APTA!$A$4:$BD$126,$F71,FALSE)</f>
        <v>1.81254270699816E-2</v>
      </c>
      <c r="H71" s="117">
        <f>VLOOKUP(H67,FAC_TOTALS_APTA!$A$4:$BD$126,$F71,FALSE)</f>
        <v>1.81254270699816E-2</v>
      </c>
      <c r="I71" s="119">
        <f>IFERROR(H71/G71-1,"-")</f>
        <v>0</v>
      </c>
      <c r="J71" s="120" t="str">
        <f t="shared" si="18"/>
        <v/>
      </c>
      <c r="K71" s="120" t="str">
        <f t="shared" si="19"/>
        <v>RESTRUCTURE_FAC</v>
      </c>
      <c r="L71" s="104">
        <f>MATCH($K71,FAC_TOTALS_APTA!$A$2:$BB$2,)</f>
        <v>41</v>
      </c>
      <c r="M71" s="117">
        <f>IF(M67=0,0,VLOOKUP(M67,FAC_TOTALS_APTA!$A$4:$BD$126,$L71,FALSE))</f>
        <v>0</v>
      </c>
      <c r="N71" s="117">
        <f>IF(N67=0,0,VLOOKUP(N67,FAC_TOTALS_APTA!$A$4:$BD$126,$L71,FALSE))</f>
        <v>0</v>
      </c>
      <c r="O71" s="117">
        <f>IF(O67=0,0,VLOOKUP(O67,FAC_TOTALS_APTA!$A$4:$BD$126,$L71,FALSE))</f>
        <v>0</v>
      </c>
      <c r="P71" s="117">
        <f>IF(P67=0,0,VLOOKUP(P67,FAC_TOTALS_APTA!$A$4:$BD$126,$L71,FALSE))</f>
        <v>0</v>
      </c>
      <c r="Q71" s="117">
        <f>IF(Q67=0,0,VLOOKUP(Q67,FAC_TOTALS_APTA!$A$4:$BD$126,$L71,FALSE))</f>
        <v>0</v>
      </c>
      <c r="R71" s="117">
        <f>IF(R67=0,0,VLOOKUP(R67,FAC_TOTALS_APTA!$A$4:$BD$126,$L71,FALSE))</f>
        <v>0</v>
      </c>
      <c r="S71" s="117">
        <f>IF(S67=0,0,VLOOKUP(S67,FAC_TOTALS_APTA!$A$4:$BD$126,$L71,FALSE))</f>
        <v>0</v>
      </c>
      <c r="T71" s="117">
        <f>IF(T67=0,0,VLOOKUP(T67,FAC_TOTALS_APTA!$A$4:$BD$126,$L71,FALSE))</f>
        <v>0</v>
      </c>
      <c r="U71" s="117">
        <f>IF(U67=0,0,VLOOKUP(U67,FAC_TOTALS_APTA!$A$4:$BD$126,$L71,FALSE))</f>
        <v>0</v>
      </c>
      <c r="V71" s="117">
        <f>IF(V67=0,0,VLOOKUP(V67,FAC_TOTALS_APTA!$A$4:$BD$126,$L71,FALSE))</f>
        <v>0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>
        <f t="shared" si="20"/>
        <v>0</v>
      </c>
      <c r="AD71" s="122">
        <f>AC71/G84</f>
        <v>0</v>
      </c>
    </row>
    <row r="72" spans="2:33" x14ac:dyDescent="0.25"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117">
        <f>VLOOKUP(G67,FAC_TOTALS_APTA!$A$4:$BD$126,$F72,FALSE)</f>
        <v>0</v>
      </c>
      <c r="H72" s="117">
        <f>VLOOKUP(H67,FAC_TOTALS_APTA!$A$4:$BD$126,$F72,FALSE)</f>
        <v>0</v>
      </c>
      <c r="I72" s="119" t="str">
        <f>IFERROR(H72/G72-1,"-")</f>
        <v>-</v>
      </c>
      <c r="J72" s="120" t="str">
        <f t="shared" si="18"/>
        <v/>
      </c>
      <c r="K72" s="120" t="str">
        <f t="shared" si="19"/>
        <v>MAINTENANCE_WMATA_FAC</v>
      </c>
      <c r="L72" s="104">
        <f>MATCH($K72,FAC_TOTALS_APTA!$A$2:$BB$2,)</f>
        <v>40</v>
      </c>
      <c r="M72" s="117">
        <f>IF(M68=0,0,VLOOKUP(M68,FAC_TOTALS_APTA!$A$4:$BD$126,$L72,FALSE))</f>
        <v>0</v>
      </c>
      <c r="N72" s="117">
        <f>IF(N68=0,0,VLOOKUP(N68,FAC_TOTALS_APTA!$A$4:$BD$126,$L72,FALSE))</f>
        <v>0</v>
      </c>
      <c r="O72" s="117">
        <f>IF(O68=0,0,VLOOKUP(O68,FAC_TOTALS_APTA!$A$4:$BD$126,$L72,FALSE))</f>
        <v>0</v>
      </c>
      <c r="P72" s="117">
        <f>IF(P68=0,0,VLOOKUP(P68,FAC_TOTALS_APTA!$A$4:$BD$126,$L72,FALSE))</f>
        <v>0</v>
      </c>
      <c r="Q72" s="117">
        <f>IF(Q68=0,0,VLOOKUP(Q68,FAC_TOTALS_APTA!$A$4:$BD$126,$L72,FALSE))</f>
        <v>0</v>
      </c>
      <c r="R72" s="117">
        <f>IF(R68=0,0,VLOOKUP(R68,FAC_TOTALS_APTA!$A$4:$BD$126,$L72,FALSE))</f>
        <v>0</v>
      </c>
      <c r="S72" s="117">
        <f>IF(S68=0,0,VLOOKUP(S68,FAC_TOTALS_APTA!$A$4:$BD$126,$L72,FALSE))</f>
        <v>0</v>
      </c>
      <c r="T72" s="117">
        <f>IF(T68=0,0,VLOOKUP(T68,FAC_TOTALS_APTA!$A$4:$BD$126,$L72,FALSE))</f>
        <v>0</v>
      </c>
      <c r="U72" s="117">
        <f>IF(U68=0,0,VLOOKUP(U68,FAC_TOTALS_APTA!$A$4:$BD$126,$L72,FALSE))</f>
        <v>0</v>
      </c>
      <c r="V72" s="117">
        <f>IF(V68=0,0,VLOOKUP(V68,FAC_TOTALS_APTA!$A$4:$BD$126,$L72,FALSE))</f>
        <v>0</v>
      </c>
      <c r="W72" s="117">
        <f>IF(W68=0,0,VLOOKUP(W68,FAC_TOTALS_APTA!$A$4:$BD$126,$L72,FALSE))</f>
        <v>0</v>
      </c>
      <c r="X72" s="117">
        <f>IF(X68=0,0,VLOOKUP(X68,FAC_TOTALS_APTA!$A$4:$BD$126,$L72,FALSE))</f>
        <v>0</v>
      </c>
      <c r="Y72" s="117">
        <f>IF(Y68=0,0,VLOOKUP(Y68,FAC_TOTALS_APTA!$A$4:$BD$126,$L72,FALSE))</f>
        <v>0</v>
      </c>
      <c r="Z72" s="117">
        <f>IF(Z68=0,0,VLOOKUP(Z68,FAC_TOTALS_APTA!$A$4:$BD$126,$L72,FALSE))</f>
        <v>0</v>
      </c>
      <c r="AA72" s="117">
        <f>IF(AA68=0,0,VLOOKUP(AA68,FAC_TOTALS_APTA!$A$4:$BD$126,$L72,FALSE))</f>
        <v>0</v>
      </c>
      <c r="AB72" s="117">
        <f>IF(AB68=0,0,VLOOKUP(AB68,FAC_TOTALS_APTA!$A$4:$BD$126,$L72,FALSE))</f>
        <v>0</v>
      </c>
      <c r="AC72" s="121">
        <f t="shared" si="20"/>
        <v>0</v>
      </c>
      <c r="AD72" s="122">
        <f>AC72/G84</f>
        <v>0</v>
      </c>
    </row>
    <row r="73" spans="2:33" x14ac:dyDescent="0.25">
      <c r="B73" s="25" t="s">
        <v>48</v>
      </c>
      <c r="C73" s="28" t="s">
        <v>21</v>
      </c>
      <c r="D73" s="104" t="s">
        <v>8</v>
      </c>
      <c r="E73" s="55"/>
      <c r="F73" s="6">
        <f>MATCH($D73,FAC_TOTALS_APTA!$A$2:$BD$2,)</f>
        <v>16</v>
      </c>
      <c r="G73" s="117">
        <f>VLOOKUP(G67,FAC_TOTALS_APTA!$A$4:$BD$126,$F73,FALSE)</f>
        <v>608223.96752153302</v>
      </c>
      <c r="H73" s="117">
        <f>VLOOKUP(H67,FAC_TOTALS_APTA!$A$4:$BD$126,$F73,FALSE)</f>
        <v>643261.456961027</v>
      </c>
      <c r="I73" s="30">
        <f t="shared" si="17"/>
        <v>5.7606229465552161E-2</v>
      </c>
      <c r="J73" s="31" t="str">
        <f t="shared" si="18"/>
        <v>_log</v>
      </c>
      <c r="K73" s="31" t="str">
        <f t="shared" si="19"/>
        <v>POP_EMP_log_FAC</v>
      </c>
      <c r="L73" s="6">
        <f>MATCH($K73,FAC_TOTALS_APTA!$A$2:$BB$2,)</f>
        <v>34</v>
      </c>
      <c r="M73" s="29">
        <f>IF(M67=0,0,VLOOKUP(M67,FAC_TOTALS_APTA!$A$4:$BD$126,$L73,FALSE))</f>
        <v>849016.30680104496</v>
      </c>
      <c r="N73" s="29">
        <f>IF(N67=0,0,VLOOKUP(N67,FAC_TOTALS_APTA!$A$4:$BD$126,$L73,FALSE))</f>
        <v>513119.40310287499</v>
      </c>
      <c r="O73" s="29">
        <f>IF(O67=0,0,VLOOKUP(O67,FAC_TOTALS_APTA!$A$4:$BD$126,$L73,FALSE))</f>
        <v>588375.79737674003</v>
      </c>
      <c r="P73" s="29">
        <f>IF(P67=0,0,VLOOKUP(P67,FAC_TOTALS_APTA!$A$4:$BD$126,$L73,FALSE))</f>
        <v>541102.95997200802</v>
      </c>
      <c r="Q73" s="29">
        <f>IF(Q67=0,0,VLOOKUP(Q67,FAC_TOTALS_APTA!$A$4:$BD$126,$L73,FALSE))</f>
        <v>459385.582217663</v>
      </c>
      <c r="R73" s="29">
        <f>IF(R67=0,0,VLOOKUP(R67,FAC_TOTALS_APTA!$A$4:$BD$126,$L73,FALSE))</f>
        <v>483546.06628416502</v>
      </c>
      <c r="S73" s="29">
        <f>IF(S67=0,0,VLOOKUP(S67,FAC_TOTALS_APTA!$A$4:$BD$126,$L73,FALSE))</f>
        <v>0</v>
      </c>
      <c r="T73" s="29">
        <f>IF(T67=0,0,VLOOKUP(T67,FAC_TOTALS_APTA!$A$4:$BD$126,$L73,FALSE))</f>
        <v>0</v>
      </c>
      <c r="U73" s="29">
        <f>IF(U67=0,0,VLOOKUP(U67,FAC_TOTALS_APTA!$A$4:$BD$126,$L73,FALSE))</f>
        <v>0</v>
      </c>
      <c r="V73" s="29">
        <f>IF(V67=0,0,VLOOKUP(V67,FAC_TOTALS_APTA!$A$4:$BD$126,$L73,FALSE))</f>
        <v>0</v>
      </c>
      <c r="W73" s="29">
        <f>IF(W67=0,0,VLOOKUP(W67,FAC_TOTALS_APTA!$A$4:$BD$126,$L73,FALSE))</f>
        <v>0</v>
      </c>
      <c r="X73" s="29">
        <f>IF(X67=0,0,VLOOKUP(X67,FAC_TOTALS_APTA!$A$4:$BD$126,$L73,FALSE))</f>
        <v>0</v>
      </c>
      <c r="Y73" s="29">
        <f>IF(Y67=0,0,VLOOKUP(Y67,FAC_TOTALS_APTA!$A$4:$BD$126,$L73,FALSE))</f>
        <v>0</v>
      </c>
      <c r="Z73" s="29">
        <f>IF(Z67=0,0,VLOOKUP(Z67,FAC_TOTALS_APTA!$A$4:$BD$126,$L73,FALSE))</f>
        <v>0</v>
      </c>
      <c r="AA73" s="29">
        <f>IF(AA67=0,0,VLOOKUP(AA67,FAC_TOTALS_APTA!$A$4:$BD$126,$L73,FALSE))</f>
        <v>0</v>
      </c>
      <c r="AB73" s="29">
        <f>IF(AB67=0,0,VLOOKUP(AB67,FAC_TOTALS_APTA!$A$4:$BD$126,$L73,FALSE))</f>
        <v>0</v>
      </c>
      <c r="AC73" s="32">
        <f t="shared" si="20"/>
        <v>3434546.1157544963</v>
      </c>
      <c r="AD73" s="33">
        <f>AC73/G83</f>
        <v>1.1143755431582254E-2</v>
      </c>
    </row>
    <row r="74" spans="2:33" x14ac:dyDescent="0.25">
      <c r="B74" s="25" t="s">
        <v>73</v>
      </c>
      <c r="C74" s="28"/>
      <c r="D74" s="104" t="s">
        <v>72</v>
      </c>
      <c r="E74" s="55"/>
      <c r="F74" s="6">
        <f>MATCH($D74,FAC_TOTALS_APTA!$A$2:$BD$2,)</f>
        <v>17</v>
      </c>
      <c r="G74" s="123">
        <f>VLOOKUP(G67,FAC_TOTALS_APTA!$A$4:$BD$126,$F74,FALSE)</f>
        <v>0.20287939749310699</v>
      </c>
      <c r="H74" s="123">
        <f>VLOOKUP(H67,FAC_TOTALS_APTA!$A$4:$BD$126,$F74,FALSE)</f>
        <v>0.199048693555371</v>
      </c>
      <c r="I74" s="30">
        <f t="shared" si="17"/>
        <v>-1.8881680373021292E-2</v>
      </c>
      <c r="J74" s="31" t="str">
        <f t="shared" si="18"/>
        <v/>
      </c>
      <c r="K74" s="31" t="str">
        <f t="shared" si="19"/>
        <v>TSD_POP_EMP_PCT_FAC</v>
      </c>
      <c r="L74" s="6">
        <f>MATCH($K74,FAC_TOTALS_APTA!$A$2:$BB$2,)</f>
        <v>35</v>
      </c>
      <c r="M74" s="29">
        <f>IF(M67=0,0,VLOOKUP(M67,FAC_TOTALS_APTA!$A$4:$BD$126,$L74,FALSE))</f>
        <v>-50255.838112372498</v>
      </c>
      <c r="N74" s="29">
        <f>IF(N67=0,0,VLOOKUP(N67,FAC_TOTALS_APTA!$A$4:$BD$126,$L74,FALSE))</f>
        <v>-279876.131866301</v>
      </c>
      <c r="O74" s="29">
        <f>IF(O67=0,0,VLOOKUP(O67,FAC_TOTALS_APTA!$A$4:$BD$126,$L74,FALSE))</f>
        <v>-365963.91621579998</v>
      </c>
      <c r="P74" s="29">
        <f>IF(P67=0,0,VLOOKUP(P67,FAC_TOTALS_APTA!$A$4:$BD$126,$L74,FALSE))</f>
        <v>490957.34551744402</v>
      </c>
      <c r="Q74" s="29">
        <f>IF(Q67=0,0,VLOOKUP(Q67,FAC_TOTALS_APTA!$A$4:$BD$126,$L74,FALSE))</f>
        <v>-73528.779746038097</v>
      </c>
      <c r="R74" s="29">
        <f>IF(R67=0,0,VLOOKUP(R67,FAC_TOTALS_APTA!$A$4:$BD$126,$L74,FALSE))</f>
        <v>-111296.701167201</v>
      </c>
      <c r="S74" s="29">
        <f>IF(S67=0,0,VLOOKUP(S67,FAC_TOTALS_APTA!$A$4:$BD$126,$L74,FALSE))</f>
        <v>0</v>
      </c>
      <c r="T74" s="29">
        <f>IF(T67=0,0,VLOOKUP(T67,FAC_TOTALS_APTA!$A$4:$BD$126,$L74,FALSE))</f>
        <v>0</v>
      </c>
      <c r="U74" s="29">
        <f>IF(U67=0,0,VLOOKUP(U67,FAC_TOTALS_APTA!$A$4:$BD$126,$L74,FALSE))</f>
        <v>0</v>
      </c>
      <c r="V74" s="29">
        <f>IF(V67=0,0,VLOOKUP(V67,FAC_TOTALS_APTA!$A$4:$BD$126,$L74,FALSE))</f>
        <v>0</v>
      </c>
      <c r="W74" s="29">
        <f>IF(W67=0,0,VLOOKUP(W67,FAC_TOTALS_APTA!$A$4:$BD$126,$L74,FALSE))</f>
        <v>0</v>
      </c>
      <c r="X74" s="29">
        <f>IF(X67=0,0,VLOOKUP(X67,FAC_TOTALS_APTA!$A$4:$BD$126,$L74,FALSE))</f>
        <v>0</v>
      </c>
      <c r="Y74" s="29">
        <f>IF(Y67=0,0,VLOOKUP(Y67,FAC_TOTALS_APTA!$A$4:$BD$126,$L74,FALSE))</f>
        <v>0</v>
      </c>
      <c r="Z74" s="29">
        <f>IF(Z67=0,0,VLOOKUP(Z67,FAC_TOTALS_APTA!$A$4:$BD$126,$L74,FALSE))</f>
        <v>0</v>
      </c>
      <c r="AA74" s="29">
        <f>IF(AA67=0,0,VLOOKUP(AA67,FAC_TOTALS_APTA!$A$4:$BD$126,$L74,FALSE))</f>
        <v>0</v>
      </c>
      <c r="AB74" s="29">
        <f>IF(AB67=0,0,VLOOKUP(AB67,FAC_TOTALS_APTA!$A$4:$BD$126,$L74,FALSE))</f>
        <v>0</v>
      </c>
      <c r="AC74" s="32">
        <f t="shared" si="20"/>
        <v>-389964.02159026853</v>
      </c>
      <c r="AD74" s="33">
        <f>AC74/G83</f>
        <v>-1.265280341930586E-3</v>
      </c>
    </row>
    <row r="75" spans="2:33" x14ac:dyDescent="0.2">
      <c r="B75" s="25" t="s">
        <v>49</v>
      </c>
      <c r="C75" s="28" t="s">
        <v>21</v>
      </c>
      <c r="D75" s="124" t="s">
        <v>82</v>
      </c>
      <c r="E75" s="55"/>
      <c r="F75" s="6">
        <f>MATCH($D75,FAC_TOTALS_APTA!$A$2:$BD$2,)</f>
        <v>18</v>
      </c>
      <c r="G75" s="125">
        <f>VLOOKUP(G67,FAC_TOTALS_APTA!$A$4:$BD$126,$F75,FALSE)</f>
        <v>3.99676458590372</v>
      </c>
      <c r="H75" s="125">
        <f>VLOOKUP(H67,FAC_TOTALS_APTA!$A$4:$BD$126,$F75,FALSE)</f>
        <v>2.8183435351760502</v>
      </c>
      <c r="I75" s="30">
        <f t="shared" si="17"/>
        <v>-0.29484374808660729</v>
      </c>
      <c r="J75" s="31" t="str">
        <f t="shared" si="18"/>
        <v>_log</v>
      </c>
      <c r="K75" s="31" t="str">
        <f t="shared" si="19"/>
        <v>GAS_PRICE_2018_log_FAC</v>
      </c>
      <c r="L75" s="6">
        <f>MATCH($K75,FAC_TOTALS_APTA!$A$2:$BB$2,)</f>
        <v>36</v>
      </c>
      <c r="M75" s="29">
        <f>IF(M67=0,0,VLOOKUP(M67,FAC_TOTALS_APTA!$A$4:$BD$126,$L75,FALSE))</f>
        <v>-1341369.4178015201</v>
      </c>
      <c r="N75" s="29">
        <f>IF(N67=0,0,VLOOKUP(N67,FAC_TOTALS_APTA!$A$4:$BD$126,$L75,FALSE))</f>
        <v>-1969835.9408327001</v>
      </c>
      <c r="O75" s="29">
        <f>IF(O67=0,0,VLOOKUP(O67,FAC_TOTALS_APTA!$A$4:$BD$126,$L75,FALSE))</f>
        <v>-10505049.983457999</v>
      </c>
      <c r="P75" s="29">
        <f>IF(P67=0,0,VLOOKUP(P67,FAC_TOTALS_APTA!$A$4:$BD$126,$L75,FALSE))</f>
        <v>-3408896.12215742</v>
      </c>
      <c r="Q75" s="29">
        <f>IF(Q67=0,0,VLOOKUP(Q67,FAC_TOTALS_APTA!$A$4:$BD$126,$L75,FALSE))</f>
        <v>2445879.9282500502</v>
      </c>
      <c r="R75" s="29">
        <f>IF(R67=0,0,VLOOKUP(R67,FAC_TOTALS_APTA!$A$4:$BD$126,$L75,FALSE))</f>
        <v>2681608.54824263</v>
      </c>
      <c r="S75" s="29">
        <f>IF(S67=0,0,VLOOKUP(S67,FAC_TOTALS_APTA!$A$4:$BD$126,$L75,FALSE))</f>
        <v>0</v>
      </c>
      <c r="T75" s="29">
        <f>IF(T67=0,0,VLOOKUP(T67,FAC_TOTALS_APTA!$A$4:$BD$126,$L75,FALSE))</f>
        <v>0</v>
      </c>
      <c r="U75" s="29">
        <f>IF(U67=0,0,VLOOKUP(U67,FAC_TOTALS_APTA!$A$4:$BD$126,$L75,FALSE))</f>
        <v>0</v>
      </c>
      <c r="V75" s="29">
        <f>IF(V67=0,0,VLOOKUP(V67,FAC_TOTALS_APTA!$A$4:$BD$126,$L75,FALSE))</f>
        <v>0</v>
      </c>
      <c r="W75" s="29">
        <f>IF(W67=0,0,VLOOKUP(W67,FAC_TOTALS_APTA!$A$4:$BD$126,$L75,FALSE))</f>
        <v>0</v>
      </c>
      <c r="X75" s="29">
        <f>IF(X67=0,0,VLOOKUP(X67,FAC_TOTALS_APTA!$A$4:$BD$126,$L75,FALSE))</f>
        <v>0</v>
      </c>
      <c r="Y75" s="29">
        <f>IF(Y67=0,0,VLOOKUP(Y67,FAC_TOTALS_APTA!$A$4:$BD$126,$L75,FALSE))</f>
        <v>0</v>
      </c>
      <c r="Z75" s="29">
        <f>IF(Z67=0,0,VLOOKUP(Z67,FAC_TOTALS_APTA!$A$4:$BD$126,$L75,FALSE))</f>
        <v>0</v>
      </c>
      <c r="AA75" s="29">
        <f>IF(AA67=0,0,VLOOKUP(AA67,FAC_TOTALS_APTA!$A$4:$BD$126,$L75,FALSE))</f>
        <v>0</v>
      </c>
      <c r="AB75" s="29">
        <f>IF(AB67=0,0,VLOOKUP(AB67,FAC_TOTALS_APTA!$A$4:$BD$126,$L75,FALSE))</f>
        <v>0</v>
      </c>
      <c r="AC75" s="32">
        <f t="shared" si="20"/>
        <v>-12097662.98775696</v>
      </c>
      <c r="AD75" s="33">
        <f>AC75/G83</f>
        <v>-3.9252172801194904E-2</v>
      </c>
    </row>
    <row r="76" spans="2:33" x14ac:dyDescent="0.2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MATCH($D76,FAC_TOTALS_APTA!$A$2:$BD$2,)</f>
        <v>19</v>
      </c>
      <c r="G76" s="123">
        <f>VLOOKUP(G67,FAC_TOTALS_APTA!$A$4:$BD$126,$F76,FALSE)</f>
        <v>25928.146323228299</v>
      </c>
      <c r="H76" s="123">
        <f>VLOOKUP(H67,FAC_TOTALS_APTA!$A$4:$BD$126,$F76,FALSE)</f>
        <v>28105.315492605201</v>
      </c>
      <c r="I76" s="30">
        <f t="shared" si="17"/>
        <v>8.3969333643664212E-2</v>
      </c>
      <c r="J76" s="31" t="str">
        <f t="shared" si="18"/>
        <v>_log</v>
      </c>
      <c r="K76" s="31" t="str">
        <f t="shared" si="19"/>
        <v>TOTAL_MED_INC_INDIV_2018_log_FAC</v>
      </c>
      <c r="L76" s="6">
        <f>MATCH($K76,FAC_TOTALS_APTA!$A$2:$BB$2,)</f>
        <v>37</v>
      </c>
      <c r="M76" s="29">
        <f>IF(M67=0,0,VLOOKUP(M67,FAC_TOTALS_APTA!$A$4:$BD$126,$L76,FALSE))</f>
        <v>-10200.6018462914</v>
      </c>
      <c r="N76" s="29">
        <f>IF(N67=0,0,VLOOKUP(N67,FAC_TOTALS_APTA!$A$4:$BD$126,$L76,FALSE))</f>
        <v>-302731.08114346</v>
      </c>
      <c r="O76" s="29">
        <f>IF(O67=0,0,VLOOKUP(O67,FAC_TOTALS_APTA!$A$4:$BD$126,$L76,FALSE))</f>
        <v>-681892.79482452304</v>
      </c>
      <c r="P76" s="29">
        <f>IF(P67=0,0,VLOOKUP(P67,FAC_TOTALS_APTA!$A$4:$BD$126,$L76,FALSE))</f>
        <v>-265351.86665498401</v>
      </c>
      <c r="Q76" s="29">
        <f>IF(Q67=0,0,VLOOKUP(Q67,FAC_TOTALS_APTA!$A$4:$BD$126,$L76,FALSE))</f>
        <v>-221327.91332938601</v>
      </c>
      <c r="R76" s="29">
        <f>IF(R67=0,0,VLOOKUP(R67,FAC_TOTALS_APTA!$A$4:$BD$126,$L76,FALSE))</f>
        <v>-255662.790271048</v>
      </c>
      <c r="S76" s="29">
        <f>IF(S67=0,0,VLOOKUP(S67,FAC_TOTALS_APTA!$A$4:$BD$126,$L76,FALSE))</f>
        <v>0</v>
      </c>
      <c r="T76" s="29">
        <f>IF(T67=0,0,VLOOKUP(T67,FAC_TOTALS_APTA!$A$4:$BD$126,$L76,FALSE))</f>
        <v>0</v>
      </c>
      <c r="U76" s="29">
        <f>IF(U67=0,0,VLOOKUP(U67,FAC_TOTALS_APTA!$A$4:$BD$126,$L76,FALSE))</f>
        <v>0</v>
      </c>
      <c r="V76" s="29">
        <f>IF(V67=0,0,VLOOKUP(V67,FAC_TOTALS_APTA!$A$4:$BD$126,$L76,FALSE))</f>
        <v>0</v>
      </c>
      <c r="W76" s="29">
        <f>IF(W67=0,0,VLOOKUP(W67,FAC_TOTALS_APTA!$A$4:$BD$126,$L76,FALSE))</f>
        <v>0</v>
      </c>
      <c r="X76" s="29">
        <f>IF(X67=0,0,VLOOKUP(X67,FAC_TOTALS_APTA!$A$4:$BD$126,$L76,FALSE))</f>
        <v>0</v>
      </c>
      <c r="Y76" s="29">
        <f>IF(Y67=0,0,VLOOKUP(Y67,FAC_TOTALS_APTA!$A$4:$BD$126,$L76,FALSE))</f>
        <v>0</v>
      </c>
      <c r="Z76" s="29">
        <f>IF(Z67=0,0,VLOOKUP(Z67,FAC_TOTALS_APTA!$A$4:$BD$126,$L76,FALSE))</f>
        <v>0</v>
      </c>
      <c r="AA76" s="29">
        <f>IF(AA67=0,0,VLOOKUP(AA67,FAC_TOTALS_APTA!$A$4:$BD$126,$L76,FALSE))</f>
        <v>0</v>
      </c>
      <c r="AB76" s="29">
        <f>IF(AB67=0,0,VLOOKUP(AB67,FAC_TOTALS_APTA!$A$4:$BD$126,$L76,FALSE))</f>
        <v>0</v>
      </c>
      <c r="AC76" s="32">
        <f t="shared" si="20"/>
        <v>-1737167.0480696922</v>
      </c>
      <c r="AD76" s="33">
        <f>AC76/G83</f>
        <v>-5.6364259133669199E-3</v>
      </c>
    </row>
    <row r="77" spans="2:33" x14ac:dyDescent="0.25">
      <c r="B77" s="25" t="s">
        <v>62</v>
      </c>
      <c r="C77" s="28"/>
      <c r="D77" s="104" t="s">
        <v>9</v>
      </c>
      <c r="E77" s="55"/>
      <c r="F77" s="6">
        <f>MATCH($D77,FAC_TOTALS_APTA!$A$2:$BD$2,)</f>
        <v>20</v>
      </c>
      <c r="G77" s="117">
        <f>VLOOKUP(G67,FAC_TOTALS_APTA!$A$4:$BD$126,$F77,FALSE)</f>
        <v>7.33093904795337</v>
      </c>
      <c r="H77" s="117">
        <f>VLOOKUP(H67,FAC_TOTALS_APTA!$A$4:$BD$126,$F77,FALSE)</f>
        <v>6.9794359227421401</v>
      </c>
      <c r="I77" s="30">
        <f t="shared" si="17"/>
        <v>-4.7947899022480867E-2</v>
      </c>
      <c r="J77" s="31" t="str">
        <f t="shared" si="18"/>
        <v/>
      </c>
      <c r="K77" s="31" t="str">
        <f t="shared" si="19"/>
        <v>PCT_HH_NO_VEH_FAC</v>
      </c>
      <c r="L77" s="6">
        <f>MATCH($K77,FAC_TOTALS_APTA!$A$2:$BB$2,)</f>
        <v>38</v>
      </c>
      <c r="M77" s="29">
        <f>IF(M67=0,0,VLOOKUP(M67,FAC_TOTALS_APTA!$A$4:$BD$126,$L77,FALSE))</f>
        <v>16728.1102484898</v>
      </c>
      <c r="N77" s="29">
        <f>IF(N67=0,0,VLOOKUP(N67,FAC_TOTALS_APTA!$A$4:$BD$126,$L77,FALSE))</f>
        <v>20152.559959247701</v>
      </c>
      <c r="O77" s="29">
        <f>IF(O67=0,0,VLOOKUP(O67,FAC_TOTALS_APTA!$A$4:$BD$126,$L77,FALSE))</f>
        <v>-96413.315229213302</v>
      </c>
      <c r="P77" s="29">
        <f>IF(P67=0,0,VLOOKUP(P67,FAC_TOTALS_APTA!$A$4:$BD$126,$L77,FALSE))</f>
        <v>-75496.863771920194</v>
      </c>
      <c r="Q77" s="29">
        <f>IF(Q67=0,0,VLOOKUP(Q67,FAC_TOTALS_APTA!$A$4:$BD$126,$L77,FALSE))</f>
        <v>-23881.3021251383</v>
      </c>
      <c r="R77" s="29">
        <f>IF(R67=0,0,VLOOKUP(R67,FAC_TOTALS_APTA!$A$4:$BD$126,$L77,FALSE))</f>
        <v>-30438.040526688699</v>
      </c>
      <c r="S77" s="29">
        <f>IF(S67=0,0,VLOOKUP(S67,FAC_TOTALS_APTA!$A$4:$BD$126,$L77,FALSE))</f>
        <v>0</v>
      </c>
      <c r="T77" s="29">
        <f>IF(T67=0,0,VLOOKUP(T67,FAC_TOTALS_APTA!$A$4:$BD$126,$L77,FALSE))</f>
        <v>0</v>
      </c>
      <c r="U77" s="29">
        <f>IF(U67=0,0,VLOOKUP(U67,FAC_TOTALS_APTA!$A$4:$BD$126,$L77,FALSE))</f>
        <v>0</v>
      </c>
      <c r="V77" s="29">
        <f>IF(V67=0,0,VLOOKUP(V67,FAC_TOTALS_APTA!$A$4:$BD$126,$L77,FALSE))</f>
        <v>0</v>
      </c>
      <c r="W77" s="29">
        <f>IF(W67=0,0,VLOOKUP(W67,FAC_TOTALS_APTA!$A$4:$BD$126,$L77,FALSE))</f>
        <v>0</v>
      </c>
      <c r="X77" s="29">
        <f>IF(X67=0,0,VLOOKUP(X67,FAC_TOTALS_APTA!$A$4:$BD$126,$L77,FALSE))</f>
        <v>0</v>
      </c>
      <c r="Y77" s="29">
        <f>IF(Y67=0,0,VLOOKUP(Y67,FAC_TOTALS_APTA!$A$4:$BD$126,$L77,FALSE))</f>
        <v>0</v>
      </c>
      <c r="Z77" s="29">
        <f>IF(Z67=0,0,VLOOKUP(Z67,FAC_TOTALS_APTA!$A$4:$BD$126,$L77,FALSE))</f>
        <v>0</v>
      </c>
      <c r="AA77" s="29">
        <f>IF(AA67=0,0,VLOOKUP(AA67,FAC_TOTALS_APTA!$A$4:$BD$126,$L77,FALSE))</f>
        <v>0</v>
      </c>
      <c r="AB77" s="29">
        <f>IF(AB67=0,0,VLOOKUP(AB67,FAC_TOTALS_APTA!$A$4:$BD$126,$L77,FALSE))</f>
        <v>0</v>
      </c>
      <c r="AC77" s="32">
        <f t="shared" si="20"/>
        <v>-189348.851445223</v>
      </c>
      <c r="AD77" s="33">
        <f>AC77/G83</f>
        <v>-6.1436277768337107E-4</v>
      </c>
    </row>
    <row r="78" spans="2:33" x14ac:dyDescent="0.25">
      <c r="B78" s="25" t="s">
        <v>47</v>
      </c>
      <c r="C78" s="28"/>
      <c r="D78" s="104" t="s">
        <v>28</v>
      </c>
      <c r="E78" s="55"/>
      <c r="F78" s="6">
        <f>MATCH($D78,FAC_TOTALS_APTA!$A$2:$BD$2,)</f>
        <v>21</v>
      </c>
      <c r="G78" s="125">
        <f>VLOOKUP(G67,FAC_TOTALS_APTA!$A$4:$BD$126,$F78,FALSE)</f>
        <v>3.7964745491418501</v>
      </c>
      <c r="H78" s="125">
        <f>VLOOKUP(H67,FAC_TOTALS_APTA!$A$4:$BD$126,$F78,FALSE)</f>
        <v>5.1283173872823102</v>
      </c>
      <c r="I78" s="30">
        <f t="shared" si="17"/>
        <v>0.35081042185348199</v>
      </c>
      <c r="J78" s="31" t="str">
        <f t="shared" si="18"/>
        <v/>
      </c>
      <c r="K78" s="31" t="str">
        <f t="shared" si="19"/>
        <v>JTW_HOME_PCT_FAC</v>
      </c>
      <c r="L78" s="6">
        <f>MATCH($K78,FAC_TOTALS_APTA!$A$2:$BB$2,)</f>
        <v>39</v>
      </c>
      <c r="M78" s="29">
        <f>IF(M67=0,0,VLOOKUP(M67,FAC_TOTALS_APTA!$A$4:$BD$126,$L78,FALSE))</f>
        <v>225427.102469184</v>
      </c>
      <c r="N78" s="29">
        <f>IF(N67=0,0,VLOOKUP(N67,FAC_TOTALS_APTA!$A$4:$BD$126,$L78,FALSE))</f>
        <v>-392203.63969469297</v>
      </c>
      <c r="O78" s="29">
        <f>IF(O67=0,0,VLOOKUP(O67,FAC_TOTALS_APTA!$A$4:$BD$126,$L78,FALSE))</f>
        <v>29256.108166645499</v>
      </c>
      <c r="P78" s="29">
        <f>IF(P67=0,0,VLOOKUP(P67,FAC_TOTALS_APTA!$A$4:$BD$126,$L78,FALSE))</f>
        <v>-1271342.56554748</v>
      </c>
      <c r="Q78" s="29">
        <f>IF(Q67=0,0,VLOOKUP(Q67,FAC_TOTALS_APTA!$A$4:$BD$126,$L78,FALSE))</f>
        <v>-617315.66923324496</v>
      </c>
      <c r="R78" s="29">
        <f>IF(R67=0,0,VLOOKUP(R67,FAC_TOTALS_APTA!$A$4:$BD$126,$L78,FALSE))</f>
        <v>-761228.08915608295</v>
      </c>
      <c r="S78" s="29">
        <f>IF(S67=0,0,VLOOKUP(S67,FAC_TOTALS_APTA!$A$4:$BD$126,$L78,FALSE))</f>
        <v>0</v>
      </c>
      <c r="T78" s="29">
        <f>IF(T67=0,0,VLOOKUP(T67,FAC_TOTALS_APTA!$A$4:$BD$126,$L78,FALSE))</f>
        <v>0</v>
      </c>
      <c r="U78" s="29">
        <f>IF(U67=0,0,VLOOKUP(U67,FAC_TOTALS_APTA!$A$4:$BD$126,$L78,FALSE))</f>
        <v>0</v>
      </c>
      <c r="V78" s="29">
        <f>IF(V67=0,0,VLOOKUP(V67,FAC_TOTALS_APTA!$A$4:$BD$126,$L78,FALSE))</f>
        <v>0</v>
      </c>
      <c r="W78" s="29">
        <f>IF(W67=0,0,VLOOKUP(W67,FAC_TOTALS_APTA!$A$4:$BD$126,$L78,FALSE))</f>
        <v>0</v>
      </c>
      <c r="X78" s="29">
        <f>IF(X67=0,0,VLOOKUP(X67,FAC_TOTALS_APTA!$A$4:$BD$126,$L78,FALSE))</f>
        <v>0</v>
      </c>
      <c r="Y78" s="29">
        <f>IF(Y67=0,0,VLOOKUP(Y67,FAC_TOTALS_APTA!$A$4:$BD$126,$L78,FALSE))</f>
        <v>0</v>
      </c>
      <c r="Z78" s="29">
        <f>IF(Z67=0,0,VLOOKUP(Z67,FAC_TOTALS_APTA!$A$4:$BD$126,$L78,FALSE))</f>
        <v>0</v>
      </c>
      <c r="AA78" s="29">
        <f>IF(AA67=0,0,VLOOKUP(AA67,FAC_TOTALS_APTA!$A$4:$BD$126,$L78,FALSE))</f>
        <v>0</v>
      </c>
      <c r="AB78" s="29">
        <f>IF(AB67=0,0,VLOOKUP(AB67,FAC_TOTALS_APTA!$A$4:$BD$126,$L78,FALSE))</f>
        <v>0</v>
      </c>
      <c r="AC78" s="32">
        <f t="shared" si="20"/>
        <v>-2787406.7529956712</v>
      </c>
      <c r="AD78" s="33">
        <f>AC78/G83</f>
        <v>-9.0440419481457087E-3</v>
      </c>
    </row>
    <row r="79" spans="2:33" x14ac:dyDescent="0.25">
      <c r="B79" s="25" t="s">
        <v>63</v>
      </c>
      <c r="C79" s="28"/>
      <c r="D79" s="126" t="s">
        <v>90</v>
      </c>
      <c r="E79" s="55"/>
      <c r="F79" s="6">
        <f>MATCH($D79,FAC_TOTALS_APTA!$A$2:$BD$2,)</f>
        <v>25</v>
      </c>
      <c r="G79" s="125">
        <f>VLOOKUP(G67,FAC_TOTALS_APTA!$A$4:$BD$126,$F79,FALSE)</f>
        <v>0</v>
      </c>
      <c r="H79" s="125">
        <f>VLOOKUP(H67,FAC_TOTALS_APTA!$A$4:$BD$126,$F79,FALSE)</f>
        <v>3.2621241012143001</v>
      </c>
      <c r="I79" s="30" t="str">
        <f t="shared" si="17"/>
        <v>-</v>
      </c>
      <c r="J79" s="31" t="str">
        <f t="shared" si="18"/>
        <v/>
      </c>
      <c r="K79" s="31" t="str">
        <f t="shared" si="19"/>
        <v>YEARS_SINCE_TNC_BUS_MIDLOW_FAC</v>
      </c>
      <c r="L79" s="6">
        <f>MATCH($K79,FAC_TOTALS_APTA!$A$2:$BB$2,)</f>
        <v>43</v>
      </c>
      <c r="M79" s="29">
        <f>IF(M67=0,0,VLOOKUP(M67,FAC_TOTALS_APTA!$A$4:$BD$126,$L79,FALSE))</f>
        <v>0</v>
      </c>
      <c r="N79" s="29">
        <f>IF(N67=0,0,VLOOKUP(N67,FAC_TOTALS_APTA!$A$4:$BD$126,$L79,FALSE))</f>
        <v>0</v>
      </c>
      <c r="O79" s="29">
        <f>IF(O67=0,0,VLOOKUP(O67,FAC_TOTALS_APTA!$A$4:$BD$126,$L79,FALSE))</f>
        <v>-5651722.1222044602</v>
      </c>
      <c r="P79" s="29">
        <f>IF(P67=0,0,VLOOKUP(P67,FAC_TOTALS_APTA!$A$4:$BD$126,$L79,FALSE))</f>
        <v>-7625349.8118203096</v>
      </c>
      <c r="Q79" s="29">
        <f>IF(Q67=0,0,VLOOKUP(Q67,FAC_TOTALS_APTA!$A$4:$BD$126,$L79,FALSE))</f>
        <v>-8110982.2984014796</v>
      </c>
      <c r="R79" s="29">
        <f>IF(R67=0,0,VLOOKUP(R67,FAC_TOTALS_APTA!$A$4:$BD$126,$L79,FALSE))</f>
        <v>-8766277.5824893098</v>
      </c>
      <c r="S79" s="29">
        <f>IF(S67=0,0,VLOOKUP(S67,FAC_TOTALS_APTA!$A$4:$BD$126,$L79,FALSE))</f>
        <v>0</v>
      </c>
      <c r="T79" s="29">
        <f>IF(T67=0,0,VLOOKUP(T67,FAC_TOTALS_APTA!$A$4:$BD$126,$L79,FALSE))</f>
        <v>0</v>
      </c>
      <c r="U79" s="29">
        <f>IF(U67=0,0,VLOOKUP(U67,FAC_TOTALS_APTA!$A$4:$BD$126,$L79,FALSE))</f>
        <v>0</v>
      </c>
      <c r="V79" s="29">
        <f>IF(V67=0,0,VLOOKUP(V67,FAC_TOTALS_APTA!$A$4:$BD$126,$L79,FALSE))</f>
        <v>0</v>
      </c>
      <c r="W79" s="29">
        <f>IF(W67=0,0,VLOOKUP(W67,FAC_TOTALS_APTA!$A$4:$BD$126,$L79,FALSE))</f>
        <v>0</v>
      </c>
      <c r="X79" s="29">
        <f>IF(X67=0,0,VLOOKUP(X67,FAC_TOTALS_APTA!$A$4:$BD$126,$L79,FALSE))</f>
        <v>0</v>
      </c>
      <c r="Y79" s="29">
        <f>IF(Y67=0,0,VLOOKUP(Y67,FAC_TOTALS_APTA!$A$4:$BD$126,$L79,FALSE))</f>
        <v>0</v>
      </c>
      <c r="Z79" s="29">
        <f>IF(Z67=0,0,VLOOKUP(Z67,FAC_TOTALS_APTA!$A$4:$BD$126,$L79,FALSE))</f>
        <v>0</v>
      </c>
      <c r="AA79" s="29">
        <f>IF(AA67=0,0,VLOOKUP(AA67,FAC_TOTALS_APTA!$A$4:$BD$126,$L79,FALSE))</f>
        <v>0</v>
      </c>
      <c r="AB79" s="29">
        <f>IF(AB67=0,0,VLOOKUP(AB67,FAC_TOTALS_APTA!$A$4:$BD$126,$L79,FALSE))</f>
        <v>0</v>
      </c>
      <c r="AC79" s="32">
        <f t="shared" si="20"/>
        <v>-30154331.81491556</v>
      </c>
      <c r="AD79" s="33">
        <f>AC79/G83</f>
        <v>-9.7838982975594638E-2</v>
      </c>
    </row>
    <row r="80" spans="2:33" x14ac:dyDescent="0.25">
      <c r="B80" s="25" t="s">
        <v>64</v>
      </c>
      <c r="C80" s="28"/>
      <c r="D80" s="104" t="s">
        <v>43</v>
      </c>
      <c r="E80" s="55"/>
      <c r="F80" s="6">
        <f>MATCH($D80,FAC_TOTALS_APTA!$A$2:$BD$2,)</f>
        <v>28</v>
      </c>
      <c r="G80" s="125">
        <f>VLOOKUP(G67,FAC_TOTALS_APTA!$A$4:$BD$126,$F80,FALSE)</f>
        <v>3.8681875663871497E-2</v>
      </c>
      <c r="H80" s="125">
        <f>VLOOKUP(H67,FAC_TOTALS_APTA!$A$4:$BD$126,$F80,FALSE)</f>
        <v>0.57605336462404799</v>
      </c>
      <c r="I80" s="30">
        <f t="shared" si="17"/>
        <v>13.892074252802491</v>
      </c>
      <c r="J80" s="31" t="str">
        <f t="shared" ref="J80:J81" si="21">IF(C80="Log","_log","")</f>
        <v/>
      </c>
      <c r="K80" s="31" t="str">
        <f t="shared" si="19"/>
        <v>BIKE_SHARE_FAC</v>
      </c>
      <c r="L80" s="6">
        <f>MATCH($K80,FAC_TOTALS_APTA!$A$2:$BB$2,)</f>
        <v>46</v>
      </c>
      <c r="M80" s="29">
        <f>IF(M67=0,0,VLOOKUP(M67,FAC_TOTALS_APTA!$A$4:$BD$126,$L80,FALSE))</f>
        <v>0</v>
      </c>
      <c r="N80" s="29">
        <f>IF(N67=0,0,VLOOKUP(N67,FAC_TOTALS_APTA!$A$4:$BD$126,$L80,FALSE))</f>
        <v>-68057.010176877593</v>
      </c>
      <c r="O80" s="29">
        <f>IF(O67=0,0,VLOOKUP(O67,FAC_TOTALS_APTA!$A$4:$BD$126,$L80,FALSE))</f>
        <v>-169861.99772245</v>
      </c>
      <c r="P80" s="29">
        <f>IF(P67=0,0,VLOOKUP(P67,FAC_TOTALS_APTA!$A$4:$BD$126,$L80,FALSE))</f>
        <v>-269074.43521273503</v>
      </c>
      <c r="Q80" s="29">
        <f>IF(Q67=0,0,VLOOKUP(Q67,FAC_TOTALS_APTA!$A$4:$BD$126,$L80,FALSE))</f>
        <v>-631691.44822952</v>
      </c>
      <c r="R80" s="29">
        <f>IF(R67=0,0,VLOOKUP(R67,FAC_TOTALS_APTA!$A$4:$BD$126,$L80,FALSE))</f>
        <v>-433456.37556307501</v>
      </c>
      <c r="S80" s="29">
        <f>IF(S67=0,0,VLOOKUP(S67,FAC_TOTALS_APTA!$A$4:$BD$126,$L80,FALSE))</f>
        <v>0</v>
      </c>
      <c r="T80" s="29">
        <f>IF(T67=0,0,VLOOKUP(T67,FAC_TOTALS_APTA!$A$4:$BD$126,$L80,FALSE))</f>
        <v>0</v>
      </c>
      <c r="U80" s="29">
        <f>IF(U67=0,0,VLOOKUP(U67,FAC_TOTALS_APTA!$A$4:$BD$126,$L80,FALSE))</f>
        <v>0</v>
      </c>
      <c r="V80" s="29">
        <f>IF(V67=0,0,VLOOKUP(V67,FAC_TOTALS_APTA!$A$4:$BD$126,$L80,FALSE))</f>
        <v>0</v>
      </c>
      <c r="W80" s="29">
        <f>IF(W67=0,0,VLOOKUP(W67,FAC_TOTALS_APTA!$A$4:$BD$126,$L80,FALSE))</f>
        <v>0</v>
      </c>
      <c r="X80" s="29">
        <f>IF(X67=0,0,VLOOKUP(X67,FAC_TOTALS_APTA!$A$4:$BD$126,$L80,FALSE))</f>
        <v>0</v>
      </c>
      <c r="Y80" s="29">
        <f>IF(Y67=0,0,VLOOKUP(Y67,FAC_TOTALS_APTA!$A$4:$BD$126,$L80,FALSE))</f>
        <v>0</v>
      </c>
      <c r="Z80" s="29">
        <f>IF(Z67=0,0,VLOOKUP(Z67,FAC_TOTALS_APTA!$A$4:$BD$126,$L80,FALSE))</f>
        <v>0</v>
      </c>
      <c r="AA80" s="29">
        <f>IF(AA67=0,0,VLOOKUP(AA67,FAC_TOTALS_APTA!$A$4:$BD$126,$L80,FALSE))</f>
        <v>0</v>
      </c>
      <c r="AB80" s="29">
        <f>IF(AB67=0,0,VLOOKUP(AB67,FAC_TOTALS_APTA!$A$4:$BD$126,$L80,FALSE))</f>
        <v>0</v>
      </c>
      <c r="AC80" s="32">
        <f t="shared" si="20"/>
        <v>-1572141.2669046577</v>
      </c>
      <c r="AD80" s="33">
        <f>AC80/G83</f>
        <v>-5.1009819614650058E-3</v>
      </c>
      <c r="AG80" s="53"/>
    </row>
    <row r="81" spans="1:31" x14ac:dyDescent="0.25">
      <c r="B81" s="8" t="s">
        <v>65</v>
      </c>
      <c r="C81" s="27"/>
      <c r="D81" s="129" t="s">
        <v>44</v>
      </c>
      <c r="E81" s="56"/>
      <c r="F81" s="7">
        <f>MATCH($D81,FAC_TOTALS_APTA!$A$2:$BD$2,)</f>
        <v>29</v>
      </c>
      <c r="G81" s="131">
        <f>VLOOKUP(G67,FAC_TOTALS_APTA!$A$4:$BD$126,$F81,FALSE)</f>
        <v>0</v>
      </c>
      <c r="H81" s="131">
        <f>VLOOKUP(H67,FAC_TOTALS_APTA!$A$4:$BD$126,$F81,FALSE)</f>
        <v>6.7187175884046699E-2</v>
      </c>
      <c r="I81" s="36" t="str">
        <f t="shared" si="17"/>
        <v>-</v>
      </c>
      <c r="J81" s="37" t="str">
        <f t="shared" si="21"/>
        <v/>
      </c>
      <c r="K81" s="37" t="str">
        <f t="shared" si="19"/>
        <v>scooter_flag_FAC</v>
      </c>
      <c r="L81" s="7">
        <f>MATCH($K81,FAC_TOTALS_APTA!$A$2:$BB$2,)</f>
        <v>47</v>
      </c>
      <c r="M81" s="38">
        <f>IF(M67=0,0,VLOOKUP(M67,FAC_TOTALS_APTA!$A$4:$BD$126,$L81,FALSE))</f>
        <v>0</v>
      </c>
      <c r="N81" s="38">
        <f>IF(N67=0,0,VLOOKUP(N67,FAC_TOTALS_APTA!$A$4:$BD$126,$L81,FALSE))</f>
        <v>0</v>
      </c>
      <c r="O81" s="38">
        <f>IF(O67=0,0,VLOOKUP(O67,FAC_TOTALS_APTA!$A$4:$BD$126,$L81,FALSE))</f>
        <v>0</v>
      </c>
      <c r="P81" s="38">
        <f>IF(P67=0,0,VLOOKUP(P67,FAC_TOTALS_APTA!$A$4:$BD$126,$L81,FALSE))</f>
        <v>0</v>
      </c>
      <c r="Q81" s="38">
        <f>IF(Q67=0,0,VLOOKUP(Q67,FAC_TOTALS_APTA!$A$4:$BD$126,$L81,FALSE))</f>
        <v>0</v>
      </c>
      <c r="R81" s="38">
        <f>IF(R67=0,0,VLOOKUP(R67,FAC_TOTALS_APTA!$A$4:$BD$126,$L81,FALSE))</f>
        <v>-775450.74322328996</v>
      </c>
      <c r="S81" s="38">
        <f>IF(S67=0,0,VLOOKUP(S67,FAC_TOTALS_APTA!$A$4:$BD$126,$L81,FALSE))</f>
        <v>0</v>
      </c>
      <c r="T81" s="38">
        <f>IF(T67=0,0,VLOOKUP(T67,FAC_TOTALS_APTA!$A$4:$BD$126,$L81,FALSE))</f>
        <v>0</v>
      </c>
      <c r="U81" s="38">
        <f>IF(U67=0,0,VLOOKUP(U67,FAC_TOTALS_APTA!$A$4:$BD$126,$L81,FALSE))</f>
        <v>0</v>
      </c>
      <c r="V81" s="38">
        <f>IF(V67=0,0,VLOOKUP(V67,FAC_TOTALS_APTA!$A$4:$BD$126,$L81,FALSE))</f>
        <v>0</v>
      </c>
      <c r="W81" s="38">
        <f>IF(W67=0,0,VLOOKUP(W67,FAC_TOTALS_APTA!$A$4:$BD$126,$L81,FALSE))</f>
        <v>0</v>
      </c>
      <c r="X81" s="38">
        <f>IF(X67=0,0,VLOOKUP(X67,FAC_TOTALS_APTA!$A$4:$BD$126,$L81,FALSE))</f>
        <v>0</v>
      </c>
      <c r="Y81" s="38">
        <f>IF(Y67=0,0,VLOOKUP(Y67,FAC_TOTALS_APTA!$A$4:$BD$126,$L81,FALSE))</f>
        <v>0</v>
      </c>
      <c r="Z81" s="38">
        <f>IF(Z67=0,0,VLOOKUP(Z67,FAC_TOTALS_APTA!$A$4:$BD$126,$L81,FALSE))</f>
        <v>0</v>
      </c>
      <c r="AA81" s="38">
        <f>IF(AA67=0,0,VLOOKUP(AA67,FAC_TOTALS_APTA!$A$4:$BD$126,$L81,FALSE))</f>
        <v>0</v>
      </c>
      <c r="AB81" s="38">
        <f>IF(AB67=0,0,VLOOKUP(AB67,FAC_TOTALS_APTA!$A$4:$BD$126,$L81,FALSE))</f>
        <v>0</v>
      </c>
      <c r="AC81" s="39">
        <f t="shared" si="20"/>
        <v>-775450.74322328996</v>
      </c>
      <c r="AD81" s="40">
        <f>AC81/G83</f>
        <v>-2.5160336010863829E-3</v>
      </c>
    </row>
    <row r="82" spans="1:31" x14ac:dyDescent="0.2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ref="K82" si="22">CONCATENATE(D82,J82,"_FAC")</f>
        <v>New_Reporter_FAC</v>
      </c>
      <c r="L82" s="44">
        <f>MATCH($K82,FAC_TOTALS_APTA!$A$2:$BB$2,)</f>
        <v>51</v>
      </c>
      <c r="M82" s="45">
        <f>IF(M67=0,0,VLOOKUP(M67,FAC_TOTALS_APTA!$A$4:$BD$126,$L82,FALSE))</f>
        <v>0</v>
      </c>
      <c r="N82" s="45">
        <f>IF(N67=0,0,VLOOKUP(N67,FAC_TOTALS_APTA!$A$4:$BD$126,$L82,FALSE))</f>
        <v>0</v>
      </c>
      <c r="O82" s="45">
        <f>IF(O67=0,0,VLOOKUP(O67,FAC_TOTALS_APTA!$A$4:$BD$126,$L82,FALSE))</f>
        <v>0</v>
      </c>
      <c r="P82" s="45">
        <f>IF(P67=0,0,VLOOKUP(P67,FAC_TOTALS_APTA!$A$4:$BD$126,$L82,FALSE))</f>
        <v>0</v>
      </c>
      <c r="Q82" s="45">
        <f>IF(Q67=0,0,VLOOKUP(Q67,FAC_TOTALS_APTA!$A$4:$BD$126,$L82,FALSE))</f>
        <v>0</v>
      </c>
      <c r="R82" s="45">
        <f>IF(R67=0,0,VLOOKUP(R67,FAC_TOTALS_APTA!$A$4:$BD$126,$L82,FALSE))</f>
        <v>0</v>
      </c>
      <c r="S82" s="45">
        <f>IF(S67=0,0,VLOOKUP(S67,FAC_TOTALS_APTA!$A$4:$BD$126,$L82,FALSE))</f>
        <v>0</v>
      </c>
      <c r="T82" s="45">
        <f>IF(T67=0,0,VLOOKUP(T67,FAC_TOTALS_APTA!$A$4:$BD$126,$L82,FALSE))</f>
        <v>0</v>
      </c>
      <c r="U82" s="45">
        <f>IF(U67=0,0,VLOOKUP(U67,FAC_TOTALS_APTA!$A$4:$BD$126,$L82,FALSE))</f>
        <v>0</v>
      </c>
      <c r="V82" s="45">
        <f>IF(V67=0,0,VLOOKUP(V67,FAC_TOTALS_APTA!$A$4:$BD$126,$L82,FALSE))</f>
        <v>0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>
        <f>SUM(M82:AB82)</f>
        <v>0</v>
      </c>
      <c r="AD82" s="49">
        <f>AC82/G84</f>
        <v>0</v>
      </c>
    </row>
    <row r="83" spans="1:31" s="107" customFormat="1" ht="15.75" customHeigh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7">
        <f>VLOOKUP(G67,FAC_TOTALS_APTA!$A$4:$BD$126,$F83,FALSE)</f>
        <v>308203651.52852601</v>
      </c>
      <c r="H83" s="117">
        <f>VLOOKUP(H67,FAC_TOTALS_APTA!$A$4:$BB$126,$F83,FALSE)</f>
        <v>262240270.762007</v>
      </c>
      <c r="I83" s="112">
        <f t="shared" ref="I83" si="23">H83/G83-1</f>
        <v>-0.14913314796422794</v>
      </c>
      <c r="J83" s="31"/>
      <c r="K83" s="31"/>
      <c r="L83" s="6"/>
      <c r="M83" s="29">
        <f t="shared" ref="M83:AB83" si="24">SUM(M69:M76)</f>
        <v>-5669657.4076161282</v>
      </c>
      <c r="N83" s="29">
        <f t="shared" si="24"/>
        <v>1469887.913358073</v>
      </c>
      <c r="O83" s="29">
        <f t="shared" si="24"/>
        <v>-11830281.574539993</v>
      </c>
      <c r="P83" s="29">
        <f t="shared" si="24"/>
        <v>-4868460.5353260217</v>
      </c>
      <c r="Q83" s="29">
        <f t="shared" si="24"/>
        <v>4676492.3611446964</v>
      </c>
      <c r="R83" s="29">
        <f t="shared" si="24"/>
        <v>5331345.3894359479</v>
      </c>
      <c r="S83" s="29">
        <f t="shared" si="24"/>
        <v>0</v>
      </c>
      <c r="T83" s="29">
        <f t="shared" si="24"/>
        <v>0</v>
      </c>
      <c r="U83" s="29">
        <f t="shared" si="24"/>
        <v>0</v>
      </c>
      <c r="V83" s="29">
        <f t="shared" si="24"/>
        <v>0</v>
      </c>
      <c r="W83" s="29">
        <f t="shared" si="24"/>
        <v>0</v>
      </c>
      <c r="X83" s="29">
        <f t="shared" si="24"/>
        <v>0</v>
      </c>
      <c r="Y83" s="29">
        <f t="shared" si="24"/>
        <v>0</v>
      </c>
      <c r="Z83" s="29">
        <f t="shared" si="24"/>
        <v>0</v>
      </c>
      <c r="AA83" s="29">
        <f t="shared" si="24"/>
        <v>0</v>
      </c>
      <c r="AB83" s="29">
        <f t="shared" si="24"/>
        <v>0</v>
      </c>
      <c r="AC83" s="32">
        <f>H83-G83</f>
        <v>-45963380.76651901</v>
      </c>
      <c r="AD83" s="33">
        <f>I83</f>
        <v>-0.14913314796422794</v>
      </c>
      <c r="AE83" s="106"/>
    </row>
    <row r="84" spans="1:31" ht="13.5" customHeight="1" thickBot="1" x14ac:dyDescent="0.3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4">
        <f>VLOOKUP(G67,FAC_TOTALS_APTA!$A$4:$BB$126,$F84,FALSE)</f>
        <v>308556319.99999899</v>
      </c>
      <c r="H84" s="114">
        <f>VLOOKUP(H67,FAC_TOTALS_APTA!$A$4:$BB$126,$F84,FALSE)</f>
        <v>263469331</v>
      </c>
      <c r="I84" s="113">
        <f t="shared" ref="I84" si="25">H84/G84-1</f>
        <v>-0.14612239671512528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-45086988.999998987</v>
      </c>
      <c r="AD84" s="52">
        <f>I84</f>
        <v>-0.14612239671512528</v>
      </c>
    </row>
    <row r="85" spans="1:31" ht="14.25" thickTop="1" thickBot="1" x14ac:dyDescent="0.3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3.0107512491026611E-3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76" t="s">
        <v>51</v>
      </c>
      <c r="H92" s="176"/>
      <c r="I92" s="17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176" t="s">
        <v>55</v>
      </c>
      <c r="AD92" s="176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2012</v>
      </c>
      <c r="H93" s="128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0_10_2012</v>
      </c>
      <c r="H95" s="104" t="str">
        <f>CONCATENATE($C90,"_",$C91,"_",H93)</f>
        <v>0_10_2018</v>
      </c>
      <c r="I95" s="28"/>
      <c r="J95" s="6"/>
      <c r="K95" s="6"/>
      <c r="L95" s="6"/>
      <c r="M95" s="6" t="str">
        <f>IF($G93+M94&gt;$H93,0,CONCATENATE($C90,"_",$C91,"_",$G93+M94))</f>
        <v>0_10_2013</v>
      </c>
      <c r="N95" s="6" t="str">
        <f t="shared" ref="N95:AB95" si="26">IF($G93+N94&gt;$H93,0,CONCATENATE($C90,"_",$C91,"_",$G93+N94))</f>
        <v>0_10_2014</v>
      </c>
      <c r="O95" s="6" t="str">
        <f t="shared" si="26"/>
        <v>0_10_2015</v>
      </c>
      <c r="P95" s="6" t="str">
        <f t="shared" si="26"/>
        <v>0_10_2016</v>
      </c>
      <c r="Q95" s="6" t="str">
        <f t="shared" si="26"/>
        <v>0_10_2017</v>
      </c>
      <c r="R95" s="6" t="str">
        <f t="shared" si="26"/>
        <v>0_10_2018</v>
      </c>
      <c r="S95" s="6">
        <f t="shared" si="26"/>
        <v>0</v>
      </c>
      <c r="T95" s="6">
        <f t="shared" si="26"/>
        <v>0</v>
      </c>
      <c r="U95" s="6">
        <f t="shared" si="26"/>
        <v>0</v>
      </c>
      <c r="V95" s="6">
        <f t="shared" si="26"/>
        <v>0</v>
      </c>
      <c r="W95" s="6">
        <f t="shared" si="26"/>
        <v>0</v>
      </c>
      <c r="X95" s="6">
        <f t="shared" si="26"/>
        <v>0</v>
      </c>
      <c r="Y95" s="6">
        <f t="shared" si="26"/>
        <v>0</v>
      </c>
      <c r="Z95" s="6">
        <f t="shared" si="26"/>
        <v>0</v>
      </c>
      <c r="AA95" s="6">
        <f t="shared" si="26"/>
        <v>0</v>
      </c>
      <c r="AB95" s="6">
        <f t="shared" si="26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31</v>
      </c>
      <c r="C97" s="28" t="s">
        <v>21</v>
      </c>
      <c r="D97" s="104" t="s">
        <v>87</v>
      </c>
      <c r="E97" s="55"/>
      <c r="F97" s="6">
        <f>MATCH($D97,FAC_TOTALS_APTA!$A$2:$BD$2,)</f>
        <v>12</v>
      </c>
      <c r="G97" s="117">
        <f>VLOOKUP(G95,FAC_TOTALS_APTA!$A$4:$BD$126,$F97,FALSE)</f>
        <v>227959423.99999899</v>
      </c>
      <c r="H97" s="117">
        <f>VLOOKUP(H95,FAC_TOTALS_APTA!$A$4:$BD$126,$F97,FALSE)</f>
        <v>230662402</v>
      </c>
      <c r="I97" s="30">
        <f>IFERROR(H97/G97-1,"-")</f>
        <v>1.1857276845904874E-2</v>
      </c>
      <c r="J97" s="31" t="str">
        <f>IF(C97="Log","_log","")</f>
        <v>_log</v>
      </c>
      <c r="K97" s="31" t="str">
        <f>CONCATENATE(D97,J97,"_FAC")</f>
        <v>VRM_ADJ_BUS_log_FAC</v>
      </c>
      <c r="L97" s="6">
        <f>MATCH($K97,FAC_TOTALS_APTA!$A$2:$BB$2,)</f>
        <v>30</v>
      </c>
      <c r="M97" s="29">
        <f>IF(M95=0,0,VLOOKUP(M95,FAC_TOTALS_APTA!$A$4:$BD$126,$L97,FALSE))</f>
        <v>8244938.4984470997</v>
      </c>
      <c r="N97" s="29">
        <f>IF(N95=0,0,VLOOKUP(N95,FAC_TOTALS_APTA!$A$4:$BD$126,$L97,FALSE))</f>
        <v>-42554.895286797197</v>
      </c>
      <c r="O97" s="29">
        <f>IF(O95=0,0,VLOOKUP(O95,FAC_TOTALS_APTA!$A$4:$BD$126,$L97,FALSE))</f>
        <v>1497949.2020632001</v>
      </c>
      <c r="P97" s="29">
        <f>IF(P95=0,0,VLOOKUP(P95,FAC_TOTALS_APTA!$A$4:$BD$126,$L97,FALSE))</f>
        <v>-1260097.31645456</v>
      </c>
      <c r="Q97" s="29">
        <f>IF(Q95=0,0,VLOOKUP(Q95,FAC_TOTALS_APTA!$A$4:$BD$126,$L97,FALSE))</f>
        <v>-2273424.5677918098</v>
      </c>
      <c r="R97" s="29">
        <f>IF(R95=0,0,VLOOKUP(R95,FAC_TOTALS_APTA!$A$4:$BD$126,$L97,FALSE))</f>
        <v>-501590.63527974201</v>
      </c>
      <c r="S97" s="29">
        <f>IF(S95=0,0,VLOOKUP(S95,FAC_TOTALS_APTA!$A$4:$BD$126,$L97,FALSE))</f>
        <v>0</v>
      </c>
      <c r="T97" s="29">
        <f>IF(T95=0,0,VLOOKUP(T95,FAC_TOTALS_APTA!$A$4:$BD$126,$L97,FALSE))</f>
        <v>0</v>
      </c>
      <c r="U97" s="29">
        <f>IF(U95=0,0,VLOOKUP(U95,FAC_TOTALS_APTA!$A$4:$BD$126,$L97,FALSE))</f>
        <v>0</v>
      </c>
      <c r="V97" s="29">
        <f>IF(V95=0,0,VLOOKUP(V95,FAC_TOTALS_APTA!$A$4:$BD$126,$L97,FALSE))</f>
        <v>0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5665220.2856973903</v>
      </c>
      <c r="AD97" s="33">
        <f>AC97/G111</f>
        <v>4.6513681955751719E-3</v>
      </c>
    </row>
    <row r="98" spans="1:31" x14ac:dyDescent="0.25">
      <c r="B98" s="25" t="s">
        <v>52</v>
      </c>
      <c r="C98" s="28" t="s">
        <v>21</v>
      </c>
      <c r="D98" s="104" t="s">
        <v>88</v>
      </c>
      <c r="E98" s="55"/>
      <c r="F98" s="6">
        <f>MATCH($D98,FAC_TOTALS_APTA!$A$2:$BD$2,)</f>
        <v>14</v>
      </c>
      <c r="G98" s="123">
        <f>VLOOKUP(G95,FAC_TOTALS_APTA!$A$4:$BD$126,$F98,FALSE)</f>
        <v>1.36910030643</v>
      </c>
      <c r="H98" s="123">
        <f>VLOOKUP(H95,FAC_TOTALS_APTA!$A$4:$BD$126,$F98,FALSE)</f>
        <v>1.7232403279999999</v>
      </c>
      <c r="I98" s="30">
        <f t="shared" ref="I98:I109" si="27">IFERROR(H98/G98-1,"-")</f>
        <v>0.25866623497692309</v>
      </c>
      <c r="J98" s="31" t="str">
        <f t="shared" ref="J98:J107" si="28">IF(C98="Log","_log","")</f>
        <v>_log</v>
      </c>
      <c r="K98" s="31" t="str">
        <f t="shared" ref="K98:K109" si="29">CONCATENATE(D98,J98,"_FAC")</f>
        <v>FARE_per_UPT_cleaned_2018_BUS_log_FAC</v>
      </c>
      <c r="L98" s="6">
        <f>MATCH($K98,FAC_TOTALS_APTA!$A$2:$BB$2,)</f>
        <v>32</v>
      </c>
      <c r="M98" s="29">
        <f>IF(M95=0,0,VLOOKUP(M95,FAC_TOTALS_APTA!$A$4:$BD$126,$L98,FALSE))</f>
        <v>-60981754.960969202</v>
      </c>
      <c r="N98" s="29">
        <f>IF(N95=0,0,VLOOKUP(N95,FAC_TOTALS_APTA!$A$4:$BD$126,$L98,FALSE))</f>
        <v>876336.06194725598</v>
      </c>
      <c r="O98" s="29">
        <f>IF(O95=0,0,VLOOKUP(O95,FAC_TOTALS_APTA!$A$4:$BD$126,$L98,FALSE))</f>
        <v>-11860897.9673694</v>
      </c>
      <c r="P98" s="29">
        <f>IF(P95=0,0,VLOOKUP(P95,FAC_TOTALS_APTA!$A$4:$BD$126,$L98,FALSE))</f>
        <v>-1379866.0052244901</v>
      </c>
      <c r="Q98" s="29">
        <f>IF(Q95=0,0,VLOOKUP(Q95,FAC_TOTALS_APTA!$A$4:$BD$126,$L98,FALSE))</f>
        <v>-9827234.5340522397</v>
      </c>
      <c r="R98" s="29">
        <f>IF(R95=0,0,VLOOKUP(R95,FAC_TOTALS_APTA!$A$4:$BD$126,$L98,FALSE))</f>
        <v>2115371.1923325402</v>
      </c>
      <c r="S98" s="29">
        <f>IF(S95=0,0,VLOOKUP(S95,FAC_TOTALS_APTA!$A$4:$BD$126,$L98,FALSE))</f>
        <v>0</v>
      </c>
      <c r="T98" s="29">
        <f>IF(T95=0,0,VLOOKUP(T95,FAC_TOTALS_APTA!$A$4:$BD$126,$L98,FALSE))</f>
        <v>0</v>
      </c>
      <c r="U98" s="29">
        <f>IF(U95=0,0,VLOOKUP(U95,FAC_TOTALS_APTA!$A$4:$BD$126,$L98,FALSE))</f>
        <v>0</v>
      </c>
      <c r="V98" s="29">
        <f>IF(V95=0,0,VLOOKUP(V95,FAC_TOTALS_APTA!$A$4:$BD$126,$L98,FALSE))</f>
        <v>0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0">SUM(M98:AB98)</f>
        <v>-81058046.213335544</v>
      </c>
      <c r="AD98" s="33">
        <f>AC98/G111</f>
        <v>-6.6551837199347111E-2</v>
      </c>
    </row>
    <row r="99" spans="1:31" x14ac:dyDescent="0.25"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119" t="str">
        <f>IFERROR(H99/G99-1,"-")</f>
        <v>-</v>
      </c>
      <c r="J99" s="120" t="str">
        <f t="shared" si="28"/>
        <v/>
      </c>
      <c r="K99" s="120" t="str">
        <f t="shared" si="29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0"/>
        <v>0</v>
      </c>
      <c r="AD99" s="122">
        <f>AC99/G112</f>
        <v>0</v>
      </c>
    </row>
    <row r="100" spans="1:31" x14ac:dyDescent="0.25"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117">
        <f>VLOOKUP(G95,FAC_TOTALS_APTA!$A$4:$BD$126,$F100,FALSE)</f>
        <v>0</v>
      </c>
      <c r="H100" s="117">
        <f>VLOOKUP(H95,FAC_TOTALS_APTA!$A$4:$BD$126,$F100,FALSE)</f>
        <v>0</v>
      </c>
      <c r="I100" s="119" t="str">
        <f>IFERROR(H100/G100-1,"-")</f>
        <v>-</v>
      </c>
      <c r="J100" s="120" t="str">
        <f t="shared" si="28"/>
        <v/>
      </c>
      <c r="K100" s="120" t="str">
        <f t="shared" si="29"/>
        <v>MAINTENANCE_WMATA_FAC</v>
      </c>
      <c r="L100" s="104">
        <f>MATCH($K100,FAC_TOTALS_APTA!$A$2:$BB$2,)</f>
        <v>40</v>
      </c>
      <c r="M100" s="117">
        <f>IF(M96=0,0,VLOOKUP(M96,FAC_TOTALS_APTA!$A$4:$BD$126,$L100,FALSE))</f>
        <v>0</v>
      </c>
      <c r="N100" s="117">
        <f>IF(N96=0,0,VLOOKUP(N96,FAC_TOTALS_APTA!$A$4:$BD$126,$L100,FALSE))</f>
        <v>0</v>
      </c>
      <c r="O100" s="117">
        <f>IF(O96=0,0,VLOOKUP(O96,FAC_TOTALS_APTA!$A$4:$BD$126,$L100,FALSE))</f>
        <v>0</v>
      </c>
      <c r="P100" s="117">
        <f>IF(P96=0,0,VLOOKUP(P96,FAC_TOTALS_APTA!$A$4:$BD$126,$L100,FALSE))</f>
        <v>0</v>
      </c>
      <c r="Q100" s="117">
        <f>IF(Q96=0,0,VLOOKUP(Q96,FAC_TOTALS_APTA!$A$4:$BD$126,$L100,FALSE))</f>
        <v>0</v>
      </c>
      <c r="R100" s="117">
        <f>IF(R96=0,0,VLOOKUP(R96,FAC_TOTALS_APTA!$A$4:$BD$126,$L100,FALSE))</f>
        <v>0</v>
      </c>
      <c r="S100" s="117">
        <f>IF(S96=0,0,VLOOKUP(S96,FAC_TOTALS_APTA!$A$4:$BD$126,$L100,FALSE))</f>
        <v>0</v>
      </c>
      <c r="T100" s="117">
        <f>IF(T96=0,0,VLOOKUP(T96,FAC_TOTALS_APTA!$A$4:$BD$126,$L100,FALSE))</f>
        <v>0</v>
      </c>
      <c r="U100" s="117">
        <f>IF(U96=0,0,VLOOKUP(U96,FAC_TOTALS_APTA!$A$4:$BD$126,$L100,FALSE))</f>
        <v>0</v>
      </c>
      <c r="V100" s="117">
        <f>IF(V96=0,0,VLOOKUP(V96,FAC_TOTALS_APTA!$A$4:$BD$126,$L100,FALSE))</f>
        <v>0</v>
      </c>
      <c r="W100" s="117">
        <f>IF(W96=0,0,VLOOKUP(W96,FAC_TOTALS_APTA!$A$4:$BD$126,$L100,FALSE))</f>
        <v>0</v>
      </c>
      <c r="X100" s="117">
        <f>IF(X96=0,0,VLOOKUP(X96,FAC_TOTALS_APTA!$A$4:$BD$126,$L100,FALSE))</f>
        <v>0</v>
      </c>
      <c r="Y100" s="117">
        <f>IF(Y96=0,0,VLOOKUP(Y96,FAC_TOTALS_APTA!$A$4:$BD$126,$L100,FALSE))</f>
        <v>0</v>
      </c>
      <c r="Z100" s="117">
        <f>IF(Z96=0,0,VLOOKUP(Z96,FAC_TOTALS_APTA!$A$4:$BD$126,$L100,FALSE))</f>
        <v>0</v>
      </c>
      <c r="AA100" s="117">
        <f>IF(AA96=0,0,VLOOKUP(AA96,FAC_TOTALS_APTA!$A$4:$BD$126,$L100,FALSE))</f>
        <v>0</v>
      </c>
      <c r="AB100" s="117">
        <f>IF(AB96=0,0,VLOOKUP(AB96,FAC_TOTALS_APTA!$A$4:$BD$126,$L100,FALSE))</f>
        <v>0</v>
      </c>
      <c r="AC100" s="121">
        <f t="shared" si="30"/>
        <v>0</v>
      </c>
      <c r="AD100" s="122">
        <f>AC100/G112</f>
        <v>0</v>
      </c>
    </row>
    <row r="101" spans="1:31" x14ac:dyDescent="0.2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MATCH($D101,FAC_TOTALS_APTA!$A$2:$BD$2,)</f>
        <v>16</v>
      </c>
      <c r="G101" s="117">
        <f>VLOOKUP(G95,FAC_TOTALS_APTA!$A$4:$BD$126,$F101,FALSE)</f>
        <v>27909105.420000002</v>
      </c>
      <c r="H101" s="117">
        <f>VLOOKUP(H95,FAC_TOTALS_APTA!$A$4:$BD$126,$F101,FALSE)</f>
        <v>29807700.839999899</v>
      </c>
      <c r="I101" s="30">
        <f t="shared" si="27"/>
        <v>6.8027813555046501E-2</v>
      </c>
      <c r="J101" s="31" t="str">
        <f t="shared" si="28"/>
        <v>_log</v>
      </c>
      <c r="K101" s="31" t="str">
        <f t="shared" si="29"/>
        <v>POP_EMP_log_FAC</v>
      </c>
      <c r="L101" s="6">
        <f>MATCH($K101,FAC_TOTALS_APTA!$A$2:$BB$2,)</f>
        <v>34</v>
      </c>
      <c r="M101" s="29">
        <f>IF(M95=0,0,VLOOKUP(M95,FAC_TOTALS_APTA!$A$4:$BD$126,$L101,FALSE))</f>
        <v>7234929.6137362299</v>
      </c>
      <c r="N101" s="29">
        <f>IF(N95=0,0,VLOOKUP(N95,FAC_TOTALS_APTA!$A$4:$BD$126,$L101,FALSE))</f>
        <v>2272260.1431499301</v>
      </c>
      <c r="O101" s="29">
        <f>IF(O95=0,0,VLOOKUP(O95,FAC_TOTALS_APTA!$A$4:$BD$126,$L101,FALSE))</f>
        <v>2037984.3999222701</v>
      </c>
      <c r="P101" s="29">
        <f>IF(P95=0,0,VLOOKUP(P95,FAC_TOTALS_APTA!$A$4:$BD$126,$L101,FALSE))</f>
        <v>438786.824582464</v>
      </c>
      <c r="Q101" s="29">
        <f>IF(Q95=0,0,VLOOKUP(Q95,FAC_TOTALS_APTA!$A$4:$BD$126,$L101,FALSE))</f>
        <v>1700726.44718942</v>
      </c>
      <c r="R101" s="29">
        <f>IF(R95=0,0,VLOOKUP(R95,FAC_TOTALS_APTA!$A$4:$BD$126,$L101,FALSE))</f>
        <v>962459.49187749997</v>
      </c>
      <c r="S101" s="29">
        <f>IF(S95=0,0,VLOOKUP(S95,FAC_TOTALS_APTA!$A$4:$BD$126,$L101,FALSE))</f>
        <v>0</v>
      </c>
      <c r="T101" s="29">
        <f>IF(T95=0,0,VLOOKUP(T95,FAC_TOTALS_APTA!$A$4:$BD$126,$L101,FALSE))</f>
        <v>0</v>
      </c>
      <c r="U101" s="29">
        <f>IF(U95=0,0,VLOOKUP(U95,FAC_TOTALS_APTA!$A$4:$BD$126,$L101,FALSE))</f>
        <v>0</v>
      </c>
      <c r="V101" s="29">
        <f>IF(V95=0,0,VLOOKUP(V95,FAC_TOTALS_APTA!$A$4:$BD$126,$L101,FALSE))</f>
        <v>0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0"/>
        <v>14647146.920457814</v>
      </c>
      <c r="AD101" s="33">
        <f>AC101/G111</f>
        <v>1.2025882473402808E-2</v>
      </c>
    </row>
    <row r="102" spans="1:31" x14ac:dyDescent="0.25">
      <c r="B102" s="25" t="s">
        <v>73</v>
      </c>
      <c r="C102" s="28"/>
      <c r="D102" s="104" t="s">
        <v>72</v>
      </c>
      <c r="E102" s="55"/>
      <c r="F102" s="6">
        <f>MATCH($D102,FAC_TOTALS_APTA!$A$2:$BD$2,)</f>
        <v>17</v>
      </c>
      <c r="G102" s="123">
        <f>VLOOKUP(G95,FAC_TOTALS_APTA!$A$4:$BD$126,$F102,FALSE)</f>
        <v>0.70702565886186597</v>
      </c>
      <c r="H102" s="123">
        <f>VLOOKUP(H95,FAC_TOTALS_APTA!$A$4:$BD$126,$F102,FALSE)</f>
        <v>0.71440492607780803</v>
      </c>
      <c r="I102" s="30">
        <f t="shared" si="27"/>
        <v>1.0437057161151397E-2</v>
      </c>
      <c r="J102" s="31" t="str">
        <f t="shared" si="28"/>
        <v/>
      </c>
      <c r="K102" s="31" t="str">
        <f t="shared" si="29"/>
        <v>TSD_POP_EMP_PCT_FAC</v>
      </c>
      <c r="L102" s="6">
        <f>MATCH($K102,FAC_TOTALS_APTA!$A$2:$BB$2,)</f>
        <v>35</v>
      </c>
      <c r="M102" s="29">
        <f>IF(M95=0,0,VLOOKUP(M95,FAC_TOTALS_APTA!$A$4:$BD$126,$L102,FALSE))</f>
        <v>479581.23928396101</v>
      </c>
      <c r="N102" s="29">
        <f>IF(N95=0,0,VLOOKUP(N95,FAC_TOTALS_APTA!$A$4:$BD$126,$L102,FALSE))</f>
        <v>883335.36355277605</v>
      </c>
      <c r="O102" s="29">
        <f>IF(O95=0,0,VLOOKUP(O95,FAC_TOTALS_APTA!$A$4:$BD$126,$L102,FALSE))</f>
        <v>1289490.5172834301</v>
      </c>
      <c r="P102" s="29">
        <f>IF(P95=0,0,VLOOKUP(P95,FAC_TOTALS_APTA!$A$4:$BD$126,$L102,FALSE))</f>
        <v>303833.25165635499</v>
      </c>
      <c r="Q102" s="29">
        <f>IF(Q95=0,0,VLOOKUP(Q95,FAC_TOTALS_APTA!$A$4:$BD$126,$L102,FALSE))</f>
        <v>512516.79825150297</v>
      </c>
      <c r="R102" s="29">
        <f>IF(R95=0,0,VLOOKUP(R95,FAC_TOTALS_APTA!$A$4:$BD$126,$L102,FALSE))</f>
        <v>-430666.11970935098</v>
      </c>
      <c r="S102" s="29">
        <f>IF(S95=0,0,VLOOKUP(S95,FAC_TOTALS_APTA!$A$4:$BD$126,$L102,FALSE))</f>
        <v>0</v>
      </c>
      <c r="T102" s="29">
        <f>IF(T95=0,0,VLOOKUP(T95,FAC_TOTALS_APTA!$A$4:$BD$126,$L102,FALSE))</f>
        <v>0</v>
      </c>
      <c r="U102" s="29">
        <f>IF(U95=0,0,VLOOKUP(U95,FAC_TOTALS_APTA!$A$4:$BD$126,$L102,FALSE))</f>
        <v>0</v>
      </c>
      <c r="V102" s="29">
        <f>IF(V95=0,0,VLOOKUP(V95,FAC_TOTALS_APTA!$A$4:$BD$126,$L102,FALSE))</f>
        <v>0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0"/>
        <v>3038091.0503186737</v>
      </c>
      <c r="AD102" s="33">
        <f>AC102/G111</f>
        <v>2.4943919872613186E-3</v>
      </c>
    </row>
    <row r="103" spans="1:31" x14ac:dyDescent="0.2">
      <c r="B103" s="25" t="s">
        <v>49</v>
      </c>
      <c r="C103" s="28" t="s">
        <v>21</v>
      </c>
      <c r="D103" s="124" t="s">
        <v>82</v>
      </c>
      <c r="E103" s="55"/>
      <c r="F103" s="6">
        <f>MATCH($D103,FAC_TOTALS_APTA!$A$2:$BD$2,)</f>
        <v>18</v>
      </c>
      <c r="G103" s="125">
        <f>VLOOKUP(G95,FAC_TOTALS_APTA!$A$4:$BD$126,$F103,FALSE)</f>
        <v>4.1093000000000002</v>
      </c>
      <c r="H103" s="125">
        <f>VLOOKUP(H95,FAC_TOTALS_APTA!$A$4:$BD$126,$F103,FALSE)</f>
        <v>2.9199999999999902</v>
      </c>
      <c r="I103" s="30">
        <f t="shared" si="27"/>
        <v>-0.28941668897379358</v>
      </c>
      <c r="J103" s="31" t="str">
        <f t="shared" si="28"/>
        <v>_log</v>
      </c>
      <c r="K103" s="31" t="str">
        <f t="shared" si="29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-4916635.6672476502</v>
      </c>
      <c r="N103" s="29">
        <f>IF(N95=0,0,VLOOKUP(N95,FAC_TOTALS_APTA!$A$4:$BD$126,$L103,FALSE))</f>
        <v>-5768488.5417536497</v>
      </c>
      <c r="O103" s="29">
        <f>IF(O95=0,0,VLOOKUP(O95,FAC_TOTALS_APTA!$A$4:$BD$126,$L103,FALSE))</f>
        <v>-35871107.9767671</v>
      </c>
      <c r="P103" s="29">
        <f>IF(P95=0,0,VLOOKUP(P95,FAC_TOTALS_APTA!$A$4:$BD$126,$L103,FALSE))</f>
        <v>-11074738.0744217</v>
      </c>
      <c r="Q103" s="29">
        <f>IF(Q95=0,0,VLOOKUP(Q95,FAC_TOTALS_APTA!$A$4:$BD$126,$L103,FALSE))</f>
        <v>10821232.9679843</v>
      </c>
      <c r="R103" s="29">
        <f>IF(R95=0,0,VLOOKUP(R95,FAC_TOTALS_APTA!$A$4:$BD$126,$L103,FALSE))</f>
        <v>8102906.6949057896</v>
      </c>
      <c r="S103" s="29">
        <f>IF(S95=0,0,VLOOKUP(S95,FAC_TOTALS_APTA!$A$4:$BD$126,$L103,FALSE))</f>
        <v>0</v>
      </c>
      <c r="T103" s="29">
        <f>IF(T95=0,0,VLOOKUP(T95,FAC_TOTALS_APTA!$A$4:$BD$126,$L103,FALSE))</f>
        <v>0</v>
      </c>
      <c r="U103" s="29">
        <f>IF(U95=0,0,VLOOKUP(U95,FAC_TOTALS_APTA!$A$4:$BD$126,$L103,FALSE))</f>
        <v>0</v>
      </c>
      <c r="V103" s="29">
        <f>IF(V95=0,0,VLOOKUP(V95,FAC_TOTALS_APTA!$A$4:$BD$126,$L103,FALSE))</f>
        <v>0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0"/>
        <v>-38706830.597300008</v>
      </c>
      <c r="AD103" s="33">
        <f>AC103/G111</f>
        <v>-3.1779827034498845E-2</v>
      </c>
    </row>
    <row r="104" spans="1:31" x14ac:dyDescent="0.2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MATCH($D104,FAC_TOTALS_APTA!$A$2:$BD$2,)</f>
        <v>19</v>
      </c>
      <c r="G104" s="123">
        <f>VLOOKUP(G95,FAC_TOTALS_APTA!$A$4:$BD$126,$F104,FALSE)</f>
        <v>33963.31</v>
      </c>
      <c r="H104" s="123">
        <f>VLOOKUP(H95,FAC_TOTALS_APTA!$A$4:$BD$126,$F104,FALSE)</f>
        <v>36801.5</v>
      </c>
      <c r="I104" s="30">
        <f t="shared" si="27"/>
        <v>8.3566354398319831E-2</v>
      </c>
      <c r="J104" s="31" t="str">
        <f t="shared" si="28"/>
        <v>_log</v>
      </c>
      <c r="K104" s="31" t="str">
        <f t="shared" si="29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570221.69800694205</v>
      </c>
      <c r="N104" s="29">
        <f>IF(N95=0,0,VLOOKUP(N95,FAC_TOTALS_APTA!$A$4:$BD$126,$L104,FALSE))</f>
        <v>260289.45901652399</v>
      </c>
      <c r="O104" s="29">
        <f>IF(O95=0,0,VLOOKUP(O95,FAC_TOTALS_APTA!$A$4:$BD$126,$L104,FALSE))</f>
        <v>-1267381.6407826799</v>
      </c>
      <c r="P104" s="29">
        <f>IF(P95=0,0,VLOOKUP(P95,FAC_TOTALS_APTA!$A$4:$BD$126,$L104,FALSE))</f>
        <v>-2298836.8140127398</v>
      </c>
      <c r="Q104" s="29">
        <f>IF(Q95=0,0,VLOOKUP(Q95,FAC_TOTALS_APTA!$A$4:$BD$126,$L104,FALSE))</f>
        <v>-1281589.8878707499</v>
      </c>
      <c r="R104" s="29">
        <f>IF(R95=0,0,VLOOKUP(R95,FAC_TOTALS_APTA!$A$4:$BD$126,$L104,FALSE))</f>
        <v>-1573577.77898339</v>
      </c>
      <c r="S104" s="29">
        <f>IF(S95=0,0,VLOOKUP(S95,FAC_TOTALS_APTA!$A$4:$BD$126,$L104,FALSE))</f>
        <v>0</v>
      </c>
      <c r="T104" s="29">
        <f>IF(T95=0,0,VLOOKUP(T95,FAC_TOTALS_APTA!$A$4:$BD$126,$L104,FALSE))</f>
        <v>0</v>
      </c>
      <c r="U104" s="29">
        <f>IF(U95=0,0,VLOOKUP(U95,FAC_TOTALS_APTA!$A$4:$BD$126,$L104,FALSE))</f>
        <v>0</v>
      </c>
      <c r="V104" s="29">
        <f>IF(V95=0,0,VLOOKUP(V95,FAC_TOTALS_APTA!$A$4:$BD$126,$L104,FALSE))</f>
        <v>0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0"/>
        <v>-5590874.9646260934</v>
      </c>
      <c r="AD104" s="33">
        <f>AC104/G111</f>
        <v>-4.590327769169531E-3</v>
      </c>
    </row>
    <row r="105" spans="1:31" x14ac:dyDescent="0.25">
      <c r="B105" s="25" t="s">
        <v>62</v>
      </c>
      <c r="C105" s="28"/>
      <c r="D105" s="104" t="s">
        <v>9</v>
      </c>
      <c r="E105" s="55"/>
      <c r="F105" s="6">
        <f>MATCH($D105,FAC_TOTALS_APTA!$A$2:$BD$2,)</f>
        <v>20</v>
      </c>
      <c r="G105" s="117">
        <f>VLOOKUP(G95,FAC_TOTALS_APTA!$A$4:$BD$126,$F105,FALSE)</f>
        <v>31.51</v>
      </c>
      <c r="H105" s="117">
        <f>VLOOKUP(H95,FAC_TOTALS_APTA!$A$4:$BD$126,$F105,FALSE)</f>
        <v>30.01</v>
      </c>
      <c r="I105" s="30">
        <f t="shared" si="27"/>
        <v>-4.7603935258648034E-2</v>
      </c>
      <c r="J105" s="31" t="str">
        <f t="shared" si="28"/>
        <v/>
      </c>
      <c r="K105" s="31" t="str">
        <f t="shared" si="29"/>
        <v>PCT_HH_NO_VEH_FAC</v>
      </c>
      <c r="L105" s="6">
        <f>MATCH($K105,FAC_TOTALS_APTA!$A$2:$BB$2,)</f>
        <v>38</v>
      </c>
      <c r="M105" s="29">
        <f>IF(M95=0,0,VLOOKUP(M95,FAC_TOTALS_APTA!$A$4:$BD$126,$L105,FALSE))</f>
        <v>-3262187.9211362102</v>
      </c>
      <c r="N105" s="29">
        <f>IF(N95=0,0,VLOOKUP(N95,FAC_TOTALS_APTA!$A$4:$BD$126,$L105,FALSE))</f>
        <v>557874.15936622606</v>
      </c>
      <c r="O105" s="29">
        <f>IF(O95=0,0,VLOOKUP(O95,FAC_TOTALS_APTA!$A$4:$BD$126,$L105,FALSE))</f>
        <v>-61332.889912483901</v>
      </c>
      <c r="P105" s="29">
        <f>IF(P95=0,0,VLOOKUP(P95,FAC_TOTALS_APTA!$A$4:$BD$126,$L105,FALSE))</f>
        <v>-579018.11556067294</v>
      </c>
      <c r="Q105" s="29">
        <f>IF(Q95=0,0,VLOOKUP(Q95,FAC_TOTALS_APTA!$A$4:$BD$126,$L105,FALSE))</f>
        <v>240154.57721616299</v>
      </c>
      <c r="R105" s="29">
        <f>IF(R95=0,0,VLOOKUP(R95,FAC_TOTALS_APTA!$A$4:$BD$126,$L105,FALSE))</f>
        <v>18877.3496633289</v>
      </c>
      <c r="S105" s="29">
        <f>IF(S95=0,0,VLOOKUP(S95,FAC_TOTALS_APTA!$A$4:$BD$126,$L105,FALSE))</f>
        <v>0</v>
      </c>
      <c r="T105" s="29">
        <f>IF(T95=0,0,VLOOKUP(T95,FAC_TOTALS_APTA!$A$4:$BD$126,$L105,FALSE))</f>
        <v>0</v>
      </c>
      <c r="U105" s="29">
        <f>IF(U95=0,0,VLOOKUP(U95,FAC_TOTALS_APTA!$A$4:$BD$126,$L105,FALSE))</f>
        <v>0</v>
      </c>
      <c r="V105" s="29">
        <f>IF(V95=0,0,VLOOKUP(V95,FAC_TOTALS_APTA!$A$4:$BD$126,$L105,FALSE))</f>
        <v>0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0"/>
        <v>-3085632.8403636487</v>
      </c>
      <c r="AD105" s="33">
        <f>AC105/G111</f>
        <v>-2.5334256627450756E-3</v>
      </c>
    </row>
    <row r="106" spans="1:31" x14ac:dyDescent="0.25">
      <c r="B106" s="25" t="s">
        <v>47</v>
      </c>
      <c r="C106" s="28"/>
      <c r="D106" s="104" t="s">
        <v>28</v>
      </c>
      <c r="E106" s="55"/>
      <c r="F106" s="6">
        <f>MATCH($D106,FAC_TOTALS_APTA!$A$2:$BD$2,)</f>
        <v>21</v>
      </c>
      <c r="G106" s="125">
        <f>VLOOKUP(G95,FAC_TOTALS_APTA!$A$4:$BD$126,$F106,FALSE)</f>
        <v>4.0999999999999996</v>
      </c>
      <c r="H106" s="125">
        <f>VLOOKUP(H95,FAC_TOTALS_APTA!$A$4:$BD$126,$F106,FALSE)</f>
        <v>4.5999999999999996</v>
      </c>
      <c r="I106" s="30">
        <f t="shared" si="27"/>
        <v>0.12195121951219523</v>
      </c>
      <c r="J106" s="31" t="str">
        <f t="shared" si="28"/>
        <v/>
      </c>
      <c r="K106" s="31" t="str">
        <f t="shared" si="29"/>
        <v>JTW_HOME_PCT_FAC</v>
      </c>
      <c r="L106" s="6">
        <f>MATCH($K106,FAC_TOTALS_APTA!$A$2:$BB$2,)</f>
        <v>39</v>
      </c>
      <c r="M106" s="29">
        <f>IF(M95=0,0,VLOOKUP(M95,FAC_TOTALS_APTA!$A$4:$BD$126,$L106,FALSE))</f>
        <v>-789506.211003214</v>
      </c>
      <c r="N106" s="29">
        <f>IF(N95=0,0,VLOOKUP(N95,FAC_TOTALS_APTA!$A$4:$BD$126,$L106,FALSE))</f>
        <v>0</v>
      </c>
      <c r="O106" s="29">
        <f>IF(O95=0,0,VLOOKUP(O95,FAC_TOTALS_APTA!$A$4:$BD$126,$L106,FALSE))</f>
        <v>781149.51434068405</v>
      </c>
      <c r="P106" s="29">
        <f>IF(P95=0,0,VLOOKUP(P95,FAC_TOTALS_APTA!$A$4:$BD$126,$L106,FALSE))</f>
        <v>-3046484.3371702698</v>
      </c>
      <c r="Q106" s="29">
        <f>IF(Q95=0,0,VLOOKUP(Q95,FAC_TOTALS_APTA!$A$4:$BD$126,$L106,FALSE))</f>
        <v>0</v>
      </c>
      <c r="R106" s="29">
        <f>IF(R95=0,0,VLOOKUP(R95,FAC_TOTALS_APTA!$A$4:$BD$126,$L106,FALSE))</f>
        <v>-720698.23643225303</v>
      </c>
      <c r="S106" s="29">
        <f>IF(S95=0,0,VLOOKUP(S95,FAC_TOTALS_APTA!$A$4:$BD$126,$L106,FALSE))</f>
        <v>0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0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0"/>
        <v>-3775539.2702650526</v>
      </c>
      <c r="AD106" s="33">
        <f>AC106/G111</f>
        <v>-3.0998659182224796E-3</v>
      </c>
    </row>
    <row r="107" spans="1:31" x14ac:dyDescent="0.25">
      <c r="B107" s="25" t="s">
        <v>63</v>
      </c>
      <c r="C107" s="28"/>
      <c r="D107" s="126" t="s">
        <v>89</v>
      </c>
      <c r="E107" s="55"/>
      <c r="F107" s="6">
        <f>MATCH($D107,FAC_TOTALS_APTA!$A$2:$BD$2,)</f>
        <v>24</v>
      </c>
      <c r="G107" s="125">
        <f>VLOOKUP(G95,FAC_TOTALS_APTA!$A$4:$BD$126,$F107,FALSE)</f>
        <v>1</v>
      </c>
      <c r="H107" s="125">
        <f>VLOOKUP(H95,FAC_TOTALS_APTA!$A$4:$BD$126,$F107,FALSE)</f>
        <v>7</v>
      </c>
      <c r="I107" s="30">
        <f t="shared" si="27"/>
        <v>6</v>
      </c>
      <c r="J107" s="31" t="str">
        <f t="shared" si="28"/>
        <v/>
      </c>
      <c r="K107" s="31" t="str">
        <f t="shared" si="29"/>
        <v>YEARS_SINCE_TNC_BUS_HINY_FAC</v>
      </c>
      <c r="L107" s="6">
        <f>MATCH($K107,FAC_TOTALS_APTA!$A$2:$BB$2,)</f>
        <v>42</v>
      </c>
      <c r="M107" s="29">
        <f>IF(M95=0,0,VLOOKUP(M95,FAC_TOTALS_APTA!$A$4:$BD$126,$L107,FALSE))</f>
        <v>-19846245.422509599</v>
      </c>
      <c r="N107" s="29">
        <f>IF(N95=0,0,VLOOKUP(N95,FAC_TOTALS_APTA!$A$4:$BD$126,$L107,FALSE))</f>
        <v>-19824153.9573466</v>
      </c>
      <c r="O107" s="29">
        <f>IF(O95=0,0,VLOOKUP(O95,FAC_TOTALS_APTA!$A$4:$BD$126,$L107,FALSE))</f>
        <v>-19621166.0549892</v>
      </c>
      <c r="P107" s="29">
        <f>IF(P95=0,0,VLOOKUP(P95,FAC_TOTALS_APTA!$A$4:$BD$126,$L107,FALSE))</f>
        <v>-19167251.747616399</v>
      </c>
      <c r="Q107" s="29">
        <f>IF(Q95=0,0,VLOOKUP(Q95,FAC_TOTALS_APTA!$A$4:$BD$126,$L107,FALSE))</f>
        <v>-19204235.988347702</v>
      </c>
      <c r="R107" s="29">
        <f>IF(R95=0,0,VLOOKUP(R95,FAC_TOTALS_APTA!$A$4:$BD$126,$L107,FALSE))</f>
        <v>-18116582.081893299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0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0"/>
        <v>-115779635.2527028</v>
      </c>
      <c r="AD107" s="33">
        <f>AC107/G111</f>
        <v>-9.505962450733231E-2</v>
      </c>
    </row>
    <row r="108" spans="1:31" x14ac:dyDescent="0.25">
      <c r="B108" s="25" t="s">
        <v>64</v>
      </c>
      <c r="C108" s="28"/>
      <c r="D108" s="104" t="s">
        <v>43</v>
      </c>
      <c r="E108" s="55"/>
      <c r="F108" s="6">
        <f>MATCH($D108,FAC_TOTALS_APTA!$A$2:$BD$2,)</f>
        <v>28</v>
      </c>
      <c r="G108" s="125">
        <f>VLOOKUP(G95,FAC_TOTALS_APTA!$A$4:$BD$126,$F108,FALSE)</f>
        <v>0</v>
      </c>
      <c r="H108" s="125">
        <f>VLOOKUP(H95,FAC_TOTALS_APTA!$A$4:$BD$126,$F108,FALSE)</f>
        <v>1</v>
      </c>
      <c r="I108" s="30" t="str">
        <f t="shared" si="27"/>
        <v>-</v>
      </c>
      <c r="J108" s="31" t="str">
        <f t="shared" ref="J108:J109" si="31">IF(C108="Log","_log","")</f>
        <v/>
      </c>
      <c r="K108" s="31" t="str">
        <f t="shared" si="29"/>
        <v>BIKE_SHARE_FAC</v>
      </c>
      <c r="L108" s="6">
        <f>MATCH($K108,FAC_TOTALS_APTA!$A$2:$BB$2,)</f>
        <v>46</v>
      </c>
      <c r="M108" s="29">
        <f>IF(M95=0,0,VLOOKUP(M95,FAC_TOTALS_APTA!$A$4:$BD$126,$L108,FALSE))</f>
        <v>-11132935.685656101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0"/>
        <v>-11132935.685656101</v>
      </c>
      <c r="AD108" s="33">
        <f>AC108/G111</f>
        <v>-9.140577128550282E-3</v>
      </c>
    </row>
    <row r="109" spans="1:31" x14ac:dyDescent="0.25">
      <c r="B109" s="8" t="s">
        <v>65</v>
      </c>
      <c r="C109" s="27"/>
      <c r="D109" s="129" t="s">
        <v>44</v>
      </c>
      <c r="E109" s="56"/>
      <c r="F109" s="7">
        <f>MATCH($D109,FAC_TOTALS_APTA!$A$2:$BD$2,)</f>
        <v>29</v>
      </c>
      <c r="G109" s="131">
        <f>VLOOKUP(G95,FAC_TOTALS_APTA!$A$4:$BD$126,$F109,FALSE)</f>
        <v>0</v>
      </c>
      <c r="H109" s="131">
        <f>VLOOKUP(H95,FAC_TOTALS_APTA!$A$4:$BD$126,$F109,FALSE)</f>
        <v>0</v>
      </c>
      <c r="I109" s="36" t="str">
        <f t="shared" si="27"/>
        <v>-</v>
      </c>
      <c r="J109" s="37" t="str">
        <f t="shared" si="31"/>
        <v/>
      </c>
      <c r="K109" s="37" t="str">
        <f t="shared" si="29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0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ref="K110" si="32">CONCATENATE(D110,J110,"_FAC")</f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1217968573.43753</v>
      </c>
      <c r="H111" s="117">
        <f>VLOOKUP(H95,FAC_TOTALS_APTA!$A$4:$BB$126,$F111,FALSE)</f>
        <v>961993169.461308</v>
      </c>
      <c r="I111" s="112">
        <f t="shared" ref="I111" si="33">H111/G111-1</f>
        <v>-0.21016585284608014</v>
      </c>
      <c r="J111" s="31"/>
      <c r="K111" s="31"/>
      <c r="L111" s="6"/>
      <c r="M111" s="29">
        <f t="shared" ref="M111:AB111" si="34">SUM(M97:M104)</f>
        <v>-49368719.578742623</v>
      </c>
      <c r="N111" s="29">
        <f t="shared" si="34"/>
        <v>-1518822.4093739607</v>
      </c>
      <c r="O111" s="29">
        <f t="shared" si="34"/>
        <v>-44173963.465650275</v>
      </c>
      <c r="P111" s="29">
        <f t="shared" si="34"/>
        <v>-15270918.133874672</v>
      </c>
      <c r="Q111" s="29">
        <f t="shared" si="34"/>
        <v>-347772.77628957713</v>
      </c>
      <c r="R111" s="29">
        <f t="shared" si="34"/>
        <v>8674902.8451433461</v>
      </c>
      <c r="S111" s="29">
        <f t="shared" si="34"/>
        <v>0</v>
      </c>
      <c r="T111" s="29">
        <f t="shared" si="34"/>
        <v>0</v>
      </c>
      <c r="U111" s="29">
        <f t="shared" si="34"/>
        <v>0</v>
      </c>
      <c r="V111" s="29">
        <f t="shared" si="34"/>
        <v>0</v>
      </c>
      <c r="W111" s="29">
        <f t="shared" si="34"/>
        <v>0</v>
      </c>
      <c r="X111" s="29">
        <f t="shared" si="34"/>
        <v>0</v>
      </c>
      <c r="Y111" s="29">
        <f t="shared" si="34"/>
        <v>0</v>
      </c>
      <c r="Z111" s="29">
        <f t="shared" si="34"/>
        <v>0</v>
      </c>
      <c r="AA111" s="29">
        <f t="shared" si="34"/>
        <v>0</v>
      </c>
      <c r="AB111" s="29">
        <f t="shared" si="34"/>
        <v>0</v>
      </c>
      <c r="AC111" s="32">
        <f>H111-G111</f>
        <v>-255975403.97622204</v>
      </c>
      <c r="AD111" s="33">
        <f>I111</f>
        <v>-0.21016585284608014</v>
      </c>
      <c r="AE111" s="106"/>
    </row>
    <row r="112" spans="1:31" ht="13.5" customHeight="1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1032661299</v>
      </c>
      <c r="H112" s="114">
        <f>VLOOKUP(H95,FAC_TOTALS_APTA!$A$4:$BB$126,$F112,FALSE)</f>
        <v>935808062.99999905</v>
      </c>
      <c r="I112" s="113">
        <f t="shared" ref="I112" si="35">H112/G112-1</f>
        <v>-9.3789934893261595E-2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-96853236.000000954</v>
      </c>
      <c r="AD112" s="52">
        <f>I112</f>
        <v>-9.3789934893261595E-2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0.11637591795281854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89" workbookViewId="0">
      <selection activeCell="D115" sqref="D115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36</v>
      </c>
      <c r="C1" s="12">
        <v>2002</v>
      </c>
    </row>
    <row r="2" spans="1:31" x14ac:dyDescent="0.25">
      <c r="B2" s="11" t="s">
        <v>37</v>
      </c>
      <c r="C2" s="12">
        <v>2012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76" t="s">
        <v>51</v>
      </c>
      <c r="H8" s="176"/>
      <c r="I8" s="176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76" t="s">
        <v>55</v>
      </c>
      <c r="AD8" s="176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2002</v>
      </c>
      <c r="H9" s="27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1_1_2002</v>
      </c>
      <c r="H11" s="6" t="str">
        <f>CONCATENATE($C6,"_",$C7,"_",H9)</f>
        <v>1_1_2012</v>
      </c>
      <c r="I11" s="28"/>
      <c r="J11" s="6"/>
      <c r="K11" s="6"/>
      <c r="L11" s="6"/>
      <c r="M11" s="6" t="str">
        <f>IF($G9+M10&gt;$H9,0,CONCATENATE($C6,"_",$C7,"_",$G9+M10))</f>
        <v>1_1_2003</v>
      </c>
      <c r="N11" s="6" t="str">
        <f t="shared" ref="N11:AB11" si="0">IF($G9+N10&gt;$H9,0,CONCATENATE($C6,"_",$C7,"_",$G9+N10))</f>
        <v>1_1_2004</v>
      </c>
      <c r="O11" s="6" t="str">
        <f t="shared" si="0"/>
        <v>1_1_2005</v>
      </c>
      <c r="P11" s="6" t="str">
        <f t="shared" si="0"/>
        <v>1_1_2006</v>
      </c>
      <c r="Q11" s="6" t="str">
        <f t="shared" si="0"/>
        <v>1_1_2007</v>
      </c>
      <c r="R11" s="6" t="str">
        <f t="shared" si="0"/>
        <v>1_1_2008</v>
      </c>
      <c r="S11" s="6" t="str">
        <f t="shared" si="0"/>
        <v>1_1_2009</v>
      </c>
      <c r="T11" s="6" t="str">
        <f t="shared" si="0"/>
        <v>1_1_2010</v>
      </c>
      <c r="U11" s="6" t="str">
        <f t="shared" si="0"/>
        <v>1_1_2011</v>
      </c>
      <c r="V11" s="6" t="str">
        <f t="shared" si="0"/>
        <v>1_1_2012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91</v>
      </c>
      <c r="E13" s="55"/>
      <c r="F13" s="6">
        <f>MATCH($D13,FAC_TOTALS_APTA!$A$2:$BD$2,)</f>
        <v>13</v>
      </c>
      <c r="G13" s="29">
        <f>VLOOKUP(G11,FAC_TOTALS_APTA!$A$4:$BD$126,$F13,FALSE)</f>
        <v>49932404.401087999</v>
      </c>
      <c r="H13" s="29">
        <f>VLOOKUP(H11,FAC_TOTALS_APTA!$A$4:$BD$126,$F13,FALSE)</f>
        <v>60228514.526974499</v>
      </c>
      <c r="I13" s="30">
        <f>IFERROR(H13/G13-1,"-")</f>
        <v>0.20620096807639721</v>
      </c>
      <c r="J13" s="31" t="str">
        <f>IF(C13="Log","_log","")</f>
        <v>_log</v>
      </c>
      <c r="K13" s="31" t="str">
        <f>CONCATENATE(D13,J13,"_FAC")</f>
        <v>VRM_ADJ_RAIL_log_FAC</v>
      </c>
      <c r="L13" s="6">
        <f>MATCH($K13,FAC_TOTALS_APTA!$A$2:$BB$2,)</f>
        <v>31</v>
      </c>
      <c r="M13" s="29">
        <f>IF(M11=0,0,VLOOKUP(M11,FAC_TOTALS_APTA!$A$4:$BD$126,$L13,FALSE))</f>
        <v>52907869.729852498</v>
      </c>
      <c r="N13" s="29">
        <f>IF(N11=0,0,VLOOKUP(N11,FAC_TOTALS_APTA!$A$4:$BD$126,$L13,FALSE))</f>
        <v>20110817.4288042</v>
      </c>
      <c r="O13" s="29">
        <f>IF(O11=0,0,VLOOKUP(O11,FAC_TOTALS_APTA!$A$4:$BD$126,$L13,FALSE))</f>
        <v>7897513.6845846903</v>
      </c>
      <c r="P13" s="29">
        <f>IF(P11=0,0,VLOOKUP(P11,FAC_TOTALS_APTA!$A$4:$BD$126,$L13,FALSE))</f>
        <v>38487982.437890097</v>
      </c>
      <c r="Q13" s="29">
        <f>IF(Q11=0,0,VLOOKUP(Q11,FAC_TOTALS_APTA!$A$4:$BD$126,$L13,FALSE))</f>
        <v>66275237.442195699</v>
      </c>
      <c r="R13" s="29">
        <f>IF(R11=0,0,VLOOKUP(R11,FAC_TOTALS_APTA!$A$4:$BD$126,$L13,FALSE))</f>
        <v>28743799.177805599</v>
      </c>
      <c r="S13" s="29">
        <f>IF(S11=0,0,VLOOKUP(S11,FAC_TOTALS_APTA!$A$4:$BD$126,$L13,FALSE))</f>
        <v>3863411.1025754502</v>
      </c>
      <c r="T13" s="29">
        <f>IF(T11=0,0,VLOOKUP(T11,FAC_TOTALS_APTA!$A$4:$BD$126,$L13,FALSE))</f>
        <v>-3614236.9424456302</v>
      </c>
      <c r="U13" s="29">
        <f>IF(U11=0,0,VLOOKUP(U11,FAC_TOTALS_APTA!$A$4:$BD$126,$L13,FALSE))</f>
        <v>5120848.5620247498</v>
      </c>
      <c r="V13" s="29">
        <f>IF(V11=0,0,VLOOKUP(V11,FAC_TOTALS_APTA!$A$4:$BD$126,$L13,FALSE))</f>
        <v>33133268.3049125</v>
      </c>
      <c r="W13" s="29">
        <f>IF(W11=0,0,VLOOKUP(W11,FAC_TOTALS_APTA!$A$4:$BD$126,$L13,FALSE))</f>
        <v>0</v>
      </c>
      <c r="X13" s="29">
        <f>IF(X11=0,0,VLOOKUP(X11,FAC_TOTALS_APTA!$A$4:$BD$126,$L13,FALSE))</f>
        <v>0</v>
      </c>
      <c r="Y13" s="29">
        <f>IF(Y11=0,0,VLOOKUP(Y11,FAC_TOTALS_APTA!$A$4:$BD$126,$L13,FALSE))</f>
        <v>0</v>
      </c>
      <c r="Z13" s="29">
        <f>IF(Z11=0,0,VLOOKUP(Z11,FAC_TOTALS_APTA!$A$4:$BD$126,$L13,FALSE))</f>
        <v>0</v>
      </c>
      <c r="AA13" s="29">
        <f>IF(AA11=0,0,VLOOKUP(AA11,FAC_TOTALS_APTA!$A$4:$BD$126,$L13,FALSE))</f>
        <v>0</v>
      </c>
      <c r="AB13" s="29">
        <f>IF(AB11=0,0,VLOOKUP(AB11,FAC_TOTALS_APTA!$A$4:$BD$126,$L13,FALSE))</f>
        <v>0</v>
      </c>
      <c r="AC13" s="32">
        <f>SUM(M13:AB13)</f>
        <v>252926510.92819986</v>
      </c>
      <c r="AD13" s="33">
        <f>AC13/G27</f>
        <v>0.24638361933259556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92</v>
      </c>
      <c r="E14" s="55"/>
      <c r="F14" s="6">
        <f>MATCH($D14,FAC_TOTALS_APTA!$A$2:$BD$2,)</f>
        <v>15</v>
      </c>
      <c r="G14" s="54">
        <f>VLOOKUP(G11,FAC_TOTALS_APTA!$A$4:$BD$126,$F14,FALSE)</f>
        <v>1.64428480391638</v>
      </c>
      <c r="H14" s="54">
        <f>VLOOKUP(H11,FAC_TOTALS_APTA!$A$4:$BD$126,$F14,FALSE)</f>
        <v>1.87757629079359</v>
      </c>
      <c r="I14" s="30">
        <f t="shared" ref="I14:I25" si="1">IFERROR(H14/G14-1,"-")</f>
        <v>0.14188021826970187</v>
      </c>
      <c r="J14" s="31" t="str">
        <f t="shared" ref="J14:J25" si="2">IF(C14="Log","_log","")</f>
        <v>_log</v>
      </c>
      <c r="K14" s="31" t="str">
        <f t="shared" ref="K14:K26" si="3">CONCATENATE(D14,J14,"_FAC")</f>
        <v>FARE_per_UPT_cleaned_2018_RAIL_log_FAC</v>
      </c>
      <c r="L14" s="6">
        <f>MATCH($K14,FAC_TOTALS_APTA!$A$2:$BB$2,)</f>
        <v>33</v>
      </c>
      <c r="M14" s="29">
        <f>IF(M11=0,0,VLOOKUP(M11,FAC_TOTALS_APTA!$A$4:$BD$126,$L14,FALSE))</f>
        <v>954635.71280785406</v>
      </c>
      <c r="N14" s="29">
        <f>IF(N11=0,0,VLOOKUP(N11,FAC_TOTALS_APTA!$A$4:$BD$126,$L14,FALSE))</f>
        <v>6288260.0700812098</v>
      </c>
      <c r="O14" s="29">
        <f>IF(O11=0,0,VLOOKUP(O11,FAC_TOTALS_APTA!$A$4:$BD$126,$L14,FALSE))</f>
        <v>-3029852.5129537499</v>
      </c>
      <c r="P14" s="29">
        <f>IF(P11=0,0,VLOOKUP(P11,FAC_TOTALS_APTA!$A$4:$BD$126,$L14,FALSE))</f>
        <v>-6623356.3325889697</v>
      </c>
      <c r="Q14" s="29">
        <f>IF(Q11=0,0,VLOOKUP(Q11,FAC_TOTALS_APTA!$A$4:$BD$126,$L14,FALSE))</f>
        <v>-2623517.2869072501</v>
      </c>
      <c r="R14" s="29">
        <f>IF(R11=0,0,VLOOKUP(R11,FAC_TOTALS_APTA!$A$4:$BD$126,$L14,FALSE))</f>
        <v>-11093609.661896899</v>
      </c>
      <c r="S14" s="29">
        <f>IF(S11=0,0,VLOOKUP(S11,FAC_TOTALS_APTA!$A$4:$BD$126,$L14,FALSE))</f>
        <v>-23450327.4580874</v>
      </c>
      <c r="T14" s="29">
        <f>IF(T11=0,0,VLOOKUP(T11,FAC_TOTALS_APTA!$A$4:$BD$126,$L14,FALSE))</f>
        <v>-130934.765528424</v>
      </c>
      <c r="U14" s="29">
        <f>IF(U11=0,0,VLOOKUP(U11,FAC_TOTALS_APTA!$A$4:$BD$126,$L14,FALSE))</f>
        <v>-3231817.53006837</v>
      </c>
      <c r="V14" s="29">
        <f>IF(V11=0,0,VLOOKUP(V11,FAC_TOTALS_APTA!$A$4:$BD$126,$L14,FALSE))</f>
        <v>-1998482.4610954199</v>
      </c>
      <c r="W14" s="29">
        <f>IF(W11=0,0,VLOOKUP(W11,FAC_TOTALS_APTA!$A$4:$BD$126,$L14,FALSE))</f>
        <v>0</v>
      </c>
      <c r="X14" s="29">
        <f>IF(X11=0,0,VLOOKUP(X11,FAC_TOTALS_APTA!$A$4:$BD$126,$L14,FALSE))</f>
        <v>0</v>
      </c>
      <c r="Y14" s="29">
        <f>IF(Y11=0,0,VLOOKUP(Y11,FAC_TOTALS_APTA!$A$4:$BD$126,$L14,FALSE))</f>
        <v>0</v>
      </c>
      <c r="Z14" s="29">
        <f>IF(Z11=0,0,VLOOKUP(Z11,FAC_TOTALS_APTA!$A$4:$BD$126,$L14,FALSE))</f>
        <v>0</v>
      </c>
      <c r="AA14" s="29">
        <f>IF(AA11=0,0,VLOOKUP(AA11,FAC_TOTALS_APTA!$A$4:$BD$126,$L14,FALSE))</f>
        <v>0</v>
      </c>
      <c r="AB14" s="29">
        <f>IF(AB11=0,0,VLOOKUP(AB11,FAC_TOTALS_APTA!$A$4:$BD$126,$L14,FALSE))</f>
        <v>0</v>
      </c>
      <c r="AC14" s="32">
        <f t="shared" ref="AC14:AC25" si="4">SUM(M14:AB14)</f>
        <v>-44939002.226237416</v>
      </c>
      <c r="AD14" s="33">
        <f>AC14/G27</f>
        <v>-4.3776486604992955E-2</v>
      </c>
      <c r="AE14" s="6"/>
    </row>
    <row r="15" spans="1:31" s="13" customFormat="1" x14ac:dyDescent="0.25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0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0</v>
      </c>
      <c r="P15" s="117">
        <f>IF(P11=0,0,VLOOKUP(P11,FAC_TOTALS_APTA!$A$4:$BD$126,$L15,FALSE))</f>
        <v>0</v>
      </c>
      <c r="Q15" s="117">
        <f>IF(Q11=0,0,VLOOKUP(Q11,FAC_TOTALS_APTA!$A$4:$BD$126,$L15,FALSE))</f>
        <v>0</v>
      </c>
      <c r="R15" s="117">
        <f>IF(R11=0,0,VLOOKUP(R11,FAC_TOTALS_APTA!$A$4:$BD$126,$L15,FALSE))</f>
        <v>0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117">
        <f>VLOOKUP(G11,FAC_TOTALS_APTA!$A$4:$BD$126,$F16,FALSE)</f>
        <v>0</v>
      </c>
      <c r="H16" s="117">
        <f>VLOOKUP(H11,FAC_TOTALS_APTA!$A$4:$BD$126,$F16,FALSE)</f>
        <v>0</v>
      </c>
      <c r="I16" s="119" t="str">
        <f>IFERROR(H16/G16-1,"-")</f>
        <v>-</v>
      </c>
      <c r="J16" s="120" t="str">
        <f t="shared" ref="J16" si="5">IF(C16="Log","_log","")</f>
        <v/>
      </c>
      <c r="K16" s="120" t="str">
        <f t="shared" ref="K16" si="6">CONCATENATE(D16,J16,"_FAC")</f>
        <v>MAINTENANCE_WMATA_FAC</v>
      </c>
      <c r="L16" s="104">
        <f>MATCH($K16,FAC_TOTALS_APTA!$A$2:$BB$2,)</f>
        <v>40</v>
      </c>
      <c r="M16" s="117">
        <f>IF(M12=0,0,VLOOKUP(M12,FAC_TOTALS_APTA!$A$4:$BD$126,$L16,FALSE))</f>
        <v>0</v>
      </c>
      <c r="N16" s="117">
        <f>IF(N12=0,0,VLOOKUP(N12,FAC_TOTALS_APTA!$A$4:$BD$126,$L16,FALSE))</f>
        <v>0</v>
      </c>
      <c r="O16" s="117">
        <f>IF(O12=0,0,VLOOKUP(O12,FAC_TOTALS_APTA!$A$4:$BD$126,$L16,FALSE))</f>
        <v>0</v>
      </c>
      <c r="P16" s="117">
        <f>IF(P12=0,0,VLOOKUP(P12,FAC_TOTALS_APTA!$A$4:$BD$126,$L16,FALSE))</f>
        <v>0</v>
      </c>
      <c r="Q16" s="117">
        <f>IF(Q12=0,0,VLOOKUP(Q12,FAC_TOTALS_APTA!$A$4:$BD$126,$L16,FALSE))</f>
        <v>0</v>
      </c>
      <c r="R16" s="117">
        <f>IF(R12=0,0,VLOOKUP(R12,FAC_TOTALS_APTA!$A$4:$BD$126,$L16,FALSE))</f>
        <v>0</v>
      </c>
      <c r="S16" s="117">
        <f>IF(S12=0,0,VLOOKUP(S12,FAC_TOTALS_APTA!$A$4:$BD$126,$L16,FALSE))</f>
        <v>0</v>
      </c>
      <c r="T16" s="117">
        <f>IF(T12=0,0,VLOOKUP(T12,FAC_TOTALS_APTA!$A$4:$BD$126,$L16,FALSE))</f>
        <v>0</v>
      </c>
      <c r="U16" s="117">
        <f>IF(U12=0,0,VLOOKUP(U12,FAC_TOTALS_APTA!$A$4:$BD$126,$L16,FALSE))</f>
        <v>0</v>
      </c>
      <c r="V16" s="117">
        <f>IF(V12=0,0,VLOOKUP(V12,FAC_TOTALS_APTA!$A$4:$BD$126,$L16,FALSE))</f>
        <v>0</v>
      </c>
      <c r="W16" s="117">
        <f>IF(W12=0,0,VLOOKUP(W12,FAC_TOTALS_APTA!$A$4:$BD$126,$L16,FALSE))</f>
        <v>0</v>
      </c>
      <c r="X16" s="117">
        <f>IF(X12=0,0,VLOOKUP(X12,FAC_TOTALS_APTA!$A$4:$BD$126,$L16,FALSE))</f>
        <v>0</v>
      </c>
      <c r="Y16" s="117">
        <f>IF(Y12=0,0,VLOOKUP(Y12,FAC_TOTALS_APTA!$A$4:$BD$126,$L16,FALSE))</f>
        <v>0</v>
      </c>
      <c r="Z16" s="117">
        <f>IF(Z12=0,0,VLOOKUP(Z12,FAC_TOTALS_APTA!$A$4:$BD$126,$L16,FALSE))</f>
        <v>0</v>
      </c>
      <c r="AA16" s="117">
        <f>IF(AA12=0,0,VLOOKUP(AA12,FAC_TOTALS_APTA!$A$4:$BD$126,$L16,FALSE))</f>
        <v>0</v>
      </c>
      <c r="AB16" s="117">
        <f>IF(AB12=0,0,VLOOKUP(AB12,FAC_TOTALS_APTA!$A$4:$BD$126,$L16,FALSE))</f>
        <v>0</v>
      </c>
      <c r="AC16" s="121">
        <f t="shared" ref="AC16" si="7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MATCH($D17,FAC_TOTALS_APTA!$A$2:$BD$2,)</f>
        <v>16</v>
      </c>
      <c r="G17" s="29">
        <f>VLOOKUP(G11,FAC_TOTALS_APTA!$A$4:$BD$126,$F17,FALSE)</f>
        <v>8455732.9469062109</v>
      </c>
      <c r="H17" s="29">
        <f>VLOOKUP(H11,FAC_TOTALS_APTA!$A$4:$BD$126,$F17,FALSE)</f>
        <v>9265369.1436843593</v>
      </c>
      <c r="I17" s="30">
        <f t="shared" si="1"/>
        <v>9.5749972457961574E-2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MATCH($K17,FAC_TOTALS_APTA!$A$2:$BB$2,)</f>
        <v>34</v>
      </c>
      <c r="M17" s="29">
        <f>IF(M11=0,0,VLOOKUP(M11,FAC_TOTALS_APTA!$A$4:$BD$126,$L17,FALSE))</f>
        <v>5109044.0259117102</v>
      </c>
      <c r="N17" s="29">
        <f>IF(N11=0,0,VLOOKUP(N11,FAC_TOTALS_APTA!$A$4:$BD$126,$L17,FALSE))</f>
        <v>6122847.9377800198</v>
      </c>
      <c r="O17" s="29">
        <f>IF(O11=0,0,VLOOKUP(O11,FAC_TOTALS_APTA!$A$4:$BD$126,$L17,FALSE))</f>
        <v>6652285.7228964204</v>
      </c>
      <c r="P17" s="29">
        <f>IF(P11=0,0,VLOOKUP(P11,FAC_TOTALS_APTA!$A$4:$BD$126,$L17,FALSE))</f>
        <v>8773115.0986231994</v>
      </c>
      <c r="Q17" s="29">
        <f>IF(Q11=0,0,VLOOKUP(Q11,FAC_TOTALS_APTA!$A$4:$BD$126,$L17,FALSE))</f>
        <v>2516214.3775887801</v>
      </c>
      <c r="R17" s="29">
        <f>IF(R11=0,0,VLOOKUP(R11,FAC_TOTALS_APTA!$A$4:$BD$126,$L17,FALSE))</f>
        <v>2128584.3128940798</v>
      </c>
      <c r="S17" s="29">
        <f>IF(S11=0,0,VLOOKUP(S11,FAC_TOTALS_APTA!$A$4:$BD$126,$L17,FALSE))</f>
        <v>-697589.33382026898</v>
      </c>
      <c r="T17" s="29">
        <f>IF(T11=0,0,VLOOKUP(T11,FAC_TOTALS_APTA!$A$4:$BD$126,$L17,FALSE))</f>
        <v>921481.10288370599</v>
      </c>
      <c r="U17" s="29">
        <f>IF(U11=0,0,VLOOKUP(U11,FAC_TOTALS_APTA!$A$4:$BD$126,$L17,FALSE))</f>
        <v>3558528.6564936</v>
      </c>
      <c r="V17" s="29">
        <f>IF(V11=0,0,VLOOKUP(V11,FAC_TOTALS_APTA!$A$4:$BD$126,$L17,FALSE))</f>
        <v>4514044.59008813</v>
      </c>
      <c r="W17" s="29">
        <f>IF(W11=0,0,VLOOKUP(W11,FAC_TOTALS_APTA!$A$4:$BD$126,$L17,FALSE))</f>
        <v>0</v>
      </c>
      <c r="X17" s="29">
        <f>IF(X11=0,0,VLOOKUP(X11,FAC_TOTALS_APTA!$A$4:$BD$126,$L17,FALSE))</f>
        <v>0</v>
      </c>
      <c r="Y17" s="29">
        <f>IF(Y11=0,0,VLOOKUP(Y11,FAC_TOTALS_APTA!$A$4:$BD$126,$L17,FALSE))</f>
        <v>0</v>
      </c>
      <c r="Z17" s="29">
        <f>IF(Z11=0,0,VLOOKUP(Z11,FAC_TOTALS_APTA!$A$4:$BD$126,$L17,FALSE))</f>
        <v>0</v>
      </c>
      <c r="AA17" s="29">
        <f>IF(AA11=0,0,VLOOKUP(AA11,FAC_TOTALS_APTA!$A$4:$BD$126,$L17,FALSE))</f>
        <v>0</v>
      </c>
      <c r="AB17" s="29">
        <f>IF(AB11=0,0,VLOOKUP(AB11,FAC_TOTALS_APTA!$A$4:$BD$126,$L17,FALSE))</f>
        <v>0</v>
      </c>
      <c r="AC17" s="32">
        <f t="shared" si="4"/>
        <v>39598556.491339371</v>
      </c>
      <c r="AD17" s="33">
        <f>AC17/G27</f>
        <v>3.8574191502811953E-2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MATCH($D18,FAC_TOTALS_APTA!$A$2:$BD$2,)</f>
        <v>17</v>
      </c>
      <c r="G18" s="54">
        <f>VLOOKUP(G11,FAC_TOTALS_APTA!$A$4:$BD$126,$F18,FALSE)</f>
        <v>0.44345565364207301</v>
      </c>
      <c r="H18" s="54">
        <f>VLOOKUP(H11,FAC_TOTALS_APTA!$A$4:$BD$126,$F18,FALSE)</f>
        <v>0.44667552967074198</v>
      </c>
      <c r="I18" s="30">
        <f t="shared" si="1"/>
        <v>7.2608749087408331E-3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MATCH($K18,FAC_TOTALS_APTA!$A$2:$BB$2,)</f>
        <v>35</v>
      </c>
      <c r="M18" s="29">
        <f>IF(M11=0,0,VLOOKUP(M11,FAC_TOTALS_APTA!$A$4:$BD$126,$L18,FALSE))</f>
        <v>-2790897.2210295</v>
      </c>
      <c r="N18" s="29">
        <f>IF(N11=0,0,VLOOKUP(N11,FAC_TOTALS_APTA!$A$4:$BD$126,$L18,FALSE))</f>
        <v>-761930.09194121195</v>
      </c>
      <c r="O18" s="29">
        <f>IF(O11=0,0,VLOOKUP(O11,FAC_TOTALS_APTA!$A$4:$BD$126,$L18,FALSE))</f>
        <v>-546858.80763554899</v>
      </c>
      <c r="P18" s="29">
        <f>IF(P11=0,0,VLOOKUP(P11,FAC_TOTALS_APTA!$A$4:$BD$126,$L18,FALSE))</f>
        <v>-9297.9888733987991</v>
      </c>
      <c r="Q18" s="29">
        <f>IF(Q11=0,0,VLOOKUP(Q11,FAC_TOTALS_APTA!$A$4:$BD$126,$L18,FALSE))</f>
        <v>-4550519.6211145502</v>
      </c>
      <c r="R18" s="29">
        <f>IF(R11=0,0,VLOOKUP(R11,FAC_TOTALS_APTA!$A$4:$BD$126,$L18,FALSE))</f>
        <v>2001990.89345888</v>
      </c>
      <c r="S18" s="29">
        <f>IF(S11=0,0,VLOOKUP(S11,FAC_TOTALS_APTA!$A$4:$BD$126,$L18,FALSE))</f>
        <v>721034.36435633304</v>
      </c>
      <c r="T18" s="29">
        <f>IF(T11=0,0,VLOOKUP(T11,FAC_TOTALS_APTA!$A$4:$BD$126,$L18,FALSE))</f>
        <v>9023447.5112702902</v>
      </c>
      <c r="U18" s="29">
        <f>IF(U11=0,0,VLOOKUP(U11,FAC_TOTALS_APTA!$A$4:$BD$126,$L18,FALSE))</f>
        <v>-2934944.9346888498</v>
      </c>
      <c r="V18" s="29">
        <f>IF(V11=0,0,VLOOKUP(V11,FAC_TOTALS_APTA!$A$4:$BD$126,$L18,FALSE))</f>
        <v>-2655213.90673187</v>
      </c>
      <c r="W18" s="29">
        <f>IF(W11=0,0,VLOOKUP(W11,FAC_TOTALS_APTA!$A$4:$BD$126,$L18,FALSE))</f>
        <v>0</v>
      </c>
      <c r="X18" s="29">
        <f>IF(X11=0,0,VLOOKUP(X11,FAC_TOTALS_APTA!$A$4:$BD$126,$L18,FALSE))</f>
        <v>0</v>
      </c>
      <c r="Y18" s="29">
        <f>IF(Y11=0,0,VLOOKUP(Y11,FAC_TOTALS_APTA!$A$4:$BD$126,$L18,FALSE))</f>
        <v>0</v>
      </c>
      <c r="Z18" s="29">
        <f>IF(Z11=0,0,VLOOKUP(Z11,FAC_TOTALS_APTA!$A$4:$BD$126,$L18,FALSE))</f>
        <v>0</v>
      </c>
      <c r="AA18" s="29">
        <f>IF(AA11=0,0,VLOOKUP(AA11,FAC_TOTALS_APTA!$A$4:$BD$126,$L18,FALSE))</f>
        <v>0</v>
      </c>
      <c r="AB18" s="29">
        <f>IF(AB11=0,0,VLOOKUP(AB11,FAC_TOTALS_APTA!$A$4:$BD$126,$L18,FALSE))</f>
        <v>0</v>
      </c>
      <c r="AC18" s="32">
        <f t="shared" si="4"/>
        <v>-2503189.8029294261</v>
      </c>
      <c r="AD18" s="33">
        <f>AC18/G27</f>
        <v>-2.4384354224428403E-3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MATCH($D19,FAC_TOTALS_APTA!$A$2:$BD$2,)</f>
        <v>18</v>
      </c>
      <c r="G19" s="34">
        <f>VLOOKUP(G11,FAC_TOTALS_APTA!$A$4:$BD$126,$F19,FALSE)</f>
        <v>1.9562821014237</v>
      </c>
      <c r="H19" s="34">
        <f>VLOOKUP(H11,FAC_TOTALS_APTA!$A$4:$BD$126,$F19,FALSE)</f>
        <v>4.0850684443871499</v>
      </c>
      <c r="I19" s="30">
        <f t="shared" si="1"/>
        <v>1.0881796349382373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MATCH($K19,FAC_TOTALS_APTA!$A$2:$BB$2,)</f>
        <v>36</v>
      </c>
      <c r="M19" s="29">
        <f>IF(M11=0,0,VLOOKUP(M11,FAC_TOTALS_APTA!$A$4:$BD$126,$L19,FALSE))</f>
        <v>16589414.0764565</v>
      </c>
      <c r="N19" s="29">
        <f>IF(N11=0,0,VLOOKUP(N11,FAC_TOTALS_APTA!$A$4:$BD$126,$L19,FALSE))</f>
        <v>17595757.875653598</v>
      </c>
      <c r="O19" s="29">
        <f>IF(O11=0,0,VLOOKUP(O11,FAC_TOTALS_APTA!$A$4:$BD$126,$L19,FALSE))</f>
        <v>23847854.022976901</v>
      </c>
      <c r="P19" s="29">
        <f>IF(P11=0,0,VLOOKUP(P11,FAC_TOTALS_APTA!$A$4:$BD$126,$L19,FALSE))</f>
        <v>14197292.1724982</v>
      </c>
      <c r="Q19" s="29">
        <f>IF(Q11=0,0,VLOOKUP(Q11,FAC_TOTALS_APTA!$A$4:$BD$126,$L19,FALSE))</f>
        <v>7876550.3835509596</v>
      </c>
      <c r="R19" s="29">
        <f>IF(R11=0,0,VLOOKUP(R11,FAC_TOTALS_APTA!$A$4:$BD$126,$L19,FALSE))</f>
        <v>19908572.390547499</v>
      </c>
      <c r="S19" s="29">
        <f>IF(S11=0,0,VLOOKUP(S11,FAC_TOTALS_APTA!$A$4:$BD$126,$L19,FALSE))</f>
        <v>-53689810.907522298</v>
      </c>
      <c r="T19" s="29">
        <f>IF(T11=0,0,VLOOKUP(T11,FAC_TOTALS_APTA!$A$4:$BD$126,$L19,FALSE))</f>
        <v>25011456.4309613</v>
      </c>
      <c r="U19" s="29">
        <f>IF(U11=0,0,VLOOKUP(U11,FAC_TOTALS_APTA!$A$4:$BD$126,$L19,FALSE))</f>
        <v>36872819.469543003</v>
      </c>
      <c r="V19" s="29">
        <f>IF(V11=0,0,VLOOKUP(V11,FAC_TOTALS_APTA!$A$4:$BD$126,$L19,FALSE))</f>
        <v>1368764.80127204</v>
      </c>
      <c r="W19" s="29">
        <f>IF(W11=0,0,VLOOKUP(W11,FAC_TOTALS_APTA!$A$4:$BD$126,$L19,FALSE))</f>
        <v>0</v>
      </c>
      <c r="X19" s="29">
        <f>IF(X11=0,0,VLOOKUP(X11,FAC_TOTALS_APTA!$A$4:$BD$126,$L19,FALSE))</f>
        <v>0</v>
      </c>
      <c r="Y19" s="29">
        <f>IF(Y11=0,0,VLOOKUP(Y11,FAC_TOTALS_APTA!$A$4:$BD$126,$L19,FALSE))</f>
        <v>0</v>
      </c>
      <c r="Z19" s="29">
        <f>IF(Z11=0,0,VLOOKUP(Z11,FAC_TOTALS_APTA!$A$4:$BD$126,$L19,FALSE))</f>
        <v>0</v>
      </c>
      <c r="AA19" s="29">
        <f>IF(AA11=0,0,VLOOKUP(AA11,FAC_TOTALS_APTA!$A$4:$BD$126,$L19,FALSE))</f>
        <v>0</v>
      </c>
      <c r="AB19" s="29">
        <f>IF(AB11=0,0,VLOOKUP(AB11,FAC_TOTALS_APTA!$A$4:$BD$126,$L19,FALSE))</f>
        <v>0</v>
      </c>
      <c r="AC19" s="32">
        <f t="shared" si="4"/>
        <v>109578670.7159377</v>
      </c>
      <c r="AD19" s="33">
        <f>AC19/G27</f>
        <v>0.10674400794747715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MATCH($D20,FAC_TOTALS_APTA!$A$2:$BD$2,)</f>
        <v>19</v>
      </c>
      <c r="G20" s="54">
        <f>VLOOKUP(G11,FAC_TOTALS_APTA!$A$4:$BD$126,$F20,FALSE)</f>
        <v>43683.908616914901</v>
      </c>
      <c r="H20" s="54">
        <f>VLOOKUP(H11,FAC_TOTALS_APTA!$A$4:$BD$126,$F20,FALSE)</f>
        <v>35332.063055995401</v>
      </c>
      <c r="I20" s="30">
        <f t="shared" si="1"/>
        <v>-0.19118814742885837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MATCH($K20,FAC_TOTALS_APTA!$A$2:$BB$2,)</f>
        <v>37</v>
      </c>
      <c r="M20" s="29">
        <f>IF(M11=0,0,VLOOKUP(M11,FAC_TOTALS_APTA!$A$4:$BD$126,$L20,FALSE))</f>
        <v>2182484.8376568402</v>
      </c>
      <c r="N20" s="29">
        <f>IF(N11=0,0,VLOOKUP(N11,FAC_TOTALS_APTA!$A$4:$BD$126,$L20,FALSE))</f>
        <v>2961073.8115839902</v>
      </c>
      <c r="O20" s="29">
        <f>IF(O11=0,0,VLOOKUP(O11,FAC_TOTALS_APTA!$A$4:$BD$126,$L20,FALSE))</f>
        <v>2886342.1904317201</v>
      </c>
      <c r="P20" s="29">
        <f>IF(P11=0,0,VLOOKUP(P11,FAC_TOTALS_APTA!$A$4:$BD$126,$L20,FALSE))</f>
        <v>4609569.4325866299</v>
      </c>
      <c r="Q20" s="29">
        <f>IF(Q11=0,0,VLOOKUP(Q11,FAC_TOTALS_APTA!$A$4:$BD$126,$L20,FALSE))</f>
        <v>-1391021.55222641</v>
      </c>
      <c r="R20" s="29">
        <f>IF(R11=0,0,VLOOKUP(R11,FAC_TOTALS_APTA!$A$4:$BD$126,$L20,FALSE))</f>
        <v>76777.215070985403</v>
      </c>
      <c r="S20" s="29">
        <f>IF(S11=0,0,VLOOKUP(S11,FAC_TOTALS_APTA!$A$4:$BD$126,$L20,FALSE))</f>
        <v>4905990.0751179401</v>
      </c>
      <c r="T20" s="29">
        <f>IF(T11=0,0,VLOOKUP(T11,FAC_TOTALS_APTA!$A$4:$BD$126,$L20,FALSE))</f>
        <v>2661130.0168197802</v>
      </c>
      <c r="U20" s="29">
        <f>IF(U11=0,0,VLOOKUP(U11,FAC_TOTALS_APTA!$A$4:$BD$126,$L20,FALSE))</f>
        <v>1886352.9856807301</v>
      </c>
      <c r="V20" s="29">
        <f>IF(V11=0,0,VLOOKUP(V11,FAC_TOTALS_APTA!$A$4:$BD$126,$L20,FALSE))</f>
        <v>1068338.2640080201</v>
      </c>
      <c r="W20" s="29">
        <f>IF(W11=0,0,VLOOKUP(W11,FAC_TOTALS_APTA!$A$4:$BD$126,$L20,FALSE))</f>
        <v>0</v>
      </c>
      <c r="X20" s="29">
        <f>IF(X11=0,0,VLOOKUP(X11,FAC_TOTALS_APTA!$A$4:$BD$126,$L20,FALSE))</f>
        <v>0</v>
      </c>
      <c r="Y20" s="29">
        <f>IF(Y11=0,0,VLOOKUP(Y11,FAC_TOTALS_APTA!$A$4:$BD$126,$L20,FALSE))</f>
        <v>0</v>
      </c>
      <c r="Z20" s="29">
        <f>IF(Z11=0,0,VLOOKUP(Z11,FAC_TOTALS_APTA!$A$4:$BD$126,$L20,FALSE))</f>
        <v>0</v>
      </c>
      <c r="AA20" s="29">
        <f>IF(AA11=0,0,VLOOKUP(AA11,FAC_TOTALS_APTA!$A$4:$BD$126,$L20,FALSE))</f>
        <v>0</v>
      </c>
      <c r="AB20" s="29">
        <f>IF(AB11=0,0,VLOOKUP(AB11,FAC_TOTALS_APTA!$A$4:$BD$126,$L20,FALSE))</f>
        <v>0</v>
      </c>
      <c r="AC20" s="32">
        <f t="shared" si="4"/>
        <v>21847037.276730224</v>
      </c>
      <c r="AD20" s="33">
        <f>AC20/G27</f>
        <v>2.1281881824807867E-2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MATCH($D21,FAC_TOTALS_APTA!$A$2:$BD$2,)</f>
        <v>20</v>
      </c>
      <c r="G21" s="29">
        <f>VLOOKUP(G11,FAC_TOTALS_APTA!$A$4:$BD$126,$F21,FALSE)</f>
        <v>11.084471518324801</v>
      </c>
      <c r="H21" s="29">
        <f>VLOOKUP(H11,FAC_TOTALS_APTA!$A$4:$BD$126,$F21,FALSE)</f>
        <v>11.244313444527</v>
      </c>
      <c r="I21" s="30">
        <f t="shared" si="1"/>
        <v>1.4420347053799576E-2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MATCH($K21,FAC_TOTALS_APTA!$A$2:$BB$2,)</f>
        <v>38</v>
      </c>
      <c r="M21" s="29">
        <f>IF(M11=0,0,VLOOKUP(M11,FAC_TOTALS_APTA!$A$4:$BD$126,$L21,FALSE))</f>
        <v>-223889.860754439</v>
      </c>
      <c r="N21" s="29">
        <f>IF(N11=0,0,VLOOKUP(N11,FAC_TOTALS_APTA!$A$4:$BD$126,$L21,FALSE))</f>
        <v>-220782.35278385601</v>
      </c>
      <c r="O21" s="29">
        <f>IF(O11=0,0,VLOOKUP(O11,FAC_TOTALS_APTA!$A$4:$BD$126,$L21,FALSE))</f>
        <v>-247548.420011749</v>
      </c>
      <c r="P21" s="29">
        <f>IF(P11=0,0,VLOOKUP(P11,FAC_TOTALS_APTA!$A$4:$BD$126,$L21,FALSE))</f>
        <v>-197179.93108661001</v>
      </c>
      <c r="Q21" s="29">
        <f>IF(Q11=0,0,VLOOKUP(Q11,FAC_TOTALS_APTA!$A$4:$BD$126,$L21,FALSE))</f>
        <v>-401673.18840727501</v>
      </c>
      <c r="R21" s="29">
        <f>IF(R11=0,0,VLOOKUP(R11,FAC_TOTALS_APTA!$A$4:$BD$126,$L21,FALSE))</f>
        <v>431928.20986938901</v>
      </c>
      <c r="S21" s="29">
        <f>IF(S11=0,0,VLOOKUP(S11,FAC_TOTALS_APTA!$A$4:$BD$126,$L21,FALSE))</f>
        <v>381828.06358722801</v>
      </c>
      <c r="T21" s="29">
        <f>IF(T11=0,0,VLOOKUP(T11,FAC_TOTALS_APTA!$A$4:$BD$126,$L21,FALSE))</f>
        <v>878898.60497828003</v>
      </c>
      <c r="U21" s="29">
        <f>IF(U11=0,0,VLOOKUP(U11,FAC_TOTALS_APTA!$A$4:$BD$126,$L21,FALSE))</f>
        <v>947163.06849404704</v>
      </c>
      <c r="V21" s="29">
        <f>IF(V11=0,0,VLOOKUP(V11,FAC_TOTALS_APTA!$A$4:$BD$126,$L21,FALSE))</f>
        <v>-373645.08994880598</v>
      </c>
      <c r="W21" s="29">
        <f>IF(W11=0,0,VLOOKUP(W11,FAC_TOTALS_APTA!$A$4:$BD$126,$L21,FALSE))</f>
        <v>0</v>
      </c>
      <c r="X21" s="29">
        <f>IF(X11=0,0,VLOOKUP(X11,FAC_TOTALS_APTA!$A$4:$BD$126,$L21,FALSE))</f>
        <v>0</v>
      </c>
      <c r="Y21" s="29">
        <f>IF(Y11=0,0,VLOOKUP(Y11,FAC_TOTALS_APTA!$A$4:$BD$126,$L21,FALSE))</f>
        <v>0</v>
      </c>
      <c r="Z21" s="29">
        <f>IF(Z11=0,0,VLOOKUP(Z11,FAC_TOTALS_APTA!$A$4:$BD$126,$L21,FALSE))</f>
        <v>0</v>
      </c>
      <c r="AA21" s="29">
        <f>IF(AA11=0,0,VLOOKUP(AA11,FAC_TOTALS_APTA!$A$4:$BD$126,$L21,FALSE))</f>
        <v>0</v>
      </c>
      <c r="AB21" s="29">
        <f>IF(AB11=0,0,VLOOKUP(AB11,FAC_TOTALS_APTA!$A$4:$BD$126,$L21,FALSE))</f>
        <v>0</v>
      </c>
      <c r="AC21" s="32">
        <f t="shared" si="4"/>
        <v>975099.10393620888</v>
      </c>
      <c r="AD21" s="33">
        <f>AC21/G27</f>
        <v>9.4987451317025073E-4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MATCH($D22,FAC_TOTALS_APTA!$A$2:$BD$2,)</f>
        <v>21</v>
      </c>
      <c r="G22" s="34">
        <f>VLOOKUP(G11,FAC_TOTALS_APTA!$A$4:$BD$126,$F22,FALSE)</f>
        <v>3.902560944093</v>
      </c>
      <c r="H22" s="34">
        <f>VLOOKUP(H11,FAC_TOTALS_APTA!$A$4:$BD$126,$F22,FALSE)</f>
        <v>4.8858900437047801</v>
      </c>
      <c r="I22" s="30">
        <f t="shared" si="1"/>
        <v>0.25197020974141826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MATCH($K22,FAC_TOTALS_APTA!$A$2:$BB$2,)</f>
        <v>39</v>
      </c>
      <c r="M22" s="29">
        <f>IF(M11=0,0,VLOOKUP(M11,FAC_TOTALS_APTA!$A$4:$BD$126,$L22,FALSE))</f>
        <v>0</v>
      </c>
      <c r="N22" s="29">
        <f>IF(N11=0,0,VLOOKUP(N11,FAC_TOTALS_APTA!$A$4:$BD$126,$L22,FALSE))</f>
        <v>0</v>
      </c>
      <c r="O22" s="29">
        <f>IF(O11=0,0,VLOOKUP(O11,FAC_TOTALS_APTA!$A$4:$BD$126,$L22,FALSE))</f>
        <v>0</v>
      </c>
      <c r="P22" s="29">
        <f>IF(P11=0,0,VLOOKUP(P11,FAC_TOTALS_APTA!$A$4:$BD$126,$L22,FALSE))</f>
        <v>-2873764.0559148602</v>
      </c>
      <c r="Q22" s="29">
        <f>IF(Q11=0,0,VLOOKUP(Q11,FAC_TOTALS_APTA!$A$4:$BD$126,$L22,FALSE))</f>
        <v>-2432030.26920097</v>
      </c>
      <c r="R22" s="29">
        <f>IF(R11=0,0,VLOOKUP(R11,FAC_TOTALS_APTA!$A$4:$BD$126,$L22,FALSE))</f>
        <v>-1017422.58941077</v>
      </c>
      <c r="S22" s="29">
        <f>IF(S11=0,0,VLOOKUP(S11,FAC_TOTALS_APTA!$A$4:$BD$126,$L22,FALSE))</f>
        <v>-1992265.4054424199</v>
      </c>
      <c r="T22" s="29">
        <f>IF(T11=0,0,VLOOKUP(T11,FAC_TOTALS_APTA!$A$4:$BD$126,$L22,FALSE))</f>
        <v>-2719614.3752265801</v>
      </c>
      <c r="U22" s="29">
        <f>IF(U11=0,0,VLOOKUP(U11,FAC_TOTALS_APTA!$A$4:$BD$126,$L22,FALSE))</f>
        <v>472907.01048427197</v>
      </c>
      <c r="V22" s="29">
        <f>IF(V11=0,0,VLOOKUP(V11,FAC_TOTALS_APTA!$A$4:$BD$126,$L22,FALSE))</f>
        <v>-757020.62808226398</v>
      </c>
      <c r="W22" s="29">
        <f>IF(W11=0,0,VLOOKUP(W11,FAC_TOTALS_APTA!$A$4:$BD$126,$L22,FALSE))</f>
        <v>0</v>
      </c>
      <c r="X22" s="29">
        <f>IF(X11=0,0,VLOOKUP(X11,FAC_TOTALS_APTA!$A$4:$BD$126,$L22,FALSE))</f>
        <v>0</v>
      </c>
      <c r="Y22" s="29">
        <f>IF(Y11=0,0,VLOOKUP(Y11,FAC_TOTALS_APTA!$A$4:$BD$126,$L22,FALSE))</f>
        <v>0</v>
      </c>
      <c r="Z22" s="29">
        <f>IF(Z11=0,0,VLOOKUP(Z11,FAC_TOTALS_APTA!$A$4:$BD$126,$L22,FALSE))</f>
        <v>0</v>
      </c>
      <c r="AA22" s="29">
        <f>IF(AA11=0,0,VLOOKUP(AA11,FAC_TOTALS_APTA!$A$4:$BD$126,$L22,FALSE))</f>
        <v>0</v>
      </c>
      <c r="AB22" s="29">
        <f>IF(AB11=0,0,VLOOKUP(AB11,FAC_TOTALS_APTA!$A$4:$BD$126,$L22,FALSE))</f>
        <v>0</v>
      </c>
      <c r="AC22" s="32">
        <f t="shared" si="4"/>
        <v>-11319210.31279359</v>
      </c>
      <c r="AD22" s="33">
        <f>AC22/G27</f>
        <v>-1.1026396539525359E-2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93</v>
      </c>
      <c r="E23" s="55"/>
      <c r="F23" s="6">
        <f>MATCH($D23,FAC_TOTALS_APTA!$A$2:$BD$2,)</f>
        <v>26</v>
      </c>
      <c r="G23" s="34">
        <f>VLOOKUP(G11,FAC_TOTALS_APTA!$A$4:$BD$126,$F23,FALSE)</f>
        <v>0</v>
      </c>
      <c r="H23" s="34">
        <f>VLOOKUP(H11,FAC_TOTALS_APTA!$A$4:$BD$126,$F23,FALSE)</f>
        <v>0.619991742491807</v>
      </c>
      <c r="I23" s="30" t="str">
        <f t="shared" si="1"/>
        <v>-</v>
      </c>
      <c r="J23" s="31"/>
      <c r="K23" s="31" t="str">
        <f t="shared" si="3"/>
        <v>YEARS_SINCE_TNC_RAIL_HINY_FAC</v>
      </c>
      <c r="L23" s="6">
        <f>MATCH($K23,FAC_TOTALS_APTA!$A$2:$BB$2,)</f>
        <v>44</v>
      </c>
      <c r="M23" s="29">
        <f>IF(M11=0,0,VLOOKUP(M11,FAC_TOTALS_APTA!$A$4:$BD$126,$L23,FALSE))</f>
        <v>0</v>
      </c>
      <c r="N23" s="29">
        <f>IF(N11=0,0,VLOOKUP(N11,FAC_TOTALS_APTA!$A$4:$BD$126,$L23,FALSE))</f>
        <v>0</v>
      </c>
      <c r="O23" s="29">
        <f>IF(O11=0,0,VLOOKUP(O11,FAC_TOTALS_APTA!$A$4:$BD$126,$L23,FALSE))</f>
        <v>0</v>
      </c>
      <c r="P23" s="29">
        <f>IF(P11=0,0,VLOOKUP(P11,FAC_TOTALS_APTA!$A$4:$BD$126,$L23,FALSE))</f>
        <v>0</v>
      </c>
      <c r="Q23" s="29">
        <f>IF(Q11=0,0,VLOOKUP(Q11,FAC_TOTALS_APTA!$A$4:$BD$126,$L23,FALSE))</f>
        <v>0</v>
      </c>
      <c r="R23" s="29">
        <f>IF(R11=0,0,VLOOKUP(R11,FAC_TOTALS_APTA!$A$4:$BD$126,$L23,FALSE))</f>
        <v>0</v>
      </c>
      <c r="S23" s="29">
        <f>IF(S11=0,0,VLOOKUP(S11,FAC_TOTALS_APTA!$A$4:$BD$126,$L23,FALSE))</f>
        <v>0</v>
      </c>
      <c r="T23" s="29">
        <f>IF(T11=0,0,VLOOKUP(T11,FAC_TOTALS_APTA!$A$4:$BD$126,$L23,FALSE))</f>
        <v>0</v>
      </c>
      <c r="U23" s="29">
        <f>IF(U11=0,0,VLOOKUP(U11,FAC_TOTALS_APTA!$A$4:$BD$126,$L23,FALSE))</f>
        <v>403017.32747810002</v>
      </c>
      <c r="V23" s="29">
        <f>IF(V11=0,0,VLOOKUP(V11,FAC_TOTALS_APTA!$A$4:$BD$126,$L23,FALSE))</f>
        <v>1741558.22373934</v>
      </c>
      <c r="W23" s="29">
        <f>IF(W11=0,0,VLOOKUP(W11,FAC_TOTALS_APTA!$A$4:$BD$126,$L23,FALSE))</f>
        <v>0</v>
      </c>
      <c r="X23" s="29">
        <f>IF(X11=0,0,VLOOKUP(X11,FAC_TOTALS_APTA!$A$4:$BD$126,$L23,FALSE))</f>
        <v>0</v>
      </c>
      <c r="Y23" s="29">
        <f>IF(Y11=0,0,VLOOKUP(Y11,FAC_TOTALS_APTA!$A$4:$BD$126,$L23,FALSE))</f>
        <v>0</v>
      </c>
      <c r="Z23" s="29">
        <f>IF(Z11=0,0,VLOOKUP(Z11,FAC_TOTALS_APTA!$A$4:$BD$126,$L23,FALSE))</f>
        <v>0</v>
      </c>
      <c r="AA23" s="29">
        <f>IF(AA11=0,0,VLOOKUP(AA11,FAC_TOTALS_APTA!$A$4:$BD$126,$L23,FALSE))</f>
        <v>0</v>
      </c>
      <c r="AB23" s="29">
        <f>IF(AB11=0,0,VLOOKUP(AB11,FAC_TOTALS_APTA!$A$4:$BD$126,$L23,FALSE))</f>
        <v>0</v>
      </c>
      <c r="AC23" s="32">
        <f t="shared" si="4"/>
        <v>2144575.5512174401</v>
      </c>
      <c r="AD23" s="33">
        <f>AC23/G27</f>
        <v>2.0890980716179119E-3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MATCH($D24,FAC_TOTALS_APTA!$A$2:$BD$2,)</f>
        <v>28</v>
      </c>
      <c r="G24" s="34">
        <f>VLOOKUP(G11,FAC_TOTALS_APTA!$A$4:$BD$126,$F24,FALSE)</f>
        <v>0</v>
      </c>
      <c r="H24" s="34">
        <f>VLOOKUP(H11,FAC_TOTALS_APTA!$A$4:$BD$126,$F24,FALSE)</f>
        <v>0.36463924263986802</v>
      </c>
      <c r="I24" s="30" t="str">
        <f t="shared" si="1"/>
        <v>-</v>
      </c>
      <c r="J24" s="31" t="str">
        <f t="shared" si="2"/>
        <v/>
      </c>
      <c r="K24" s="31" t="str">
        <f t="shared" si="3"/>
        <v>BIKE_SHARE_FAC</v>
      </c>
      <c r="L24" s="6">
        <f>MATCH($K24,FAC_TOTALS_APTA!$A$2:$BB$2,)</f>
        <v>46</v>
      </c>
      <c r="M24" s="29">
        <f>IF(M11=0,0,VLOOKUP(M11,FAC_TOTALS_APTA!$A$4:$BD$126,$L24,FALSE))</f>
        <v>0</v>
      </c>
      <c r="N24" s="29">
        <f>IF(N11=0,0,VLOOKUP(N11,FAC_TOTALS_APTA!$A$4:$BD$126,$L24,FALSE))</f>
        <v>0</v>
      </c>
      <c r="O24" s="29">
        <f>IF(O11=0,0,VLOOKUP(O11,FAC_TOTALS_APTA!$A$4:$BD$126,$L24,FALSE))</f>
        <v>0</v>
      </c>
      <c r="P24" s="29">
        <f>IF(P11=0,0,VLOOKUP(P11,FAC_TOTALS_APTA!$A$4:$BD$126,$L24,FALSE))</f>
        <v>0</v>
      </c>
      <c r="Q24" s="29">
        <f>IF(Q11=0,0,VLOOKUP(Q11,FAC_TOTALS_APTA!$A$4:$BD$126,$L24,FALSE))</f>
        <v>0</v>
      </c>
      <c r="R24" s="29">
        <f>IF(R11=0,0,VLOOKUP(R11,FAC_TOTALS_APTA!$A$4:$BD$126,$L24,FALSE))</f>
        <v>-3064394.8661025702</v>
      </c>
      <c r="S24" s="29">
        <f>IF(S11=0,0,VLOOKUP(S11,FAC_TOTALS_APTA!$A$4:$BD$126,$L24,FALSE))</f>
        <v>0</v>
      </c>
      <c r="T24" s="29">
        <f>IF(T11=0,0,VLOOKUP(T11,FAC_TOTALS_APTA!$A$4:$BD$126,$L24,FALSE))</f>
        <v>-320113.36026384903</v>
      </c>
      <c r="U24" s="29">
        <f>IF(U11=0,0,VLOOKUP(U11,FAC_TOTALS_APTA!$A$4:$BD$126,$L24,FALSE))</f>
        <v>-2558655.7175046899</v>
      </c>
      <c r="V24" s="29">
        <f>IF(V11=0,0,VLOOKUP(V11,FAC_TOTALS_APTA!$A$4:$BD$126,$L24,FALSE))</f>
        <v>-116302.366001175</v>
      </c>
      <c r="W24" s="29">
        <f>IF(W11=0,0,VLOOKUP(W11,FAC_TOTALS_APTA!$A$4:$BD$126,$L24,FALSE))</f>
        <v>0</v>
      </c>
      <c r="X24" s="29">
        <f>IF(X11=0,0,VLOOKUP(X11,FAC_TOTALS_APTA!$A$4:$BD$126,$L24,FALSE))</f>
        <v>0</v>
      </c>
      <c r="Y24" s="29">
        <f>IF(Y11=0,0,VLOOKUP(Y11,FAC_TOTALS_APTA!$A$4:$BD$126,$L24,FALSE))</f>
        <v>0</v>
      </c>
      <c r="Z24" s="29">
        <f>IF(Z11=0,0,VLOOKUP(Z11,FAC_TOTALS_APTA!$A$4:$BD$126,$L24,FALSE))</f>
        <v>0</v>
      </c>
      <c r="AA24" s="29">
        <f>IF(AA11=0,0,VLOOKUP(AA11,FAC_TOTALS_APTA!$A$4:$BD$126,$L24,FALSE))</f>
        <v>0</v>
      </c>
      <c r="AB24" s="29">
        <f>IF(AB11=0,0,VLOOKUP(AB11,FAC_TOTALS_APTA!$A$4:$BD$126,$L24,FALSE))</f>
        <v>0</v>
      </c>
      <c r="AC24" s="32">
        <f t="shared" si="4"/>
        <v>-6059466.3098722836</v>
      </c>
      <c r="AD24" s="33">
        <f>AC24/G27</f>
        <v>-5.9027155167378879E-3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MATCH($D25,FAC_TOTALS_APTA!$A$2:$BD$2,)</f>
        <v>29</v>
      </c>
      <c r="G25" s="35">
        <f>VLOOKUP(G11,FAC_TOTALS_APTA!$A$4:$BD$126,$F25,FALSE)</f>
        <v>0</v>
      </c>
      <c r="H25" s="35">
        <f>VLOOKUP(H11,FAC_TOTALS_APTA!$A$4:$BD$126,$F25,FALSE)</f>
        <v>0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MATCH($K25,FAC_TOTALS_APTA!$A$2:$BB$2,)</f>
        <v>47</v>
      </c>
      <c r="M25" s="38">
        <f>IF(M11=0,0,VLOOKUP(M11,FAC_TOTALS_APTA!$A$4:$BD$126,$L25,FALSE))</f>
        <v>0</v>
      </c>
      <c r="N25" s="38">
        <f>IF(N11=0,0,VLOOKUP(N11,FAC_TOTALS_APTA!$A$4:$BD$126,$L25,FALSE))</f>
        <v>0</v>
      </c>
      <c r="O25" s="38">
        <f>IF(O11=0,0,VLOOKUP(O11,FAC_TOTALS_APTA!$A$4:$BD$126,$L25,FALSE))</f>
        <v>0</v>
      </c>
      <c r="P25" s="38">
        <f>IF(P11=0,0,VLOOKUP(P11,FAC_TOTALS_APTA!$A$4:$BD$126,$L25,FALSE))</f>
        <v>0</v>
      </c>
      <c r="Q25" s="38">
        <f>IF(Q11=0,0,VLOOKUP(Q11,FAC_TOTALS_APTA!$A$4:$BD$126,$L25,FALSE))</f>
        <v>0</v>
      </c>
      <c r="R25" s="38">
        <f>IF(R11=0,0,VLOOKUP(R11,FAC_TOTALS_APTA!$A$4:$BD$126,$L25,FALSE))</f>
        <v>0</v>
      </c>
      <c r="S25" s="38">
        <f>IF(S11=0,0,VLOOKUP(S11,FAC_TOTALS_APTA!$A$4:$BD$126,$L25,FALSE))</f>
        <v>0</v>
      </c>
      <c r="T25" s="38">
        <f>IF(T11=0,0,VLOOKUP(T11,FAC_TOTALS_APTA!$A$4:$BD$126,$L25,FALSE))</f>
        <v>0</v>
      </c>
      <c r="U25" s="38">
        <f>IF(U11=0,0,VLOOKUP(U11,FAC_TOTALS_APTA!$A$4:$BD$126,$L25,FALSE))</f>
        <v>0</v>
      </c>
      <c r="V25" s="38">
        <f>IF(V11=0,0,VLOOKUP(V11,FAC_TOTALS_APTA!$A$4:$BD$126,$L25,FALSE))</f>
        <v>0</v>
      </c>
      <c r="W25" s="38">
        <f>IF(W11=0,0,VLOOKUP(W11,FAC_TOTALS_APTA!$A$4:$BD$126,$L25,FALSE))</f>
        <v>0</v>
      </c>
      <c r="X25" s="38">
        <f>IF(X11=0,0,VLOOKUP(X11,FAC_TOTALS_APTA!$A$4:$BD$126,$L25,FALSE))</f>
        <v>0</v>
      </c>
      <c r="Y25" s="38">
        <f>IF(Y11=0,0,VLOOKUP(Y11,FAC_TOTALS_APTA!$A$4:$BD$126,$L25,FALSE))</f>
        <v>0</v>
      </c>
      <c r="Z25" s="38">
        <f>IF(Z11=0,0,VLOOKUP(Z11,FAC_TOTALS_APTA!$A$4:$BD$126,$L25,FALSE))</f>
        <v>0</v>
      </c>
      <c r="AA25" s="38">
        <f>IF(AA11=0,0,VLOOKUP(AA11,FAC_TOTALS_APTA!$A$4:$BD$126,$L25,FALSE))</f>
        <v>0</v>
      </c>
      <c r="AB25" s="38">
        <f>IF(AB11=0,0,VLOOKUP(AB11,FAC_TOTALS_APTA!$A$4:$BD$126,$L25,FALSE))</f>
        <v>0</v>
      </c>
      <c r="AC25" s="39">
        <f t="shared" si="4"/>
        <v>0</v>
      </c>
      <c r="AD25" s="40">
        <f>AC25/G27</f>
        <v>0</v>
      </c>
      <c r="AE25" s="6"/>
    </row>
    <row r="26" spans="1:31" s="13" customFormat="1" x14ac:dyDescent="0.2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si="3"/>
        <v>New_Reporter_FAC</v>
      </c>
      <c r="L26" s="44">
        <f>MATCH($K26,FAC_TOTALS_APTA!$A$2:$BB$2,)</f>
        <v>51</v>
      </c>
      <c r="M26" s="45">
        <f>IF(M11=0,0,VLOOKUP(M11,FAC_TOTALS_APTA!$A$4:$BD$126,$L26,FALSE))</f>
        <v>0</v>
      </c>
      <c r="N26" s="45">
        <f>IF(N11=0,0,VLOOKUP(N11,FAC_TOTALS_APTA!$A$4:$BD$126,$L26,FALSE))</f>
        <v>7695887</v>
      </c>
      <c r="O26" s="45">
        <f>IF(O11=0,0,VLOOKUP(O11,FAC_TOTALS_APTA!$A$4:$BD$126,$L26,FALSE))</f>
        <v>7901667.9999999898</v>
      </c>
      <c r="P26" s="45">
        <f>IF(P11=0,0,VLOOKUP(P11,FAC_TOTALS_APTA!$A$4:$BD$126,$L26,FALSE))</f>
        <v>0</v>
      </c>
      <c r="Q26" s="45">
        <f>IF(Q11=0,0,VLOOKUP(Q11,FAC_TOTALS_APTA!$A$4:$BD$126,$L26,FALSE))</f>
        <v>0</v>
      </c>
      <c r="R26" s="45">
        <f>IF(R11=0,0,VLOOKUP(R11,FAC_TOTALS_APTA!$A$4:$BD$126,$L26,FALSE))</f>
        <v>0</v>
      </c>
      <c r="S26" s="45">
        <f>IF(S11=0,0,VLOOKUP(S11,FAC_TOTALS_APTA!$A$4:$BD$126,$L26,FALSE))</f>
        <v>11348341</v>
      </c>
      <c r="T26" s="45">
        <f>IF(T11=0,0,VLOOKUP(T11,FAC_TOTALS_APTA!$A$4:$BD$126,$L26,FALSE))</f>
        <v>42035535.999999903</v>
      </c>
      <c r="U26" s="45">
        <f>IF(U11=0,0,VLOOKUP(U11,FAC_TOTALS_APTA!$A$4:$BD$126,$L26,FALSE))</f>
        <v>0</v>
      </c>
      <c r="V26" s="45">
        <f>IF(V11=0,0,VLOOKUP(V11,FAC_TOTALS_APTA!$A$4:$BD$126,$L26,FALSE))</f>
        <v>0</v>
      </c>
      <c r="W26" s="45">
        <f>IF(W11=0,0,VLOOKUP(W11,FAC_TOTALS_APTA!$A$4:$BD$126,$L26,FALSE))</f>
        <v>0</v>
      </c>
      <c r="X26" s="45">
        <f>IF(X11=0,0,VLOOKUP(X11,FAC_TOTALS_APTA!$A$4:$BD$126,$L26,FALSE))</f>
        <v>0</v>
      </c>
      <c r="Y26" s="45">
        <f>IF(Y11=0,0,VLOOKUP(Y11,FAC_TOTALS_APTA!$A$4:$BD$126,$L26,FALSE))</f>
        <v>0</v>
      </c>
      <c r="Z26" s="45">
        <f>IF(Z11=0,0,VLOOKUP(Z11,FAC_TOTALS_APTA!$A$4:$BD$126,$L26,FALSE))</f>
        <v>0</v>
      </c>
      <c r="AA26" s="45">
        <f>IF(AA11=0,0,VLOOKUP(AA11,FAC_TOTALS_APTA!$A$4:$BD$126,$L26,FALSE))</f>
        <v>0</v>
      </c>
      <c r="AB26" s="45">
        <f>IF(AB11=0,0,VLOOKUP(AB11,FAC_TOTALS_APTA!$A$4:$BD$126,$L26,FALSE))</f>
        <v>0</v>
      </c>
      <c r="AC26" s="48">
        <f>SUM(M26:AB26)</f>
        <v>68981431.999999896</v>
      </c>
      <c r="AD26" s="49">
        <f>AC26/G28</f>
        <v>5.3517991241650222E-2</v>
      </c>
      <c r="AE26" s="6"/>
    </row>
    <row r="27" spans="1:31" s="105" customFormat="1" x14ac:dyDescent="0.25">
      <c r="A27" s="104"/>
      <c r="B27" s="25" t="s">
        <v>66</v>
      </c>
      <c r="C27" s="28"/>
      <c r="D27" s="104" t="s">
        <v>6</v>
      </c>
      <c r="E27" s="55"/>
      <c r="F27" s="6">
        <f>MATCH($D27,FAC_TOTALS_APTA!$A$2:$BB$2,)</f>
        <v>10</v>
      </c>
      <c r="G27" s="110">
        <f>VLOOKUP(G11,FAC_TOTALS_APTA!$A$4:$BD$126,$F27,FALSE)</f>
        <v>1026555708.58699</v>
      </c>
      <c r="H27" s="110">
        <f>VLOOKUP(H11,FAC_TOTALS_APTA!$A$4:$BB$126,$F27,FALSE)</f>
        <v>1698382992.73049</v>
      </c>
      <c r="I27" s="112">
        <f t="shared" ref="I27:I28" si="8">H27/G27-1</f>
        <v>0.65444795496606956</v>
      </c>
      <c r="J27" s="31"/>
      <c r="K27" s="31"/>
      <c r="L27" s="6"/>
      <c r="M27" s="29">
        <f t="shared" ref="M27:AB27" si="9">SUM(M13:M20)</f>
        <v>74952551.161655903</v>
      </c>
      <c r="N27" s="29">
        <f t="shared" si="9"/>
        <v>52316827.031961806</v>
      </c>
      <c r="O27" s="29">
        <f t="shared" si="9"/>
        <v>37707284.300300434</v>
      </c>
      <c r="P27" s="29">
        <f t="shared" si="9"/>
        <v>59435304.820135765</v>
      </c>
      <c r="Q27" s="29">
        <f t="shared" si="9"/>
        <v>68102943.743087232</v>
      </c>
      <c r="R27" s="29">
        <f t="shared" si="9"/>
        <v>41766114.327880144</v>
      </c>
      <c r="S27" s="29">
        <f t="shared" si="9"/>
        <v>-68347292.157380238</v>
      </c>
      <c r="T27" s="29">
        <f t="shared" si="9"/>
        <v>33872343.353961021</v>
      </c>
      <c r="U27" s="29">
        <f t="shared" si="9"/>
        <v>41271787.208984859</v>
      </c>
      <c r="V27" s="29">
        <f t="shared" si="9"/>
        <v>35430719.592453405</v>
      </c>
      <c r="W27" s="29">
        <f t="shared" si="9"/>
        <v>0</v>
      </c>
      <c r="X27" s="29">
        <f t="shared" si="9"/>
        <v>0</v>
      </c>
      <c r="Y27" s="29">
        <f t="shared" si="9"/>
        <v>0</v>
      </c>
      <c r="Z27" s="29">
        <f t="shared" si="9"/>
        <v>0</v>
      </c>
      <c r="AA27" s="29">
        <f t="shared" si="9"/>
        <v>0</v>
      </c>
      <c r="AB27" s="29">
        <f t="shared" si="9"/>
        <v>0</v>
      </c>
      <c r="AC27" s="32">
        <f>H27-G27</f>
        <v>671827284.14349997</v>
      </c>
      <c r="AD27" s="33">
        <f>I27</f>
        <v>0.65444795496606956</v>
      </c>
      <c r="AE27" s="104"/>
    </row>
    <row r="28" spans="1:31" ht="13.5" thickBot="1" x14ac:dyDescent="0.3">
      <c r="B28" s="9" t="s">
        <v>50</v>
      </c>
      <c r="C28" s="23"/>
      <c r="D28" s="148" t="s">
        <v>4</v>
      </c>
      <c r="E28" s="23"/>
      <c r="F28" s="23">
        <f>MATCH($D28,FAC_TOTALS_APTA!$A$2:$BB$2,)</f>
        <v>8</v>
      </c>
      <c r="G28" s="111">
        <f>VLOOKUP(G11,FAC_TOTALS_APTA!$A$4:$BB$126,$F28,FALSE)</f>
        <v>1288939109.99999</v>
      </c>
      <c r="H28" s="111">
        <f>VLOOKUP(H11,FAC_TOTALS_APTA!$A$4:$BB$126,$F28,FALSE)</f>
        <v>1684310471</v>
      </c>
      <c r="I28" s="113">
        <f t="shared" si="8"/>
        <v>0.30674169007100205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395371361.00001001</v>
      </c>
      <c r="AD28" s="52">
        <f>I28</f>
        <v>0.30674169007100205</v>
      </c>
    </row>
    <row r="29" spans="1:31" ht="14.25" thickTop="1" thickBot="1" x14ac:dyDescent="0.3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-0.34770626489506751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1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1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1" ht="13.5" thickBot="1" x14ac:dyDescent="0.3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1" ht="13.5" thickTop="1" x14ac:dyDescent="0.25">
      <c r="B36" s="25"/>
      <c r="C36" s="6"/>
      <c r="D36" s="62"/>
      <c r="E36" s="6"/>
      <c r="F36" s="6"/>
      <c r="G36" s="176" t="s">
        <v>51</v>
      </c>
      <c r="H36" s="176"/>
      <c r="I36" s="176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76" t="s">
        <v>55</v>
      </c>
      <c r="AD36" s="176"/>
    </row>
    <row r="37" spans="2:31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2002</v>
      </c>
      <c r="H37" s="27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1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1" hidden="1" x14ac:dyDescent="0.25">
      <c r="B39" s="25"/>
      <c r="C39" s="28"/>
      <c r="D39" s="6"/>
      <c r="E39" s="6"/>
      <c r="F39" s="6"/>
      <c r="G39" s="6" t="str">
        <f>CONCATENATE($C34,"_",$C35,"_",G37)</f>
        <v>1_2_2002</v>
      </c>
      <c r="H39" s="6" t="str">
        <f>CONCATENATE($C34,"_",$C35,"_",H37)</f>
        <v>1_2_2012</v>
      </c>
      <c r="I39" s="28"/>
      <c r="J39" s="6"/>
      <c r="K39" s="6"/>
      <c r="L39" s="6"/>
      <c r="M39" s="6" t="str">
        <f>IF($G37+M38&gt;$H37,0,CONCATENATE($C34,"_",$C35,"_",$G37+M38))</f>
        <v>1_2_2003</v>
      </c>
      <c r="N39" s="6" t="str">
        <f t="shared" ref="N39:AB39" si="10">IF($G37+N38&gt;$H37,0,CONCATENATE($C34,"_",$C35,"_",$G37+N38))</f>
        <v>1_2_2004</v>
      </c>
      <c r="O39" s="6" t="str">
        <f t="shared" si="10"/>
        <v>1_2_2005</v>
      </c>
      <c r="P39" s="6" t="str">
        <f t="shared" si="10"/>
        <v>1_2_2006</v>
      </c>
      <c r="Q39" s="6" t="str">
        <f t="shared" si="10"/>
        <v>1_2_2007</v>
      </c>
      <c r="R39" s="6" t="str">
        <f t="shared" si="10"/>
        <v>1_2_2008</v>
      </c>
      <c r="S39" s="6" t="str">
        <f t="shared" si="10"/>
        <v>1_2_2009</v>
      </c>
      <c r="T39" s="6" t="str">
        <f t="shared" si="10"/>
        <v>1_2_2010</v>
      </c>
      <c r="U39" s="6" t="str">
        <f t="shared" si="10"/>
        <v>1_2_2011</v>
      </c>
      <c r="V39" s="6" t="str">
        <f t="shared" si="10"/>
        <v>1_2_2012</v>
      </c>
      <c r="W39" s="6">
        <f t="shared" si="10"/>
        <v>0</v>
      </c>
      <c r="X39" s="6">
        <f t="shared" si="10"/>
        <v>0</v>
      </c>
      <c r="Y39" s="6">
        <f t="shared" si="10"/>
        <v>0</v>
      </c>
      <c r="Z39" s="6">
        <f t="shared" si="10"/>
        <v>0</v>
      </c>
      <c r="AA39" s="6">
        <f t="shared" si="10"/>
        <v>0</v>
      </c>
      <c r="AB39" s="6">
        <f t="shared" si="10"/>
        <v>0</v>
      </c>
      <c r="AC39" s="6"/>
      <c r="AD39" s="6"/>
    </row>
    <row r="40" spans="2:31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1" x14ac:dyDescent="0.25">
      <c r="B41" s="115" t="s">
        <v>31</v>
      </c>
      <c r="C41" s="116" t="s">
        <v>21</v>
      </c>
      <c r="D41" s="104" t="s">
        <v>91</v>
      </c>
      <c r="E41" s="55"/>
      <c r="F41" s="6">
        <f>MATCH($D41,FAC_TOTALS_APTA!$A$2:$BD$2,)</f>
        <v>13</v>
      </c>
      <c r="G41" s="29">
        <f>VLOOKUP(G39,FAC_TOTALS_APTA!$A$4:$BD$126,$F41,FALSE)</f>
        <v>2988066.6864974699</v>
      </c>
      <c r="H41" s="29">
        <f>VLOOKUP(H39,FAC_TOTALS_APTA!$A$4:$BD$126,$F41,FALSE)</f>
        <v>4140949.1879227501</v>
      </c>
      <c r="I41" s="30">
        <f>IFERROR(H41/G41-1,"-")</f>
        <v>0.38582890624059596</v>
      </c>
      <c r="J41" s="31" t="str">
        <f>IF(C41="Log","_log","")</f>
        <v>_log</v>
      </c>
      <c r="K41" s="31" t="str">
        <f>CONCATENATE(D41,J41,"_FAC")</f>
        <v>VRM_ADJ_RAIL_log_FAC</v>
      </c>
      <c r="L41" s="6">
        <f>MATCH($K41,FAC_TOTALS_APTA!$A$2:$BB$2,)</f>
        <v>31</v>
      </c>
      <c r="M41" s="29">
        <f>IF(M39=0,0,VLOOKUP(M39,FAC_TOTALS_APTA!$A$4:$BD$126,$L41,FALSE))</f>
        <v>693473.45967018697</v>
      </c>
      <c r="N41" s="29">
        <f>IF(N39=0,0,VLOOKUP(N39,FAC_TOTALS_APTA!$A$4:$BD$126,$L41,FALSE))</f>
        <v>946826.61306130304</v>
      </c>
      <c r="O41" s="29">
        <f>IF(O39=0,0,VLOOKUP(O39,FAC_TOTALS_APTA!$A$4:$BD$126,$L41,FALSE))</f>
        <v>2076157.1689295401</v>
      </c>
      <c r="P41" s="29">
        <f>IF(P39=0,0,VLOOKUP(P39,FAC_TOTALS_APTA!$A$4:$BD$126,$L41,FALSE))</f>
        <v>2622980.0333889201</v>
      </c>
      <c r="Q41" s="29">
        <f>IF(Q39=0,0,VLOOKUP(Q39,FAC_TOTALS_APTA!$A$4:$BD$126,$L41,FALSE))</f>
        <v>3666355.5711446898</v>
      </c>
      <c r="R41" s="29">
        <f>IF(R39=0,0,VLOOKUP(R39,FAC_TOTALS_APTA!$A$4:$BD$126,$L41,FALSE))</f>
        <v>7587347.5180446897</v>
      </c>
      <c r="S41" s="29">
        <f>IF(S39=0,0,VLOOKUP(S39,FAC_TOTALS_APTA!$A$4:$BD$126,$L41,FALSE))</f>
        <v>448247.01338715298</v>
      </c>
      <c r="T41" s="29">
        <f>IF(T39=0,0,VLOOKUP(T39,FAC_TOTALS_APTA!$A$4:$BD$126,$L41,FALSE))</f>
        <v>-865955.93537137203</v>
      </c>
      <c r="U41" s="29">
        <f>IF(U39=0,0,VLOOKUP(U39,FAC_TOTALS_APTA!$A$4:$BD$126,$L41,FALSE))</f>
        <v>3381870.8603427098</v>
      </c>
      <c r="V41" s="29">
        <f>IF(V39=0,0,VLOOKUP(V39,FAC_TOTALS_APTA!$A$4:$BD$126,$L41,FALSE))</f>
        <v>4073600.0161037799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24630902.318701603</v>
      </c>
      <c r="AD41" s="33">
        <f>AC41/G55</f>
        <v>0.60187556607853188</v>
      </c>
      <c r="AE41" s="102"/>
    </row>
    <row r="42" spans="2:31" x14ac:dyDescent="0.25">
      <c r="B42" s="115" t="s">
        <v>52</v>
      </c>
      <c r="C42" s="116" t="s">
        <v>21</v>
      </c>
      <c r="D42" s="104" t="s">
        <v>92</v>
      </c>
      <c r="E42" s="55"/>
      <c r="F42" s="6">
        <f>MATCH($D42,FAC_TOTALS_APTA!$A$2:$BD$2,)</f>
        <v>15</v>
      </c>
      <c r="G42" s="54">
        <f>VLOOKUP(G39,FAC_TOTALS_APTA!$A$4:$BD$126,$F42,FALSE)</f>
        <v>1.22446132506114</v>
      </c>
      <c r="H42" s="54">
        <f>VLOOKUP(H39,FAC_TOTALS_APTA!$A$4:$BD$126,$F42,FALSE)</f>
        <v>1.16958096107573</v>
      </c>
      <c r="I42" s="30">
        <f t="shared" ref="I42:I53" si="11">IFERROR(H42/G42-1,"-")</f>
        <v>-4.482000604034575E-2</v>
      </c>
      <c r="J42" s="31" t="str">
        <f t="shared" ref="J42:J50" si="12">IF(C42="Log","_log","")</f>
        <v>_log</v>
      </c>
      <c r="K42" s="31" t="str">
        <f t="shared" ref="K42:K54" si="13">CONCATENATE(D42,J42,"_FAC")</f>
        <v>FARE_per_UPT_cleaned_2018_RAIL_log_FAC</v>
      </c>
      <c r="L42" s="6">
        <f>MATCH($K42,FAC_TOTALS_APTA!$A$2:$BB$2,)</f>
        <v>33</v>
      </c>
      <c r="M42" s="29">
        <f>IF(M39=0,0,VLOOKUP(M39,FAC_TOTALS_APTA!$A$4:$BD$126,$L42,FALSE))</f>
        <v>1929086.8654708399</v>
      </c>
      <c r="N42" s="29">
        <f>IF(N39=0,0,VLOOKUP(N39,FAC_TOTALS_APTA!$A$4:$BD$126,$L42,FALSE))</f>
        <v>584588.19611110596</v>
      </c>
      <c r="O42" s="29">
        <f>IF(O39=0,0,VLOOKUP(O39,FAC_TOTALS_APTA!$A$4:$BD$126,$L42,FALSE))</f>
        <v>353762.26574223902</v>
      </c>
      <c r="P42" s="29">
        <f>IF(P39=0,0,VLOOKUP(P39,FAC_TOTALS_APTA!$A$4:$BD$126,$L42,FALSE))</f>
        <v>262317.61242443603</v>
      </c>
      <c r="Q42" s="29">
        <f>IF(Q39=0,0,VLOOKUP(Q39,FAC_TOTALS_APTA!$A$4:$BD$126,$L42,FALSE))</f>
        <v>-857499.94812990399</v>
      </c>
      <c r="R42" s="29">
        <f>IF(R39=0,0,VLOOKUP(R39,FAC_TOTALS_APTA!$A$4:$BD$126,$L42,FALSE))</f>
        <v>-352870.39158880099</v>
      </c>
      <c r="S42" s="29">
        <f>IF(S39=0,0,VLOOKUP(S39,FAC_TOTALS_APTA!$A$4:$BD$126,$L42,FALSE))</f>
        <v>-2575539.0539262602</v>
      </c>
      <c r="T42" s="29">
        <f>IF(T39=0,0,VLOOKUP(T39,FAC_TOTALS_APTA!$A$4:$BD$126,$L42,FALSE))</f>
        <v>-273583.08117056702</v>
      </c>
      <c r="U42" s="29">
        <f>IF(U39=0,0,VLOOKUP(U39,FAC_TOTALS_APTA!$A$4:$BD$126,$L42,FALSE))</f>
        <v>-189316.12991875899</v>
      </c>
      <c r="V42" s="29">
        <f>IF(V39=0,0,VLOOKUP(V39,FAC_TOTALS_APTA!$A$4:$BD$126,$L42,FALSE))</f>
        <v>229545.79699928701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4">SUM(M42:AB42)</f>
        <v>-889507.86798638327</v>
      </c>
      <c r="AD42" s="33">
        <f>AC42/G55</f>
        <v>-2.1735827808838235E-2</v>
      </c>
      <c r="AE42" s="102"/>
    </row>
    <row r="43" spans="2:31" x14ac:dyDescent="0.25"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0</v>
      </c>
      <c r="I43" s="119" t="str">
        <f>IFERROR(H43/G43-1,"-")</f>
        <v>-</v>
      </c>
      <c r="J43" s="120" t="str">
        <f t="shared" si="12"/>
        <v/>
      </c>
      <c r="K43" s="120" t="str">
        <f t="shared" si="13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0</v>
      </c>
      <c r="P43" s="117">
        <f>IF(P39=0,0,VLOOKUP(P39,FAC_TOTALS_APTA!$A$4:$BD$126,$L43,FALSE))</f>
        <v>0</v>
      </c>
      <c r="Q43" s="117">
        <f>IF(Q39=0,0,VLOOKUP(Q39,FAC_TOTALS_APTA!$A$4:$BD$126,$L43,FALSE))</f>
        <v>0</v>
      </c>
      <c r="R43" s="117">
        <f>IF(R39=0,0,VLOOKUP(R39,FAC_TOTALS_APTA!$A$4:$BD$126,$L43,FALSE))</f>
        <v>0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4"/>
        <v>0</v>
      </c>
      <c r="AD43" s="122">
        <f>AC43/G56</f>
        <v>0</v>
      </c>
      <c r="AE43" s="102"/>
    </row>
    <row r="44" spans="2:31" x14ac:dyDescent="0.25"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117">
        <f>VLOOKUP(G39,FAC_TOTALS_APTA!$A$4:$BD$126,$F44,FALSE)</f>
        <v>0</v>
      </c>
      <c r="H44" s="117">
        <f>VLOOKUP(H39,FAC_TOTALS_APTA!$A$4:$BD$126,$F44,FALSE)</f>
        <v>0</v>
      </c>
      <c r="I44" s="119" t="str">
        <f>IFERROR(H44/G44-1,"-")</f>
        <v>-</v>
      </c>
      <c r="J44" s="120" t="str">
        <f t="shared" si="12"/>
        <v/>
      </c>
      <c r="K44" s="120" t="str">
        <f t="shared" si="13"/>
        <v>MAINTENANCE_WMATA_FAC</v>
      </c>
      <c r="L44" s="104">
        <f>MATCH($K44,FAC_TOTALS_APTA!$A$2:$BB$2,)</f>
        <v>40</v>
      </c>
      <c r="M44" s="117">
        <f>IF(M40=0,0,VLOOKUP(M40,FAC_TOTALS_APTA!$A$4:$BD$126,$L44,FALSE))</f>
        <v>0</v>
      </c>
      <c r="N44" s="117">
        <f>IF(N40=0,0,VLOOKUP(N40,FAC_TOTALS_APTA!$A$4:$BD$126,$L44,FALSE))</f>
        <v>0</v>
      </c>
      <c r="O44" s="117">
        <f>IF(O40=0,0,VLOOKUP(O40,FAC_TOTALS_APTA!$A$4:$BD$126,$L44,FALSE))</f>
        <v>0</v>
      </c>
      <c r="P44" s="117">
        <f>IF(P40=0,0,VLOOKUP(P40,FAC_TOTALS_APTA!$A$4:$BD$126,$L44,FALSE))</f>
        <v>0</v>
      </c>
      <c r="Q44" s="117">
        <f>IF(Q40=0,0,VLOOKUP(Q40,FAC_TOTALS_APTA!$A$4:$BD$126,$L44,FALSE))</f>
        <v>0</v>
      </c>
      <c r="R44" s="117">
        <f>IF(R40=0,0,VLOOKUP(R40,FAC_TOTALS_APTA!$A$4:$BD$126,$L44,FALSE))</f>
        <v>0</v>
      </c>
      <c r="S44" s="117">
        <f>IF(S40=0,0,VLOOKUP(S40,FAC_TOTALS_APTA!$A$4:$BD$126,$L44,FALSE))</f>
        <v>0</v>
      </c>
      <c r="T44" s="117">
        <f>IF(T40=0,0,VLOOKUP(T40,FAC_TOTALS_APTA!$A$4:$BD$126,$L44,FALSE))</f>
        <v>0</v>
      </c>
      <c r="U44" s="117">
        <f>IF(U40=0,0,VLOOKUP(U40,FAC_TOTALS_APTA!$A$4:$BD$126,$L44,FALSE))</f>
        <v>0</v>
      </c>
      <c r="V44" s="117">
        <f>IF(V40=0,0,VLOOKUP(V40,FAC_TOTALS_APTA!$A$4:$BD$126,$L44,FALSE))</f>
        <v>0</v>
      </c>
      <c r="W44" s="117">
        <f>IF(W40=0,0,VLOOKUP(W40,FAC_TOTALS_APTA!$A$4:$BD$126,$L44,FALSE))</f>
        <v>0</v>
      </c>
      <c r="X44" s="117">
        <f>IF(X40=0,0,VLOOKUP(X40,FAC_TOTALS_APTA!$A$4:$BD$126,$L44,FALSE))</f>
        <v>0</v>
      </c>
      <c r="Y44" s="117">
        <f>IF(Y40=0,0,VLOOKUP(Y40,FAC_TOTALS_APTA!$A$4:$BD$126,$L44,FALSE))</f>
        <v>0</v>
      </c>
      <c r="Z44" s="117">
        <f>IF(Z40=0,0,VLOOKUP(Z40,FAC_TOTALS_APTA!$A$4:$BD$126,$L44,FALSE))</f>
        <v>0</v>
      </c>
      <c r="AA44" s="117">
        <f>IF(AA40=0,0,VLOOKUP(AA40,FAC_TOTALS_APTA!$A$4:$BD$126,$L44,FALSE))</f>
        <v>0</v>
      </c>
      <c r="AB44" s="117">
        <f>IF(AB40=0,0,VLOOKUP(AB40,FAC_TOTALS_APTA!$A$4:$BD$126,$L44,FALSE))</f>
        <v>0</v>
      </c>
      <c r="AC44" s="121">
        <f t="shared" si="14"/>
        <v>0</v>
      </c>
      <c r="AD44" s="122">
        <f>AC44/G56</f>
        <v>0</v>
      </c>
      <c r="AE44" s="102"/>
    </row>
    <row r="45" spans="2:31" x14ac:dyDescent="0.2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MATCH($D45,FAC_TOTALS_APTA!$A$2:$BD$2,)</f>
        <v>16</v>
      </c>
      <c r="G45" s="29">
        <f>VLOOKUP(G39,FAC_TOTALS_APTA!$A$4:$BD$126,$F45,FALSE)</f>
        <v>2748238.4134659702</v>
      </c>
      <c r="H45" s="29">
        <f>VLOOKUP(H39,FAC_TOTALS_APTA!$A$4:$BD$126,$F45,FALSE)</f>
        <v>2873847.8133243402</v>
      </c>
      <c r="I45" s="30">
        <f t="shared" si="11"/>
        <v>4.5705423242358378E-2</v>
      </c>
      <c r="J45" s="31" t="str">
        <f t="shared" si="12"/>
        <v>_log</v>
      </c>
      <c r="K45" s="31" t="str">
        <f t="shared" si="13"/>
        <v>POP_EMP_log_FAC</v>
      </c>
      <c r="L45" s="6">
        <f>MATCH($K45,FAC_TOTALS_APTA!$A$2:$BB$2,)</f>
        <v>34</v>
      </c>
      <c r="M45" s="29">
        <f>IF(M39=0,0,VLOOKUP(M39,FAC_TOTALS_APTA!$A$4:$BD$126,$L45,FALSE))</f>
        <v>187597.89796113301</v>
      </c>
      <c r="N45" s="29">
        <f>IF(N39=0,0,VLOOKUP(N39,FAC_TOTALS_APTA!$A$4:$BD$126,$L45,FALSE))</f>
        <v>203831.16969836099</v>
      </c>
      <c r="O45" s="29">
        <f>IF(O39=0,0,VLOOKUP(O39,FAC_TOTALS_APTA!$A$4:$BD$126,$L45,FALSE))</f>
        <v>256743.39376755999</v>
      </c>
      <c r="P45" s="29">
        <f>IF(P39=0,0,VLOOKUP(P39,FAC_TOTALS_APTA!$A$4:$BD$126,$L45,FALSE))</f>
        <v>334190.443451208</v>
      </c>
      <c r="Q45" s="29">
        <f>IF(Q39=0,0,VLOOKUP(Q39,FAC_TOTALS_APTA!$A$4:$BD$126,$L45,FALSE))</f>
        <v>106569.45527329</v>
      </c>
      <c r="R45" s="29">
        <f>IF(R39=0,0,VLOOKUP(R39,FAC_TOTALS_APTA!$A$4:$BD$126,$L45,FALSE))</f>
        <v>30527.811634964499</v>
      </c>
      <c r="S45" s="29">
        <f>IF(S39=0,0,VLOOKUP(S39,FAC_TOTALS_APTA!$A$4:$BD$126,$L45,FALSE))</f>
        <v>-104814.98432473501</v>
      </c>
      <c r="T45" s="29">
        <f>IF(T39=0,0,VLOOKUP(T39,FAC_TOTALS_APTA!$A$4:$BD$126,$L45,FALSE))</f>
        <v>38935.937534370401</v>
      </c>
      <c r="U45" s="29">
        <f>IF(U39=0,0,VLOOKUP(U39,FAC_TOTALS_APTA!$A$4:$BD$126,$L45,FALSE))</f>
        <v>100930.723753578</v>
      </c>
      <c r="V45" s="29">
        <f>IF(V39=0,0,VLOOKUP(V39,FAC_TOTALS_APTA!$A$4:$BD$126,$L45,FALSE))</f>
        <v>158610.86911169399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4"/>
        <v>1313122.7178614237</v>
      </c>
      <c r="AD45" s="33">
        <f>AC45/G55</f>
        <v>3.2087191484793588E-2</v>
      </c>
      <c r="AE45" s="102"/>
    </row>
    <row r="46" spans="2:31" x14ac:dyDescent="0.25">
      <c r="B46" s="25" t="s">
        <v>73</v>
      </c>
      <c r="C46" s="116"/>
      <c r="D46" s="104" t="s">
        <v>72</v>
      </c>
      <c r="E46" s="55"/>
      <c r="F46" s="6">
        <f>MATCH($D46,FAC_TOTALS_APTA!$A$2:$BD$2,)</f>
        <v>17</v>
      </c>
      <c r="G46" s="54">
        <f>VLOOKUP(G39,FAC_TOTALS_APTA!$A$4:$BD$126,$F46,FALSE)</f>
        <v>0.38666408222786403</v>
      </c>
      <c r="H46" s="54">
        <f>VLOOKUP(H39,FAC_TOTALS_APTA!$A$4:$BD$126,$F46,FALSE)</f>
        <v>0.34747122969710198</v>
      </c>
      <c r="I46" s="30">
        <f t="shared" si="11"/>
        <v>-0.10136150300007796</v>
      </c>
      <c r="J46" s="31" t="str">
        <f t="shared" si="12"/>
        <v/>
      </c>
      <c r="K46" s="31" t="str">
        <f t="shared" si="13"/>
        <v>TSD_POP_EMP_PCT_FAC</v>
      </c>
      <c r="L46" s="6">
        <f>MATCH($K46,FAC_TOTALS_APTA!$A$2:$BB$2,)</f>
        <v>35</v>
      </c>
      <c r="M46" s="29">
        <f>IF(M39=0,0,VLOOKUP(M39,FAC_TOTALS_APTA!$A$4:$BD$126,$L46,FALSE))</f>
        <v>-53978.051059906</v>
      </c>
      <c r="N46" s="29">
        <f>IF(N39=0,0,VLOOKUP(N39,FAC_TOTALS_APTA!$A$4:$BD$126,$L46,FALSE))</f>
        <v>-60788.505854066701</v>
      </c>
      <c r="O46" s="29">
        <f>IF(O39=0,0,VLOOKUP(O39,FAC_TOTALS_APTA!$A$4:$BD$126,$L46,FALSE))</f>
        <v>-86756.898699233396</v>
      </c>
      <c r="P46" s="29">
        <f>IF(P39=0,0,VLOOKUP(P39,FAC_TOTALS_APTA!$A$4:$BD$126,$L46,FALSE))</f>
        <v>-8052.0275806150803</v>
      </c>
      <c r="Q46" s="29">
        <f>IF(Q39=0,0,VLOOKUP(Q39,FAC_TOTALS_APTA!$A$4:$BD$126,$L46,FALSE))</f>
        <v>-162299.95357277899</v>
      </c>
      <c r="R46" s="29">
        <f>IF(R39=0,0,VLOOKUP(R39,FAC_TOTALS_APTA!$A$4:$BD$126,$L46,FALSE))</f>
        <v>19425.9869630789</v>
      </c>
      <c r="S46" s="29">
        <f>IF(S39=0,0,VLOOKUP(S39,FAC_TOTALS_APTA!$A$4:$BD$126,$L46,FALSE))</f>
        <v>83265.521733964095</v>
      </c>
      <c r="T46" s="29">
        <f>IF(T39=0,0,VLOOKUP(T39,FAC_TOTALS_APTA!$A$4:$BD$126,$L46,FALSE))</f>
        <v>54420.922181218702</v>
      </c>
      <c r="U46" s="29">
        <f>IF(U39=0,0,VLOOKUP(U39,FAC_TOTALS_APTA!$A$4:$BD$126,$L46,FALSE))</f>
        <v>-73725.583589195099</v>
      </c>
      <c r="V46" s="29">
        <f>IF(V39=0,0,VLOOKUP(V39,FAC_TOTALS_APTA!$A$4:$BD$126,$L46,FALSE))</f>
        <v>-212866.34786692599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4"/>
        <v>-501354.93734445953</v>
      </c>
      <c r="AD46" s="33">
        <f>AC46/G55</f>
        <v>-1.2251004157949587E-2</v>
      </c>
      <c r="AE46" s="102"/>
    </row>
    <row r="47" spans="2:31" x14ac:dyDescent="0.2">
      <c r="B47" s="115" t="s">
        <v>49</v>
      </c>
      <c r="C47" s="116" t="s">
        <v>21</v>
      </c>
      <c r="D47" s="124" t="s">
        <v>82</v>
      </c>
      <c r="E47" s="55"/>
      <c r="F47" s="6">
        <f>MATCH($D47,FAC_TOTALS_APTA!$A$2:$BD$2,)</f>
        <v>18</v>
      </c>
      <c r="G47" s="34">
        <f>VLOOKUP(G39,FAC_TOTALS_APTA!$A$4:$BD$126,$F47,FALSE)</f>
        <v>1.95863721745606</v>
      </c>
      <c r="H47" s="34">
        <f>VLOOKUP(H39,FAC_TOTALS_APTA!$A$4:$BD$126,$F47,FALSE)</f>
        <v>4.0037531914838302</v>
      </c>
      <c r="I47" s="30">
        <f t="shared" si="11"/>
        <v>1.0441525136972691</v>
      </c>
      <c r="J47" s="31" t="str">
        <f t="shared" si="12"/>
        <v>_log</v>
      </c>
      <c r="K47" s="31" t="str">
        <f t="shared" si="13"/>
        <v>GAS_PRICE_2018_log_FAC</v>
      </c>
      <c r="L47" s="6">
        <f>MATCH($K47,FAC_TOTALS_APTA!$A$2:$BB$2,)</f>
        <v>36</v>
      </c>
      <c r="M47" s="29">
        <f>IF(M39=0,0,VLOOKUP(M39,FAC_TOTALS_APTA!$A$4:$BD$126,$L47,FALSE))</f>
        <v>584218.77311463305</v>
      </c>
      <c r="N47" s="29">
        <f>IF(N39=0,0,VLOOKUP(N39,FAC_TOTALS_APTA!$A$4:$BD$126,$L47,FALSE))</f>
        <v>623702.62051699695</v>
      </c>
      <c r="O47" s="29">
        <f>IF(O39=0,0,VLOOKUP(O39,FAC_TOTALS_APTA!$A$4:$BD$126,$L47,FALSE))</f>
        <v>911541.59859383502</v>
      </c>
      <c r="P47" s="29">
        <f>IF(P39=0,0,VLOOKUP(P39,FAC_TOTALS_APTA!$A$4:$BD$126,$L47,FALSE))</f>
        <v>583723.50735011604</v>
      </c>
      <c r="Q47" s="29">
        <f>IF(Q39=0,0,VLOOKUP(Q39,FAC_TOTALS_APTA!$A$4:$BD$126,$L47,FALSE))</f>
        <v>435320.867037674</v>
      </c>
      <c r="R47" s="29">
        <f>IF(R39=0,0,VLOOKUP(R39,FAC_TOTALS_APTA!$A$4:$BD$126,$L47,FALSE))</f>
        <v>841994.91413452302</v>
      </c>
      <c r="S47" s="29">
        <f>IF(S39=0,0,VLOOKUP(S39,FAC_TOTALS_APTA!$A$4:$BD$126,$L47,FALSE))</f>
        <v>-2896017.4736665199</v>
      </c>
      <c r="T47" s="29">
        <f>IF(T39=0,0,VLOOKUP(T39,FAC_TOTALS_APTA!$A$4:$BD$126,$L47,FALSE))</f>
        <v>1235515.74490337</v>
      </c>
      <c r="U47" s="29">
        <f>IF(U39=0,0,VLOOKUP(U39,FAC_TOTALS_APTA!$A$4:$BD$126,$L47,FALSE))</f>
        <v>1603733.4241670601</v>
      </c>
      <c r="V47" s="29">
        <f>IF(V39=0,0,VLOOKUP(V39,FAC_TOTALS_APTA!$A$4:$BD$126,$L47,FALSE))</f>
        <v>27603.196556662198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4"/>
        <v>3951337.1727083512</v>
      </c>
      <c r="AD47" s="33">
        <f>AC47/G55</f>
        <v>9.6554046896823148E-2</v>
      </c>
      <c r="AE47" s="102"/>
    </row>
    <row r="48" spans="2:31" x14ac:dyDescent="0.2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MATCH($D48,FAC_TOTALS_APTA!$A$2:$BD$2,)</f>
        <v>19</v>
      </c>
      <c r="G48" s="54">
        <f>VLOOKUP(G39,FAC_TOTALS_APTA!$A$4:$BD$126,$F48,FALSE)</f>
        <v>35513.769785103097</v>
      </c>
      <c r="H48" s="54">
        <f>VLOOKUP(H39,FAC_TOTALS_APTA!$A$4:$BD$126,$F48,FALSE)</f>
        <v>29075.687025196399</v>
      </c>
      <c r="I48" s="30">
        <f t="shared" si="11"/>
        <v>-0.181284127223443</v>
      </c>
      <c r="J48" s="31" t="str">
        <f t="shared" si="12"/>
        <v>_log</v>
      </c>
      <c r="K48" s="31" t="str">
        <f t="shared" si="13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64115.5759467916</v>
      </c>
      <c r="N48" s="29">
        <f>IF(N39=0,0,VLOOKUP(N39,FAC_TOTALS_APTA!$A$4:$BD$126,$L48,FALSE))</f>
        <v>92834.576767792401</v>
      </c>
      <c r="O48" s="29">
        <f>IF(O39=0,0,VLOOKUP(O39,FAC_TOTALS_APTA!$A$4:$BD$126,$L48,FALSE))</f>
        <v>88237.492509030097</v>
      </c>
      <c r="P48" s="29">
        <f>IF(P39=0,0,VLOOKUP(P39,FAC_TOTALS_APTA!$A$4:$BD$126,$L48,FALSE))</f>
        <v>166655.372231721</v>
      </c>
      <c r="Q48" s="29">
        <f>IF(Q39=0,0,VLOOKUP(Q39,FAC_TOTALS_APTA!$A$4:$BD$126,$L48,FALSE))</f>
        <v>-78400.121494224499</v>
      </c>
      <c r="R48" s="29">
        <f>IF(R39=0,0,VLOOKUP(R39,FAC_TOTALS_APTA!$A$4:$BD$126,$L48,FALSE))</f>
        <v>42487.420000694001</v>
      </c>
      <c r="S48" s="29">
        <f>IF(S39=0,0,VLOOKUP(S39,FAC_TOTALS_APTA!$A$4:$BD$126,$L48,FALSE))</f>
        <v>224503.06740348</v>
      </c>
      <c r="T48" s="29">
        <f>IF(T39=0,0,VLOOKUP(T39,FAC_TOTALS_APTA!$A$4:$BD$126,$L48,FALSE))</f>
        <v>136124.24312668099</v>
      </c>
      <c r="U48" s="29">
        <f>IF(U39=0,0,VLOOKUP(U39,FAC_TOTALS_APTA!$A$4:$BD$126,$L48,FALSE))</f>
        <v>105520.59091725601</v>
      </c>
      <c r="V48" s="29">
        <f>IF(V39=0,0,VLOOKUP(V39,FAC_TOTALS_APTA!$A$4:$BD$126,$L48,FALSE))</f>
        <v>74830.500093231705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4"/>
        <v>916908.71750245325</v>
      </c>
      <c r="AD48" s="33">
        <f>AC48/G55</f>
        <v>2.2405389224012025E-2</v>
      </c>
      <c r="AE48" s="102"/>
    </row>
    <row r="49" spans="1:31" x14ac:dyDescent="0.25">
      <c r="B49" s="115" t="s">
        <v>62</v>
      </c>
      <c r="C49" s="116"/>
      <c r="D49" s="104" t="s">
        <v>9</v>
      </c>
      <c r="E49" s="55"/>
      <c r="F49" s="6">
        <f>MATCH($D49,FAC_TOTALS_APTA!$A$2:$BD$2,)</f>
        <v>20</v>
      </c>
      <c r="G49" s="29">
        <f>VLOOKUP(G39,FAC_TOTALS_APTA!$A$4:$BD$126,$F49,FALSE)</f>
        <v>7.6754355225931601</v>
      </c>
      <c r="H49" s="29">
        <f>VLOOKUP(H39,FAC_TOTALS_APTA!$A$4:$BD$126,$F49,FALSE)</f>
        <v>8.3624406793883406</v>
      </c>
      <c r="I49" s="30">
        <f t="shared" si="11"/>
        <v>8.950699341723789E-2</v>
      </c>
      <c r="J49" s="31" t="str">
        <f t="shared" si="12"/>
        <v/>
      </c>
      <c r="K49" s="31" t="str">
        <f t="shared" si="13"/>
        <v>PCT_HH_NO_VEH_FAC</v>
      </c>
      <c r="L49" s="6">
        <f>MATCH($K49,FAC_TOTALS_APTA!$A$2:$BB$2,)</f>
        <v>38</v>
      </c>
      <c r="M49" s="29">
        <f>IF(M39=0,0,VLOOKUP(M39,FAC_TOTALS_APTA!$A$4:$BD$126,$L49,FALSE))</f>
        <v>4185.4147600492597</v>
      </c>
      <c r="N49" s="29">
        <f>IF(N39=0,0,VLOOKUP(N39,FAC_TOTALS_APTA!$A$4:$BD$126,$L49,FALSE))</f>
        <v>4376.9832941320001</v>
      </c>
      <c r="O49" s="29">
        <f>IF(O39=0,0,VLOOKUP(O39,FAC_TOTALS_APTA!$A$4:$BD$126,$L49,FALSE))</f>
        <v>2219.7325067516399</v>
      </c>
      <c r="P49" s="29">
        <f>IF(P39=0,0,VLOOKUP(P39,FAC_TOTALS_APTA!$A$4:$BD$126,$L49,FALSE))</f>
        <v>12955.852845011799</v>
      </c>
      <c r="Q49" s="29">
        <f>IF(Q39=0,0,VLOOKUP(Q39,FAC_TOTALS_APTA!$A$4:$BD$126,$L49,FALSE))</f>
        <v>-33436.145336348301</v>
      </c>
      <c r="R49" s="29">
        <f>IF(R39=0,0,VLOOKUP(R39,FAC_TOTALS_APTA!$A$4:$BD$126,$L49,FALSE))</f>
        <v>18157.3599973532</v>
      </c>
      <c r="S49" s="29">
        <f>IF(S39=0,0,VLOOKUP(S39,FAC_TOTALS_APTA!$A$4:$BD$126,$L49,FALSE))</f>
        <v>58557.665044865702</v>
      </c>
      <c r="T49" s="29">
        <f>IF(T39=0,0,VLOOKUP(T39,FAC_TOTALS_APTA!$A$4:$BD$126,$L49,FALSE))</f>
        <v>6350.7845276410098</v>
      </c>
      <c r="U49" s="29">
        <f>IF(U39=0,0,VLOOKUP(U39,FAC_TOTALS_APTA!$A$4:$BD$126,$L49,FALSE))</f>
        <v>67883.125155435104</v>
      </c>
      <c r="V49" s="29">
        <f>IF(V39=0,0,VLOOKUP(V39,FAC_TOTALS_APTA!$A$4:$BD$126,$L49,FALSE))</f>
        <v>-1610.3961634965101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4"/>
        <v>139640.3766313949</v>
      </c>
      <c r="AD49" s="33">
        <f>AC49/G55</f>
        <v>3.4122229727908166E-3</v>
      </c>
      <c r="AE49" s="102"/>
    </row>
    <row r="50" spans="1:31" x14ac:dyDescent="0.25">
      <c r="B50" s="115" t="s">
        <v>47</v>
      </c>
      <c r="C50" s="116"/>
      <c r="D50" s="104" t="s">
        <v>28</v>
      </c>
      <c r="E50" s="55"/>
      <c r="F50" s="6">
        <f>MATCH($D50,FAC_TOTALS_APTA!$A$2:$BD$2,)</f>
        <v>21</v>
      </c>
      <c r="G50" s="34">
        <f>VLOOKUP(G39,FAC_TOTALS_APTA!$A$4:$BD$126,$F50,FALSE)</f>
        <v>3.5501668442365699</v>
      </c>
      <c r="H50" s="34">
        <f>VLOOKUP(H39,FAC_TOTALS_APTA!$A$4:$BD$126,$F50,FALSE)</f>
        <v>4.4248857901299896</v>
      </c>
      <c r="I50" s="30">
        <f t="shared" si="11"/>
        <v>0.24638812322678882</v>
      </c>
      <c r="J50" s="31" t="str">
        <f t="shared" si="12"/>
        <v/>
      </c>
      <c r="K50" s="31" t="str">
        <f t="shared" si="13"/>
        <v>JTW_HOME_PCT_FAC</v>
      </c>
      <c r="L50" s="6">
        <f>MATCH($K50,FAC_TOTALS_APTA!$A$2:$BB$2,)</f>
        <v>39</v>
      </c>
      <c r="M50" s="29">
        <f>IF(M39=0,0,VLOOKUP(M39,FAC_TOTALS_APTA!$A$4:$BD$126,$L50,FALSE))</f>
        <v>0</v>
      </c>
      <c r="N50" s="29">
        <f>IF(N39=0,0,VLOOKUP(N39,FAC_TOTALS_APTA!$A$4:$BD$126,$L50,FALSE))</f>
        <v>0</v>
      </c>
      <c r="O50" s="29">
        <f>IF(O39=0,0,VLOOKUP(O39,FAC_TOTALS_APTA!$A$4:$BD$126,$L50,FALSE))</f>
        <v>0</v>
      </c>
      <c r="P50" s="29">
        <f>IF(P39=0,0,VLOOKUP(P39,FAC_TOTALS_APTA!$A$4:$BD$126,$L50,FALSE))</f>
        <v>-30045.689495368501</v>
      </c>
      <c r="Q50" s="29">
        <f>IF(Q39=0,0,VLOOKUP(Q39,FAC_TOTALS_APTA!$A$4:$BD$126,$L50,FALSE))</f>
        <v>-178205.09618947899</v>
      </c>
      <c r="R50" s="29">
        <f>IF(R39=0,0,VLOOKUP(R39,FAC_TOTALS_APTA!$A$4:$BD$126,$L50,FALSE))</f>
        <v>17459.664284445</v>
      </c>
      <c r="S50" s="29">
        <f>IF(S39=0,0,VLOOKUP(S39,FAC_TOTALS_APTA!$A$4:$BD$126,$L50,FALSE))</f>
        <v>-48964.772773186698</v>
      </c>
      <c r="T50" s="29">
        <f>IF(T39=0,0,VLOOKUP(T39,FAC_TOTALS_APTA!$A$4:$BD$126,$L50,FALSE))</f>
        <v>49356.5890273845</v>
      </c>
      <c r="U50" s="29">
        <f>IF(U39=0,0,VLOOKUP(U39,FAC_TOTALS_APTA!$A$4:$BD$126,$L50,FALSE))</f>
        <v>-56461.545478209599</v>
      </c>
      <c r="V50" s="29">
        <f>IF(V39=0,0,VLOOKUP(V39,FAC_TOTALS_APTA!$A$4:$BD$126,$L50,FALSE))</f>
        <v>-170433.93246865299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4"/>
        <v>-417294.78309306729</v>
      </c>
      <c r="AD50" s="33">
        <f>AC50/G55</f>
        <v>-1.0196927848845357E-2</v>
      </c>
      <c r="AE50" s="102"/>
    </row>
    <row r="51" spans="1:31" x14ac:dyDescent="0.25">
      <c r="B51" s="115" t="s">
        <v>63</v>
      </c>
      <c r="C51" s="116"/>
      <c r="D51" s="126" t="s">
        <v>69</v>
      </c>
      <c r="E51" s="55"/>
      <c r="F51" s="6">
        <f>MATCH($D51,FAC_TOTALS_APTA!$A$2:$BD$2,)</f>
        <v>27</v>
      </c>
      <c r="G51" s="34">
        <f>VLOOKUP(G39,FAC_TOTALS_APTA!$A$4:$BD$126,$F51,FALSE)</f>
        <v>0</v>
      </c>
      <c r="H51" s="34">
        <f>VLOOKUP(H39,FAC_TOTALS_APTA!$A$4:$BD$126,$F51,FALSE)</f>
        <v>0</v>
      </c>
      <c r="I51" s="30" t="str">
        <f t="shared" si="11"/>
        <v>-</v>
      </c>
      <c r="J51" s="31"/>
      <c r="K51" s="31" t="str">
        <f t="shared" si="13"/>
        <v>YEARS_SINCE_TNC_RAIL_MID_FAC</v>
      </c>
      <c r="L51" s="6">
        <f>MATCH($K51,FAC_TOTALS_APTA!$A$2:$BB$2,)</f>
        <v>45</v>
      </c>
      <c r="M51" s="29">
        <f>IF(M39=0,0,VLOOKUP(M39,FAC_TOTALS_APTA!$A$4:$BD$126,$L51,FALSE))</f>
        <v>0</v>
      </c>
      <c r="N51" s="29">
        <f>IF(N39=0,0,VLOOKUP(N39,FAC_TOTALS_APTA!$A$4:$BD$126,$L51,FALSE))</f>
        <v>0</v>
      </c>
      <c r="O51" s="29">
        <f>IF(O39=0,0,VLOOKUP(O39,FAC_TOTALS_APTA!$A$4:$BD$126,$L51,FALSE))</f>
        <v>0</v>
      </c>
      <c r="P51" s="29">
        <f>IF(P39=0,0,VLOOKUP(P39,FAC_TOTALS_APTA!$A$4:$BD$126,$L51,FALSE))</f>
        <v>0</v>
      </c>
      <c r="Q51" s="29">
        <f>IF(Q39=0,0,VLOOKUP(Q39,FAC_TOTALS_APTA!$A$4:$BD$126,$L51,FALSE))</f>
        <v>0</v>
      </c>
      <c r="R51" s="29">
        <f>IF(R39=0,0,VLOOKUP(R39,FAC_TOTALS_APTA!$A$4:$BD$126,$L51,FALSE))</f>
        <v>0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4"/>
        <v>0</v>
      </c>
      <c r="AD51" s="33">
        <f>AC51/G55</f>
        <v>0</v>
      </c>
      <c r="AE51" s="102"/>
    </row>
    <row r="52" spans="1:31" x14ac:dyDescent="0.25">
      <c r="B52" s="115" t="s">
        <v>64</v>
      </c>
      <c r="C52" s="116"/>
      <c r="D52" s="104" t="s">
        <v>43</v>
      </c>
      <c r="E52" s="55"/>
      <c r="F52" s="6">
        <f>MATCH($D52,FAC_TOTALS_APTA!$A$2:$BD$2,)</f>
        <v>28</v>
      </c>
      <c r="G52" s="34">
        <f>VLOOKUP(G39,FAC_TOTALS_APTA!$A$4:$BD$126,$F52,FALSE)</f>
        <v>0.31724360697922399</v>
      </c>
      <c r="H52" s="34">
        <f>VLOOKUP(H39,FAC_TOTALS_APTA!$A$4:$BD$126,$F52,FALSE)</f>
        <v>0.34080460599745599</v>
      </c>
      <c r="I52" s="30">
        <f t="shared" si="11"/>
        <v>7.4267844961726892E-2</v>
      </c>
      <c r="J52" s="31" t="str">
        <f t="shared" ref="J52:J53" si="15">IF(C52="Log","_log","")</f>
        <v/>
      </c>
      <c r="K52" s="31" t="str">
        <f t="shared" si="13"/>
        <v>BIKE_SHARE_FAC</v>
      </c>
      <c r="L52" s="6">
        <f>MATCH($K52,FAC_TOTALS_APTA!$A$2:$BB$2,)</f>
        <v>46</v>
      </c>
      <c r="M52" s="29">
        <f>IF(M39=0,0,VLOOKUP(M39,FAC_TOTALS_APTA!$A$4:$BD$126,$L52,FALSE))</f>
        <v>0</v>
      </c>
      <c r="N52" s="29">
        <f>IF(N39=0,0,VLOOKUP(N39,FAC_TOTALS_APTA!$A$4:$BD$126,$L52,FALSE))</f>
        <v>0</v>
      </c>
      <c r="O52" s="29">
        <f>IF(O39=0,0,VLOOKUP(O39,FAC_TOTALS_APTA!$A$4:$BD$126,$L52,FALSE))</f>
        <v>0</v>
      </c>
      <c r="P52" s="29">
        <f>IF(P39=0,0,VLOOKUP(P39,FAC_TOTALS_APTA!$A$4:$BD$126,$L52,FALSE))</f>
        <v>0</v>
      </c>
      <c r="Q52" s="29">
        <f>IF(Q39=0,0,VLOOKUP(Q39,FAC_TOTALS_APTA!$A$4:$BD$126,$L52,FALSE))</f>
        <v>0</v>
      </c>
      <c r="R52" s="29">
        <f>IF(R39=0,0,VLOOKUP(R39,FAC_TOTALS_APTA!$A$4:$BD$126,$L52,FALSE))</f>
        <v>0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0</v>
      </c>
      <c r="V52" s="29">
        <f>IF(V39=0,0,VLOOKUP(V39,FAC_TOTALS_APTA!$A$4:$BD$126,$L52,FALSE))</f>
        <v>-46562.146382553001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4"/>
        <v>-46562.146382553001</v>
      </c>
      <c r="AD52" s="33">
        <f>AC52/G55</f>
        <v>-1.137782848927633E-3</v>
      </c>
      <c r="AE52" s="102"/>
    </row>
    <row r="53" spans="1:31" x14ac:dyDescent="0.25">
      <c r="B53" s="127" t="s">
        <v>65</v>
      </c>
      <c r="C53" s="128"/>
      <c r="D53" s="129" t="s">
        <v>44</v>
      </c>
      <c r="E53" s="56"/>
      <c r="F53" s="7">
        <f>MATCH($D53,FAC_TOTALS_APTA!$A$2:$BD$2,)</f>
        <v>29</v>
      </c>
      <c r="G53" s="35">
        <f>VLOOKUP(G39,FAC_TOTALS_APTA!$A$4:$BD$126,$F53,FALSE)</f>
        <v>0</v>
      </c>
      <c r="H53" s="35">
        <f>VLOOKUP(H39,FAC_TOTALS_APTA!$A$4:$BD$126,$F53,FALSE)</f>
        <v>0</v>
      </c>
      <c r="I53" s="36" t="str">
        <f t="shared" si="11"/>
        <v>-</v>
      </c>
      <c r="J53" s="37" t="str">
        <f t="shared" si="15"/>
        <v/>
      </c>
      <c r="K53" s="37" t="str">
        <f t="shared" si="13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0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4"/>
        <v>0</v>
      </c>
      <c r="AD53" s="40">
        <f>AC53/G55</f>
        <v>0</v>
      </c>
      <c r="AE53" s="102"/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si="13"/>
        <v>New_Reporter_FAC</v>
      </c>
      <c r="L54" s="44">
        <f>MATCH($K54,FAC_TOTALS_APTA!$A$2:$BB$2,)</f>
        <v>51</v>
      </c>
      <c r="M54" s="45">
        <f>IF(M39=0,0,VLOOKUP(M39,FAC_TOTALS_APTA!$A$4:$BD$126,$L54,FALSE))</f>
        <v>459964</v>
      </c>
      <c r="N54" s="45">
        <f>IF(N39=0,0,VLOOKUP(N39,FAC_TOTALS_APTA!$A$4:$BD$126,$L54,FALSE))</f>
        <v>0</v>
      </c>
      <c r="O54" s="45">
        <f>IF(O39=0,0,VLOOKUP(O39,FAC_TOTALS_APTA!$A$4:$BD$126,$L54,FALSE))</f>
        <v>0</v>
      </c>
      <c r="P54" s="45">
        <f>IF(P39=0,0,VLOOKUP(P39,FAC_TOTALS_APTA!$A$4:$BD$126,$L54,FALSE))</f>
        <v>0</v>
      </c>
      <c r="Q54" s="45">
        <f>IF(Q39=0,0,VLOOKUP(Q39,FAC_TOTALS_APTA!$A$4:$BD$126,$L54,FALSE))</f>
        <v>1675486</v>
      </c>
      <c r="R54" s="45">
        <f>IF(R39=0,0,VLOOKUP(R39,FAC_TOTALS_APTA!$A$4:$BD$126,$L54,FALSE))</f>
        <v>4486638.9999999898</v>
      </c>
      <c r="S54" s="45">
        <f>IF(S39=0,0,VLOOKUP(S39,FAC_TOTALS_APTA!$A$4:$BD$126,$L54,FALSE))</f>
        <v>0</v>
      </c>
      <c r="T54" s="45">
        <f>IF(T39=0,0,VLOOKUP(T39,FAC_TOTALS_APTA!$A$4:$BD$126,$L54,FALSE))</f>
        <v>1165687</v>
      </c>
      <c r="U54" s="45">
        <f>IF(U39=0,0,VLOOKUP(U39,FAC_TOTALS_APTA!$A$4:$BD$126,$L54,FALSE))</f>
        <v>469328</v>
      </c>
      <c r="V54" s="45">
        <f>IF(V39=0,0,VLOOKUP(V39,FAC_TOTALS_APTA!$A$4:$BD$126,$L54,FALSE))</f>
        <v>1651310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9908413.9999999888</v>
      </c>
      <c r="AD54" s="49">
        <f>AC54/G56</f>
        <v>0.21035402559660377</v>
      </c>
      <c r="AE54" s="102"/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0">
        <f>VLOOKUP(G39,FAC_TOTALS_APTA!$A$4:$BD$126,$F55,FALSE)</f>
        <v>40923579.069976397</v>
      </c>
      <c r="H55" s="110">
        <f>VLOOKUP(H39,FAC_TOTALS_APTA!$A$4:$BB$126,$F55,FALSE)</f>
        <v>78843745.131297097</v>
      </c>
      <c r="I55" s="112">
        <f t="shared" ref="I55" si="16">H55/G55-1</f>
        <v>0.92660922927781875</v>
      </c>
      <c r="J55" s="31"/>
      <c r="K55" s="31"/>
      <c r="L55" s="6"/>
      <c r="M55" s="29">
        <f t="shared" ref="M55:AB55" si="17">SUM(M41:M48)</f>
        <v>3404514.5211036787</v>
      </c>
      <c r="N55" s="29">
        <f t="shared" si="17"/>
        <v>2390994.6703014928</v>
      </c>
      <c r="O55" s="29">
        <f t="shared" si="17"/>
        <v>3599685.0208429708</v>
      </c>
      <c r="P55" s="29">
        <f t="shared" si="17"/>
        <v>3961814.9412657861</v>
      </c>
      <c r="Q55" s="29">
        <f t="shared" si="17"/>
        <v>3110045.8702587467</v>
      </c>
      <c r="R55" s="29">
        <f t="shared" si="17"/>
        <v>8168913.2591891494</v>
      </c>
      <c r="S55" s="29">
        <f t="shared" si="17"/>
        <v>-4820355.9093929175</v>
      </c>
      <c r="T55" s="29">
        <f t="shared" si="17"/>
        <v>325457.83120370121</v>
      </c>
      <c r="U55" s="29">
        <f t="shared" si="17"/>
        <v>4929013.8856726494</v>
      </c>
      <c r="V55" s="29">
        <f t="shared" si="17"/>
        <v>4351324.0309977289</v>
      </c>
      <c r="W55" s="29">
        <f t="shared" si="17"/>
        <v>0</v>
      </c>
      <c r="X55" s="29">
        <f t="shared" si="17"/>
        <v>0</v>
      </c>
      <c r="Y55" s="29">
        <f t="shared" si="17"/>
        <v>0</v>
      </c>
      <c r="Z55" s="29">
        <f t="shared" si="17"/>
        <v>0</v>
      </c>
      <c r="AA55" s="29">
        <f t="shared" si="17"/>
        <v>0</v>
      </c>
      <c r="AB55" s="29">
        <f t="shared" si="17"/>
        <v>0</v>
      </c>
      <c r="AC55" s="32">
        <f>H55-G55</f>
        <v>37920166.0613207</v>
      </c>
      <c r="AD55" s="33">
        <f>I55</f>
        <v>0.92660922927781875</v>
      </c>
      <c r="AE55" s="106"/>
    </row>
    <row r="56" spans="1:31" ht="13.5" thickBot="1" x14ac:dyDescent="0.3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1">
        <f>VLOOKUP(G39,FAC_TOTALS_APTA!$A$4:$BB$126,$F56,FALSE)</f>
        <v>47103514.999999903</v>
      </c>
      <c r="H56" s="111">
        <f>VLOOKUP(H39,FAC_TOTALS_APTA!$A$4:$BB$126,$F56,FALSE)</f>
        <v>81673687</v>
      </c>
      <c r="I56" s="113">
        <f t="shared" ref="I56" si="18">H56/G56-1</f>
        <v>0.73391915656400952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34570172.000000097</v>
      </c>
      <c r="AD56" s="52">
        <f>I56</f>
        <v>0.73391915656400952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-0.19269007271380922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77" t="s">
        <v>51</v>
      </c>
      <c r="H64" s="177"/>
      <c r="I64" s="1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77" t="s">
        <v>55</v>
      </c>
      <c r="AD64" s="177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2002</v>
      </c>
      <c r="H65" s="85">
        <f>$C$2</f>
        <v>2012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1_3_2002</v>
      </c>
      <c r="H67" s="76" t="str">
        <f>CONCATENATE($C62,"_",$C63,"_",H65)</f>
        <v>1_3_2012</v>
      </c>
      <c r="I67" s="77"/>
      <c r="J67" s="76"/>
      <c r="K67" s="76"/>
      <c r="L67" s="76"/>
      <c r="M67" s="76" t="str">
        <f>IF($G65+M66&gt;$H65,0,CONCATENATE($C62,"_",$C63,"_",$G65+M66))</f>
        <v>1_3_2003</v>
      </c>
      <c r="N67" s="76" t="str">
        <f t="shared" ref="N67:AB67" si="19">IF($G65+N66&gt;$H65,0,CONCATENATE($C62,"_",$C63,"_",$G65+N66))</f>
        <v>1_3_2004</v>
      </c>
      <c r="O67" s="76" t="str">
        <f t="shared" si="19"/>
        <v>1_3_2005</v>
      </c>
      <c r="P67" s="76" t="str">
        <f t="shared" si="19"/>
        <v>1_3_2006</v>
      </c>
      <c r="Q67" s="76" t="str">
        <f t="shared" si="19"/>
        <v>1_3_2007</v>
      </c>
      <c r="R67" s="76" t="str">
        <f t="shared" si="19"/>
        <v>1_3_2008</v>
      </c>
      <c r="S67" s="76" t="str">
        <f t="shared" si="19"/>
        <v>1_3_2009</v>
      </c>
      <c r="T67" s="76" t="str">
        <f t="shared" si="19"/>
        <v>1_3_2010</v>
      </c>
      <c r="U67" s="76" t="str">
        <f t="shared" si="19"/>
        <v>1_3_2011</v>
      </c>
      <c r="V67" s="76" t="str">
        <f t="shared" si="19"/>
        <v>1_3_2012</v>
      </c>
      <c r="W67" s="76">
        <f t="shared" si="19"/>
        <v>0</v>
      </c>
      <c r="X67" s="76">
        <f t="shared" si="19"/>
        <v>0</v>
      </c>
      <c r="Y67" s="76">
        <f t="shared" si="19"/>
        <v>0</v>
      </c>
      <c r="Z67" s="76">
        <f t="shared" si="19"/>
        <v>0</v>
      </c>
      <c r="AA67" s="76">
        <f t="shared" si="19"/>
        <v>0</v>
      </c>
      <c r="AB67" s="76">
        <f t="shared" si="19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31</v>
      </c>
      <c r="C69" s="116" t="s">
        <v>21</v>
      </c>
      <c r="D69" s="104" t="s">
        <v>91</v>
      </c>
      <c r="E69" s="88"/>
      <c r="F69" s="76">
        <f>MATCH($D69,FAC_TOTALS_APTA!$A$2:$BD$2,)</f>
        <v>13</v>
      </c>
      <c r="G69" s="87" t="e">
        <f>VLOOKUP(G67,FAC_TOTALS_APTA!$A$4:$BD$126,$F69,FALSE)</f>
        <v>#N/A</v>
      </c>
      <c r="H69" s="87" t="e">
        <f>VLOOKUP(H67,FAC_TOTALS_APTA!$A$4:$BD$126,$F69,FALSE)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VRM_ADJ_RAIL_log_FAC</v>
      </c>
      <c r="L69" s="76">
        <f>MATCH($K69,FAC_TOTALS_APTA!$A$2:$BB$2,)</f>
        <v>31</v>
      </c>
      <c r="M69" s="87" t="e">
        <f>IF(M67=0,0,VLOOKUP(M67,FAC_TOTALS_APTA!$A$4:$BD$126,$L69,FALSE))</f>
        <v>#N/A</v>
      </c>
      <c r="N69" s="87" t="e">
        <f>IF(N67=0,0,VLOOKUP(N67,FAC_TOTALS_APTA!$A$4:$BD$126,$L69,FALSE))</f>
        <v>#N/A</v>
      </c>
      <c r="O69" s="87" t="e">
        <f>IF(O67=0,0,VLOOKUP(O67,FAC_TOTALS_APTA!$A$4:$BD$126,$L69,FALSE))</f>
        <v>#N/A</v>
      </c>
      <c r="P69" s="87" t="e">
        <f>IF(P67=0,0,VLOOKUP(P67,FAC_TOTALS_APTA!$A$4:$BD$126,$L69,FALSE))</f>
        <v>#N/A</v>
      </c>
      <c r="Q69" s="87" t="e">
        <f>IF(Q67=0,0,VLOOKUP(Q67,FAC_TOTALS_APTA!$A$4:$BD$126,$L69,FALSE))</f>
        <v>#N/A</v>
      </c>
      <c r="R69" s="87" t="e">
        <f>IF(R67=0,0,VLOOKUP(R67,FAC_TOTALS_APTA!$A$4:$BD$126,$L69,FALSE))</f>
        <v>#N/A</v>
      </c>
      <c r="S69" s="87" t="e">
        <f>IF(S67=0,0,VLOOKUP(S67,FAC_TOTALS_APTA!$A$4:$BD$126,$L69,FALSE))</f>
        <v>#N/A</v>
      </c>
      <c r="T69" s="87" t="e">
        <f>IF(T67=0,0,VLOOKUP(T67,FAC_TOTALS_APTA!$A$4:$BD$126,$L69,FALSE))</f>
        <v>#N/A</v>
      </c>
      <c r="U69" s="87" t="e">
        <f>IF(U67=0,0,VLOOKUP(U67,FAC_TOTALS_APTA!$A$4:$BD$126,$L69,FALSE))</f>
        <v>#N/A</v>
      </c>
      <c r="V69" s="87" t="e">
        <f>IF(V67=0,0,VLOOKUP(V67,FAC_TOTALS_APTA!$A$4:$BD$126,$L69,FALSE))</f>
        <v>#N/A</v>
      </c>
      <c r="W69" s="87">
        <f>IF(W67=0,0,VLOOKUP(W67,FAC_TOTALS_APTA!$A$4:$BD$126,$L69,FALSE))</f>
        <v>0</v>
      </c>
      <c r="X69" s="87">
        <f>IF(X67=0,0,VLOOKUP(X67,FAC_TOTALS_APTA!$A$4:$BD$126,$L69,FALSE))</f>
        <v>0</v>
      </c>
      <c r="Y69" s="87">
        <f>IF(Y67=0,0,VLOOKUP(Y67,FAC_TOTALS_APTA!$A$4:$BD$126,$L69,FALSE))</f>
        <v>0</v>
      </c>
      <c r="Z69" s="87">
        <f>IF(Z67=0,0,VLOOKUP(Z67,FAC_TOTALS_APTA!$A$4:$BD$126,$L69,FALSE))</f>
        <v>0</v>
      </c>
      <c r="AA69" s="87">
        <f>IF(AA67=0,0,VLOOKUP(AA67,FAC_TOTALS_APTA!$A$4:$BD$126,$L69,FALSE))</f>
        <v>0</v>
      </c>
      <c r="AB69" s="87">
        <f>IF(AB67=0,0,VLOOKUP(AB67,FAC_TOTALS_APTA!$A$4:$BD$126,$L69,FALSE))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52</v>
      </c>
      <c r="C70" s="116" t="s">
        <v>21</v>
      </c>
      <c r="D70" s="104" t="s">
        <v>92</v>
      </c>
      <c r="E70" s="88"/>
      <c r="F70" s="76">
        <f>MATCH($D70,FAC_TOTALS_APTA!$A$2:$BD$2,)</f>
        <v>15</v>
      </c>
      <c r="G70" s="93" t="e">
        <f>VLOOKUP(G67,FAC_TOTALS_APTA!$A$4:$BD$126,$F70,FALSE)</f>
        <v>#N/A</v>
      </c>
      <c r="H70" s="93" t="e">
        <f>VLOOKUP(H67,FAC_TOTALS_APTA!$A$4:$BD$126,$F70,FALSE)</f>
        <v>#N/A</v>
      </c>
      <c r="I70" s="89" t="str">
        <f t="shared" ref="I70:I81" si="20">IFERROR(H70/G70-1,"-")</f>
        <v>-</v>
      </c>
      <c r="J70" s="90" t="str">
        <f t="shared" ref="J70:J78" si="21">IF(C70="Log","_log","")</f>
        <v>_log</v>
      </c>
      <c r="K70" s="90" t="str">
        <f t="shared" ref="K70:K82" si="22">CONCATENATE(D70,J70,"_FAC")</f>
        <v>FARE_per_UPT_cleaned_2018_RAIL_log_FAC</v>
      </c>
      <c r="L70" s="76">
        <f>MATCH($K70,FAC_TOTALS_APTA!$A$2:$BB$2,)</f>
        <v>33</v>
      </c>
      <c r="M70" s="87" t="e">
        <f>IF(M67=0,0,VLOOKUP(M67,FAC_TOTALS_APTA!$A$4:$BD$126,$L70,FALSE))</f>
        <v>#N/A</v>
      </c>
      <c r="N70" s="87" t="e">
        <f>IF(N67=0,0,VLOOKUP(N67,FAC_TOTALS_APTA!$A$4:$BD$126,$L70,FALSE))</f>
        <v>#N/A</v>
      </c>
      <c r="O70" s="87" t="e">
        <f>IF(O67=0,0,VLOOKUP(O67,FAC_TOTALS_APTA!$A$4:$BD$126,$L70,FALSE))</f>
        <v>#N/A</v>
      </c>
      <c r="P70" s="87" t="e">
        <f>IF(P67=0,0,VLOOKUP(P67,FAC_TOTALS_APTA!$A$4:$BD$126,$L70,FALSE))</f>
        <v>#N/A</v>
      </c>
      <c r="Q70" s="87" t="e">
        <f>IF(Q67=0,0,VLOOKUP(Q67,FAC_TOTALS_APTA!$A$4:$BD$126,$L70,FALSE))</f>
        <v>#N/A</v>
      </c>
      <c r="R70" s="87" t="e">
        <f>IF(R67=0,0,VLOOKUP(R67,FAC_TOTALS_APTA!$A$4:$BD$126,$L70,FALSE))</f>
        <v>#N/A</v>
      </c>
      <c r="S70" s="87" t="e">
        <f>IF(S67=0,0,VLOOKUP(S67,FAC_TOTALS_APTA!$A$4:$BD$126,$L70,FALSE))</f>
        <v>#N/A</v>
      </c>
      <c r="T70" s="87" t="e">
        <f>IF(T67=0,0,VLOOKUP(T67,FAC_TOTALS_APTA!$A$4:$BD$126,$L70,FALSE))</f>
        <v>#N/A</v>
      </c>
      <c r="U70" s="87" t="e">
        <f>IF(U67=0,0,VLOOKUP(U67,FAC_TOTALS_APTA!$A$4:$BD$126,$L70,FALSE))</f>
        <v>#N/A</v>
      </c>
      <c r="V70" s="87" t="e">
        <f>IF(V67=0,0,VLOOKUP(V67,FAC_TOTALS_APTA!$A$4:$BD$126,$L70,FALSE))</f>
        <v>#N/A</v>
      </c>
      <c r="W70" s="87">
        <f>IF(W67=0,0,VLOOKUP(W67,FAC_TOTALS_APTA!$A$4:$BD$126,$L70,FALSE))</f>
        <v>0</v>
      </c>
      <c r="X70" s="87">
        <f>IF(X67=0,0,VLOOKUP(X67,FAC_TOTALS_APTA!$A$4:$BD$126,$L70,FALSE))</f>
        <v>0</v>
      </c>
      <c r="Y70" s="87">
        <f>IF(Y67=0,0,VLOOKUP(Y67,FAC_TOTALS_APTA!$A$4:$BD$126,$L70,FALSE))</f>
        <v>0</v>
      </c>
      <c r="Z70" s="87">
        <f>IF(Z67=0,0,VLOOKUP(Z67,FAC_TOTALS_APTA!$A$4:$BD$126,$L70,FALSE))</f>
        <v>0</v>
      </c>
      <c r="AA70" s="87">
        <f>IF(AA67=0,0,VLOOKUP(AA67,FAC_TOTALS_APTA!$A$4:$BD$126,$L70,FALSE))</f>
        <v>0</v>
      </c>
      <c r="AB70" s="87">
        <f>IF(AB67=0,0,VLOOKUP(AB67,FAC_TOTALS_APTA!$A$4:$BD$126,$L70,FALSE))</f>
        <v>0</v>
      </c>
      <c r="AC70" s="91" t="e">
        <f t="shared" ref="AC70:AC81" si="23">SUM(M70:AB70)</f>
        <v>#N/A</v>
      </c>
      <c r="AD70" s="92" t="e">
        <f>AC70/G83</f>
        <v>#N/A</v>
      </c>
    </row>
    <row r="71" spans="2:33" x14ac:dyDescent="0.25"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 t="e">
        <f>VLOOKUP(G67,FAC_TOTALS_APTA!$A$4:$BD$126,$F71,FALSE)</f>
        <v>#N/A</v>
      </c>
      <c r="H71" s="117" t="e">
        <f>VLOOKUP(H67,FAC_TOTALS_APTA!$A$4:$BD$126,$F71,FALSE)</f>
        <v>#N/A</v>
      </c>
      <c r="I71" s="119" t="str">
        <f>IFERROR(H71/G71-1,"-")</f>
        <v>-</v>
      </c>
      <c r="J71" s="120" t="str">
        <f t="shared" si="21"/>
        <v/>
      </c>
      <c r="K71" s="120" t="str">
        <f t="shared" si="22"/>
        <v>RESTRUCTURE_FAC</v>
      </c>
      <c r="L71" s="104">
        <f>MATCH($K71,FAC_TOTALS_APTA!$A$2:$BB$2,)</f>
        <v>41</v>
      </c>
      <c r="M71" s="117" t="e">
        <f>IF(M67=0,0,VLOOKUP(M67,FAC_TOTALS_APTA!$A$4:$BD$126,$L71,FALSE))</f>
        <v>#N/A</v>
      </c>
      <c r="N71" s="117" t="e">
        <f>IF(N67=0,0,VLOOKUP(N67,FAC_TOTALS_APTA!$A$4:$BD$126,$L71,FALSE))</f>
        <v>#N/A</v>
      </c>
      <c r="O71" s="117" t="e">
        <f>IF(O67=0,0,VLOOKUP(O67,FAC_TOTALS_APTA!$A$4:$BD$126,$L71,FALSE))</f>
        <v>#N/A</v>
      </c>
      <c r="P71" s="117" t="e">
        <f>IF(P67=0,0,VLOOKUP(P67,FAC_TOTALS_APTA!$A$4:$BD$126,$L71,FALSE))</f>
        <v>#N/A</v>
      </c>
      <c r="Q71" s="117" t="e">
        <f>IF(Q67=0,0,VLOOKUP(Q67,FAC_TOTALS_APTA!$A$4:$BD$126,$L71,FALSE))</f>
        <v>#N/A</v>
      </c>
      <c r="R71" s="117" t="e">
        <f>IF(R67=0,0,VLOOKUP(R67,FAC_TOTALS_APTA!$A$4:$BD$126,$L71,FALSE))</f>
        <v>#N/A</v>
      </c>
      <c r="S71" s="117" t="e">
        <f>IF(S67=0,0,VLOOKUP(S67,FAC_TOTALS_APTA!$A$4:$BD$126,$L71,FALSE))</f>
        <v>#N/A</v>
      </c>
      <c r="T71" s="117" t="e">
        <f>IF(T67=0,0,VLOOKUP(T67,FAC_TOTALS_APTA!$A$4:$BD$126,$L71,FALSE))</f>
        <v>#N/A</v>
      </c>
      <c r="U71" s="117" t="e">
        <f>IF(U67=0,0,VLOOKUP(U67,FAC_TOTALS_APTA!$A$4:$BD$126,$L71,FALSE))</f>
        <v>#N/A</v>
      </c>
      <c r="V71" s="117" t="e">
        <f>IF(V67=0,0,VLOOKUP(V67,FAC_TOTALS_APTA!$A$4:$BD$126,$L71,FALSE))</f>
        <v>#N/A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 t="e">
        <f t="shared" si="23"/>
        <v>#N/A</v>
      </c>
      <c r="AD71" s="122" t="e">
        <f>AC71/G84</f>
        <v>#N/A</v>
      </c>
    </row>
    <row r="72" spans="2:33" x14ac:dyDescent="0.25"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117" t="e">
        <f>VLOOKUP(G67,FAC_TOTALS_APTA!$A$4:$BD$126,$F72,FALSE)</f>
        <v>#N/A</v>
      </c>
      <c r="H72" s="117" t="e">
        <f>VLOOKUP(H67,FAC_TOTALS_APTA!$A$4:$BD$126,$F72,FALSE)</f>
        <v>#N/A</v>
      </c>
      <c r="I72" s="119" t="str">
        <f>IFERROR(H72/G72-1,"-")</f>
        <v>-</v>
      </c>
      <c r="J72" s="120" t="str">
        <f t="shared" si="21"/>
        <v/>
      </c>
      <c r="K72" s="120" t="str">
        <f t="shared" si="22"/>
        <v>MAINTENANCE_WMATA_FAC</v>
      </c>
      <c r="L72" s="104">
        <f>MATCH($K72,FAC_TOTALS_APTA!$A$2:$BB$2,)</f>
        <v>40</v>
      </c>
      <c r="M72" s="117">
        <f>IF(M68=0,0,VLOOKUP(M68,FAC_TOTALS_APTA!$A$4:$BD$126,$L72,FALSE))</f>
        <v>0</v>
      </c>
      <c r="N72" s="117">
        <f>IF(N68=0,0,VLOOKUP(N68,FAC_TOTALS_APTA!$A$4:$BD$126,$L72,FALSE))</f>
        <v>0</v>
      </c>
      <c r="O72" s="117">
        <f>IF(O68=0,0,VLOOKUP(O68,FAC_TOTALS_APTA!$A$4:$BD$126,$L72,FALSE))</f>
        <v>0</v>
      </c>
      <c r="P72" s="117">
        <f>IF(P68=0,0,VLOOKUP(P68,FAC_TOTALS_APTA!$A$4:$BD$126,$L72,FALSE))</f>
        <v>0</v>
      </c>
      <c r="Q72" s="117">
        <f>IF(Q68=0,0,VLOOKUP(Q68,FAC_TOTALS_APTA!$A$4:$BD$126,$L72,FALSE))</f>
        <v>0</v>
      </c>
      <c r="R72" s="117">
        <f>IF(R68=0,0,VLOOKUP(R68,FAC_TOTALS_APTA!$A$4:$BD$126,$L72,FALSE))</f>
        <v>0</v>
      </c>
      <c r="S72" s="117">
        <f>IF(S68=0,0,VLOOKUP(S68,FAC_TOTALS_APTA!$A$4:$BD$126,$L72,FALSE))</f>
        <v>0</v>
      </c>
      <c r="T72" s="117">
        <f>IF(T68=0,0,VLOOKUP(T68,FAC_TOTALS_APTA!$A$4:$BD$126,$L72,FALSE))</f>
        <v>0</v>
      </c>
      <c r="U72" s="117">
        <f>IF(U68=0,0,VLOOKUP(U68,FAC_TOTALS_APTA!$A$4:$BD$126,$L72,FALSE))</f>
        <v>0</v>
      </c>
      <c r="V72" s="117">
        <f>IF(V68=0,0,VLOOKUP(V68,FAC_TOTALS_APTA!$A$4:$BD$126,$L72,FALSE))</f>
        <v>0</v>
      </c>
      <c r="W72" s="117">
        <f>IF(W68=0,0,VLOOKUP(W68,FAC_TOTALS_APTA!$A$4:$BD$126,$L72,FALSE))</f>
        <v>0</v>
      </c>
      <c r="X72" s="117">
        <f>IF(X68=0,0,VLOOKUP(X68,FAC_TOTALS_APTA!$A$4:$BD$126,$L72,FALSE))</f>
        <v>0</v>
      </c>
      <c r="Y72" s="117">
        <f>IF(Y68=0,0,VLOOKUP(Y68,FAC_TOTALS_APTA!$A$4:$BD$126,$L72,FALSE))</f>
        <v>0</v>
      </c>
      <c r="Z72" s="117">
        <f>IF(Z68=0,0,VLOOKUP(Z68,FAC_TOTALS_APTA!$A$4:$BD$126,$L72,FALSE))</f>
        <v>0</v>
      </c>
      <c r="AA72" s="117">
        <f>IF(AA68=0,0,VLOOKUP(AA68,FAC_TOTALS_APTA!$A$4:$BD$126,$L72,FALSE))</f>
        <v>0</v>
      </c>
      <c r="AB72" s="117">
        <f>IF(AB68=0,0,VLOOKUP(AB68,FAC_TOTALS_APTA!$A$4:$BD$126,$L72,FALSE))</f>
        <v>0</v>
      </c>
      <c r="AC72" s="121">
        <f t="shared" si="23"/>
        <v>0</v>
      </c>
      <c r="AD72" s="122" t="e">
        <f>AC72/G84</f>
        <v>#N/A</v>
      </c>
    </row>
    <row r="73" spans="2:33" x14ac:dyDescent="0.2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MATCH($D73,FAC_TOTALS_APTA!$A$2:$BD$2,)</f>
        <v>16</v>
      </c>
      <c r="G73" s="87" t="e">
        <f>VLOOKUP(G67,FAC_TOTALS_APTA!$A$4:$BD$126,$F73,FALSE)</f>
        <v>#N/A</v>
      </c>
      <c r="H73" s="87" t="e">
        <f>VLOOKUP(H67,FAC_TOTALS_APTA!$A$4:$BD$126,$F73,FALSE)</f>
        <v>#N/A</v>
      </c>
      <c r="I73" s="89" t="str">
        <f t="shared" si="20"/>
        <v>-</v>
      </c>
      <c r="J73" s="90" t="str">
        <f t="shared" si="21"/>
        <v>_log</v>
      </c>
      <c r="K73" s="90" t="str">
        <f t="shared" si="22"/>
        <v>POP_EMP_log_FAC</v>
      </c>
      <c r="L73" s="76">
        <f>MATCH($K73,FAC_TOTALS_APTA!$A$2:$BB$2,)</f>
        <v>34</v>
      </c>
      <c r="M73" s="87" t="e">
        <f>IF(M67=0,0,VLOOKUP(M67,FAC_TOTALS_APTA!$A$4:$BD$126,$L73,FALSE))</f>
        <v>#N/A</v>
      </c>
      <c r="N73" s="87" t="e">
        <f>IF(N67=0,0,VLOOKUP(N67,FAC_TOTALS_APTA!$A$4:$BD$126,$L73,FALSE))</f>
        <v>#N/A</v>
      </c>
      <c r="O73" s="87" t="e">
        <f>IF(O67=0,0,VLOOKUP(O67,FAC_TOTALS_APTA!$A$4:$BD$126,$L73,FALSE))</f>
        <v>#N/A</v>
      </c>
      <c r="P73" s="87" t="e">
        <f>IF(P67=0,0,VLOOKUP(P67,FAC_TOTALS_APTA!$A$4:$BD$126,$L73,FALSE))</f>
        <v>#N/A</v>
      </c>
      <c r="Q73" s="87" t="e">
        <f>IF(Q67=0,0,VLOOKUP(Q67,FAC_TOTALS_APTA!$A$4:$BD$126,$L73,FALSE))</f>
        <v>#N/A</v>
      </c>
      <c r="R73" s="87" t="e">
        <f>IF(R67=0,0,VLOOKUP(R67,FAC_TOTALS_APTA!$A$4:$BD$126,$L73,FALSE))</f>
        <v>#N/A</v>
      </c>
      <c r="S73" s="87" t="e">
        <f>IF(S67=0,0,VLOOKUP(S67,FAC_TOTALS_APTA!$A$4:$BD$126,$L73,FALSE))</f>
        <v>#N/A</v>
      </c>
      <c r="T73" s="87" t="e">
        <f>IF(T67=0,0,VLOOKUP(T67,FAC_TOTALS_APTA!$A$4:$BD$126,$L73,FALSE))</f>
        <v>#N/A</v>
      </c>
      <c r="U73" s="87" t="e">
        <f>IF(U67=0,0,VLOOKUP(U67,FAC_TOTALS_APTA!$A$4:$BD$126,$L73,FALSE))</f>
        <v>#N/A</v>
      </c>
      <c r="V73" s="87" t="e">
        <f>IF(V67=0,0,VLOOKUP(V67,FAC_TOTALS_APTA!$A$4:$BD$126,$L73,FALSE))</f>
        <v>#N/A</v>
      </c>
      <c r="W73" s="87">
        <f>IF(W67=0,0,VLOOKUP(W67,FAC_TOTALS_APTA!$A$4:$BD$126,$L73,FALSE))</f>
        <v>0</v>
      </c>
      <c r="X73" s="87">
        <f>IF(X67=0,0,VLOOKUP(X67,FAC_TOTALS_APTA!$A$4:$BD$126,$L73,FALSE))</f>
        <v>0</v>
      </c>
      <c r="Y73" s="87">
        <f>IF(Y67=0,0,VLOOKUP(Y67,FAC_TOTALS_APTA!$A$4:$BD$126,$L73,FALSE))</f>
        <v>0</v>
      </c>
      <c r="Z73" s="87">
        <f>IF(Z67=0,0,VLOOKUP(Z67,FAC_TOTALS_APTA!$A$4:$BD$126,$L73,FALSE))</f>
        <v>0</v>
      </c>
      <c r="AA73" s="87">
        <f>IF(AA67=0,0,VLOOKUP(AA67,FAC_TOTALS_APTA!$A$4:$BD$126,$L73,FALSE))</f>
        <v>0</v>
      </c>
      <c r="AB73" s="87">
        <f>IF(AB67=0,0,VLOOKUP(AB67,FAC_TOTALS_APTA!$A$4:$BD$126,$L73,FALSE))</f>
        <v>0</v>
      </c>
      <c r="AC73" s="91" t="e">
        <f t="shared" si="23"/>
        <v>#N/A</v>
      </c>
      <c r="AD73" s="92" t="e">
        <f>AC73/G83</f>
        <v>#N/A</v>
      </c>
    </row>
    <row r="74" spans="2:33" x14ac:dyDescent="0.25">
      <c r="B74" s="25" t="s">
        <v>73</v>
      </c>
      <c r="C74" s="116"/>
      <c r="D74" s="104" t="s">
        <v>72</v>
      </c>
      <c r="E74" s="88"/>
      <c r="F74" s="76">
        <f>MATCH($D74,FAC_TOTALS_APTA!$A$2:$BD$2,)</f>
        <v>17</v>
      </c>
      <c r="G74" s="93" t="e">
        <f>VLOOKUP(G67,FAC_TOTALS_APTA!$A$4:$BD$126,$F74,FALSE)</f>
        <v>#N/A</v>
      </c>
      <c r="H74" s="93" t="e">
        <f>VLOOKUP(H67,FAC_TOTALS_APTA!$A$4:$BD$126,$F74,FALSE)</f>
        <v>#N/A</v>
      </c>
      <c r="I74" s="89" t="str">
        <f t="shared" si="20"/>
        <v>-</v>
      </c>
      <c r="J74" s="90" t="str">
        <f t="shared" si="21"/>
        <v/>
      </c>
      <c r="K74" s="90" t="str">
        <f t="shared" si="22"/>
        <v>TSD_POP_EMP_PCT_FAC</v>
      </c>
      <c r="L74" s="76">
        <f>MATCH($K74,FAC_TOTALS_APTA!$A$2:$BB$2,)</f>
        <v>35</v>
      </c>
      <c r="M74" s="87" t="e">
        <f>IF(M67=0,0,VLOOKUP(M67,FAC_TOTALS_APTA!$A$4:$BD$126,$L74,FALSE))</f>
        <v>#N/A</v>
      </c>
      <c r="N74" s="87" t="e">
        <f>IF(N67=0,0,VLOOKUP(N67,FAC_TOTALS_APTA!$A$4:$BD$126,$L74,FALSE))</f>
        <v>#N/A</v>
      </c>
      <c r="O74" s="87" t="e">
        <f>IF(O67=0,0,VLOOKUP(O67,FAC_TOTALS_APTA!$A$4:$BD$126,$L74,FALSE))</f>
        <v>#N/A</v>
      </c>
      <c r="P74" s="87" t="e">
        <f>IF(P67=0,0,VLOOKUP(P67,FAC_TOTALS_APTA!$A$4:$BD$126,$L74,FALSE))</f>
        <v>#N/A</v>
      </c>
      <c r="Q74" s="87" t="e">
        <f>IF(Q67=0,0,VLOOKUP(Q67,FAC_TOTALS_APTA!$A$4:$BD$126,$L74,FALSE))</f>
        <v>#N/A</v>
      </c>
      <c r="R74" s="87" t="e">
        <f>IF(R67=0,0,VLOOKUP(R67,FAC_TOTALS_APTA!$A$4:$BD$126,$L74,FALSE))</f>
        <v>#N/A</v>
      </c>
      <c r="S74" s="87" t="e">
        <f>IF(S67=0,0,VLOOKUP(S67,FAC_TOTALS_APTA!$A$4:$BD$126,$L74,FALSE))</f>
        <v>#N/A</v>
      </c>
      <c r="T74" s="87" t="e">
        <f>IF(T67=0,0,VLOOKUP(T67,FAC_TOTALS_APTA!$A$4:$BD$126,$L74,FALSE))</f>
        <v>#N/A</v>
      </c>
      <c r="U74" s="87" t="e">
        <f>IF(U67=0,0,VLOOKUP(U67,FAC_TOTALS_APTA!$A$4:$BD$126,$L74,FALSE))</f>
        <v>#N/A</v>
      </c>
      <c r="V74" s="87" t="e">
        <f>IF(V67=0,0,VLOOKUP(V67,FAC_TOTALS_APTA!$A$4:$BD$126,$L74,FALSE))</f>
        <v>#N/A</v>
      </c>
      <c r="W74" s="87">
        <f>IF(W67=0,0,VLOOKUP(W67,FAC_TOTALS_APTA!$A$4:$BD$126,$L74,FALSE))</f>
        <v>0</v>
      </c>
      <c r="X74" s="87">
        <f>IF(X67=0,0,VLOOKUP(X67,FAC_TOTALS_APTA!$A$4:$BD$126,$L74,FALSE))</f>
        <v>0</v>
      </c>
      <c r="Y74" s="87">
        <f>IF(Y67=0,0,VLOOKUP(Y67,FAC_TOTALS_APTA!$A$4:$BD$126,$L74,FALSE))</f>
        <v>0</v>
      </c>
      <c r="Z74" s="87">
        <f>IF(Z67=0,0,VLOOKUP(Z67,FAC_TOTALS_APTA!$A$4:$BD$126,$L74,FALSE))</f>
        <v>0</v>
      </c>
      <c r="AA74" s="87">
        <f>IF(AA67=0,0,VLOOKUP(AA67,FAC_TOTALS_APTA!$A$4:$BD$126,$L74,FALSE))</f>
        <v>0</v>
      </c>
      <c r="AB74" s="87">
        <f>IF(AB67=0,0,VLOOKUP(AB67,FAC_TOTALS_APTA!$A$4:$BD$126,$L74,FALSE))</f>
        <v>0</v>
      </c>
      <c r="AC74" s="91" t="e">
        <f t="shared" si="23"/>
        <v>#N/A</v>
      </c>
      <c r="AD74" s="92" t="e">
        <f>AC74/G83</f>
        <v>#N/A</v>
      </c>
    </row>
    <row r="75" spans="2:33" x14ac:dyDescent="0.2">
      <c r="B75" s="115" t="s">
        <v>49</v>
      </c>
      <c r="C75" s="116" t="s">
        <v>21</v>
      </c>
      <c r="D75" s="124" t="s">
        <v>82</v>
      </c>
      <c r="E75" s="88"/>
      <c r="F75" s="76">
        <f>MATCH($D75,FAC_TOTALS_APTA!$A$2:$BD$2,)</f>
        <v>18</v>
      </c>
      <c r="G75" s="94" t="e">
        <f>VLOOKUP(G67,FAC_TOTALS_APTA!$A$4:$BD$126,$F75,FALSE)</f>
        <v>#N/A</v>
      </c>
      <c r="H75" s="94" t="e">
        <f>VLOOKUP(H67,FAC_TOTALS_APTA!$A$4:$BD$126,$F75,FALSE)</f>
        <v>#N/A</v>
      </c>
      <c r="I75" s="89" t="str">
        <f t="shared" si="20"/>
        <v>-</v>
      </c>
      <c r="J75" s="90" t="str">
        <f t="shared" si="21"/>
        <v>_log</v>
      </c>
      <c r="K75" s="90" t="str">
        <f t="shared" si="22"/>
        <v>GAS_PRICE_2018_log_FAC</v>
      </c>
      <c r="L75" s="76">
        <f>MATCH($K75,FAC_TOTALS_APTA!$A$2:$BB$2,)</f>
        <v>36</v>
      </c>
      <c r="M75" s="87" t="e">
        <f>IF(M67=0,0,VLOOKUP(M67,FAC_TOTALS_APTA!$A$4:$BD$126,$L75,FALSE))</f>
        <v>#N/A</v>
      </c>
      <c r="N75" s="87" t="e">
        <f>IF(N67=0,0,VLOOKUP(N67,FAC_TOTALS_APTA!$A$4:$BD$126,$L75,FALSE))</f>
        <v>#N/A</v>
      </c>
      <c r="O75" s="87" t="e">
        <f>IF(O67=0,0,VLOOKUP(O67,FAC_TOTALS_APTA!$A$4:$BD$126,$L75,FALSE))</f>
        <v>#N/A</v>
      </c>
      <c r="P75" s="87" t="e">
        <f>IF(P67=0,0,VLOOKUP(P67,FAC_TOTALS_APTA!$A$4:$BD$126,$L75,FALSE))</f>
        <v>#N/A</v>
      </c>
      <c r="Q75" s="87" t="e">
        <f>IF(Q67=0,0,VLOOKUP(Q67,FAC_TOTALS_APTA!$A$4:$BD$126,$L75,FALSE))</f>
        <v>#N/A</v>
      </c>
      <c r="R75" s="87" t="e">
        <f>IF(R67=0,0,VLOOKUP(R67,FAC_TOTALS_APTA!$A$4:$BD$126,$L75,FALSE))</f>
        <v>#N/A</v>
      </c>
      <c r="S75" s="87" t="e">
        <f>IF(S67=0,0,VLOOKUP(S67,FAC_TOTALS_APTA!$A$4:$BD$126,$L75,FALSE))</f>
        <v>#N/A</v>
      </c>
      <c r="T75" s="87" t="e">
        <f>IF(T67=0,0,VLOOKUP(T67,FAC_TOTALS_APTA!$A$4:$BD$126,$L75,FALSE))</f>
        <v>#N/A</v>
      </c>
      <c r="U75" s="87" t="e">
        <f>IF(U67=0,0,VLOOKUP(U67,FAC_TOTALS_APTA!$A$4:$BD$126,$L75,FALSE))</f>
        <v>#N/A</v>
      </c>
      <c r="V75" s="87" t="e">
        <f>IF(V67=0,0,VLOOKUP(V67,FAC_TOTALS_APTA!$A$4:$BD$126,$L75,FALSE))</f>
        <v>#N/A</v>
      </c>
      <c r="W75" s="87">
        <f>IF(W67=0,0,VLOOKUP(W67,FAC_TOTALS_APTA!$A$4:$BD$126,$L75,FALSE))</f>
        <v>0</v>
      </c>
      <c r="X75" s="87">
        <f>IF(X67=0,0,VLOOKUP(X67,FAC_TOTALS_APTA!$A$4:$BD$126,$L75,FALSE))</f>
        <v>0</v>
      </c>
      <c r="Y75" s="87">
        <f>IF(Y67=0,0,VLOOKUP(Y67,FAC_TOTALS_APTA!$A$4:$BD$126,$L75,FALSE))</f>
        <v>0</v>
      </c>
      <c r="Z75" s="87">
        <f>IF(Z67=0,0,VLOOKUP(Z67,FAC_TOTALS_APTA!$A$4:$BD$126,$L75,FALSE))</f>
        <v>0</v>
      </c>
      <c r="AA75" s="87">
        <f>IF(AA67=0,0,VLOOKUP(AA67,FAC_TOTALS_APTA!$A$4:$BD$126,$L75,FALSE))</f>
        <v>0</v>
      </c>
      <c r="AB75" s="87">
        <f>IF(AB67=0,0,VLOOKUP(AB67,FAC_TOTALS_APTA!$A$4:$BD$126,$L75,FALSE))</f>
        <v>0</v>
      </c>
      <c r="AC75" s="91" t="e">
        <f t="shared" si="23"/>
        <v>#N/A</v>
      </c>
      <c r="AD75" s="92" t="e">
        <f>AC75/G83</f>
        <v>#N/A</v>
      </c>
    </row>
    <row r="76" spans="2:33" x14ac:dyDescent="0.2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MATCH($D76,FAC_TOTALS_APTA!$A$2:$BD$2,)</f>
        <v>19</v>
      </c>
      <c r="G76" s="93" t="e">
        <f>VLOOKUP(G67,FAC_TOTALS_APTA!$A$4:$BD$126,$F76,FALSE)</f>
        <v>#N/A</v>
      </c>
      <c r="H76" s="93" t="e">
        <f>VLOOKUP(H67,FAC_TOTALS_APTA!$A$4:$BD$126,$F76,FALSE)</f>
        <v>#N/A</v>
      </c>
      <c r="I76" s="89" t="str">
        <f t="shared" si="20"/>
        <v>-</v>
      </c>
      <c r="J76" s="90" t="str">
        <f t="shared" si="21"/>
        <v>_log</v>
      </c>
      <c r="K76" s="90" t="str">
        <f t="shared" si="22"/>
        <v>TOTAL_MED_INC_INDIV_2018_log_FAC</v>
      </c>
      <c r="L76" s="76">
        <f>MATCH($K76,FAC_TOTALS_APTA!$A$2:$BB$2,)</f>
        <v>37</v>
      </c>
      <c r="M76" s="87" t="e">
        <f>IF(M67=0,0,VLOOKUP(M67,FAC_TOTALS_APTA!$A$4:$BD$126,$L76,FALSE))</f>
        <v>#N/A</v>
      </c>
      <c r="N76" s="87" t="e">
        <f>IF(N67=0,0,VLOOKUP(N67,FAC_TOTALS_APTA!$A$4:$BD$126,$L76,FALSE))</f>
        <v>#N/A</v>
      </c>
      <c r="O76" s="87" t="e">
        <f>IF(O67=0,0,VLOOKUP(O67,FAC_TOTALS_APTA!$A$4:$BD$126,$L76,FALSE))</f>
        <v>#N/A</v>
      </c>
      <c r="P76" s="87" t="e">
        <f>IF(P67=0,0,VLOOKUP(P67,FAC_TOTALS_APTA!$A$4:$BD$126,$L76,FALSE))</f>
        <v>#N/A</v>
      </c>
      <c r="Q76" s="87" t="e">
        <f>IF(Q67=0,0,VLOOKUP(Q67,FAC_TOTALS_APTA!$A$4:$BD$126,$L76,FALSE))</f>
        <v>#N/A</v>
      </c>
      <c r="R76" s="87" t="e">
        <f>IF(R67=0,0,VLOOKUP(R67,FAC_TOTALS_APTA!$A$4:$BD$126,$L76,FALSE))</f>
        <v>#N/A</v>
      </c>
      <c r="S76" s="87" t="e">
        <f>IF(S67=0,0,VLOOKUP(S67,FAC_TOTALS_APTA!$A$4:$BD$126,$L76,FALSE))</f>
        <v>#N/A</v>
      </c>
      <c r="T76" s="87" t="e">
        <f>IF(T67=0,0,VLOOKUP(T67,FAC_TOTALS_APTA!$A$4:$BD$126,$L76,FALSE))</f>
        <v>#N/A</v>
      </c>
      <c r="U76" s="87" t="e">
        <f>IF(U67=0,0,VLOOKUP(U67,FAC_TOTALS_APTA!$A$4:$BD$126,$L76,FALSE))</f>
        <v>#N/A</v>
      </c>
      <c r="V76" s="87" t="e">
        <f>IF(V67=0,0,VLOOKUP(V67,FAC_TOTALS_APTA!$A$4:$BD$126,$L76,FALSE))</f>
        <v>#N/A</v>
      </c>
      <c r="W76" s="87">
        <f>IF(W67=0,0,VLOOKUP(W67,FAC_TOTALS_APTA!$A$4:$BD$126,$L76,FALSE))</f>
        <v>0</v>
      </c>
      <c r="X76" s="87">
        <f>IF(X67=0,0,VLOOKUP(X67,FAC_TOTALS_APTA!$A$4:$BD$126,$L76,FALSE))</f>
        <v>0</v>
      </c>
      <c r="Y76" s="87">
        <f>IF(Y67=0,0,VLOOKUP(Y67,FAC_TOTALS_APTA!$A$4:$BD$126,$L76,FALSE))</f>
        <v>0</v>
      </c>
      <c r="Z76" s="87">
        <f>IF(Z67=0,0,VLOOKUP(Z67,FAC_TOTALS_APTA!$A$4:$BD$126,$L76,FALSE))</f>
        <v>0</v>
      </c>
      <c r="AA76" s="87">
        <f>IF(AA67=0,0,VLOOKUP(AA67,FAC_TOTALS_APTA!$A$4:$BD$126,$L76,FALSE))</f>
        <v>0</v>
      </c>
      <c r="AB76" s="87">
        <f>IF(AB67=0,0,VLOOKUP(AB67,FAC_TOTALS_APTA!$A$4:$BD$126,$L76,FALSE))</f>
        <v>0</v>
      </c>
      <c r="AC76" s="91" t="e">
        <f t="shared" si="23"/>
        <v>#N/A</v>
      </c>
      <c r="AD76" s="92" t="e">
        <f>AC76/G83</f>
        <v>#N/A</v>
      </c>
    </row>
    <row r="77" spans="2:33" x14ac:dyDescent="0.25">
      <c r="B77" s="115" t="s">
        <v>62</v>
      </c>
      <c r="C77" s="116"/>
      <c r="D77" s="104" t="s">
        <v>9</v>
      </c>
      <c r="E77" s="88"/>
      <c r="F77" s="76">
        <f>MATCH($D77,FAC_TOTALS_APTA!$A$2:$BD$2,)</f>
        <v>20</v>
      </c>
      <c r="G77" s="87" t="e">
        <f>VLOOKUP(G67,FAC_TOTALS_APTA!$A$4:$BD$126,$F77,FALSE)</f>
        <v>#N/A</v>
      </c>
      <c r="H77" s="87" t="e">
        <f>VLOOKUP(H67,FAC_TOTALS_APTA!$A$4:$BD$126,$F77,FALSE)</f>
        <v>#N/A</v>
      </c>
      <c r="I77" s="89" t="str">
        <f t="shared" si="20"/>
        <v>-</v>
      </c>
      <c r="J77" s="90" t="str">
        <f t="shared" si="21"/>
        <v/>
      </c>
      <c r="K77" s="90" t="str">
        <f t="shared" si="22"/>
        <v>PCT_HH_NO_VEH_FAC</v>
      </c>
      <c r="L77" s="76">
        <f>MATCH($K77,FAC_TOTALS_APTA!$A$2:$BB$2,)</f>
        <v>38</v>
      </c>
      <c r="M77" s="87" t="e">
        <f>IF(M67=0,0,VLOOKUP(M67,FAC_TOTALS_APTA!$A$4:$BD$126,$L77,FALSE))</f>
        <v>#N/A</v>
      </c>
      <c r="N77" s="87" t="e">
        <f>IF(N67=0,0,VLOOKUP(N67,FAC_TOTALS_APTA!$A$4:$BD$126,$L77,FALSE))</f>
        <v>#N/A</v>
      </c>
      <c r="O77" s="87" t="e">
        <f>IF(O67=0,0,VLOOKUP(O67,FAC_TOTALS_APTA!$A$4:$BD$126,$L77,FALSE))</f>
        <v>#N/A</v>
      </c>
      <c r="P77" s="87" t="e">
        <f>IF(P67=0,0,VLOOKUP(P67,FAC_TOTALS_APTA!$A$4:$BD$126,$L77,FALSE))</f>
        <v>#N/A</v>
      </c>
      <c r="Q77" s="87" t="e">
        <f>IF(Q67=0,0,VLOOKUP(Q67,FAC_TOTALS_APTA!$A$4:$BD$126,$L77,FALSE))</f>
        <v>#N/A</v>
      </c>
      <c r="R77" s="87" t="e">
        <f>IF(R67=0,0,VLOOKUP(R67,FAC_TOTALS_APTA!$A$4:$BD$126,$L77,FALSE))</f>
        <v>#N/A</v>
      </c>
      <c r="S77" s="87" t="e">
        <f>IF(S67=0,0,VLOOKUP(S67,FAC_TOTALS_APTA!$A$4:$BD$126,$L77,FALSE))</f>
        <v>#N/A</v>
      </c>
      <c r="T77" s="87" t="e">
        <f>IF(T67=0,0,VLOOKUP(T67,FAC_TOTALS_APTA!$A$4:$BD$126,$L77,FALSE))</f>
        <v>#N/A</v>
      </c>
      <c r="U77" s="87" t="e">
        <f>IF(U67=0,0,VLOOKUP(U67,FAC_TOTALS_APTA!$A$4:$BD$126,$L77,FALSE))</f>
        <v>#N/A</v>
      </c>
      <c r="V77" s="87" t="e">
        <f>IF(V67=0,0,VLOOKUP(V67,FAC_TOTALS_APTA!$A$4:$BD$126,$L77,FALSE))</f>
        <v>#N/A</v>
      </c>
      <c r="W77" s="87">
        <f>IF(W67=0,0,VLOOKUP(W67,FAC_TOTALS_APTA!$A$4:$BD$126,$L77,FALSE))</f>
        <v>0</v>
      </c>
      <c r="X77" s="87">
        <f>IF(X67=0,0,VLOOKUP(X67,FAC_TOTALS_APTA!$A$4:$BD$126,$L77,FALSE))</f>
        <v>0</v>
      </c>
      <c r="Y77" s="87">
        <f>IF(Y67=0,0,VLOOKUP(Y67,FAC_TOTALS_APTA!$A$4:$BD$126,$L77,FALSE))</f>
        <v>0</v>
      </c>
      <c r="Z77" s="87">
        <f>IF(Z67=0,0,VLOOKUP(Z67,FAC_TOTALS_APTA!$A$4:$BD$126,$L77,FALSE))</f>
        <v>0</v>
      </c>
      <c r="AA77" s="87">
        <f>IF(AA67=0,0,VLOOKUP(AA67,FAC_TOTALS_APTA!$A$4:$BD$126,$L77,FALSE))</f>
        <v>0</v>
      </c>
      <c r="AB77" s="87">
        <f>IF(AB67=0,0,VLOOKUP(AB67,FAC_TOTALS_APTA!$A$4:$BD$126,$L77,FALSE))</f>
        <v>0</v>
      </c>
      <c r="AC77" s="91" t="e">
        <f t="shared" si="23"/>
        <v>#N/A</v>
      </c>
      <c r="AD77" s="92" t="e">
        <f>AC77/G83</f>
        <v>#N/A</v>
      </c>
    </row>
    <row r="78" spans="2:33" x14ac:dyDescent="0.25">
      <c r="B78" s="115" t="s">
        <v>47</v>
      </c>
      <c r="C78" s="116"/>
      <c r="D78" s="104" t="s">
        <v>28</v>
      </c>
      <c r="E78" s="88"/>
      <c r="F78" s="76">
        <f>MATCH($D78,FAC_TOTALS_APTA!$A$2:$BD$2,)</f>
        <v>21</v>
      </c>
      <c r="G78" s="94" t="e">
        <f>VLOOKUP(G67,FAC_TOTALS_APTA!$A$4:$BD$126,$F78,FALSE)</f>
        <v>#N/A</v>
      </c>
      <c r="H78" s="94" t="e">
        <f>VLOOKUP(H67,FAC_TOTALS_APTA!$A$4:$BD$126,$F78,FALSE)</f>
        <v>#N/A</v>
      </c>
      <c r="I78" s="89" t="str">
        <f t="shared" si="20"/>
        <v>-</v>
      </c>
      <c r="J78" s="90" t="str">
        <f t="shared" si="21"/>
        <v/>
      </c>
      <c r="K78" s="90" t="str">
        <f t="shared" si="22"/>
        <v>JTW_HOME_PCT_FAC</v>
      </c>
      <c r="L78" s="76">
        <f>MATCH($K78,FAC_TOTALS_APTA!$A$2:$BB$2,)</f>
        <v>39</v>
      </c>
      <c r="M78" s="87" t="e">
        <f>IF(M67=0,0,VLOOKUP(M67,FAC_TOTALS_APTA!$A$4:$BD$126,$L78,FALSE))</f>
        <v>#N/A</v>
      </c>
      <c r="N78" s="87" t="e">
        <f>IF(N67=0,0,VLOOKUP(N67,FAC_TOTALS_APTA!$A$4:$BD$126,$L78,FALSE))</f>
        <v>#N/A</v>
      </c>
      <c r="O78" s="87" t="e">
        <f>IF(O67=0,0,VLOOKUP(O67,FAC_TOTALS_APTA!$A$4:$BD$126,$L78,FALSE))</f>
        <v>#N/A</v>
      </c>
      <c r="P78" s="87" t="e">
        <f>IF(P67=0,0,VLOOKUP(P67,FAC_TOTALS_APTA!$A$4:$BD$126,$L78,FALSE))</f>
        <v>#N/A</v>
      </c>
      <c r="Q78" s="87" t="e">
        <f>IF(Q67=0,0,VLOOKUP(Q67,FAC_TOTALS_APTA!$A$4:$BD$126,$L78,FALSE))</f>
        <v>#N/A</v>
      </c>
      <c r="R78" s="87" t="e">
        <f>IF(R67=0,0,VLOOKUP(R67,FAC_TOTALS_APTA!$A$4:$BD$126,$L78,FALSE))</f>
        <v>#N/A</v>
      </c>
      <c r="S78" s="87" t="e">
        <f>IF(S67=0,0,VLOOKUP(S67,FAC_TOTALS_APTA!$A$4:$BD$126,$L78,FALSE))</f>
        <v>#N/A</v>
      </c>
      <c r="T78" s="87" t="e">
        <f>IF(T67=0,0,VLOOKUP(T67,FAC_TOTALS_APTA!$A$4:$BD$126,$L78,FALSE))</f>
        <v>#N/A</v>
      </c>
      <c r="U78" s="87" t="e">
        <f>IF(U67=0,0,VLOOKUP(U67,FAC_TOTALS_APTA!$A$4:$BD$126,$L78,FALSE))</f>
        <v>#N/A</v>
      </c>
      <c r="V78" s="87" t="e">
        <f>IF(V67=0,0,VLOOKUP(V67,FAC_TOTALS_APTA!$A$4:$BD$126,$L78,FALSE))</f>
        <v>#N/A</v>
      </c>
      <c r="W78" s="87">
        <f>IF(W67=0,0,VLOOKUP(W67,FAC_TOTALS_APTA!$A$4:$BD$126,$L78,FALSE))</f>
        <v>0</v>
      </c>
      <c r="X78" s="87">
        <f>IF(X67=0,0,VLOOKUP(X67,FAC_TOTALS_APTA!$A$4:$BD$126,$L78,FALSE))</f>
        <v>0</v>
      </c>
      <c r="Y78" s="87">
        <f>IF(Y67=0,0,VLOOKUP(Y67,FAC_TOTALS_APTA!$A$4:$BD$126,$L78,FALSE))</f>
        <v>0</v>
      </c>
      <c r="Z78" s="87">
        <f>IF(Z67=0,0,VLOOKUP(Z67,FAC_TOTALS_APTA!$A$4:$BD$126,$L78,FALSE))</f>
        <v>0</v>
      </c>
      <c r="AA78" s="87">
        <f>IF(AA67=0,0,VLOOKUP(AA67,FAC_TOTALS_APTA!$A$4:$BD$126,$L78,FALSE))</f>
        <v>0</v>
      </c>
      <c r="AB78" s="87">
        <f>IF(AB67=0,0,VLOOKUP(AB67,FAC_TOTALS_APTA!$A$4:$BD$126,$L78,FALSE))</f>
        <v>0</v>
      </c>
      <c r="AC78" s="91" t="e">
        <f t="shared" si="23"/>
        <v>#N/A</v>
      </c>
      <c r="AD78" s="92" t="e">
        <f>AC78/G83</f>
        <v>#N/A</v>
      </c>
    </row>
    <row r="79" spans="2:33" x14ac:dyDescent="0.25">
      <c r="B79" s="115" t="s">
        <v>63</v>
      </c>
      <c r="C79" s="116"/>
      <c r="D79" s="126" t="s">
        <v>69</v>
      </c>
      <c r="E79" s="88"/>
      <c r="F79" s="76">
        <f>MATCH($D79,FAC_TOTALS_APTA!$A$2:$BD$2,)</f>
        <v>27</v>
      </c>
      <c r="G79" s="94" t="e">
        <f>VLOOKUP(G67,FAC_TOTALS_APTA!$A$4:$BD$126,$F79,FALSE)</f>
        <v>#N/A</v>
      </c>
      <c r="H79" s="94" t="e">
        <f>VLOOKUP(H67,FAC_TOTALS_APTA!$A$4:$BD$126,$F79,FALSE)</f>
        <v>#N/A</v>
      </c>
      <c r="I79" s="89" t="str">
        <f t="shared" si="20"/>
        <v>-</v>
      </c>
      <c r="J79" s="90"/>
      <c r="K79" s="90" t="str">
        <f t="shared" si="22"/>
        <v>YEARS_SINCE_TNC_RAIL_MID_FAC</v>
      </c>
      <c r="L79" s="76">
        <f>MATCH($K79,FAC_TOTALS_APTA!$A$2:$BB$2,)</f>
        <v>45</v>
      </c>
      <c r="M79" s="87" t="e">
        <f>IF(M67=0,0,VLOOKUP(M67,FAC_TOTALS_APTA!$A$4:$BD$126,$L79,FALSE))</f>
        <v>#N/A</v>
      </c>
      <c r="N79" s="87" t="e">
        <f>IF(N67=0,0,VLOOKUP(N67,FAC_TOTALS_APTA!$A$4:$BD$126,$L79,FALSE))</f>
        <v>#N/A</v>
      </c>
      <c r="O79" s="87" t="e">
        <f>IF(O67=0,0,VLOOKUP(O67,FAC_TOTALS_APTA!$A$4:$BD$126,$L79,FALSE))</f>
        <v>#N/A</v>
      </c>
      <c r="P79" s="87" t="e">
        <f>IF(P67=0,0,VLOOKUP(P67,FAC_TOTALS_APTA!$A$4:$BD$126,$L79,FALSE))</f>
        <v>#N/A</v>
      </c>
      <c r="Q79" s="87" t="e">
        <f>IF(Q67=0,0,VLOOKUP(Q67,FAC_TOTALS_APTA!$A$4:$BD$126,$L79,FALSE))</f>
        <v>#N/A</v>
      </c>
      <c r="R79" s="87" t="e">
        <f>IF(R67=0,0,VLOOKUP(R67,FAC_TOTALS_APTA!$A$4:$BD$126,$L79,FALSE))</f>
        <v>#N/A</v>
      </c>
      <c r="S79" s="87" t="e">
        <f>IF(S67=0,0,VLOOKUP(S67,FAC_TOTALS_APTA!$A$4:$BD$126,$L79,FALSE))</f>
        <v>#N/A</v>
      </c>
      <c r="T79" s="87" t="e">
        <f>IF(T67=0,0,VLOOKUP(T67,FAC_TOTALS_APTA!$A$4:$BD$126,$L79,FALSE))</f>
        <v>#N/A</v>
      </c>
      <c r="U79" s="87" t="e">
        <f>IF(U67=0,0,VLOOKUP(U67,FAC_TOTALS_APTA!$A$4:$BD$126,$L79,FALSE))</f>
        <v>#N/A</v>
      </c>
      <c r="V79" s="87" t="e">
        <f>IF(V67=0,0,VLOOKUP(V67,FAC_TOTALS_APTA!$A$4:$BD$126,$L79,FALSE))</f>
        <v>#N/A</v>
      </c>
      <c r="W79" s="87">
        <f>IF(W67=0,0,VLOOKUP(W67,FAC_TOTALS_APTA!$A$4:$BD$126,$L79,FALSE))</f>
        <v>0</v>
      </c>
      <c r="X79" s="87">
        <f>IF(X67=0,0,VLOOKUP(X67,FAC_TOTALS_APTA!$A$4:$BD$126,$L79,FALSE))</f>
        <v>0</v>
      </c>
      <c r="Y79" s="87">
        <f>IF(Y67=0,0,VLOOKUP(Y67,FAC_TOTALS_APTA!$A$4:$BD$126,$L79,FALSE))</f>
        <v>0</v>
      </c>
      <c r="Z79" s="87">
        <f>IF(Z67=0,0,VLOOKUP(Z67,FAC_TOTALS_APTA!$A$4:$BD$126,$L79,FALSE))</f>
        <v>0</v>
      </c>
      <c r="AA79" s="87">
        <f>IF(AA67=0,0,VLOOKUP(AA67,FAC_TOTALS_APTA!$A$4:$BD$126,$L79,FALSE))</f>
        <v>0</v>
      </c>
      <c r="AB79" s="87">
        <f>IF(AB67=0,0,VLOOKUP(AB67,FAC_TOTALS_APTA!$A$4:$BD$126,$L79,FALSE))</f>
        <v>0</v>
      </c>
      <c r="AC79" s="91" t="e">
        <f t="shared" si="23"/>
        <v>#N/A</v>
      </c>
      <c r="AD79" s="92" t="e">
        <f>AC79/G83</f>
        <v>#N/A</v>
      </c>
      <c r="AG79" s="53"/>
    </row>
    <row r="80" spans="2:33" x14ac:dyDescent="0.25">
      <c r="B80" s="115" t="s">
        <v>64</v>
      </c>
      <c r="C80" s="116"/>
      <c r="D80" s="104" t="s">
        <v>43</v>
      </c>
      <c r="E80" s="88"/>
      <c r="F80" s="76">
        <f>MATCH($D80,FAC_TOTALS_APTA!$A$2:$BD$2,)</f>
        <v>28</v>
      </c>
      <c r="G80" s="94" t="e">
        <f>VLOOKUP(G67,FAC_TOTALS_APTA!$A$4:$BD$126,$F80,FALSE)</f>
        <v>#N/A</v>
      </c>
      <c r="H80" s="94" t="e">
        <f>VLOOKUP(H67,FAC_TOTALS_APTA!$A$4:$BD$126,$F80,FALSE)</f>
        <v>#N/A</v>
      </c>
      <c r="I80" s="89" t="str">
        <f t="shared" si="20"/>
        <v>-</v>
      </c>
      <c r="J80" s="90" t="str">
        <f t="shared" ref="J80:J81" si="24">IF(C80="Log","_log","")</f>
        <v/>
      </c>
      <c r="K80" s="90" t="str">
        <f t="shared" si="22"/>
        <v>BIKE_SHARE_FAC</v>
      </c>
      <c r="L80" s="76">
        <f>MATCH($K80,FAC_TOTALS_APTA!$A$2:$BB$2,)</f>
        <v>46</v>
      </c>
      <c r="M80" s="87" t="e">
        <f>IF(M67=0,0,VLOOKUP(M67,FAC_TOTALS_APTA!$A$4:$BD$126,$L80,FALSE))</f>
        <v>#N/A</v>
      </c>
      <c r="N80" s="87" t="e">
        <f>IF(N67=0,0,VLOOKUP(N67,FAC_TOTALS_APTA!$A$4:$BD$126,$L80,FALSE))</f>
        <v>#N/A</v>
      </c>
      <c r="O80" s="87" t="e">
        <f>IF(O67=0,0,VLOOKUP(O67,FAC_TOTALS_APTA!$A$4:$BD$126,$L80,FALSE))</f>
        <v>#N/A</v>
      </c>
      <c r="P80" s="87" t="e">
        <f>IF(P67=0,0,VLOOKUP(P67,FAC_TOTALS_APTA!$A$4:$BD$126,$L80,FALSE))</f>
        <v>#N/A</v>
      </c>
      <c r="Q80" s="87" t="e">
        <f>IF(Q67=0,0,VLOOKUP(Q67,FAC_TOTALS_APTA!$A$4:$BD$126,$L80,FALSE))</f>
        <v>#N/A</v>
      </c>
      <c r="R80" s="87" t="e">
        <f>IF(R67=0,0,VLOOKUP(R67,FAC_TOTALS_APTA!$A$4:$BD$126,$L80,FALSE))</f>
        <v>#N/A</v>
      </c>
      <c r="S80" s="87" t="e">
        <f>IF(S67=0,0,VLOOKUP(S67,FAC_TOTALS_APTA!$A$4:$BD$126,$L80,FALSE))</f>
        <v>#N/A</v>
      </c>
      <c r="T80" s="87" t="e">
        <f>IF(T67=0,0,VLOOKUP(T67,FAC_TOTALS_APTA!$A$4:$BD$126,$L80,FALSE))</f>
        <v>#N/A</v>
      </c>
      <c r="U80" s="87" t="e">
        <f>IF(U67=0,0,VLOOKUP(U67,FAC_TOTALS_APTA!$A$4:$BD$126,$L80,FALSE))</f>
        <v>#N/A</v>
      </c>
      <c r="V80" s="87" t="e">
        <f>IF(V67=0,0,VLOOKUP(V67,FAC_TOTALS_APTA!$A$4:$BD$126,$L80,FALSE))</f>
        <v>#N/A</v>
      </c>
      <c r="W80" s="87">
        <f>IF(W67=0,0,VLOOKUP(W67,FAC_TOTALS_APTA!$A$4:$BD$126,$L80,FALSE))</f>
        <v>0</v>
      </c>
      <c r="X80" s="87">
        <f>IF(X67=0,0,VLOOKUP(X67,FAC_TOTALS_APTA!$A$4:$BD$126,$L80,FALSE))</f>
        <v>0</v>
      </c>
      <c r="Y80" s="87">
        <f>IF(Y67=0,0,VLOOKUP(Y67,FAC_TOTALS_APTA!$A$4:$BD$126,$L80,FALSE))</f>
        <v>0</v>
      </c>
      <c r="Z80" s="87">
        <f>IF(Z67=0,0,VLOOKUP(Z67,FAC_TOTALS_APTA!$A$4:$BD$126,$L80,FALSE))</f>
        <v>0</v>
      </c>
      <c r="AA80" s="87">
        <f>IF(AA67=0,0,VLOOKUP(AA67,FAC_TOTALS_APTA!$A$4:$BD$126,$L80,FALSE))</f>
        <v>0</v>
      </c>
      <c r="AB80" s="87">
        <f>IF(AB67=0,0,VLOOKUP(AB67,FAC_TOTALS_APTA!$A$4:$BD$126,$L80,FALSE))</f>
        <v>0</v>
      </c>
      <c r="AC80" s="91" t="e">
        <f t="shared" si="23"/>
        <v>#N/A</v>
      </c>
      <c r="AD80" s="92" t="e">
        <f>AC80/G83</f>
        <v>#N/A</v>
      </c>
      <c r="AG80" s="53"/>
    </row>
    <row r="81" spans="1:33" x14ac:dyDescent="0.25">
      <c r="B81" s="127" t="s">
        <v>65</v>
      </c>
      <c r="C81" s="128"/>
      <c r="D81" s="129" t="s">
        <v>44</v>
      </c>
      <c r="E81" s="95"/>
      <c r="F81" s="86">
        <f>MATCH($D81,FAC_TOTALS_APTA!$A$2:$BD$2,)</f>
        <v>29</v>
      </c>
      <c r="G81" s="96" t="e">
        <f>VLOOKUP(G67,FAC_TOTALS_APTA!$A$4:$BD$126,$F81,FALSE)</f>
        <v>#N/A</v>
      </c>
      <c r="H81" s="96" t="e">
        <f>VLOOKUP(H67,FAC_TOTALS_APTA!$A$4:$BD$126,$F81,FALSE)</f>
        <v>#N/A</v>
      </c>
      <c r="I81" s="97" t="str">
        <f t="shared" si="20"/>
        <v>-</v>
      </c>
      <c r="J81" s="98" t="str">
        <f t="shared" si="24"/>
        <v/>
      </c>
      <c r="K81" s="98" t="str">
        <f t="shared" si="22"/>
        <v>scooter_flag_FAC</v>
      </c>
      <c r="L81" s="86">
        <f>MATCH($K81,FAC_TOTALS_APTA!$A$2:$BB$2,)</f>
        <v>47</v>
      </c>
      <c r="M81" s="99" t="e">
        <f>IF(M67=0,0,VLOOKUP(M67,FAC_TOTALS_APTA!$A$4:$BD$126,$L81,FALSE))</f>
        <v>#N/A</v>
      </c>
      <c r="N81" s="99" t="e">
        <f>IF(N67=0,0,VLOOKUP(N67,FAC_TOTALS_APTA!$A$4:$BD$126,$L81,FALSE))</f>
        <v>#N/A</v>
      </c>
      <c r="O81" s="99" t="e">
        <f>IF(O67=0,0,VLOOKUP(O67,FAC_TOTALS_APTA!$A$4:$BD$126,$L81,FALSE))</f>
        <v>#N/A</v>
      </c>
      <c r="P81" s="99" t="e">
        <f>IF(P67=0,0,VLOOKUP(P67,FAC_TOTALS_APTA!$A$4:$BD$126,$L81,FALSE))</f>
        <v>#N/A</v>
      </c>
      <c r="Q81" s="99" t="e">
        <f>IF(Q67=0,0,VLOOKUP(Q67,FAC_TOTALS_APTA!$A$4:$BD$126,$L81,FALSE))</f>
        <v>#N/A</v>
      </c>
      <c r="R81" s="99" t="e">
        <f>IF(R67=0,0,VLOOKUP(R67,FAC_TOTALS_APTA!$A$4:$BD$126,$L81,FALSE))</f>
        <v>#N/A</v>
      </c>
      <c r="S81" s="99" t="e">
        <f>IF(S67=0,0,VLOOKUP(S67,FAC_TOTALS_APTA!$A$4:$BD$126,$L81,FALSE))</f>
        <v>#N/A</v>
      </c>
      <c r="T81" s="99" t="e">
        <f>IF(T67=0,0,VLOOKUP(T67,FAC_TOTALS_APTA!$A$4:$BD$126,$L81,FALSE))</f>
        <v>#N/A</v>
      </c>
      <c r="U81" s="99" t="e">
        <f>IF(U67=0,0,VLOOKUP(U67,FAC_TOTALS_APTA!$A$4:$BD$126,$L81,FALSE))</f>
        <v>#N/A</v>
      </c>
      <c r="V81" s="99" t="e">
        <f>IF(V67=0,0,VLOOKUP(V67,FAC_TOTALS_APTA!$A$4:$BD$126,$L81,FALSE))</f>
        <v>#N/A</v>
      </c>
      <c r="W81" s="99">
        <f>IF(W67=0,0,VLOOKUP(W67,FAC_TOTALS_APTA!$A$4:$BD$126,$L81,FALSE))</f>
        <v>0</v>
      </c>
      <c r="X81" s="99">
        <f>IF(X67=0,0,VLOOKUP(X67,FAC_TOTALS_APTA!$A$4:$BD$126,$L81,FALSE))</f>
        <v>0</v>
      </c>
      <c r="Y81" s="99">
        <f>IF(Y67=0,0,VLOOKUP(Y67,FAC_TOTALS_APTA!$A$4:$BD$126,$L81,FALSE))</f>
        <v>0</v>
      </c>
      <c r="Z81" s="99">
        <f>IF(Z67=0,0,VLOOKUP(Z67,FAC_TOTALS_APTA!$A$4:$BD$126,$L81,FALSE))</f>
        <v>0</v>
      </c>
      <c r="AA81" s="99">
        <f>IF(AA67=0,0,VLOOKUP(AA67,FAC_TOTALS_APTA!$A$4:$BD$126,$L81,FALSE))</f>
        <v>0</v>
      </c>
      <c r="AB81" s="99">
        <f>IF(AB67=0,0,VLOOKUP(AB67,FAC_TOTALS_APTA!$A$4:$BD$126,$L81,FALSE))</f>
        <v>0</v>
      </c>
      <c r="AC81" s="100" t="e">
        <f t="shared" si="23"/>
        <v>#N/A</v>
      </c>
      <c r="AD81" s="101" t="e">
        <f>AC81/G83</f>
        <v>#N/A</v>
      </c>
      <c r="AG81" s="53"/>
    </row>
    <row r="82" spans="1:33" x14ac:dyDescent="0.2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si="22"/>
        <v>New_Reporter_FAC</v>
      </c>
      <c r="L82" s="44">
        <f>MATCH($K82,FAC_TOTALS_APTA!$A$2:$BB$2,)</f>
        <v>51</v>
      </c>
      <c r="M82" s="45" t="e">
        <f>IF(M67=0,0,VLOOKUP(M67,FAC_TOTALS_APTA!$A$4:$BD$126,$L82,FALSE))</f>
        <v>#N/A</v>
      </c>
      <c r="N82" s="45" t="e">
        <f>IF(N67=0,0,VLOOKUP(N67,FAC_TOTALS_APTA!$A$4:$BD$126,$L82,FALSE))</f>
        <v>#N/A</v>
      </c>
      <c r="O82" s="45" t="e">
        <f>IF(O67=0,0,VLOOKUP(O67,FAC_TOTALS_APTA!$A$4:$BD$126,$L82,FALSE))</f>
        <v>#N/A</v>
      </c>
      <c r="P82" s="45" t="e">
        <f>IF(P67=0,0,VLOOKUP(P67,FAC_TOTALS_APTA!$A$4:$BD$126,$L82,FALSE))</f>
        <v>#N/A</v>
      </c>
      <c r="Q82" s="45" t="e">
        <f>IF(Q67=0,0,VLOOKUP(Q67,FAC_TOTALS_APTA!$A$4:$BD$126,$L82,FALSE))</f>
        <v>#N/A</v>
      </c>
      <c r="R82" s="45" t="e">
        <f>IF(R67=0,0,VLOOKUP(R67,FAC_TOTALS_APTA!$A$4:$BD$126,$L82,FALSE))</f>
        <v>#N/A</v>
      </c>
      <c r="S82" s="45" t="e">
        <f>IF(S67=0,0,VLOOKUP(S67,FAC_TOTALS_APTA!$A$4:$BD$126,$L82,FALSE))</f>
        <v>#N/A</v>
      </c>
      <c r="T82" s="45" t="e">
        <f>IF(T67=0,0,VLOOKUP(T67,FAC_TOTALS_APTA!$A$4:$BD$126,$L82,FALSE))</f>
        <v>#N/A</v>
      </c>
      <c r="U82" s="45" t="e">
        <f>IF(U67=0,0,VLOOKUP(U67,FAC_TOTALS_APTA!$A$4:$BD$126,$L82,FALSE))</f>
        <v>#N/A</v>
      </c>
      <c r="V82" s="45" t="e">
        <f>IF(V67=0,0,VLOOKUP(V67,FAC_TOTALS_APTA!$A$4:$BD$126,$L82,FALSE))</f>
        <v>#N/A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 t="e">
        <f>SUM(M82:AB82)</f>
        <v>#N/A</v>
      </c>
      <c r="AD82" s="49" t="e">
        <f>AC82/G84</f>
        <v>#N/A</v>
      </c>
    </row>
    <row r="83" spans="1:33" s="107" customForma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0" t="e">
        <f>VLOOKUP(G67,FAC_TOTALS_APTA!$A$4:$BD$126,$F83,FALSE)</f>
        <v>#N/A</v>
      </c>
      <c r="H83" s="110" t="e">
        <f>VLOOKUP(H67,FAC_TOTALS_APTA!$A$4:$BB$126,$F83,FALSE)</f>
        <v>#N/A</v>
      </c>
      <c r="I83" s="112" t="e">
        <f t="shared" ref="I83" si="25">H83/G83-1</f>
        <v>#N/A</v>
      </c>
      <c r="J83" s="31"/>
      <c r="K83" s="31"/>
      <c r="L83" s="6"/>
      <c r="M83" s="29" t="e">
        <f t="shared" ref="M83:AB83" si="26">SUM(M69:M76)</f>
        <v>#N/A</v>
      </c>
      <c r="N83" s="29" t="e">
        <f t="shared" si="26"/>
        <v>#N/A</v>
      </c>
      <c r="O83" s="29" t="e">
        <f t="shared" si="26"/>
        <v>#N/A</v>
      </c>
      <c r="P83" s="29" t="e">
        <f t="shared" si="26"/>
        <v>#N/A</v>
      </c>
      <c r="Q83" s="29" t="e">
        <f t="shared" si="26"/>
        <v>#N/A</v>
      </c>
      <c r="R83" s="29" t="e">
        <f t="shared" si="26"/>
        <v>#N/A</v>
      </c>
      <c r="S83" s="29" t="e">
        <f t="shared" si="26"/>
        <v>#N/A</v>
      </c>
      <c r="T83" s="29" t="e">
        <f t="shared" si="26"/>
        <v>#N/A</v>
      </c>
      <c r="U83" s="29" t="e">
        <f t="shared" si="26"/>
        <v>#N/A</v>
      </c>
      <c r="V83" s="29" t="e">
        <f t="shared" si="26"/>
        <v>#N/A</v>
      </c>
      <c r="W83" s="29">
        <f t="shared" si="26"/>
        <v>0</v>
      </c>
      <c r="X83" s="29">
        <f t="shared" si="26"/>
        <v>0</v>
      </c>
      <c r="Y83" s="29">
        <f t="shared" si="26"/>
        <v>0</v>
      </c>
      <c r="Z83" s="29">
        <f t="shared" si="26"/>
        <v>0</v>
      </c>
      <c r="AA83" s="29">
        <f t="shared" si="26"/>
        <v>0</v>
      </c>
      <c r="AB83" s="29">
        <f t="shared" si="26"/>
        <v>0</v>
      </c>
      <c r="AC83" s="32" t="e">
        <f>H83-G83</f>
        <v>#N/A</v>
      </c>
      <c r="AD83" s="33" t="e">
        <f>I83</f>
        <v>#N/A</v>
      </c>
      <c r="AE83" s="106"/>
    </row>
    <row r="84" spans="1:33" ht="13.5" thickBot="1" x14ac:dyDescent="0.3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1" t="e">
        <f>VLOOKUP(G67,FAC_TOTALS_APTA!$A$4:$BB$126,$F84,FALSE)</f>
        <v>#N/A</v>
      </c>
      <c r="H84" s="111" t="e">
        <f>VLOOKUP(H67,FAC_TOTALS_APTA!$A$4:$BB$126,$F84,FALSE)</f>
        <v>#N/A</v>
      </c>
      <c r="I84" s="113" t="e">
        <f t="shared" ref="I84" si="27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1:33" ht="14.25" thickTop="1" thickBot="1" x14ac:dyDescent="0.3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1:33" ht="13.5" thickTop="1" x14ac:dyDescent="0.25"/>
    <row r="87" spans="1:33" s="10" customFormat="1" x14ac:dyDescent="0.25">
      <c r="B87" s="18" t="s">
        <v>25</v>
      </c>
      <c r="E87" s="6"/>
      <c r="I87" s="17"/>
    </row>
    <row r="88" spans="1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3" ht="13.5" thickBot="1" x14ac:dyDescent="0.3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3" ht="13.5" thickTop="1" x14ac:dyDescent="0.25">
      <c r="B92" s="25"/>
      <c r="C92" s="6"/>
      <c r="D92" s="62"/>
      <c r="E92" s="6"/>
      <c r="F92" s="6"/>
      <c r="G92" s="176" t="s">
        <v>51</v>
      </c>
      <c r="H92" s="176"/>
      <c r="I92" s="176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76" t="s">
        <v>55</v>
      </c>
      <c r="AD92" s="176"/>
    </row>
    <row r="93" spans="1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2002</v>
      </c>
      <c r="H93" s="27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3" hidden="1" x14ac:dyDescent="0.25">
      <c r="B95" s="25"/>
      <c r="C95" s="28"/>
      <c r="D95" s="6"/>
      <c r="E95" s="6"/>
      <c r="F95" s="6"/>
      <c r="G95" s="6" t="str">
        <f>CONCATENATE($C90,"_",$C91,"_",G93)</f>
        <v>1_10_2002</v>
      </c>
      <c r="H95" s="6" t="str">
        <f>CONCATENATE($C90,"_",$C91,"_",H93)</f>
        <v>1_10_2012</v>
      </c>
      <c r="I95" s="28"/>
      <c r="J95" s="6"/>
      <c r="K95" s="6"/>
      <c r="L95" s="6"/>
      <c r="M95" s="6" t="str">
        <f>IF($G93+M94&gt;$H93,0,CONCATENATE($C90,"_",$C91,"_",$G93+M94))</f>
        <v>1_10_2003</v>
      </c>
      <c r="N95" s="6" t="str">
        <f t="shared" ref="N95:AB95" si="28">IF($G93+N94&gt;$H93,0,CONCATENATE($C90,"_",$C91,"_",$G93+N94))</f>
        <v>1_10_2004</v>
      </c>
      <c r="O95" s="6" t="str">
        <f t="shared" si="28"/>
        <v>1_10_2005</v>
      </c>
      <c r="P95" s="6" t="str">
        <f t="shared" si="28"/>
        <v>1_10_2006</v>
      </c>
      <c r="Q95" s="6" t="str">
        <f t="shared" si="28"/>
        <v>1_10_2007</v>
      </c>
      <c r="R95" s="6" t="str">
        <f t="shared" si="28"/>
        <v>1_10_2008</v>
      </c>
      <c r="S95" s="6" t="str">
        <f t="shared" si="28"/>
        <v>1_10_2009</v>
      </c>
      <c r="T95" s="6" t="str">
        <f t="shared" si="28"/>
        <v>1_10_2010</v>
      </c>
      <c r="U95" s="6" t="str">
        <f t="shared" si="28"/>
        <v>1_10_2011</v>
      </c>
      <c r="V95" s="6" t="str">
        <f t="shared" si="28"/>
        <v>1_10_2012</v>
      </c>
      <c r="W95" s="6">
        <f t="shared" si="28"/>
        <v>0</v>
      </c>
      <c r="X95" s="6">
        <f t="shared" si="28"/>
        <v>0</v>
      </c>
      <c r="Y95" s="6">
        <f t="shared" si="28"/>
        <v>0</v>
      </c>
      <c r="Z95" s="6">
        <f t="shared" si="28"/>
        <v>0</v>
      </c>
      <c r="AA95" s="6">
        <f t="shared" si="28"/>
        <v>0</v>
      </c>
      <c r="AB95" s="6">
        <f t="shared" si="28"/>
        <v>0</v>
      </c>
      <c r="AC95" s="6"/>
      <c r="AD95" s="6"/>
    </row>
    <row r="96" spans="1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31</v>
      </c>
      <c r="C97" s="116" t="s">
        <v>21</v>
      </c>
      <c r="D97" s="104" t="s">
        <v>91</v>
      </c>
      <c r="E97" s="55"/>
      <c r="F97" s="6">
        <f>MATCH($D97,FAC_TOTALS_APTA!$A$2:$BD$2,)</f>
        <v>13</v>
      </c>
      <c r="G97" s="29">
        <f>VLOOKUP(G95,FAC_TOTALS_APTA!$A$4:$BD$126,$F97,FALSE)</f>
        <v>474570591.99999899</v>
      </c>
      <c r="H97" s="29">
        <f>VLOOKUP(H95,FAC_TOTALS_APTA!$A$4:$BD$126,$F97,FALSE)</f>
        <v>542311539</v>
      </c>
      <c r="I97" s="30">
        <f>IFERROR(H97/G97-1,"-")</f>
        <v>0.14274156077501154</v>
      </c>
      <c r="J97" s="31" t="str">
        <f>IF(C97="Log","_log","")</f>
        <v>_log</v>
      </c>
      <c r="K97" s="31" t="str">
        <f>CONCATENATE(D97,J97,"_FAC")</f>
        <v>VRM_ADJ_RAIL_log_FAC</v>
      </c>
      <c r="L97" s="6">
        <f>MATCH($K97,FAC_TOTALS_APTA!$A$2:$BB$2,)</f>
        <v>31</v>
      </c>
      <c r="M97" s="29">
        <f>IF(M95=0,0,VLOOKUP(M95,FAC_TOTALS_APTA!$A$4:$BD$126,$L97,FALSE))</f>
        <v>81201777.364868104</v>
      </c>
      <c r="N97" s="29">
        <f>IF(N95=0,0,VLOOKUP(N95,FAC_TOTALS_APTA!$A$4:$BD$126,$L97,FALSE))</f>
        <v>47852710.975230202</v>
      </c>
      <c r="O97" s="29">
        <f>IF(O95=0,0,VLOOKUP(O95,FAC_TOTALS_APTA!$A$4:$BD$126,$L97,FALSE))</f>
        <v>16441465.0097242</v>
      </c>
      <c r="P97" s="29">
        <f>IF(P95=0,0,VLOOKUP(P95,FAC_TOTALS_APTA!$A$4:$BD$126,$L97,FALSE))</f>
        <v>37473752.325089</v>
      </c>
      <c r="Q97" s="29">
        <f>IF(Q95=0,0,VLOOKUP(Q95,FAC_TOTALS_APTA!$A$4:$BD$126,$L97,FALSE))</f>
        <v>10030752.2893505</v>
      </c>
      <c r="R97" s="29">
        <f>IF(R95=0,0,VLOOKUP(R95,FAC_TOTALS_APTA!$A$4:$BD$126,$L97,FALSE))</f>
        <v>51078172.192987204</v>
      </c>
      <c r="S97" s="29">
        <f>IF(S95=0,0,VLOOKUP(S95,FAC_TOTALS_APTA!$A$4:$BD$126,$L97,FALSE))</f>
        <v>12580115.627014499</v>
      </c>
      <c r="T97" s="29">
        <f>IF(T95=0,0,VLOOKUP(T95,FAC_TOTALS_APTA!$A$4:$BD$126,$L97,FALSE))</f>
        <v>-31209822.575968899</v>
      </c>
      <c r="U97" s="29">
        <f>IF(U95=0,0,VLOOKUP(U95,FAC_TOTALS_APTA!$A$4:$BD$126,$L97,FALSE))</f>
        <v>-32694987.2521003</v>
      </c>
      <c r="V97" s="29">
        <f>IF(V95=0,0,VLOOKUP(V95,FAC_TOTALS_APTA!$A$4:$BD$126,$L97,FALSE))</f>
        <v>-1658358.71290109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191095577.24329346</v>
      </c>
      <c r="AD97" s="33">
        <f>AC97/G111</f>
        <v>6.6613416540880724E-2</v>
      </c>
    </row>
    <row r="98" spans="1:31" x14ac:dyDescent="0.25">
      <c r="B98" s="115" t="s">
        <v>52</v>
      </c>
      <c r="C98" s="116" t="s">
        <v>21</v>
      </c>
      <c r="D98" s="104" t="s">
        <v>92</v>
      </c>
      <c r="E98" s="55"/>
      <c r="F98" s="6">
        <f>MATCH($D98,FAC_TOTALS_APTA!$A$2:$BD$2,)</f>
        <v>15</v>
      </c>
      <c r="G98" s="54">
        <f>VLOOKUP(G95,FAC_TOTALS_APTA!$A$4:$BD$126,$F98,FALSE)</f>
        <v>1.7610024585999999</v>
      </c>
      <c r="H98" s="54">
        <f>VLOOKUP(H95,FAC_TOTALS_APTA!$A$4:$BD$126,$F98,FALSE)</f>
        <v>1.6964752675200001</v>
      </c>
      <c r="I98" s="30">
        <f t="shared" ref="I98:I109" si="29">IFERROR(H98/G98-1,"-")</f>
        <v>-3.6642306071110853E-2</v>
      </c>
      <c r="J98" s="31" t="str">
        <f t="shared" ref="J98:J106" si="30">IF(C98="Log","_log","")</f>
        <v>_log</v>
      </c>
      <c r="K98" s="31" t="str">
        <f t="shared" ref="K98:K110" si="31">CONCATENATE(D98,J98,"_FAC")</f>
        <v>FARE_per_UPT_cleaned_2018_RAIL_log_FAC</v>
      </c>
      <c r="L98" s="6">
        <f>MATCH($K98,FAC_TOTALS_APTA!$A$2:$BB$2,)</f>
        <v>33</v>
      </c>
      <c r="M98" s="29">
        <f>IF(M95=0,0,VLOOKUP(M95,FAC_TOTALS_APTA!$A$4:$BD$126,$L98,FALSE))</f>
        <v>-41094920.521033697</v>
      </c>
      <c r="N98" s="29">
        <f>IF(N95=0,0,VLOOKUP(N95,FAC_TOTALS_APTA!$A$4:$BD$126,$L98,FALSE))</f>
        <v>6472751.5470821401</v>
      </c>
      <c r="O98" s="29">
        <f>IF(O95=0,0,VLOOKUP(O95,FAC_TOTALS_APTA!$A$4:$BD$126,$L98,FALSE))</f>
        <v>79447538.232779205</v>
      </c>
      <c r="P98" s="29">
        <f>IF(P95=0,0,VLOOKUP(P95,FAC_TOTALS_APTA!$A$4:$BD$126,$L98,FALSE))</f>
        <v>7040713.7469410198</v>
      </c>
      <c r="Q98" s="29">
        <f>IF(Q95=0,0,VLOOKUP(Q95,FAC_TOTALS_APTA!$A$4:$BD$126,$L98,FALSE))</f>
        <v>22560177.272261299</v>
      </c>
      <c r="R98" s="29">
        <f>IF(R95=0,0,VLOOKUP(R95,FAC_TOTALS_APTA!$A$4:$BD$126,$L98,FALSE))</f>
        <v>-9367005.5807770006</v>
      </c>
      <c r="S98" s="29">
        <f>IF(S95=0,0,VLOOKUP(S95,FAC_TOTALS_APTA!$A$4:$BD$126,$L98,FALSE))</f>
        <v>-31290351.634305201</v>
      </c>
      <c r="T98" s="29">
        <f>IF(T95=0,0,VLOOKUP(T95,FAC_TOTALS_APTA!$A$4:$BD$126,$L98,FALSE))</f>
        <v>-521729.58026579599</v>
      </c>
      <c r="U98" s="29">
        <f>IF(U95=0,0,VLOOKUP(U95,FAC_TOTALS_APTA!$A$4:$BD$126,$L98,FALSE))</f>
        <v>-37916112.569449201</v>
      </c>
      <c r="V98" s="29">
        <f>IF(V95=0,0,VLOOKUP(V95,FAC_TOTALS_APTA!$A$4:$BD$126,$L98,FALSE))</f>
        <v>15722548.4908044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2">SUM(M98:AB98)</f>
        <v>11053609.404037174</v>
      </c>
      <c r="AD98" s="33">
        <f>AC98/G111</f>
        <v>3.853143532327177E-3</v>
      </c>
    </row>
    <row r="99" spans="1:31" x14ac:dyDescent="0.25"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119" t="str">
        <f>IFERROR(H99/G99-1,"-")</f>
        <v>-</v>
      </c>
      <c r="J99" s="120" t="str">
        <f t="shared" si="30"/>
        <v/>
      </c>
      <c r="K99" s="120" t="str">
        <f t="shared" si="31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2"/>
        <v>0</v>
      </c>
      <c r="AD99" s="122">
        <f>AC99/G112</f>
        <v>0</v>
      </c>
    </row>
    <row r="100" spans="1:31" x14ac:dyDescent="0.25"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117">
        <f>VLOOKUP(G95,FAC_TOTALS_APTA!$A$4:$BD$126,$F100,FALSE)</f>
        <v>0</v>
      </c>
      <c r="H100" s="117">
        <f>VLOOKUP(H95,FAC_TOTALS_APTA!$A$4:$BD$126,$F100,FALSE)</f>
        <v>0</v>
      </c>
      <c r="I100" s="119" t="str">
        <f>IFERROR(H100/G100-1,"-")</f>
        <v>-</v>
      </c>
      <c r="J100" s="120" t="str">
        <f t="shared" si="30"/>
        <v/>
      </c>
      <c r="K100" s="120" t="str">
        <f t="shared" si="31"/>
        <v>MAINTENANCE_WMATA_FAC</v>
      </c>
      <c r="L100" s="104">
        <f>MATCH($K100,FAC_TOTALS_APTA!$A$2:$BB$2,)</f>
        <v>40</v>
      </c>
      <c r="M100" s="117">
        <f>IF(M96=0,0,VLOOKUP(M96,FAC_TOTALS_APTA!$A$4:$BD$126,$L100,FALSE))</f>
        <v>0</v>
      </c>
      <c r="N100" s="117">
        <f>IF(N96=0,0,VLOOKUP(N96,FAC_TOTALS_APTA!$A$4:$BD$126,$L100,FALSE))</f>
        <v>0</v>
      </c>
      <c r="O100" s="117">
        <f>IF(O96=0,0,VLOOKUP(O96,FAC_TOTALS_APTA!$A$4:$BD$126,$L100,FALSE))</f>
        <v>0</v>
      </c>
      <c r="P100" s="117">
        <f>IF(P96=0,0,VLOOKUP(P96,FAC_TOTALS_APTA!$A$4:$BD$126,$L100,FALSE))</f>
        <v>0</v>
      </c>
      <c r="Q100" s="117">
        <f>IF(Q96=0,0,VLOOKUP(Q96,FAC_TOTALS_APTA!$A$4:$BD$126,$L100,FALSE))</f>
        <v>0</v>
      </c>
      <c r="R100" s="117">
        <f>IF(R96=0,0,VLOOKUP(R96,FAC_TOTALS_APTA!$A$4:$BD$126,$L100,FALSE))</f>
        <v>0</v>
      </c>
      <c r="S100" s="117">
        <f>IF(S96=0,0,VLOOKUP(S96,FAC_TOTALS_APTA!$A$4:$BD$126,$L100,FALSE))</f>
        <v>0</v>
      </c>
      <c r="T100" s="117">
        <f>IF(T96=0,0,VLOOKUP(T96,FAC_TOTALS_APTA!$A$4:$BD$126,$L100,FALSE))</f>
        <v>0</v>
      </c>
      <c r="U100" s="117">
        <f>IF(U96=0,0,VLOOKUP(U96,FAC_TOTALS_APTA!$A$4:$BD$126,$L100,FALSE))</f>
        <v>0</v>
      </c>
      <c r="V100" s="117">
        <f>IF(V96=0,0,VLOOKUP(V96,FAC_TOTALS_APTA!$A$4:$BD$126,$L100,FALSE))</f>
        <v>0</v>
      </c>
      <c r="W100" s="117">
        <f>IF(W96=0,0,VLOOKUP(W96,FAC_TOTALS_APTA!$A$4:$BD$126,$L100,FALSE))</f>
        <v>0</v>
      </c>
      <c r="X100" s="117">
        <f>IF(X96=0,0,VLOOKUP(X96,FAC_TOTALS_APTA!$A$4:$BD$126,$L100,FALSE))</f>
        <v>0</v>
      </c>
      <c r="Y100" s="117">
        <f>IF(Y96=0,0,VLOOKUP(Y96,FAC_TOTALS_APTA!$A$4:$BD$126,$L100,FALSE))</f>
        <v>0</v>
      </c>
      <c r="Z100" s="117">
        <f>IF(Z96=0,0,VLOOKUP(Z96,FAC_TOTALS_APTA!$A$4:$BD$126,$L100,FALSE))</f>
        <v>0</v>
      </c>
      <c r="AA100" s="117">
        <f>IF(AA96=0,0,VLOOKUP(AA96,FAC_TOTALS_APTA!$A$4:$BD$126,$L100,FALSE))</f>
        <v>0</v>
      </c>
      <c r="AB100" s="117">
        <f>IF(AB96=0,0,VLOOKUP(AB96,FAC_TOTALS_APTA!$A$4:$BD$126,$L100,FALSE))</f>
        <v>0</v>
      </c>
      <c r="AC100" s="121">
        <f t="shared" si="32"/>
        <v>0</v>
      </c>
      <c r="AD100" s="122">
        <f>AC100/G112</f>
        <v>0</v>
      </c>
    </row>
    <row r="101" spans="1:31" x14ac:dyDescent="0.2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MATCH($D101,FAC_TOTALS_APTA!$A$2:$BD$2,)</f>
        <v>16</v>
      </c>
      <c r="G101" s="29">
        <f>VLOOKUP(G95,FAC_TOTALS_APTA!$A$4:$BD$126,$F101,FALSE)</f>
        <v>25697520.3899999</v>
      </c>
      <c r="H101" s="29">
        <f>VLOOKUP(H95,FAC_TOTALS_APTA!$A$4:$BD$126,$F101,FALSE)</f>
        <v>27909105.420000002</v>
      </c>
      <c r="I101" s="30">
        <f t="shared" si="29"/>
        <v>8.606219574635432E-2</v>
      </c>
      <c r="J101" s="31" t="str">
        <f t="shared" si="30"/>
        <v>_log</v>
      </c>
      <c r="K101" s="31" t="str">
        <f t="shared" si="31"/>
        <v>POP_EMP_log_FAC</v>
      </c>
      <c r="L101" s="6">
        <f>MATCH($K101,FAC_TOTALS_APTA!$A$2:$BB$2,)</f>
        <v>34</v>
      </c>
      <c r="M101" s="29">
        <f>IF(M95=0,0,VLOOKUP(M95,FAC_TOTALS_APTA!$A$4:$BD$126,$L101,FALSE))</f>
        <v>5896951.5566774504</v>
      </c>
      <c r="N101" s="29">
        <f>IF(N95=0,0,VLOOKUP(N95,FAC_TOTALS_APTA!$A$4:$BD$126,$L101,FALSE))</f>
        <v>8657032.4365650192</v>
      </c>
      <c r="O101" s="29">
        <f>IF(O95=0,0,VLOOKUP(O95,FAC_TOTALS_APTA!$A$4:$BD$126,$L101,FALSE))</f>
        <v>8906941.2282657791</v>
      </c>
      <c r="P101" s="29">
        <f>IF(P95=0,0,VLOOKUP(P95,FAC_TOTALS_APTA!$A$4:$BD$126,$L101,FALSE))</f>
        <v>11479028.805366101</v>
      </c>
      <c r="Q101" s="29">
        <f>IF(Q95=0,0,VLOOKUP(Q95,FAC_TOTALS_APTA!$A$4:$BD$126,$L101,FALSE))</f>
        <v>1211206.1142944701</v>
      </c>
      <c r="R101" s="29">
        <f>IF(R95=0,0,VLOOKUP(R95,FAC_TOTALS_APTA!$A$4:$BD$126,$L101,FALSE))</f>
        <v>5229831.6836532904</v>
      </c>
      <c r="S101" s="29">
        <f>IF(S95=0,0,VLOOKUP(S95,FAC_TOTALS_APTA!$A$4:$BD$126,$L101,FALSE))</f>
        <v>-4896849.1895022197</v>
      </c>
      <c r="T101" s="29">
        <f>IF(T95=0,0,VLOOKUP(T95,FAC_TOTALS_APTA!$A$4:$BD$126,$L101,FALSE))</f>
        <v>-3871658.2992396201</v>
      </c>
      <c r="U101" s="29">
        <f>IF(U95=0,0,VLOOKUP(U95,FAC_TOTALS_APTA!$A$4:$BD$126,$L101,FALSE))</f>
        <v>2864270.6987647698</v>
      </c>
      <c r="V101" s="29">
        <f>IF(V95=0,0,VLOOKUP(V95,FAC_TOTALS_APTA!$A$4:$BD$126,$L101,FALSE))</f>
        <v>5108297.5528038098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2"/>
        <v>40585052.587648846</v>
      </c>
      <c r="AD101" s="33">
        <f>AC101/G111</f>
        <v>1.4147418021677328E-2</v>
      </c>
    </row>
    <row r="102" spans="1:31" x14ac:dyDescent="0.25">
      <c r="B102" s="25" t="s">
        <v>73</v>
      </c>
      <c r="C102" s="116"/>
      <c r="D102" s="104" t="s">
        <v>72</v>
      </c>
      <c r="E102" s="55"/>
      <c r="F102" s="6">
        <f>MATCH($D102,FAC_TOTALS_APTA!$A$2:$BD$2,)</f>
        <v>17</v>
      </c>
      <c r="G102" s="54">
        <f>VLOOKUP(G95,FAC_TOTALS_APTA!$A$4:$BD$126,$F102,FALSE)</f>
        <v>0.70319922136740198</v>
      </c>
      <c r="H102" s="54">
        <f>VLOOKUP(H95,FAC_TOTALS_APTA!$A$4:$BD$126,$F102,FALSE)</f>
        <v>0.70702565886186597</v>
      </c>
      <c r="I102" s="30">
        <f t="shared" si="29"/>
        <v>5.4414700389220361E-3</v>
      </c>
      <c r="J102" s="31" t="str">
        <f t="shared" si="30"/>
        <v/>
      </c>
      <c r="K102" s="31" t="str">
        <f t="shared" si="31"/>
        <v>TSD_POP_EMP_PCT_FAC</v>
      </c>
      <c r="L102" s="6">
        <f>MATCH($K102,FAC_TOTALS_APTA!$A$2:$BB$2,)</f>
        <v>35</v>
      </c>
      <c r="M102" s="29">
        <f>IF(M95=0,0,VLOOKUP(M95,FAC_TOTALS_APTA!$A$4:$BD$126,$L102,FALSE))</f>
        <v>-985093.36547678499</v>
      </c>
      <c r="N102" s="29">
        <f>IF(N95=0,0,VLOOKUP(N95,FAC_TOTALS_APTA!$A$4:$BD$126,$L102,FALSE))</f>
        <v>-2859432.9159941101</v>
      </c>
      <c r="O102" s="29">
        <f>IF(O95=0,0,VLOOKUP(O95,FAC_TOTALS_APTA!$A$4:$BD$126,$L102,FALSE))</f>
        <v>-1975940.35481168</v>
      </c>
      <c r="P102" s="29">
        <f>IF(P95=0,0,VLOOKUP(P95,FAC_TOTALS_APTA!$A$4:$BD$126,$L102,FALSE))</f>
        <v>4768372.1693831896</v>
      </c>
      <c r="Q102" s="29">
        <f>IF(Q95=0,0,VLOOKUP(Q95,FAC_TOTALS_APTA!$A$4:$BD$126,$L102,FALSE))</f>
        <v>-1072566.54359086</v>
      </c>
      <c r="R102" s="29">
        <f>IF(R95=0,0,VLOOKUP(R95,FAC_TOTALS_APTA!$A$4:$BD$126,$L102,FALSE))</f>
        <v>-1283193.6899163499</v>
      </c>
      <c r="S102" s="29">
        <f>IF(S95=0,0,VLOOKUP(S95,FAC_TOTALS_APTA!$A$4:$BD$126,$L102,FALSE))</f>
        <v>9504079.9799146894</v>
      </c>
      <c r="T102" s="29">
        <f>IF(T95=0,0,VLOOKUP(T95,FAC_TOTALS_APTA!$A$4:$BD$126,$L102,FALSE))</f>
        <v>5348933.5978822103</v>
      </c>
      <c r="U102" s="29">
        <f>IF(U95=0,0,VLOOKUP(U95,FAC_TOTALS_APTA!$A$4:$BD$126,$L102,FALSE))</f>
        <v>-149876.16132322501</v>
      </c>
      <c r="V102" s="29">
        <f>IF(V95=0,0,VLOOKUP(V95,FAC_TOTALS_APTA!$A$4:$BD$126,$L102,FALSE))</f>
        <v>-5526182.8793954803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2"/>
        <v>5769099.836671601</v>
      </c>
      <c r="AD102" s="33">
        <f>AC102/G111</f>
        <v>2.0110326781496426E-3</v>
      </c>
    </row>
    <row r="103" spans="1:31" x14ac:dyDescent="0.2">
      <c r="B103" s="115" t="s">
        <v>49</v>
      </c>
      <c r="C103" s="116" t="s">
        <v>21</v>
      </c>
      <c r="D103" s="124" t="s">
        <v>82</v>
      </c>
      <c r="E103" s="55"/>
      <c r="F103" s="6">
        <f>MATCH($D103,FAC_TOTALS_APTA!$A$2:$BD$2,)</f>
        <v>18</v>
      </c>
      <c r="G103" s="34">
        <f>VLOOKUP(G95,FAC_TOTALS_APTA!$A$4:$BD$126,$F103,FALSE)</f>
        <v>1.974</v>
      </c>
      <c r="H103" s="34">
        <f>VLOOKUP(H95,FAC_TOTALS_APTA!$A$4:$BD$126,$F103,FALSE)</f>
        <v>4.1093000000000002</v>
      </c>
      <c r="I103" s="30">
        <f t="shared" si="29"/>
        <v>1.0817122593718338</v>
      </c>
      <c r="J103" s="31" t="str">
        <f t="shared" si="30"/>
        <v>_log</v>
      </c>
      <c r="K103" s="31" t="str">
        <f t="shared" si="31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25680877.3535286</v>
      </c>
      <c r="N103" s="29">
        <f>IF(N95=0,0,VLOOKUP(N95,FAC_TOTALS_APTA!$A$4:$BD$126,$L103,FALSE))</f>
        <v>27138290.020596799</v>
      </c>
      <c r="O103" s="29">
        <f>IF(O95=0,0,VLOOKUP(O95,FAC_TOTALS_APTA!$A$4:$BD$126,$L103,FALSE))</f>
        <v>37453314.278848797</v>
      </c>
      <c r="P103" s="29">
        <f>IF(P95=0,0,VLOOKUP(P95,FAC_TOTALS_APTA!$A$4:$BD$126,$L103,FALSE))</f>
        <v>27478265.346121602</v>
      </c>
      <c r="Q103" s="29">
        <f>IF(Q95=0,0,VLOOKUP(Q95,FAC_TOTALS_APTA!$A$4:$BD$126,$L103,FALSE))</f>
        <v>9387905.4959320202</v>
      </c>
      <c r="R103" s="29">
        <f>IF(R95=0,0,VLOOKUP(R95,FAC_TOTALS_APTA!$A$4:$BD$126,$L103,FALSE))</f>
        <v>38889838.616813302</v>
      </c>
      <c r="S103" s="29">
        <f>IF(S95=0,0,VLOOKUP(S95,FAC_TOTALS_APTA!$A$4:$BD$126,$L103,FALSE))</f>
        <v>-98028104.886085495</v>
      </c>
      <c r="T103" s="29">
        <f>IF(T95=0,0,VLOOKUP(T95,FAC_TOTALS_APTA!$A$4:$BD$126,$L103,FALSE))</f>
        <v>43097996.489911601</v>
      </c>
      <c r="U103" s="29">
        <f>IF(U95=0,0,VLOOKUP(U95,FAC_TOTALS_APTA!$A$4:$BD$126,$L103,FALSE))</f>
        <v>67909704.757130206</v>
      </c>
      <c r="V103" s="29">
        <f>IF(V95=0,0,VLOOKUP(V95,FAC_TOTALS_APTA!$A$4:$BD$126,$L103,FALSE))</f>
        <v>3542939.3836026001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2"/>
        <v>182551026.85640001</v>
      </c>
      <c r="AD103" s="33">
        <f>AC103/G111</f>
        <v>6.3634898135130166E-2</v>
      </c>
    </row>
    <row r="104" spans="1:31" x14ac:dyDescent="0.2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MATCH($D104,FAC_TOTALS_APTA!$A$2:$BD$2,)</f>
        <v>19</v>
      </c>
      <c r="G104" s="54">
        <f>VLOOKUP(G95,FAC_TOTALS_APTA!$A$4:$BD$126,$F104,FALSE)</f>
        <v>42439.074999999903</v>
      </c>
      <c r="H104" s="54">
        <f>VLOOKUP(H95,FAC_TOTALS_APTA!$A$4:$BD$126,$F104,FALSE)</f>
        <v>33963.31</v>
      </c>
      <c r="I104" s="30">
        <f t="shared" si="29"/>
        <v>-0.19971606355699134</v>
      </c>
      <c r="J104" s="31" t="str">
        <f t="shared" si="30"/>
        <v>_log</v>
      </c>
      <c r="K104" s="31" t="str">
        <f t="shared" si="31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4453018.9969555195</v>
      </c>
      <c r="N104" s="29">
        <f>IF(N95=0,0,VLOOKUP(N95,FAC_TOTALS_APTA!$A$4:$BD$126,$L104,FALSE))</f>
        <v>5701787.4496473502</v>
      </c>
      <c r="O104" s="29">
        <f>IF(O95=0,0,VLOOKUP(O95,FAC_TOTALS_APTA!$A$4:$BD$126,$L104,FALSE))</f>
        <v>5480945.9184672404</v>
      </c>
      <c r="P104" s="29">
        <f>IF(P95=0,0,VLOOKUP(P95,FAC_TOTALS_APTA!$A$4:$BD$126,$L104,FALSE))</f>
        <v>10051621.4525289</v>
      </c>
      <c r="Q104" s="29">
        <f>IF(Q95=0,0,VLOOKUP(Q95,FAC_TOTALS_APTA!$A$4:$BD$126,$L104,FALSE))</f>
        <v>-3212442.81229176</v>
      </c>
      <c r="R104" s="29">
        <f>IF(R95=0,0,VLOOKUP(R95,FAC_TOTALS_APTA!$A$4:$BD$126,$L104,FALSE))</f>
        <v>-300095.77864945302</v>
      </c>
      <c r="S104" s="29">
        <f>IF(S95=0,0,VLOOKUP(S95,FAC_TOTALS_APTA!$A$4:$BD$126,$L104,FALSE))</f>
        <v>6787103.57389249</v>
      </c>
      <c r="T104" s="29">
        <f>IF(T95=0,0,VLOOKUP(T95,FAC_TOTALS_APTA!$A$4:$BD$126,$L104,FALSE))</f>
        <v>1535777.0514583299</v>
      </c>
      <c r="U104" s="29">
        <f>IF(U95=0,0,VLOOKUP(U95,FAC_TOTALS_APTA!$A$4:$BD$126,$L104,FALSE))</f>
        <v>6143147.4423682196</v>
      </c>
      <c r="V104" s="29">
        <f>IF(V95=0,0,VLOOKUP(V95,FAC_TOTALS_APTA!$A$4:$BD$126,$L104,FALSE))</f>
        <v>1105726.30840537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2"/>
        <v>37746589.602782205</v>
      </c>
      <c r="AD104" s="33">
        <f>AC104/G111</f>
        <v>1.3157966984272804E-2</v>
      </c>
    </row>
    <row r="105" spans="1:31" x14ac:dyDescent="0.25">
      <c r="B105" s="115" t="s">
        <v>62</v>
      </c>
      <c r="C105" s="116"/>
      <c r="D105" s="104" t="s">
        <v>9</v>
      </c>
      <c r="E105" s="55"/>
      <c r="F105" s="6">
        <f>MATCH($D105,FAC_TOTALS_APTA!$A$2:$BD$2,)</f>
        <v>20</v>
      </c>
      <c r="G105" s="29">
        <f>VLOOKUP(G95,FAC_TOTALS_APTA!$A$4:$BD$126,$F105,FALSE)</f>
        <v>31.71</v>
      </c>
      <c r="H105" s="29">
        <f>VLOOKUP(H95,FAC_TOTALS_APTA!$A$4:$BD$126,$F105,FALSE)</f>
        <v>31.51</v>
      </c>
      <c r="I105" s="30">
        <f t="shared" si="29"/>
        <v>-6.3071586250393885E-3</v>
      </c>
      <c r="J105" s="31" t="str">
        <f t="shared" si="30"/>
        <v/>
      </c>
      <c r="K105" s="31" t="str">
        <f t="shared" si="31"/>
        <v>PCT_HH_NO_VEH_FAC</v>
      </c>
      <c r="L105" s="6">
        <f>MATCH($K105,FAC_TOTALS_APTA!$A$2:$BB$2,)</f>
        <v>38</v>
      </c>
      <c r="M105" s="29">
        <f>IF(M95=0,0,VLOOKUP(M95,FAC_TOTALS_APTA!$A$4:$BD$126,$L105,FALSE))</f>
        <v>-1421224.99046516</v>
      </c>
      <c r="N105" s="29">
        <f>IF(N95=0,0,VLOOKUP(N95,FAC_TOTALS_APTA!$A$4:$BD$126,$L105,FALSE))</f>
        <v>-1441200.5153258799</v>
      </c>
      <c r="O105" s="29">
        <f>IF(O95=0,0,VLOOKUP(O95,FAC_TOTALS_APTA!$A$4:$BD$126,$L105,FALSE))</f>
        <v>-1354982.1614389301</v>
      </c>
      <c r="P105" s="29">
        <f>IF(P95=0,0,VLOOKUP(P95,FAC_TOTALS_APTA!$A$4:$BD$126,$L105,FALSE))</f>
        <v>-2509138.3604138498</v>
      </c>
      <c r="Q105" s="29">
        <f>IF(Q95=0,0,VLOOKUP(Q95,FAC_TOTALS_APTA!$A$4:$BD$126,$L105,FALSE))</f>
        <v>1147311.7581470299</v>
      </c>
      <c r="R105" s="29">
        <f>IF(R95=0,0,VLOOKUP(R95,FAC_TOTALS_APTA!$A$4:$BD$126,$L105,FALSE))</f>
        <v>110182.915319865</v>
      </c>
      <c r="S105" s="29">
        <f>IF(S95=0,0,VLOOKUP(S95,FAC_TOTALS_APTA!$A$4:$BD$126,$L105,FALSE))</f>
        <v>1072654.0121361299</v>
      </c>
      <c r="T105" s="29">
        <f>IF(T95=0,0,VLOOKUP(T95,FAC_TOTALS_APTA!$A$4:$BD$126,$L105,FALSE))</f>
        <v>1741817.68856386</v>
      </c>
      <c r="U105" s="29">
        <f>IF(U95=0,0,VLOOKUP(U95,FAC_TOTALS_APTA!$A$4:$BD$126,$L105,FALSE))</f>
        <v>2084872.8421551301</v>
      </c>
      <c r="V105" s="29">
        <f>IF(V95=0,0,VLOOKUP(V95,FAC_TOTALS_APTA!$A$4:$BD$126,$L105,FALSE))</f>
        <v>1209488.08503877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2"/>
        <v>639781.27371696429</v>
      </c>
      <c r="AD105" s="33">
        <f>AC105/G111</f>
        <v>2.2301937646052486E-4</v>
      </c>
    </row>
    <row r="106" spans="1:31" x14ac:dyDescent="0.25">
      <c r="B106" s="115" t="s">
        <v>47</v>
      </c>
      <c r="C106" s="116"/>
      <c r="D106" s="104" t="s">
        <v>28</v>
      </c>
      <c r="E106" s="55"/>
      <c r="F106" s="6">
        <f>MATCH($D106,FAC_TOTALS_APTA!$A$2:$BD$2,)</f>
        <v>21</v>
      </c>
      <c r="G106" s="34">
        <f>VLOOKUP(G95,FAC_TOTALS_APTA!$A$4:$BD$126,$F106,FALSE)</f>
        <v>3.5</v>
      </c>
      <c r="H106" s="34">
        <f>VLOOKUP(H95,FAC_TOTALS_APTA!$A$4:$BD$126,$F106,FALSE)</f>
        <v>4.0999999999999996</v>
      </c>
      <c r="I106" s="30">
        <f t="shared" si="29"/>
        <v>0.17142857142857126</v>
      </c>
      <c r="J106" s="31" t="str">
        <f t="shared" si="30"/>
        <v/>
      </c>
      <c r="K106" s="31" t="str">
        <f t="shared" si="31"/>
        <v>JTW_HOME_PCT_FAC</v>
      </c>
      <c r="L106" s="6">
        <f>MATCH($K106,FAC_TOTALS_APTA!$A$2:$BB$2,)</f>
        <v>39</v>
      </c>
      <c r="M106" s="29">
        <f>IF(M95=0,0,VLOOKUP(M95,FAC_TOTALS_APTA!$A$4:$BD$126,$L106,FALSE))</f>
        <v>0</v>
      </c>
      <c r="N106" s="29">
        <f>IF(N95=0,0,VLOOKUP(N95,FAC_TOTALS_APTA!$A$4:$BD$126,$L106,FALSE))</f>
        <v>0</v>
      </c>
      <c r="O106" s="29">
        <f>IF(O95=0,0,VLOOKUP(O95,FAC_TOTALS_APTA!$A$4:$BD$126,$L106,FALSE))</f>
        <v>0</v>
      </c>
      <c r="P106" s="29">
        <f>IF(P95=0,0,VLOOKUP(P95,FAC_TOTALS_APTA!$A$4:$BD$126,$L106,FALSE))</f>
        <v>-3832240.4015222299</v>
      </c>
      <c r="Q106" s="29">
        <f>IF(Q95=0,0,VLOOKUP(Q95,FAC_TOTALS_APTA!$A$4:$BD$126,$L106,FALSE))</f>
        <v>1992104.1586678999</v>
      </c>
      <c r="R106" s="29">
        <f>IF(R95=0,0,VLOOKUP(R95,FAC_TOTALS_APTA!$A$4:$BD$126,$L106,FALSE))</f>
        <v>-2103257.0535033699</v>
      </c>
      <c r="S106" s="29">
        <f>IF(S95=0,0,VLOOKUP(S95,FAC_TOTALS_APTA!$A$4:$BD$126,$L106,FALSE))</f>
        <v>-4308282.4909054302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-4395129.8811775297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2"/>
        <v>-12646805.668440659</v>
      </c>
      <c r="AD106" s="33">
        <f>AC106/G111</f>
        <v>-4.4085108931163136E-3</v>
      </c>
    </row>
    <row r="107" spans="1:31" x14ac:dyDescent="0.25">
      <c r="B107" s="115" t="s">
        <v>63</v>
      </c>
      <c r="C107" s="116"/>
      <c r="D107" s="126" t="s">
        <v>93</v>
      </c>
      <c r="E107" s="55"/>
      <c r="F107" s="6">
        <f>MATCH($D107,FAC_TOTALS_APTA!$A$2:$BD$2,)</f>
        <v>26</v>
      </c>
      <c r="G107" s="34">
        <f>VLOOKUP(G95,FAC_TOTALS_APTA!$A$4:$BD$126,$F107,FALSE)</f>
        <v>0</v>
      </c>
      <c r="H107" s="34">
        <f>VLOOKUP(H95,FAC_TOTALS_APTA!$A$4:$BD$126,$F107,FALSE)</f>
        <v>1</v>
      </c>
      <c r="I107" s="30" t="str">
        <f t="shared" si="29"/>
        <v>-</v>
      </c>
      <c r="J107" s="31"/>
      <c r="K107" s="31" t="str">
        <f t="shared" si="31"/>
        <v>YEARS_SINCE_TNC_RAIL_HINY_FAC</v>
      </c>
      <c r="L107" s="6">
        <f>MATCH($K107,FAC_TOTALS_APTA!$A$2:$BB$2,)</f>
        <v>44</v>
      </c>
      <c r="M107" s="29">
        <f>IF(M95=0,0,VLOOKUP(M95,FAC_TOTALS_APTA!$A$4:$BD$126,$L107,FALSE))</f>
        <v>0</v>
      </c>
      <c r="N107" s="29">
        <f>IF(N95=0,0,VLOOKUP(N95,FAC_TOTALS_APTA!$A$4:$BD$126,$L107,FALSE))</f>
        <v>0</v>
      </c>
      <c r="O107" s="29">
        <f>IF(O95=0,0,VLOOKUP(O95,FAC_TOTALS_APTA!$A$4:$BD$126,$L107,FALSE))</f>
        <v>0</v>
      </c>
      <c r="P107" s="29">
        <f>IF(P95=0,0,VLOOKUP(P95,FAC_TOTALS_APTA!$A$4:$BD$126,$L107,FALSE))</f>
        <v>0</v>
      </c>
      <c r="Q107" s="29">
        <f>IF(Q95=0,0,VLOOKUP(Q95,FAC_TOTALS_APTA!$A$4:$BD$126,$L107,FALSE))</f>
        <v>0</v>
      </c>
      <c r="R107" s="29">
        <f>IF(R95=0,0,VLOOKUP(R95,FAC_TOTALS_APTA!$A$4:$BD$126,$L107,FALSE))</f>
        <v>0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6269990.3531798599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2"/>
        <v>6269990.3531798599</v>
      </c>
      <c r="AD107" s="33">
        <f>AC107/G111</f>
        <v>2.1856365549053122E-3</v>
      </c>
    </row>
    <row r="108" spans="1:31" x14ac:dyDescent="0.25">
      <c r="B108" s="115" t="s">
        <v>64</v>
      </c>
      <c r="C108" s="116"/>
      <c r="D108" s="104" t="s">
        <v>43</v>
      </c>
      <c r="E108" s="55"/>
      <c r="F108" s="6">
        <f>MATCH($D108,FAC_TOTALS_APTA!$A$2:$BD$2,)</f>
        <v>28</v>
      </c>
      <c r="G108" s="34">
        <f>VLOOKUP(G95,FAC_TOTALS_APTA!$A$4:$BD$126,$F108,FALSE)</f>
        <v>0</v>
      </c>
      <c r="H108" s="34">
        <f>VLOOKUP(H95,FAC_TOTALS_APTA!$A$4:$BD$126,$F108,FALSE)</f>
        <v>0</v>
      </c>
      <c r="I108" s="30" t="str">
        <f t="shared" si="29"/>
        <v>-</v>
      </c>
      <c r="J108" s="31" t="str">
        <f t="shared" ref="J108:J109" si="33">IF(C108="Log","_log","")</f>
        <v/>
      </c>
      <c r="K108" s="31" t="str">
        <f t="shared" si="31"/>
        <v>BIKE_SHARE_FAC</v>
      </c>
      <c r="L108" s="6">
        <f>MATCH($K108,FAC_TOTALS_APTA!$A$2:$BB$2,)</f>
        <v>46</v>
      </c>
      <c r="M108" s="29">
        <f>IF(M95=0,0,VLOOKUP(M95,FAC_TOTALS_APTA!$A$4:$BD$126,$L108,FALSE))</f>
        <v>0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2"/>
        <v>0</v>
      </c>
      <c r="AD108" s="33">
        <f>AC108/G111</f>
        <v>0</v>
      </c>
    </row>
    <row r="109" spans="1:31" x14ac:dyDescent="0.25">
      <c r="B109" s="127" t="s">
        <v>65</v>
      </c>
      <c r="C109" s="128"/>
      <c r="D109" s="129" t="s">
        <v>44</v>
      </c>
      <c r="E109" s="56"/>
      <c r="F109" s="7">
        <f>MATCH($D109,FAC_TOTALS_APTA!$A$2:$BD$2,)</f>
        <v>29</v>
      </c>
      <c r="G109" s="35">
        <f>VLOOKUP(G95,FAC_TOTALS_APTA!$A$4:$BD$126,$F109,FALSE)</f>
        <v>0</v>
      </c>
      <c r="H109" s="35">
        <f>VLOOKUP(H95,FAC_TOTALS_APTA!$A$4:$BD$126,$F109,FALSE)</f>
        <v>0</v>
      </c>
      <c r="I109" s="36" t="str">
        <f t="shared" si="29"/>
        <v>-</v>
      </c>
      <c r="J109" s="37" t="str">
        <f t="shared" si="33"/>
        <v/>
      </c>
      <c r="K109" s="37" t="str">
        <f t="shared" si="31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2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si="31"/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2868725058.2023201</v>
      </c>
      <c r="H111" s="117">
        <f>VLOOKUP(H95,FAC_TOTALS_APTA!$A$4:$BB$126,$F111,FALSE)</f>
        <v>3527178830.7444901</v>
      </c>
      <c r="I111" s="112">
        <f t="shared" ref="I111" si="34">H111/G111-1</f>
        <v>0.22952836510403984</v>
      </c>
      <c r="J111" s="31"/>
      <c r="K111" s="31"/>
      <c r="L111" s="6"/>
      <c r="M111" s="29">
        <f t="shared" ref="M111:AB111" si="35">SUM(M97:M104)</f>
        <v>75152611.385519192</v>
      </c>
      <c r="N111" s="29">
        <f t="shared" si="35"/>
        <v>92963139.513127401</v>
      </c>
      <c r="O111" s="29">
        <f t="shared" si="35"/>
        <v>145754264.31327355</v>
      </c>
      <c r="P111" s="29">
        <f t="shared" si="35"/>
        <v>98291753.845429808</v>
      </c>
      <c r="Q111" s="29">
        <f t="shared" si="35"/>
        <v>38905031.815955669</v>
      </c>
      <c r="R111" s="29">
        <f t="shared" si="35"/>
        <v>84247547.44411099</v>
      </c>
      <c r="S111" s="29">
        <f t="shared" si="35"/>
        <v>-105344006.52907124</v>
      </c>
      <c r="T111" s="29">
        <f t="shared" si="35"/>
        <v>14379496.683777824</v>
      </c>
      <c r="U111" s="29">
        <f t="shared" si="35"/>
        <v>6156146.9153904719</v>
      </c>
      <c r="V111" s="29">
        <f t="shared" si="35"/>
        <v>18294970.143319611</v>
      </c>
      <c r="W111" s="29">
        <f t="shared" si="35"/>
        <v>0</v>
      </c>
      <c r="X111" s="29">
        <f t="shared" si="35"/>
        <v>0</v>
      </c>
      <c r="Y111" s="29">
        <f t="shared" si="35"/>
        <v>0</v>
      </c>
      <c r="Z111" s="29">
        <f t="shared" si="35"/>
        <v>0</v>
      </c>
      <c r="AA111" s="29">
        <f t="shared" si="35"/>
        <v>0</v>
      </c>
      <c r="AB111" s="29">
        <f t="shared" si="35"/>
        <v>0</v>
      </c>
      <c r="AC111" s="32">
        <f>H111-G111</f>
        <v>658453772.54217005</v>
      </c>
      <c r="AD111" s="33">
        <f>I111</f>
        <v>0.22952836510403984</v>
      </c>
      <c r="AE111" s="106"/>
    </row>
    <row r="112" spans="1:31" ht="13.5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2028458449</v>
      </c>
      <c r="H112" s="114">
        <f>VLOOKUP(H95,FAC_TOTALS_APTA!$A$4:$BB$126,$F112,FALSE)</f>
        <v>2929500930.99999</v>
      </c>
      <c r="I112" s="113">
        <f t="shared" ref="I112" si="36">H112/G112-1</f>
        <v>0.44420061078608275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901042481.99998999</v>
      </c>
      <c r="AD112" s="52">
        <f>I112</f>
        <v>0.44420061078608275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0.21467224568204291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abSelected="1" topLeftCell="A91" workbookViewId="0">
      <selection activeCell="I118" sqref="I118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36</v>
      </c>
      <c r="C1" s="12">
        <v>2012</v>
      </c>
    </row>
    <row r="2" spans="1:31" x14ac:dyDescent="0.25">
      <c r="B2" s="11" t="s">
        <v>37</v>
      </c>
      <c r="C2" s="12">
        <v>2018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76" t="s">
        <v>51</v>
      </c>
      <c r="H8" s="176"/>
      <c r="I8" s="176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76" t="s">
        <v>55</v>
      </c>
      <c r="AD8" s="176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2012</v>
      </c>
      <c r="H9" s="27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1_1_2012</v>
      </c>
      <c r="H11" s="6" t="str">
        <f>CONCATENATE($C6,"_",$C7,"_",H9)</f>
        <v>1_1_2018</v>
      </c>
      <c r="I11" s="28"/>
      <c r="J11" s="6"/>
      <c r="K11" s="6"/>
      <c r="L11" s="6"/>
      <c r="M11" s="6" t="str">
        <f>IF($G9+M10&gt;$H9,0,CONCATENATE($C6,"_",$C7,"_",$G9+M10))</f>
        <v>1_1_2013</v>
      </c>
      <c r="N11" s="6" t="str">
        <f t="shared" ref="N11:AB11" si="0">IF($G9+N10&gt;$H9,0,CONCATENATE($C6,"_",$C7,"_",$G9+N10))</f>
        <v>1_1_2014</v>
      </c>
      <c r="O11" s="6" t="str">
        <f t="shared" si="0"/>
        <v>1_1_2015</v>
      </c>
      <c r="P11" s="6" t="str">
        <f t="shared" si="0"/>
        <v>1_1_2016</v>
      </c>
      <c r="Q11" s="6" t="str">
        <f t="shared" si="0"/>
        <v>1_1_2017</v>
      </c>
      <c r="R11" s="6" t="str">
        <f t="shared" si="0"/>
        <v>1_1_2018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91</v>
      </c>
      <c r="E13" s="55"/>
      <c r="F13" s="6">
        <f>MATCH($D13,FAC_TOTALS_APTA!$A$2:$BD$2,)</f>
        <v>13</v>
      </c>
      <c r="G13" s="29">
        <f>VLOOKUP(G11,FAC_TOTALS_APTA!$A$4:$BD$126,$F13,FALSE)</f>
        <v>60228514.526974499</v>
      </c>
      <c r="H13" s="29">
        <f>VLOOKUP(H11,FAC_TOTALS_APTA!$A$4:$BD$126,$F13,FALSE)</f>
        <v>67315268.821722701</v>
      </c>
      <c r="I13" s="30">
        <f>IFERROR(H13/G13-1,"-")</f>
        <v>0.11766443769046075</v>
      </c>
      <c r="J13" s="31" t="str">
        <f>IF(C13="Log","_log","")</f>
        <v>_log</v>
      </c>
      <c r="K13" s="31" t="str">
        <f>CONCATENATE(D13,J13,"_FAC")</f>
        <v>VRM_ADJ_RAIL_log_FAC</v>
      </c>
      <c r="L13" s="6">
        <f>MATCH($K13,FAC_TOTALS_APTA!$A$2:$BB$2,)</f>
        <v>31</v>
      </c>
      <c r="M13" s="29">
        <f>IF(M11=0,0,VLOOKUP(M11,FAC_TOTALS_APTA!$A$4:$BD$126,$L13,FALSE))</f>
        <v>30928332.9025825</v>
      </c>
      <c r="N13" s="29">
        <f>IF(N11=0,0,VLOOKUP(N11,FAC_TOTALS_APTA!$A$4:$BD$126,$L13,FALSE))</f>
        <v>42467872.4405858</v>
      </c>
      <c r="O13" s="29">
        <f>IF(O11=0,0,VLOOKUP(O11,FAC_TOTALS_APTA!$A$4:$BD$126,$L13,FALSE))</f>
        <v>21287278.176963702</v>
      </c>
      <c r="P13" s="29">
        <f>IF(P11=0,0,VLOOKUP(P11,FAC_TOTALS_APTA!$A$4:$BD$126,$L13,FALSE))</f>
        <v>27078558.9672332</v>
      </c>
      <c r="Q13" s="29">
        <f>IF(Q11=0,0,VLOOKUP(Q11,FAC_TOTALS_APTA!$A$4:$BD$126,$L13,FALSE))</f>
        <v>34512551.220556296</v>
      </c>
      <c r="R13" s="29">
        <f>IF(R11=0,0,VLOOKUP(R11,FAC_TOTALS_APTA!$A$4:$BD$126,$L13,FALSE))</f>
        <v>12907421.5227501</v>
      </c>
      <c r="S13" s="29">
        <f>IF(S11=0,0,VLOOKUP(S11,FAC_TOTALS_APTA!$A$4:$BD$126,$L13,FALSE))</f>
        <v>0</v>
      </c>
      <c r="T13" s="29">
        <f>IF(T11=0,0,VLOOKUP(T11,FAC_TOTALS_APTA!$A$4:$BD$126,$L13,FALSE))</f>
        <v>0</v>
      </c>
      <c r="U13" s="29">
        <f>IF(U11=0,0,VLOOKUP(U11,FAC_TOTALS_APTA!$A$4:$BD$126,$L13,FALSE))</f>
        <v>0</v>
      </c>
      <c r="V13" s="29">
        <f>IF(V11=0,0,VLOOKUP(V11,FAC_TOTALS_APTA!$A$4:$BD$126,$L13,FALSE))</f>
        <v>0</v>
      </c>
      <c r="W13" s="29">
        <f>IF(W11=0,0,VLOOKUP(W11,FAC_TOTALS_APTA!$A$4:$BD$126,$L13,FALSE))</f>
        <v>0</v>
      </c>
      <c r="X13" s="29">
        <f>IF(X11=0,0,VLOOKUP(X11,FAC_TOTALS_APTA!$A$4:$BD$126,$L13,FALSE))</f>
        <v>0</v>
      </c>
      <c r="Y13" s="29">
        <f>IF(Y11=0,0,VLOOKUP(Y11,FAC_TOTALS_APTA!$A$4:$BD$126,$L13,FALSE))</f>
        <v>0</v>
      </c>
      <c r="Z13" s="29">
        <f>IF(Z11=0,0,VLOOKUP(Z11,FAC_TOTALS_APTA!$A$4:$BD$126,$L13,FALSE))</f>
        <v>0</v>
      </c>
      <c r="AA13" s="29">
        <f>IF(AA11=0,0,VLOOKUP(AA11,FAC_TOTALS_APTA!$A$4:$BD$126,$L13,FALSE))</f>
        <v>0</v>
      </c>
      <c r="AB13" s="29">
        <f>IF(AB11=0,0,VLOOKUP(AB11,FAC_TOTALS_APTA!$A$4:$BD$126,$L13,FALSE))</f>
        <v>0</v>
      </c>
      <c r="AC13" s="32">
        <f>SUM(M13:AB13)</f>
        <v>169182015.23067161</v>
      </c>
      <c r="AD13" s="33">
        <f>AC13/G27</f>
        <v>9.961358301090717E-2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92</v>
      </c>
      <c r="E14" s="55"/>
      <c r="F14" s="6">
        <f>MATCH($D14,FAC_TOTALS_APTA!$A$2:$BD$2,)</f>
        <v>15</v>
      </c>
      <c r="G14" s="54">
        <f>VLOOKUP(G11,FAC_TOTALS_APTA!$A$4:$BD$126,$F14,FALSE)</f>
        <v>1.87757629079359</v>
      </c>
      <c r="H14" s="54">
        <f>VLOOKUP(H11,FAC_TOTALS_APTA!$A$4:$BD$126,$F14,FALSE)</f>
        <v>2.11628653933517</v>
      </c>
      <c r="I14" s="30">
        <f t="shared" ref="I14:I25" si="1">IFERROR(H14/G14-1,"-")</f>
        <v>0.1271374429428298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FARE_per_UPT_cleaned_2018_RAIL_log_FAC</v>
      </c>
      <c r="L14" s="6">
        <f>MATCH($K14,FAC_TOTALS_APTA!$A$2:$BB$2,)</f>
        <v>33</v>
      </c>
      <c r="M14" s="29">
        <f>IF(M11=0,0,VLOOKUP(M11,FAC_TOTALS_APTA!$A$4:$BD$126,$L14,FALSE))</f>
        <v>-25418315.9769114</v>
      </c>
      <c r="N14" s="29">
        <f>IF(N11=0,0,VLOOKUP(N11,FAC_TOTALS_APTA!$A$4:$BD$126,$L14,FALSE))</f>
        <v>4708428.9750439301</v>
      </c>
      <c r="O14" s="29">
        <f>IF(O11=0,0,VLOOKUP(O11,FAC_TOTALS_APTA!$A$4:$BD$126,$L14,FALSE))</f>
        <v>-24779479.867503501</v>
      </c>
      <c r="P14" s="29">
        <f>IF(P11=0,0,VLOOKUP(P11,FAC_TOTALS_APTA!$A$4:$BD$126,$L14,FALSE))</f>
        <v>-7662114.35662721</v>
      </c>
      <c r="Q14" s="29">
        <f>IF(Q11=0,0,VLOOKUP(Q11,FAC_TOTALS_APTA!$A$4:$BD$126,$L14,FALSE))</f>
        <v>6111718.0029884903</v>
      </c>
      <c r="R14" s="29">
        <f>IF(R11=0,0,VLOOKUP(R11,FAC_TOTALS_APTA!$A$4:$BD$126,$L14,FALSE))</f>
        <v>1457531.6585596099</v>
      </c>
      <c r="S14" s="29">
        <f>IF(S11=0,0,VLOOKUP(S11,FAC_TOTALS_APTA!$A$4:$BD$126,$L14,FALSE))</f>
        <v>0</v>
      </c>
      <c r="T14" s="29">
        <f>IF(T11=0,0,VLOOKUP(T11,FAC_TOTALS_APTA!$A$4:$BD$126,$L14,FALSE))</f>
        <v>0</v>
      </c>
      <c r="U14" s="29">
        <f>IF(U11=0,0,VLOOKUP(U11,FAC_TOTALS_APTA!$A$4:$BD$126,$L14,FALSE))</f>
        <v>0</v>
      </c>
      <c r="V14" s="29">
        <f>IF(V11=0,0,VLOOKUP(V11,FAC_TOTALS_APTA!$A$4:$BD$126,$L14,FALSE))</f>
        <v>0</v>
      </c>
      <c r="W14" s="29">
        <f>IF(W11=0,0,VLOOKUP(W11,FAC_TOTALS_APTA!$A$4:$BD$126,$L14,FALSE))</f>
        <v>0</v>
      </c>
      <c r="X14" s="29">
        <f>IF(X11=0,0,VLOOKUP(X11,FAC_TOTALS_APTA!$A$4:$BD$126,$L14,FALSE))</f>
        <v>0</v>
      </c>
      <c r="Y14" s="29">
        <f>IF(Y11=0,0,VLOOKUP(Y11,FAC_TOTALS_APTA!$A$4:$BD$126,$L14,FALSE))</f>
        <v>0</v>
      </c>
      <c r="Z14" s="29">
        <f>IF(Z11=0,0,VLOOKUP(Z11,FAC_TOTALS_APTA!$A$4:$BD$126,$L14,FALSE))</f>
        <v>0</v>
      </c>
      <c r="AA14" s="29">
        <f>IF(AA11=0,0,VLOOKUP(AA11,FAC_TOTALS_APTA!$A$4:$BD$126,$L14,FALSE))</f>
        <v>0</v>
      </c>
      <c r="AB14" s="29">
        <f>IF(AB11=0,0,VLOOKUP(AB11,FAC_TOTALS_APTA!$A$4:$BD$126,$L14,FALSE))</f>
        <v>0</v>
      </c>
      <c r="AC14" s="32">
        <f t="shared" ref="AC14:AC25" si="4">SUM(M14:AB14)</f>
        <v>-45582231.564450078</v>
      </c>
      <c r="AD14" s="33">
        <f>AC14/G27</f>
        <v>-2.6838605755918184E-2</v>
      </c>
      <c r="AE14" s="6"/>
    </row>
    <row r="15" spans="1:31" s="13" customFormat="1" x14ac:dyDescent="0.25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0</v>
      </c>
      <c r="I15" s="30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0</v>
      </c>
      <c r="P15" s="117">
        <f>IF(P11=0,0,VLOOKUP(P11,FAC_TOTALS_APTA!$A$4:$BD$126,$L15,FALSE))</f>
        <v>0</v>
      </c>
      <c r="Q15" s="117">
        <f>IF(Q11=0,0,VLOOKUP(Q11,FAC_TOTALS_APTA!$A$4:$BD$126,$L15,FALSE))</f>
        <v>0</v>
      </c>
      <c r="R15" s="117">
        <f>IF(R11=0,0,VLOOKUP(R11,FAC_TOTALS_APTA!$A$4:$BD$126,$L15,FALSE))</f>
        <v>0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54">
        <f>VLOOKUP(G11,FAC_TOTALS_APTA!$A$4:$BD$126,$F16,FALSE)</f>
        <v>0</v>
      </c>
      <c r="H16" s="54">
        <f>VLOOKUP(H11,FAC_TOTALS_APTA!$A$4:$BD$126,$F16,FALSE)</f>
        <v>9.1007693143801194E-2</v>
      </c>
      <c r="I16" s="30" t="str">
        <f>IFERROR(H16/G16-1,"-")</f>
        <v>-</v>
      </c>
      <c r="J16" s="31" t="str">
        <f t="shared" ref="J16" si="5">IF(C16="Log","_log","")</f>
        <v/>
      </c>
      <c r="K16" s="31" t="str">
        <f t="shared" ref="K16" si="6">CONCATENATE(D16,J16,"_FAC")</f>
        <v>MAINTENANCE_WMATA_FAC</v>
      </c>
      <c r="L16" s="6">
        <f>MATCH($K16,FAC_TOTALS_APTA!$A$2:$BB$2,)</f>
        <v>40</v>
      </c>
      <c r="M16" s="29">
        <f>IF(M12=0,0,VLOOKUP(M12,FAC_TOTALS_APTA!$A$4:$BD$126,$L16,FALSE))</f>
        <v>0</v>
      </c>
      <c r="N16" s="29">
        <f>IF(N12=0,0,VLOOKUP(N12,FAC_TOTALS_APTA!$A$4:$BD$126,$L16,FALSE))</f>
        <v>0</v>
      </c>
      <c r="O16" s="29">
        <f>IF(O12=0,0,VLOOKUP(O12,FAC_TOTALS_APTA!$A$4:$BD$126,$L16,FALSE))</f>
        <v>0</v>
      </c>
      <c r="P16" s="29">
        <f>IF(P12=0,0,VLOOKUP(P12,FAC_TOTALS_APTA!$A$4:$BD$126,$L16,FALSE))</f>
        <v>0</v>
      </c>
      <c r="Q16" s="29">
        <f>IF(Q12=0,0,VLOOKUP(Q12,FAC_TOTALS_APTA!$A$4:$BD$126,$L16,FALSE))</f>
        <v>0</v>
      </c>
      <c r="R16" s="29">
        <f>IF(R12=0,0,VLOOKUP(R12,FAC_TOTALS_APTA!$A$4:$BD$126,$L16,FALSE))</f>
        <v>0</v>
      </c>
      <c r="S16" s="29">
        <f>IF(S12=0,0,VLOOKUP(S12,FAC_TOTALS_APTA!$A$4:$BD$126,$L16,FALSE))</f>
        <v>0</v>
      </c>
      <c r="T16" s="29">
        <f>IF(T12=0,0,VLOOKUP(T12,FAC_TOTALS_APTA!$A$4:$BD$126,$L16,FALSE))</f>
        <v>0</v>
      </c>
      <c r="U16" s="29">
        <f>IF(U12=0,0,VLOOKUP(U12,FAC_TOTALS_APTA!$A$4:$BD$126,$L16,FALSE))</f>
        <v>0</v>
      </c>
      <c r="V16" s="29">
        <f>IF(V12=0,0,VLOOKUP(V12,FAC_TOTALS_APTA!$A$4:$BD$126,$L16,FALSE))</f>
        <v>0</v>
      </c>
      <c r="W16" s="29">
        <f>IF(W12=0,0,VLOOKUP(W12,FAC_TOTALS_APTA!$A$4:$BD$126,$L16,FALSE))</f>
        <v>0</v>
      </c>
      <c r="X16" s="29">
        <f>IF(X12=0,0,VLOOKUP(X12,FAC_TOTALS_APTA!$A$4:$BD$126,$L16,FALSE))</f>
        <v>0</v>
      </c>
      <c r="Y16" s="29">
        <f>IF(Y12=0,0,VLOOKUP(Y12,FAC_TOTALS_APTA!$A$4:$BD$126,$L16,FALSE))</f>
        <v>0</v>
      </c>
      <c r="Z16" s="29">
        <f>IF(Z12=0,0,VLOOKUP(Z12,FAC_TOTALS_APTA!$A$4:$BD$126,$L16,FALSE))</f>
        <v>0</v>
      </c>
      <c r="AA16" s="29">
        <f>IF(AA12=0,0,VLOOKUP(AA12,FAC_TOTALS_APTA!$A$4:$BD$126,$L16,FALSE))</f>
        <v>0</v>
      </c>
      <c r="AB16" s="29">
        <f>IF(AB12=0,0,VLOOKUP(AB12,FAC_TOTALS_APTA!$A$4:$BD$126,$L16,FALSE))</f>
        <v>0</v>
      </c>
      <c r="AC16" s="32">
        <f t="shared" ref="AC16" si="7">SUM(M16:AB16)</f>
        <v>0</v>
      </c>
      <c r="AD16" s="33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MATCH($D17,FAC_TOTALS_APTA!$A$2:$BD$2,)</f>
        <v>16</v>
      </c>
      <c r="G17" s="29">
        <f>VLOOKUP(G11,FAC_TOTALS_APTA!$A$4:$BD$126,$F17,FALSE)</f>
        <v>9265369.1436843593</v>
      </c>
      <c r="H17" s="29">
        <f>VLOOKUP(H11,FAC_TOTALS_APTA!$A$4:$BD$126,$F17,FALSE)</f>
        <v>9822983.8105922006</v>
      </c>
      <c r="I17" s="30">
        <f t="shared" si="1"/>
        <v>6.0182671436025181E-2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MATCH($K17,FAC_TOTALS_APTA!$A$2:$BB$2,)</f>
        <v>34</v>
      </c>
      <c r="M17" s="29">
        <f>IF(M11=0,0,VLOOKUP(M11,FAC_TOTALS_APTA!$A$4:$BD$126,$L17,FALSE))</f>
        <v>4089940.9442238398</v>
      </c>
      <c r="N17" s="29">
        <f>IF(N11=0,0,VLOOKUP(N11,FAC_TOTALS_APTA!$A$4:$BD$126,$L17,FALSE))</f>
        <v>4826180.0641054502</v>
      </c>
      <c r="O17" s="29">
        <f>IF(O11=0,0,VLOOKUP(O11,FAC_TOTALS_APTA!$A$4:$BD$126,$L17,FALSE))</f>
        <v>4469579.5223895004</v>
      </c>
      <c r="P17" s="29">
        <f>IF(P11=0,0,VLOOKUP(P11,FAC_TOTALS_APTA!$A$4:$BD$126,$L17,FALSE))</f>
        <v>3367002.8527270202</v>
      </c>
      <c r="Q17" s="29">
        <f>IF(Q11=0,0,VLOOKUP(Q11,FAC_TOTALS_APTA!$A$4:$BD$126,$L17,FALSE))</f>
        <v>4119662.5505955699</v>
      </c>
      <c r="R17" s="29">
        <f>IF(R11=0,0,VLOOKUP(R11,FAC_TOTALS_APTA!$A$4:$BD$126,$L17,FALSE))</f>
        <v>3594796.0866791201</v>
      </c>
      <c r="S17" s="29">
        <f>IF(S11=0,0,VLOOKUP(S11,FAC_TOTALS_APTA!$A$4:$BD$126,$L17,FALSE))</f>
        <v>0</v>
      </c>
      <c r="T17" s="29">
        <f>IF(T11=0,0,VLOOKUP(T11,FAC_TOTALS_APTA!$A$4:$BD$126,$L17,FALSE))</f>
        <v>0</v>
      </c>
      <c r="U17" s="29">
        <f>IF(U11=0,0,VLOOKUP(U11,FAC_TOTALS_APTA!$A$4:$BD$126,$L17,FALSE))</f>
        <v>0</v>
      </c>
      <c r="V17" s="29">
        <f>IF(V11=0,0,VLOOKUP(V11,FAC_TOTALS_APTA!$A$4:$BD$126,$L17,FALSE))</f>
        <v>0</v>
      </c>
      <c r="W17" s="29">
        <f>IF(W11=0,0,VLOOKUP(W11,FAC_TOTALS_APTA!$A$4:$BD$126,$L17,FALSE))</f>
        <v>0</v>
      </c>
      <c r="X17" s="29">
        <f>IF(X11=0,0,VLOOKUP(X11,FAC_TOTALS_APTA!$A$4:$BD$126,$L17,FALSE))</f>
        <v>0</v>
      </c>
      <c r="Y17" s="29">
        <f>IF(Y11=0,0,VLOOKUP(Y11,FAC_TOTALS_APTA!$A$4:$BD$126,$L17,FALSE))</f>
        <v>0</v>
      </c>
      <c r="Z17" s="29">
        <f>IF(Z11=0,0,VLOOKUP(Z11,FAC_TOTALS_APTA!$A$4:$BD$126,$L17,FALSE))</f>
        <v>0</v>
      </c>
      <c r="AA17" s="29">
        <f>IF(AA11=0,0,VLOOKUP(AA11,FAC_TOTALS_APTA!$A$4:$BD$126,$L17,FALSE))</f>
        <v>0</v>
      </c>
      <c r="AB17" s="29">
        <f>IF(AB11=0,0,VLOOKUP(AB11,FAC_TOTALS_APTA!$A$4:$BD$126,$L17,FALSE))</f>
        <v>0</v>
      </c>
      <c r="AC17" s="32">
        <f t="shared" si="4"/>
        <v>24467162.0207205</v>
      </c>
      <c r="AD17" s="33">
        <f>AC17/G27</f>
        <v>1.4406151101045029E-2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MATCH($D18,FAC_TOTALS_APTA!$A$2:$BD$2,)</f>
        <v>17</v>
      </c>
      <c r="G18" s="54">
        <f>VLOOKUP(G11,FAC_TOTALS_APTA!$A$4:$BD$126,$F18,FALSE)</f>
        <v>0.44667552967074198</v>
      </c>
      <c r="H18" s="54">
        <f>VLOOKUP(H11,FAC_TOTALS_APTA!$A$4:$BD$126,$F18,FALSE)</f>
        <v>0.44702194057060202</v>
      </c>
      <c r="I18" s="30">
        <f t="shared" si="1"/>
        <v>7.7553140221353623E-4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MATCH($K18,FAC_TOTALS_APTA!$A$2:$BB$2,)</f>
        <v>35</v>
      </c>
      <c r="M18" s="29">
        <f>IF(M11=0,0,VLOOKUP(M11,FAC_TOTALS_APTA!$A$4:$BD$126,$L18,FALSE))</f>
        <v>181375.68883743999</v>
      </c>
      <c r="N18" s="29">
        <f>IF(N11=0,0,VLOOKUP(N11,FAC_TOTALS_APTA!$A$4:$BD$126,$L18,FALSE))</f>
        <v>-246296.95296733899</v>
      </c>
      <c r="O18" s="29">
        <f>IF(O11=0,0,VLOOKUP(O11,FAC_TOTALS_APTA!$A$4:$BD$126,$L18,FALSE))</f>
        <v>564069.60275118798</v>
      </c>
      <c r="P18" s="29">
        <f>IF(P11=0,0,VLOOKUP(P11,FAC_TOTALS_APTA!$A$4:$BD$126,$L18,FALSE))</f>
        <v>-152596.82559662199</v>
      </c>
      <c r="Q18" s="29">
        <f>IF(Q11=0,0,VLOOKUP(Q11,FAC_TOTALS_APTA!$A$4:$BD$126,$L18,FALSE))</f>
        <v>-757988.05677281297</v>
      </c>
      <c r="R18" s="29">
        <f>IF(R11=0,0,VLOOKUP(R11,FAC_TOTALS_APTA!$A$4:$BD$126,$L18,FALSE))</f>
        <v>527495.52619181795</v>
      </c>
      <c r="S18" s="29">
        <f>IF(S11=0,0,VLOOKUP(S11,FAC_TOTALS_APTA!$A$4:$BD$126,$L18,FALSE))</f>
        <v>0</v>
      </c>
      <c r="T18" s="29">
        <f>IF(T11=0,0,VLOOKUP(T11,FAC_TOTALS_APTA!$A$4:$BD$126,$L18,FALSE))</f>
        <v>0</v>
      </c>
      <c r="U18" s="29">
        <f>IF(U11=0,0,VLOOKUP(U11,FAC_TOTALS_APTA!$A$4:$BD$126,$L18,FALSE))</f>
        <v>0</v>
      </c>
      <c r="V18" s="29">
        <f>IF(V11=0,0,VLOOKUP(V11,FAC_TOTALS_APTA!$A$4:$BD$126,$L18,FALSE))</f>
        <v>0</v>
      </c>
      <c r="W18" s="29">
        <f>IF(W11=0,0,VLOOKUP(W11,FAC_TOTALS_APTA!$A$4:$BD$126,$L18,FALSE))</f>
        <v>0</v>
      </c>
      <c r="X18" s="29">
        <f>IF(X11=0,0,VLOOKUP(X11,FAC_TOTALS_APTA!$A$4:$BD$126,$L18,FALSE))</f>
        <v>0</v>
      </c>
      <c r="Y18" s="29">
        <f>IF(Y11=0,0,VLOOKUP(Y11,FAC_TOTALS_APTA!$A$4:$BD$126,$L18,FALSE))</f>
        <v>0</v>
      </c>
      <c r="Z18" s="29">
        <f>IF(Z11=0,0,VLOOKUP(Z11,FAC_TOTALS_APTA!$A$4:$BD$126,$L18,FALSE))</f>
        <v>0</v>
      </c>
      <c r="AA18" s="29">
        <f>IF(AA11=0,0,VLOOKUP(AA11,FAC_TOTALS_APTA!$A$4:$BD$126,$L18,FALSE))</f>
        <v>0</v>
      </c>
      <c r="AB18" s="29">
        <f>IF(AB11=0,0,VLOOKUP(AB11,FAC_TOTALS_APTA!$A$4:$BD$126,$L18,FALSE))</f>
        <v>0</v>
      </c>
      <c r="AC18" s="32">
        <f t="shared" si="4"/>
        <v>116058.98244367202</v>
      </c>
      <c r="AD18" s="33">
        <f>AC18/G27</f>
        <v>6.8334988598233671E-5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MATCH($D19,FAC_TOTALS_APTA!$A$2:$BD$2,)</f>
        <v>18</v>
      </c>
      <c r="G19" s="34">
        <f>VLOOKUP(G11,FAC_TOTALS_APTA!$A$4:$BD$126,$F19,FALSE)</f>
        <v>4.0850684443871499</v>
      </c>
      <c r="H19" s="34">
        <f>VLOOKUP(H11,FAC_TOTALS_APTA!$A$4:$BD$126,$F19,FALSE)</f>
        <v>2.9200642266077401</v>
      </c>
      <c r="I19" s="30">
        <f t="shared" si="1"/>
        <v>-0.28518597268060852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MATCH($K19,FAC_TOTALS_APTA!$A$2:$BB$2,)</f>
        <v>36</v>
      </c>
      <c r="M19" s="29">
        <f>IF(M11=0,0,VLOOKUP(M11,FAC_TOTALS_APTA!$A$4:$BD$126,$L19,FALSE))</f>
        <v>-7688488.7470450997</v>
      </c>
      <c r="N19" s="29">
        <f>IF(N11=0,0,VLOOKUP(N11,FAC_TOTALS_APTA!$A$4:$BD$126,$L19,FALSE))</f>
        <v>-10549663.558173001</v>
      </c>
      <c r="O19" s="29">
        <f>IF(O11=0,0,VLOOKUP(O11,FAC_TOTALS_APTA!$A$4:$BD$126,$L19,FALSE))</f>
        <v>-56606695.626608498</v>
      </c>
      <c r="P19" s="29">
        <f>IF(P11=0,0,VLOOKUP(P11,FAC_TOTALS_APTA!$A$4:$BD$126,$L19,FALSE))</f>
        <v>-20943595.364367999</v>
      </c>
      <c r="Q19" s="29">
        <f>IF(Q11=0,0,VLOOKUP(Q11,FAC_TOTALS_APTA!$A$4:$BD$126,$L19,FALSE))</f>
        <v>14808840.901087901</v>
      </c>
      <c r="R19" s="29">
        <f>IF(R11=0,0,VLOOKUP(R11,FAC_TOTALS_APTA!$A$4:$BD$126,$L19,FALSE))</f>
        <v>17716162.434973098</v>
      </c>
      <c r="S19" s="29">
        <f>IF(S11=0,0,VLOOKUP(S11,FAC_TOTALS_APTA!$A$4:$BD$126,$L19,FALSE))</f>
        <v>0</v>
      </c>
      <c r="T19" s="29">
        <f>IF(T11=0,0,VLOOKUP(T11,FAC_TOTALS_APTA!$A$4:$BD$126,$L19,FALSE))</f>
        <v>0</v>
      </c>
      <c r="U19" s="29">
        <f>IF(U11=0,0,VLOOKUP(U11,FAC_TOTALS_APTA!$A$4:$BD$126,$L19,FALSE))</f>
        <v>0</v>
      </c>
      <c r="V19" s="29">
        <f>IF(V11=0,0,VLOOKUP(V11,FAC_TOTALS_APTA!$A$4:$BD$126,$L19,FALSE))</f>
        <v>0</v>
      </c>
      <c r="W19" s="29">
        <f>IF(W11=0,0,VLOOKUP(W11,FAC_TOTALS_APTA!$A$4:$BD$126,$L19,FALSE))</f>
        <v>0</v>
      </c>
      <c r="X19" s="29">
        <f>IF(X11=0,0,VLOOKUP(X11,FAC_TOTALS_APTA!$A$4:$BD$126,$L19,FALSE))</f>
        <v>0</v>
      </c>
      <c r="Y19" s="29">
        <f>IF(Y11=0,0,VLOOKUP(Y11,FAC_TOTALS_APTA!$A$4:$BD$126,$L19,FALSE))</f>
        <v>0</v>
      </c>
      <c r="Z19" s="29">
        <f>IF(Z11=0,0,VLOOKUP(Z11,FAC_TOTALS_APTA!$A$4:$BD$126,$L19,FALSE))</f>
        <v>0</v>
      </c>
      <c r="AA19" s="29">
        <f>IF(AA11=0,0,VLOOKUP(AA11,FAC_TOTALS_APTA!$A$4:$BD$126,$L19,FALSE))</f>
        <v>0</v>
      </c>
      <c r="AB19" s="29">
        <f>IF(AB11=0,0,VLOOKUP(AB11,FAC_TOTALS_APTA!$A$4:$BD$126,$L19,FALSE))</f>
        <v>0</v>
      </c>
      <c r="AC19" s="32">
        <f t="shared" si="4"/>
        <v>-63263439.96013359</v>
      </c>
      <c r="AD19" s="33">
        <f>AC19/G27</f>
        <v>-3.7249218951742429E-2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MATCH($D20,FAC_TOTALS_APTA!$A$2:$BD$2,)</f>
        <v>19</v>
      </c>
      <c r="G20" s="54">
        <f>VLOOKUP(G11,FAC_TOTALS_APTA!$A$4:$BD$126,$F20,FALSE)</f>
        <v>35332.063055995401</v>
      </c>
      <c r="H20" s="54">
        <f>VLOOKUP(H11,FAC_TOTALS_APTA!$A$4:$BD$126,$F20,FALSE)</f>
        <v>39392.249431887001</v>
      </c>
      <c r="I20" s="30">
        <f t="shared" si="1"/>
        <v>0.11491506650650107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MATCH($K20,FAC_TOTALS_APTA!$A$2:$BB$2,)</f>
        <v>37</v>
      </c>
      <c r="M20" s="29">
        <f>IF(M11=0,0,VLOOKUP(M11,FAC_TOTALS_APTA!$A$4:$BD$126,$L20,FALSE))</f>
        <v>-1032013.52275504</v>
      </c>
      <c r="N20" s="29">
        <f>IF(N11=0,0,VLOOKUP(N11,FAC_TOTALS_APTA!$A$4:$BD$126,$L20,FALSE))</f>
        <v>-625573.77290861902</v>
      </c>
      <c r="O20" s="29">
        <f>IF(O11=0,0,VLOOKUP(O11,FAC_TOTALS_APTA!$A$4:$BD$126,$L20,FALSE))</f>
        <v>-3622274.0100973402</v>
      </c>
      <c r="P20" s="29">
        <f>IF(P11=0,0,VLOOKUP(P11,FAC_TOTALS_APTA!$A$4:$BD$126,$L20,FALSE))</f>
        <v>-2643521.1162513802</v>
      </c>
      <c r="Q20" s="29">
        <f>IF(Q11=0,0,VLOOKUP(Q11,FAC_TOTALS_APTA!$A$4:$BD$126,$L20,FALSE))</f>
        <v>-2674976.0365660698</v>
      </c>
      <c r="R20" s="29">
        <f>IF(R11=0,0,VLOOKUP(R11,FAC_TOTALS_APTA!$A$4:$BD$126,$L20,FALSE))</f>
        <v>-2824762.9309299001</v>
      </c>
      <c r="S20" s="29">
        <f>IF(S11=0,0,VLOOKUP(S11,FAC_TOTALS_APTA!$A$4:$BD$126,$L20,FALSE))</f>
        <v>0</v>
      </c>
      <c r="T20" s="29">
        <f>IF(T11=0,0,VLOOKUP(T11,FAC_TOTALS_APTA!$A$4:$BD$126,$L20,FALSE))</f>
        <v>0</v>
      </c>
      <c r="U20" s="29">
        <f>IF(U11=0,0,VLOOKUP(U11,FAC_TOTALS_APTA!$A$4:$BD$126,$L20,FALSE))</f>
        <v>0</v>
      </c>
      <c r="V20" s="29">
        <f>IF(V11=0,0,VLOOKUP(V11,FAC_TOTALS_APTA!$A$4:$BD$126,$L20,FALSE))</f>
        <v>0</v>
      </c>
      <c r="W20" s="29">
        <f>IF(W11=0,0,VLOOKUP(W11,FAC_TOTALS_APTA!$A$4:$BD$126,$L20,FALSE))</f>
        <v>0</v>
      </c>
      <c r="X20" s="29">
        <f>IF(X11=0,0,VLOOKUP(X11,FAC_TOTALS_APTA!$A$4:$BD$126,$L20,FALSE))</f>
        <v>0</v>
      </c>
      <c r="Y20" s="29">
        <f>IF(Y11=0,0,VLOOKUP(Y11,FAC_TOTALS_APTA!$A$4:$BD$126,$L20,FALSE))</f>
        <v>0</v>
      </c>
      <c r="Z20" s="29">
        <f>IF(Z11=0,0,VLOOKUP(Z11,FAC_TOTALS_APTA!$A$4:$BD$126,$L20,FALSE))</f>
        <v>0</v>
      </c>
      <c r="AA20" s="29">
        <f>IF(AA11=0,0,VLOOKUP(AA11,FAC_TOTALS_APTA!$A$4:$BD$126,$L20,FALSE))</f>
        <v>0</v>
      </c>
      <c r="AB20" s="29">
        <f>IF(AB11=0,0,VLOOKUP(AB11,FAC_TOTALS_APTA!$A$4:$BD$126,$L20,FALSE))</f>
        <v>0</v>
      </c>
      <c r="AC20" s="32">
        <f t="shared" si="4"/>
        <v>-13423121.389508348</v>
      </c>
      <c r="AD20" s="33">
        <f>AC20/G27</f>
        <v>-7.9034713883515753E-3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MATCH($D21,FAC_TOTALS_APTA!$A$2:$BD$2,)</f>
        <v>20</v>
      </c>
      <c r="G21" s="29">
        <f>VLOOKUP(G11,FAC_TOTALS_APTA!$A$4:$BD$126,$F21,FALSE)</f>
        <v>11.244313444527</v>
      </c>
      <c r="H21" s="29">
        <f>VLOOKUP(H11,FAC_TOTALS_APTA!$A$4:$BD$126,$F21,FALSE)</f>
        <v>10.4497030009138</v>
      </c>
      <c r="I21" s="30">
        <f t="shared" si="1"/>
        <v>-7.0667759977819267E-2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MATCH($K21,FAC_TOTALS_APTA!$A$2:$BB$2,)</f>
        <v>38</v>
      </c>
      <c r="M21" s="29">
        <f>IF(M11=0,0,VLOOKUP(M11,FAC_TOTALS_APTA!$A$4:$BD$126,$L21,FALSE))</f>
        <v>-1125450.88728879</v>
      </c>
      <c r="N21" s="29">
        <f>IF(N11=0,0,VLOOKUP(N11,FAC_TOTALS_APTA!$A$4:$BD$126,$L21,FALSE))</f>
        <v>-127828.778849293</v>
      </c>
      <c r="O21" s="29">
        <f>IF(O11=0,0,VLOOKUP(O11,FAC_TOTALS_APTA!$A$4:$BD$126,$L21,FALSE))</f>
        <v>-42533.618109505798</v>
      </c>
      <c r="P21" s="29">
        <f>IF(P11=0,0,VLOOKUP(P11,FAC_TOTALS_APTA!$A$4:$BD$126,$L21,FALSE))</f>
        <v>-343072.77100964898</v>
      </c>
      <c r="Q21" s="29">
        <f>IF(Q11=0,0,VLOOKUP(Q11,FAC_TOTALS_APTA!$A$4:$BD$126,$L21,FALSE))</f>
        <v>-568861.355994944</v>
      </c>
      <c r="R21" s="29">
        <f>IF(R11=0,0,VLOOKUP(R11,FAC_TOTALS_APTA!$A$4:$BD$126,$L21,FALSE))</f>
        <v>-487302.73841011402</v>
      </c>
      <c r="S21" s="29">
        <f>IF(S11=0,0,VLOOKUP(S11,FAC_TOTALS_APTA!$A$4:$BD$126,$L21,FALSE))</f>
        <v>0</v>
      </c>
      <c r="T21" s="29">
        <f>IF(T11=0,0,VLOOKUP(T11,FAC_TOTALS_APTA!$A$4:$BD$126,$L21,FALSE))</f>
        <v>0</v>
      </c>
      <c r="U21" s="29">
        <f>IF(U11=0,0,VLOOKUP(U11,FAC_TOTALS_APTA!$A$4:$BD$126,$L21,FALSE))</f>
        <v>0</v>
      </c>
      <c r="V21" s="29">
        <f>IF(V11=0,0,VLOOKUP(V11,FAC_TOTALS_APTA!$A$4:$BD$126,$L21,FALSE))</f>
        <v>0</v>
      </c>
      <c r="W21" s="29">
        <f>IF(W11=0,0,VLOOKUP(W11,FAC_TOTALS_APTA!$A$4:$BD$126,$L21,FALSE))</f>
        <v>0</v>
      </c>
      <c r="X21" s="29">
        <f>IF(X11=0,0,VLOOKUP(X11,FAC_TOTALS_APTA!$A$4:$BD$126,$L21,FALSE))</f>
        <v>0</v>
      </c>
      <c r="Y21" s="29">
        <f>IF(Y11=0,0,VLOOKUP(Y11,FAC_TOTALS_APTA!$A$4:$BD$126,$L21,FALSE))</f>
        <v>0</v>
      </c>
      <c r="Z21" s="29">
        <f>IF(Z11=0,0,VLOOKUP(Z11,FAC_TOTALS_APTA!$A$4:$BD$126,$L21,FALSE))</f>
        <v>0</v>
      </c>
      <c r="AA21" s="29">
        <f>IF(AA11=0,0,VLOOKUP(AA11,FAC_TOTALS_APTA!$A$4:$BD$126,$L21,FALSE))</f>
        <v>0</v>
      </c>
      <c r="AB21" s="29">
        <f>IF(AB11=0,0,VLOOKUP(AB11,FAC_TOTALS_APTA!$A$4:$BD$126,$L21,FALSE))</f>
        <v>0</v>
      </c>
      <c r="AC21" s="32">
        <f t="shared" si="4"/>
        <v>-2695050.1496622958</v>
      </c>
      <c r="AD21" s="33">
        <f>AC21/G27</f>
        <v>-1.586832982429637E-3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MATCH($D22,FAC_TOTALS_APTA!$A$2:$BD$2,)</f>
        <v>21</v>
      </c>
      <c r="G22" s="34">
        <f>VLOOKUP(G11,FAC_TOTALS_APTA!$A$4:$BD$126,$F22,FALSE)</f>
        <v>4.8858900437047801</v>
      </c>
      <c r="H22" s="34">
        <f>VLOOKUP(H11,FAC_TOTALS_APTA!$A$4:$BD$126,$F22,FALSE)</f>
        <v>6.0631175541013302</v>
      </c>
      <c r="I22" s="30">
        <f t="shared" si="1"/>
        <v>0.24094433150687622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MATCH($K22,FAC_TOTALS_APTA!$A$2:$BB$2,)</f>
        <v>39</v>
      </c>
      <c r="M22" s="29">
        <f>IF(M11=0,0,VLOOKUP(M11,FAC_TOTALS_APTA!$A$4:$BD$126,$L22,FALSE))</f>
        <v>-37519.051632841598</v>
      </c>
      <c r="N22" s="29">
        <f>IF(N11=0,0,VLOOKUP(N11,FAC_TOTALS_APTA!$A$4:$BD$126,$L22,FALSE))</f>
        <v>-3144341.86031667</v>
      </c>
      <c r="O22" s="29">
        <f>IF(O11=0,0,VLOOKUP(O11,FAC_TOTALS_APTA!$A$4:$BD$126,$L22,FALSE))</f>
        <v>-414223.92942585301</v>
      </c>
      <c r="P22" s="29">
        <f>IF(P11=0,0,VLOOKUP(P11,FAC_TOTALS_APTA!$A$4:$BD$126,$L22,FALSE))</f>
        <v>-6565759.1512884405</v>
      </c>
      <c r="Q22" s="29">
        <f>IF(Q11=0,0,VLOOKUP(Q11,FAC_TOTALS_APTA!$A$4:$BD$126,$L22,FALSE))</f>
        <v>-1944410.6428077801</v>
      </c>
      <c r="R22" s="29">
        <f>IF(R11=0,0,VLOOKUP(R11,FAC_TOTALS_APTA!$A$4:$BD$126,$L22,FALSE))</f>
        <v>-3021030.5999476798</v>
      </c>
      <c r="S22" s="29">
        <f>IF(S11=0,0,VLOOKUP(S11,FAC_TOTALS_APTA!$A$4:$BD$126,$L22,FALSE))</f>
        <v>0</v>
      </c>
      <c r="T22" s="29">
        <f>IF(T11=0,0,VLOOKUP(T11,FAC_TOTALS_APTA!$A$4:$BD$126,$L22,FALSE))</f>
        <v>0</v>
      </c>
      <c r="U22" s="29">
        <f>IF(U11=0,0,VLOOKUP(U11,FAC_TOTALS_APTA!$A$4:$BD$126,$L22,FALSE))</f>
        <v>0</v>
      </c>
      <c r="V22" s="29">
        <f>IF(V11=0,0,VLOOKUP(V11,FAC_TOTALS_APTA!$A$4:$BD$126,$L22,FALSE))</f>
        <v>0</v>
      </c>
      <c r="W22" s="29">
        <f>IF(W11=0,0,VLOOKUP(W11,FAC_TOTALS_APTA!$A$4:$BD$126,$L22,FALSE))</f>
        <v>0</v>
      </c>
      <c r="X22" s="29">
        <f>IF(X11=0,0,VLOOKUP(X11,FAC_TOTALS_APTA!$A$4:$BD$126,$L22,FALSE))</f>
        <v>0</v>
      </c>
      <c r="Y22" s="29">
        <f>IF(Y11=0,0,VLOOKUP(Y11,FAC_TOTALS_APTA!$A$4:$BD$126,$L22,FALSE))</f>
        <v>0</v>
      </c>
      <c r="Z22" s="29">
        <f>IF(Z11=0,0,VLOOKUP(Z11,FAC_TOTALS_APTA!$A$4:$BD$126,$L22,FALSE))</f>
        <v>0</v>
      </c>
      <c r="AA22" s="29">
        <f>IF(AA11=0,0,VLOOKUP(AA11,FAC_TOTALS_APTA!$A$4:$BD$126,$L22,FALSE))</f>
        <v>0</v>
      </c>
      <c r="AB22" s="29">
        <f>IF(AB11=0,0,VLOOKUP(AB11,FAC_TOTALS_APTA!$A$4:$BD$126,$L22,FALSE))</f>
        <v>0</v>
      </c>
      <c r="AC22" s="32">
        <f t="shared" si="4"/>
        <v>-15127285.235419264</v>
      </c>
      <c r="AD22" s="33">
        <f>AC22/G27</f>
        <v>-8.9068751277938379E-3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93</v>
      </c>
      <c r="E23" s="55"/>
      <c r="F23" s="6">
        <f>MATCH($D23,FAC_TOTALS_APTA!$A$2:$BD$2,)</f>
        <v>26</v>
      </c>
      <c r="G23" s="34">
        <f>VLOOKUP(G11,FAC_TOTALS_APTA!$A$4:$BD$126,$F23,FALSE)</f>
        <v>0.619991742491807</v>
      </c>
      <c r="H23" s="34">
        <f>VLOOKUP(H11,FAC_TOTALS_APTA!$A$4:$BD$126,$F23,FALSE)</f>
        <v>6.4966078729516701</v>
      </c>
      <c r="I23" s="30">
        <f t="shared" si="1"/>
        <v>9.4785393541552221</v>
      </c>
      <c r="J23" s="31"/>
      <c r="K23" s="31" t="str">
        <f t="shared" si="3"/>
        <v>YEARS_SINCE_TNC_RAIL_HINY_FAC</v>
      </c>
      <c r="L23" s="6">
        <f>MATCH($K23,FAC_TOTALS_APTA!$A$2:$BB$2,)</f>
        <v>44</v>
      </c>
      <c r="M23" s="29">
        <f>IF(M11=0,0,VLOOKUP(M11,FAC_TOTALS_APTA!$A$4:$BD$126,$L23,FALSE))</f>
        <v>3343956.59359182</v>
      </c>
      <c r="N23" s="29">
        <f>IF(N11=0,0,VLOOKUP(N11,FAC_TOTALS_APTA!$A$4:$BD$126,$L23,FALSE))</f>
        <v>3476504.80811512</v>
      </c>
      <c r="O23" s="29">
        <f>IF(O11=0,0,VLOOKUP(O11,FAC_TOTALS_APTA!$A$4:$BD$126,$L23,FALSE))</f>
        <v>3796379.6261591702</v>
      </c>
      <c r="P23" s="29">
        <f>IF(P11=0,0,VLOOKUP(P11,FAC_TOTALS_APTA!$A$4:$BD$126,$L23,FALSE))</f>
        <v>3756944.1570180701</v>
      </c>
      <c r="Q23" s="29">
        <f>IF(Q11=0,0,VLOOKUP(Q11,FAC_TOTALS_APTA!$A$4:$BD$126,$L23,FALSE))</f>
        <v>3702666.8193412502</v>
      </c>
      <c r="R23" s="29">
        <f>IF(R11=0,0,VLOOKUP(R11,FAC_TOTALS_APTA!$A$4:$BD$126,$L23,FALSE))</f>
        <v>3634099.0340764299</v>
      </c>
      <c r="S23" s="29">
        <f>IF(S11=0,0,VLOOKUP(S11,FAC_TOTALS_APTA!$A$4:$BD$126,$L23,FALSE))</f>
        <v>0</v>
      </c>
      <c r="T23" s="29">
        <f>IF(T11=0,0,VLOOKUP(T11,FAC_TOTALS_APTA!$A$4:$BD$126,$L23,FALSE))</f>
        <v>0</v>
      </c>
      <c r="U23" s="29">
        <f>IF(U11=0,0,VLOOKUP(U11,FAC_TOTALS_APTA!$A$4:$BD$126,$L23,FALSE))</f>
        <v>0</v>
      </c>
      <c r="V23" s="29">
        <f>IF(V11=0,0,VLOOKUP(V11,FAC_TOTALS_APTA!$A$4:$BD$126,$L23,FALSE))</f>
        <v>0</v>
      </c>
      <c r="W23" s="29">
        <f>IF(W11=0,0,VLOOKUP(W11,FAC_TOTALS_APTA!$A$4:$BD$126,$L23,FALSE))</f>
        <v>0</v>
      </c>
      <c r="X23" s="29">
        <f>IF(X11=0,0,VLOOKUP(X11,FAC_TOTALS_APTA!$A$4:$BD$126,$L23,FALSE))</f>
        <v>0</v>
      </c>
      <c r="Y23" s="29">
        <f>IF(Y11=0,0,VLOOKUP(Y11,FAC_TOTALS_APTA!$A$4:$BD$126,$L23,FALSE))</f>
        <v>0</v>
      </c>
      <c r="Z23" s="29">
        <f>IF(Z11=0,0,VLOOKUP(Z11,FAC_TOTALS_APTA!$A$4:$BD$126,$L23,FALSE))</f>
        <v>0</v>
      </c>
      <c r="AA23" s="29">
        <f>IF(AA11=0,0,VLOOKUP(AA11,FAC_TOTALS_APTA!$A$4:$BD$126,$L23,FALSE))</f>
        <v>0</v>
      </c>
      <c r="AB23" s="29">
        <f>IF(AB11=0,0,VLOOKUP(AB11,FAC_TOTALS_APTA!$A$4:$BD$126,$L23,FALSE))</f>
        <v>0</v>
      </c>
      <c r="AC23" s="32">
        <f t="shared" si="4"/>
        <v>21710551.038301859</v>
      </c>
      <c r="AD23" s="33">
        <f>AC23/G27</f>
        <v>1.2783071386859456E-2</v>
      </c>
      <c r="AE23" s="6"/>
    </row>
    <row r="24" spans="1:31" s="13" customFormat="1" hidden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MATCH($D24,FAC_TOTALS_APTA!$A$2:$BD$2,)</f>
        <v>28</v>
      </c>
      <c r="G24" s="34">
        <f>VLOOKUP(G11,FAC_TOTALS_APTA!$A$4:$BD$126,$F24,FALSE)</f>
        <v>0.36463924263986802</v>
      </c>
      <c r="H24" s="34">
        <f>VLOOKUP(H11,FAC_TOTALS_APTA!$A$4:$BD$126,$F24,FALSE)</f>
        <v>1</v>
      </c>
      <c r="I24" s="30">
        <f t="shared" si="1"/>
        <v>1.7424365868037937</v>
      </c>
      <c r="J24" s="31" t="str">
        <f t="shared" si="2"/>
        <v/>
      </c>
      <c r="K24" s="31" t="str">
        <f t="shared" si="3"/>
        <v>BIKE_SHARE_FAC</v>
      </c>
      <c r="L24" s="6">
        <f>MATCH($K24,FAC_TOTALS_APTA!$A$2:$BB$2,)</f>
        <v>46</v>
      </c>
      <c r="M24" s="29">
        <f>IF(M11=0,0,VLOOKUP(M11,FAC_TOTALS_APTA!$A$4:$BD$126,$L24,FALSE))</f>
        <v>0</v>
      </c>
      <c r="N24" s="29">
        <f>IF(N11=0,0,VLOOKUP(N11,FAC_TOTALS_APTA!$A$4:$BD$126,$L24,FALSE))</f>
        <v>-4355750.7564673098</v>
      </c>
      <c r="O24" s="29">
        <f>IF(O11=0,0,VLOOKUP(O11,FAC_TOTALS_APTA!$A$4:$BD$126,$L24,FALSE))</f>
        <v>-5575138.7001102101</v>
      </c>
      <c r="P24" s="29">
        <f>IF(P11=0,0,VLOOKUP(P11,FAC_TOTALS_APTA!$A$4:$BD$126,$L24,FALSE))</f>
        <v>-2008756.5832966401</v>
      </c>
      <c r="Q24" s="29">
        <f>IF(Q11=0,0,VLOOKUP(Q11,FAC_TOTALS_APTA!$A$4:$BD$126,$L24,FALSE))</f>
        <v>0</v>
      </c>
      <c r="R24" s="29">
        <f>IF(R11=0,0,VLOOKUP(R11,FAC_TOTALS_APTA!$A$4:$BD$126,$L24,FALSE))</f>
        <v>-93322.357991928104</v>
      </c>
      <c r="S24" s="29">
        <f>IF(S11=0,0,VLOOKUP(S11,FAC_TOTALS_APTA!$A$4:$BD$126,$L24,FALSE))</f>
        <v>0</v>
      </c>
      <c r="T24" s="29">
        <f>IF(T11=0,0,VLOOKUP(T11,FAC_TOTALS_APTA!$A$4:$BD$126,$L24,FALSE))</f>
        <v>0</v>
      </c>
      <c r="U24" s="29">
        <f>IF(U11=0,0,VLOOKUP(U11,FAC_TOTALS_APTA!$A$4:$BD$126,$L24,FALSE))</f>
        <v>0</v>
      </c>
      <c r="V24" s="29">
        <f>IF(V11=0,0,VLOOKUP(V11,FAC_TOTALS_APTA!$A$4:$BD$126,$L24,FALSE))</f>
        <v>0</v>
      </c>
      <c r="W24" s="29">
        <f>IF(W11=0,0,VLOOKUP(W11,FAC_TOTALS_APTA!$A$4:$BD$126,$L24,FALSE))</f>
        <v>0</v>
      </c>
      <c r="X24" s="29">
        <f>IF(X11=0,0,VLOOKUP(X11,FAC_TOTALS_APTA!$A$4:$BD$126,$L24,FALSE))</f>
        <v>0</v>
      </c>
      <c r="Y24" s="29">
        <f>IF(Y11=0,0,VLOOKUP(Y11,FAC_TOTALS_APTA!$A$4:$BD$126,$L24,FALSE))</f>
        <v>0</v>
      </c>
      <c r="Z24" s="29">
        <f>IF(Z11=0,0,VLOOKUP(Z11,FAC_TOTALS_APTA!$A$4:$BD$126,$L24,FALSE))</f>
        <v>0</v>
      </c>
      <c r="AA24" s="29">
        <f>IF(AA11=0,0,VLOOKUP(AA11,FAC_TOTALS_APTA!$A$4:$BD$126,$L24,FALSE))</f>
        <v>0</v>
      </c>
      <c r="AB24" s="29">
        <f>IF(AB11=0,0,VLOOKUP(AB11,FAC_TOTALS_APTA!$A$4:$BD$126,$L24,FALSE))</f>
        <v>0</v>
      </c>
      <c r="AC24" s="32">
        <f t="shared" si="4"/>
        <v>-12032968.397866089</v>
      </c>
      <c r="AD24" s="33">
        <f>AC24/G27</f>
        <v>-7.0849557781550131E-3</v>
      </c>
      <c r="AE24" s="6"/>
    </row>
    <row r="25" spans="1:31" s="13" customFormat="1" hidden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MATCH($D25,FAC_TOTALS_APTA!$A$2:$BD$2,)</f>
        <v>29</v>
      </c>
      <c r="G25" s="35">
        <f>VLOOKUP(G11,FAC_TOTALS_APTA!$A$4:$BD$126,$F25,FALSE)</f>
        <v>0</v>
      </c>
      <c r="H25" s="35">
        <f>VLOOKUP(H11,FAC_TOTALS_APTA!$A$4:$BD$126,$F25,FALSE)</f>
        <v>0.64384680764332902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MATCH($K25,FAC_TOTALS_APTA!$A$2:$BB$2,)</f>
        <v>47</v>
      </c>
      <c r="M25" s="38">
        <f>IF(M11=0,0,VLOOKUP(M11,FAC_TOTALS_APTA!$A$4:$BD$126,$L25,FALSE))</f>
        <v>0</v>
      </c>
      <c r="N25" s="38">
        <f>IF(N11=0,0,VLOOKUP(N11,FAC_TOTALS_APTA!$A$4:$BD$126,$L25,FALSE))</f>
        <v>0</v>
      </c>
      <c r="O25" s="38">
        <f>IF(O11=0,0,VLOOKUP(O11,FAC_TOTALS_APTA!$A$4:$BD$126,$L25,FALSE))</f>
        <v>0</v>
      </c>
      <c r="P25" s="38">
        <f>IF(P11=0,0,VLOOKUP(P11,FAC_TOTALS_APTA!$A$4:$BD$126,$L25,FALSE))</f>
        <v>0</v>
      </c>
      <c r="Q25" s="38">
        <f>IF(Q11=0,0,VLOOKUP(Q11,FAC_TOTALS_APTA!$A$4:$BD$126,$L25,FALSE))</f>
        <v>0</v>
      </c>
      <c r="R25" s="38">
        <f>IF(R11=0,0,VLOOKUP(R11,FAC_TOTALS_APTA!$A$4:$BD$126,$L25,FALSE))</f>
        <v>-41042204.800437197</v>
      </c>
      <c r="S25" s="38">
        <f>IF(S11=0,0,VLOOKUP(S11,FAC_TOTALS_APTA!$A$4:$BD$126,$L25,FALSE))</f>
        <v>0</v>
      </c>
      <c r="T25" s="38">
        <f>IF(T11=0,0,VLOOKUP(T11,FAC_TOTALS_APTA!$A$4:$BD$126,$L25,FALSE))</f>
        <v>0</v>
      </c>
      <c r="U25" s="38">
        <f>IF(U11=0,0,VLOOKUP(U11,FAC_TOTALS_APTA!$A$4:$BD$126,$L25,FALSE))</f>
        <v>0</v>
      </c>
      <c r="V25" s="38">
        <f>IF(V11=0,0,VLOOKUP(V11,FAC_TOTALS_APTA!$A$4:$BD$126,$L25,FALSE))</f>
        <v>0</v>
      </c>
      <c r="W25" s="38">
        <f>IF(W11=0,0,VLOOKUP(W11,FAC_TOTALS_APTA!$A$4:$BD$126,$L25,FALSE))</f>
        <v>0</v>
      </c>
      <c r="X25" s="38">
        <f>IF(X11=0,0,VLOOKUP(X11,FAC_TOTALS_APTA!$A$4:$BD$126,$L25,FALSE))</f>
        <v>0</v>
      </c>
      <c r="Y25" s="38">
        <f>IF(Y11=0,0,VLOOKUP(Y11,FAC_TOTALS_APTA!$A$4:$BD$126,$L25,FALSE))</f>
        <v>0</v>
      </c>
      <c r="Z25" s="38">
        <f>IF(Z11=0,0,VLOOKUP(Z11,FAC_TOTALS_APTA!$A$4:$BD$126,$L25,FALSE))</f>
        <v>0</v>
      </c>
      <c r="AA25" s="38">
        <f>IF(AA11=0,0,VLOOKUP(AA11,FAC_TOTALS_APTA!$A$4:$BD$126,$L25,FALSE))</f>
        <v>0</v>
      </c>
      <c r="AB25" s="38">
        <f>IF(AB11=0,0,VLOOKUP(AB11,FAC_TOTALS_APTA!$A$4:$BD$126,$L25,FALSE))</f>
        <v>0</v>
      </c>
      <c r="AC25" s="39">
        <f t="shared" si="4"/>
        <v>-41042204.800437197</v>
      </c>
      <c r="AD25" s="40">
        <f>AC25/G27</f>
        <v>-2.4165459131484622E-2</v>
      </c>
      <c r="AE25" s="6"/>
    </row>
    <row r="26" spans="1:31" s="13" customFormat="1" x14ac:dyDescent="0.2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ref="K26" si="8">CONCATENATE(D26,J26,"_FAC")</f>
        <v>New_Reporter_FAC</v>
      </c>
      <c r="L26" s="44">
        <f>MATCH($K26,FAC_TOTALS_APTA!$A$2:$BB$2,)</f>
        <v>51</v>
      </c>
      <c r="M26" s="45">
        <f>IF(M11=0,0,VLOOKUP(M11,FAC_TOTALS_APTA!$A$4:$BD$126,$L26,FALSE))</f>
        <v>0</v>
      </c>
      <c r="N26" s="45">
        <f>IF(N11=0,0,VLOOKUP(N11,FAC_TOTALS_APTA!$A$4:$BD$126,$L26,FALSE))</f>
        <v>0</v>
      </c>
      <c r="O26" s="45">
        <f>IF(O11=0,0,VLOOKUP(O11,FAC_TOTALS_APTA!$A$4:$BD$126,$L26,FALSE))</f>
        <v>0</v>
      </c>
      <c r="P26" s="45">
        <f>IF(P11=0,0,VLOOKUP(P11,FAC_TOTALS_APTA!$A$4:$BD$126,$L26,FALSE))</f>
        <v>0</v>
      </c>
      <c r="Q26" s="45">
        <f>IF(Q11=0,0,VLOOKUP(Q11,FAC_TOTALS_APTA!$A$4:$BD$126,$L26,FALSE))</f>
        <v>0</v>
      </c>
      <c r="R26" s="45">
        <f>IF(R11=0,0,VLOOKUP(R11,FAC_TOTALS_APTA!$A$4:$BD$126,$L26,FALSE))</f>
        <v>0</v>
      </c>
      <c r="S26" s="45">
        <f>IF(S11=0,0,VLOOKUP(S11,FAC_TOTALS_APTA!$A$4:$BD$126,$L26,FALSE))</f>
        <v>0</v>
      </c>
      <c r="T26" s="45">
        <f>IF(T11=0,0,VLOOKUP(T11,FAC_TOTALS_APTA!$A$4:$BD$126,$L26,FALSE))</f>
        <v>0</v>
      </c>
      <c r="U26" s="45">
        <f>IF(U11=0,0,VLOOKUP(U11,FAC_TOTALS_APTA!$A$4:$BD$126,$L26,FALSE))</f>
        <v>0</v>
      </c>
      <c r="V26" s="45">
        <f>IF(V11=0,0,VLOOKUP(V11,FAC_TOTALS_APTA!$A$4:$BD$126,$L26,FALSE))</f>
        <v>0</v>
      </c>
      <c r="W26" s="45">
        <f>IF(W11=0,0,VLOOKUP(W11,FAC_TOTALS_APTA!$A$4:$BD$126,$L26,FALSE))</f>
        <v>0</v>
      </c>
      <c r="X26" s="45">
        <f>IF(X11=0,0,VLOOKUP(X11,FAC_TOTALS_APTA!$A$4:$BD$126,$L26,FALSE))</f>
        <v>0</v>
      </c>
      <c r="Y26" s="45">
        <f>IF(Y11=0,0,VLOOKUP(Y11,FAC_TOTALS_APTA!$A$4:$BD$126,$L26,FALSE))</f>
        <v>0</v>
      </c>
      <c r="Z26" s="45">
        <f>IF(Z11=0,0,VLOOKUP(Z11,FAC_TOTALS_APTA!$A$4:$BD$126,$L26,FALSE))</f>
        <v>0</v>
      </c>
      <c r="AA26" s="45">
        <f>IF(AA11=0,0,VLOOKUP(AA11,FAC_TOTALS_APTA!$A$4:$BD$126,$L26,FALSE))</f>
        <v>0</v>
      </c>
      <c r="AB26" s="45">
        <f>IF(AB11=0,0,VLOOKUP(AB11,FAC_TOTALS_APTA!$A$4:$BD$126,$L26,FALSE))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25" t="s">
        <v>66</v>
      </c>
      <c r="C27" s="28"/>
      <c r="D27" s="104" t="s">
        <v>6</v>
      </c>
      <c r="E27" s="55"/>
      <c r="F27" s="6">
        <f>MATCH($D27,FAC_TOTALS_APTA!$A$2:$BB$2,)</f>
        <v>10</v>
      </c>
      <c r="G27" s="110">
        <f>VLOOKUP(G11,FAC_TOTALS_APTA!$A$4:$BD$126,$F27,FALSE)</f>
        <v>1698382992.73049</v>
      </c>
      <c r="H27" s="110">
        <f>VLOOKUP(H11,FAC_TOTALS_APTA!$A$4:$BB$126,$F27,FALSE)</f>
        <v>1701949048.0040801</v>
      </c>
      <c r="I27" s="112">
        <f t="shared" ref="I27:I28" si="9">H27/G27-1</f>
        <v>2.0996767447940545E-3</v>
      </c>
      <c r="J27" s="31"/>
      <c r="K27" s="31"/>
      <c r="L27" s="6"/>
      <c r="M27" s="29">
        <f t="shared" ref="M27:AB27" si="10">SUM(M13:M20)</f>
        <v>1060831.2889322415</v>
      </c>
      <c r="N27" s="29">
        <f t="shared" si="10"/>
        <v>40580947.195686221</v>
      </c>
      <c r="O27" s="29">
        <f t="shared" si="10"/>
        <v>-58687522.202104948</v>
      </c>
      <c r="P27" s="29">
        <f t="shared" si="10"/>
        <v>-956265.84288299177</v>
      </c>
      <c r="Q27" s="29">
        <f t="shared" si="10"/>
        <v>56119808.581889369</v>
      </c>
      <c r="R27" s="29">
        <f t="shared" si="10"/>
        <v>33378644.298223853</v>
      </c>
      <c r="S27" s="29">
        <f t="shared" si="10"/>
        <v>0</v>
      </c>
      <c r="T27" s="29">
        <f t="shared" si="10"/>
        <v>0</v>
      </c>
      <c r="U27" s="29">
        <f t="shared" si="10"/>
        <v>0</v>
      </c>
      <c r="V27" s="29">
        <f t="shared" si="10"/>
        <v>0</v>
      </c>
      <c r="W27" s="29">
        <f t="shared" si="10"/>
        <v>0</v>
      </c>
      <c r="X27" s="29">
        <f t="shared" si="10"/>
        <v>0</v>
      </c>
      <c r="Y27" s="29">
        <f t="shared" si="10"/>
        <v>0</v>
      </c>
      <c r="Z27" s="29">
        <f t="shared" si="10"/>
        <v>0</v>
      </c>
      <c r="AA27" s="29">
        <f t="shared" si="10"/>
        <v>0</v>
      </c>
      <c r="AB27" s="29">
        <f t="shared" si="10"/>
        <v>0</v>
      </c>
      <c r="AC27" s="32">
        <f>H27-G27</f>
        <v>3566055.2735900879</v>
      </c>
      <c r="AD27" s="33">
        <f>I27</f>
        <v>2.0996767447940545E-3</v>
      </c>
      <c r="AE27" s="104"/>
    </row>
    <row r="28" spans="1:31" ht="13.5" thickBot="1" x14ac:dyDescent="0.3">
      <c r="B28" s="9" t="s">
        <v>50</v>
      </c>
      <c r="C28" s="23"/>
      <c r="D28" s="148" t="s">
        <v>4</v>
      </c>
      <c r="E28" s="23"/>
      <c r="F28" s="23">
        <f>MATCH($D28,FAC_TOTALS_APTA!$A$2:$BB$2,)</f>
        <v>8</v>
      </c>
      <c r="G28" s="111">
        <f>VLOOKUP(G11,FAC_TOTALS_APTA!$A$4:$BB$126,$F28,FALSE)</f>
        <v>1684310471</v>
      </c>
      <c r="H28" s="111">
        <f>VLOOKUP(H11,FAC_TOTALS_APTA!$A$4:$BB$126,$F28,FALSE)</f>
        <v>1636184632.99999</v>
      </c>
      <c r="I28" s="113">
        <f t="shared" si="9"/>
        <v>-2.85730207278454E-2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-48125838.000010014</v>
      </c>
      <c r="AD28" s="52">
        <f>I28</f>
        <v>-2.85730207278454E-2</v>
      </c>
    </row>
    <row r="29" spans="1:31" ht="14.25" thickTop="1" thickBot="1" x14ac:dyDescent="0.3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-3.0672697472639454E-2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25"/>
      <c r="C36" s="6"/>
      <c r="D36" s="62"/>
      <c r="E36" s="6"/>
      <c r="F36" s="6"/>
      <c r="G36" s="176" t="s">
        <v>51</v>
      </c>
      <c r="H36" s="176"/>
      <c r="I36" s="176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76" t="s">
        <v>55</v>
      </c>
      <c r="AD36" s="176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2012</v>
      </c>
      <c r="H37" s="27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idden="1" x14ac:dyDescent="0.25">
      <c r="B39" s="25"/>
      <c r="C39" s="28"/>
      <c r="D39" s="6"/>
      <c r="E39" s="6"/>
      <c r="F39" s="6"/>
      <c r="G39" s="6" t="str">
        <f>CONCATENATE($C34,"_",$C35,"_",G37)</f>
        <v>1_2_2012</v>
      </c>
      <c r="H39" s="6" t="str">
        <f>CONCATENATE($C34,"_",$C35,"_",H37)</f>
        <v>1_2_2018</v>
      </c>
      <c r="I39" s="28"/>
      <c r="J39" s="6"/>
      <c r="K39" s="6"/>
      <c r="L39" s="6"/>
      <c r="M39" s="6" t="str">
        <f>IF($G37+M38&gt;$H37,0,CONCATENATE($C34,"_",$C35,"_",$G37+M38))</f>
        <v>1_2_2013</v>
      </c>
      <c r="N39" s="6" t="str">
        <f t="shared" ref="N39:AB39" si="11">IF($G37+N38&gt;$H37,0,CONCATENATE($C34,"_",$C35,"_",$G37+N38))</f>
        <v>1_2_2014</v>
      </c>
      <c r="O39" s="6" t="str">
        <f t="shared" si="11"/>
        <v>1_2_2015</v>
      </c>
      <c r="P39" s="6" t="str">
        <f t="shared" si="11"/>
        <v>1_2_2016</v>
      </c>
      <c r="Q39" s="6" t="str">
        <f t="shared" si="11"/>
        <v>1_2_2017</v>
      </c>
      <c r="R39" s="6" t="str">
        <f t="shared" si="11"/>
        <v>1_2_2018</v>
      </c>
      <c r="S39" s="6">
        <f t="shared" si="11"/>
        <v>0</v>
      </c>
      <c r="T39" s="6">
        <f t="shared" si="11"/>
        <v>0</v>
      </c>
      <c r="U39" s="6">
        <f t="shared" si="11"/>
        <v>0</v>
      </c>
      <c r="V39" s="6">
        <f t="shared" si="11"/>
        <v>0</v>
      </c>
      <c r="W39" s="6">
        <f t="shared" si="11"/>
        <v>0</v>
      </c>
      <c r="X39" s="6">
        <f t="shared" si="11"/>
        <v>0</v>
      </c>
      <c r="Y39" s="6">
        <f t="shared" si="11"/>
        <v>0</v>
      </c>
      <c r="Z39" s="6">
        <f t="shared" si="11"/>
        <v>0</v>
      </c>
      <c r="AA39" s="6">
        <f t="shared" si="11"/>
        <v>0</v>
      </c>
      <c r="AB39" s="6">
        <f t="shared" si="11"/>
        <v>0</v>
      </c>
      <c r="AC39" s="6"/>
      <c r="AD39" s="6"/>
    </row>
    <row r="40" spans="2:30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115" t="s">
        <v>31</v>
      </c>
      <c r="C41" s="116" t="s">
        <v>21</v>
      </c>
      <c r="D41" s="104" t="s">
        <v>91</v>
      </c>
      <c r="E41" s="55"/>
      <c r="F41" s="6">
        <f>MATCH($D41,FAC_TOTALS_APTA!$A$2:$BD$2,)</f>
        <v>13</v>
      </c>
      <c r="G41" s="29">
        <f>VLOOKUP(G39,FAC_TOTALS_APTA!$A$4:$BD$126,$F41,FALSE)</f>
        <v>4140949.1879227501</v>
      </c>
      <c r="H41" s="29">
        <f>VLOOKUP(H39,FAC_TOTALS_APTA!$A$4:$BD$126,$F41,FALSE)</f>
        <v>5087908.4121240098</v>
      </c>
      <c r="I41" s="30">
        <f>IFERROR(H41/G41-1,"-")</f>
        <v>0.22868168171758918</v>
      </c>
      <c r="J41" s="31" t="str">
        <f>IF(C41="Log","_log","")</f>
        <v>_log</v>
      </c>
      <c r="K41" s="31" t="str">
        <f>CONCATENATE(D41,J41,"_FAC")</f>
        <v>VRM_ADJ_RAIL_log_FAC</v>
      </c>
      <c r="L41" s="6">
        <f>MATCH($K41,FAC_TOTALS_APTA!$A$2:$BB$2,)</f>
        <v>31</v>
      </c>
      <c r="M41" s="29">
        <f>IF(M39=0,0,VLOOKUP(M39,FAC_TOTALS_APTA!$A$4:$BD$126,$L41,FALSE))</f>
        <v>7317815.7330658399</v>
      </c>
      <c r="N41" s="29">
        <f>IF(N39=0,0,VLOOKUP(N39,FAC_TOTALS_APTA!$A$4:$BD$126,$L41,FALSE))</f>
        <v>1612479.8005779099</v>
      </c>
      <c r="O41" s="29">
        <f>IF(O39=0,0,VLOOKUP(O39,FAC_TOTALS_APTA!$A$4:$BD$126,$L41,FALSE))</f>
        <v>782706.69840199302</v>
      </c>
      <c r="P41" s="29">
        <f>IF(P39=0,0,VLOOKUP(P39,FAC_TOTALS_APTA!$A$4:$BD$126,$L41,FALSE))</f>
        <v>1944925.4558483399</v>
      </c>
      <c r="Q41" s="29">
        <f>IF(Q39=0,0,VLOOKUP(Q39,FAC_TOTALS_APTA!$A$4:$BD$126,$L41,FALSE))</f>
        <v>183029.61229588601</v>
      </c>
      <c r="R41" s="29">
        <f>IF(R39=0,0,VLOOKUP(R39,FAC_TOTALS_APTA!$A$4:$BD$126,$L41,FALSE))</f>
        <v>2235770.3991232701</v>
      </c>
      <c r="S41" s="29">
        <f>IF(S39=0,0,VLOOKUP(S39,FAC_TOTALS_APTA!$A$4:$BD$126,$L41,FALSE))</f>
        <v>0</v>
      </c>
      <c r="T41" s="29">
        <f>IF(T39=0,0,VLOOKUP(T39,FAC_TOTALS_APTA!$A$4:$BD$126,$L41,FALSE))</f>
        <v>0</v>
      </c>
      <c r="U41" s="29">
        <f>IF(U39=0,0,VLOOKUP(U39,FAC_TOTALS_APTA!$A$4:$BD$126,$L41,FALSE))</f>
        <v>0</v>
      </c>
      <c r="V41" s="29">
        <f>IF(V39=0,0,VLOOKUP(V39,FAC_TOTALS_APTA!$A$4:$BD$126,$L41,FALSE))</f>
        <v>0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14076727.69931324</v>
      </c>
      <c r="AD41" s="33">
        <f>AC41/G55</f>
        <v>0.17853956170995575</v>
      </c>
    </row>
    <row r="42" spans="2:30" x14ac:dyDescent="0.25">
      <c r="B42" s="115" t="s">
        <v>52</v>
      </c>
      <c r="C42" s="116" t="s">
        <v>21</v>
      </c>
      <c r="D42" s="104" t="s">
        <v>92</v>
      </c>
      <c r="E42" s="55"/>
      <c r="F42" s="6">
        <f>MATCH($D42,FAC_TOTALS_APTA!$A$2:$BD$2,)</f>
        <v>15</v>
      </c>
      <c r="G42" s="54">
        <f>VLOOKUP(G39,FAC_TOTALS_APTA!$A$4:$BD$126,$F42,FALSE)</f>
        <v>1.16958096107573</v>
      </c>
      <c r="H42" s="54">
        <f>VLOOKUP(H39,FAC_TOTALS_APTA!$A$4:$BD$126,$F42,FALSE)</f>
        <v>1.2557276465082501</v>
      </c>
      <c r="I42" s="30">
        <f t="shared" ref="I42:I53" si="12">IFERROR(H42/G42-1,"-")</f>
        <v>7.3656025790028279E-2</v>
      </c>
      <c r="J42" s="31" t="str">
        <f t="shared" ref="J42:J50" si="13">IF(C42="Log","_log","")</f>
        <v>_log</v>
      </c>
      <c r="K42" s="31" t="str">
        <f t="shared" ref="K42:K53" si="14">CONCATENATE(D42,J42,"_FAC")</f>
        <v>FARE_per_UPT_cleaned_2018_RAIL_log_FAC</v>
      </c>
      <c r="L42" s="6">
        <f>MATCH($K42,FAC_TOTALS_APTA!$A$2:$BB$2,)</f>
        <v>33</v>
      </c>
      <c r="M42" s="29">
        <f>IF(M39=0,0,VLOOKUP(M39,FAC_TOTALS_APTA!$A$4:$BD$126,$L42,FALSE))</f>
        <v>-928315.93422743003</v>
      </c>
      <c r="N42" s="29">
        <f>IF(N39=0,0,VLOOKUP(N39,FAC_TOTALS_APTA!$A$4:$BD$126,$L42,FALSE))</f>
        <v>54041.148785272999</v>
      </c>
      <c r="O42" s="29">
        <f>IF(O39=0,0,VLOOKUP(O39,FAC_TOTALS_APTA!$A$4:$BD$126,$L42,FALSE))</f>
        <v>-421530.20225797303</v>
      </c>
      <c r="P42" s="29">
        <f>IF(P39=0,0,VLOOKUP(P39,FAC_TOTALS_APTA!$A$4:$BD$126,$L42,FALSE))</f>
        <v>744474.71613174898</v>
      </c>
      <c r="Q42" s="29">
        <f>IF(Q39=0,0,VLOOKUP(Q39,FAC_TOTALS_APTA!$A$4:$BD$126,$L42,FALSE))</f>
        <v>-271231.09133099701</v>
      </c>
      <c r="R42" s="29">
        <f>IF(R39=0,0,VLOOKUP(R39,FAC_TOTALS_APTA!$A$4:$BD$126,$L42,FALSE))</f>
        <v>150411.50714174399</v>
      </c>
      <c r="S42" s="29">
        <f>IF(S39=0,0,VLOOKUP(S39,FAC_TOTALS_APTA!$A$4:$BD$126,$L42,FALSE))</f>
        <v>0</v>
      </c>
      <c r="T42" s="29">
        <f>IF(T39=0,0,VLOOKUP(T39,FAC_TOTALS_APTA!$A$4:$BD$126,$L42,FALSE))</f>
        <v>0</v>
      </c>
      <c r="U42" s="29">
        <f>IF(U39=0,0,VLOOKUP(U39,FAC_TOTALS_APTA!$A$4:$BD$126,$L42,FALSE))</f>
        <v>0</v>
      </c>
      <c r="V42" s="29">
        <f>IF(V39=0,0,VLOOKUP(V39,FAC_TOTALS_APTA!$A$4:$BD$126,$L42,FALSE))</f>
        <v>0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5">SUM(M42:AB42)</f>
        <v>-672149.85575763416</v>
      </c>
      <c r="AD42" s="33">
        <f>AC42/G55</f>
        <v>-8.525087876512143E-3</v>
      </c>
    </row>
    <row r="43" spans="2:30" x14ac:dyDescent="0.25"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0</v>
      </c>
      <c r="I43" s="30" t="str">
        <f>IFERROR(H43/G43-1,"-")</f>
        <v>-</v>
      </c>
      <c r="J43" s="120" t="str">
        <f t="shared" si="13"/>
        <v/>
      </c>
      <c r="K43" s="120" t="str">
        <f t="shared" si="14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0</v>
      </c>
      <c r="P43" s="117">
        <f>IF(P39=0,0,VLOOKUP(P39,FAC_TOTALS_APTA!$A$4:$BD$126,$L43,FALSE))</f>
        <v>0</v>
      </c>
      <c r="Q43" s="117">
        <f>IF(Q39=0,0,VLOOKUP(Q39,FAC_TOTALS_APTA!$A$4:$BD$126,$L43,FALSE))</f>
        <v>0</v>
      </c>
      <c r="R43" s="117">
        <f>IF(R39=0,0,VLOOKUP(R39,FAC_TOTALS_APTA!$A$4:$BD$126,$L43,FALSE))</f>
        <v>0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5"/>
        <v>0</v>
      </c>
      <c r="AD43" s="122">
        <f>AC43/G56</f>
        <v>0</v>
      </c>
    </row>
    <row r="44" spans="2:30" x14ac:dyDescent="0.25"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54">
        <f>VLOOKUP(G39,FAC_TOTALS_APTA!$A$4:$BD$126,$F44,FALSE)</f>
        <v>0</v>
      </c>
      <c r="H44" s="54">
        <f>VLOOKUP(H39,FAC_TOTALS_APTA!$A$4:$BD$126,$F44,FALSE)</f>
        <v>0</v>
      </c>
      <c r="I44" s="30" t="str">
        <f>IFERROR(H44/G44-1,"-")</f>
        <v>-</v>
      </c>
      <c r="J44" s="31" t="str">
        <f t="shared" si="13"/>
        <v/>
      </c>
      <c r="K44" s="31" t="str">
        <f t="shared" si="14"/>
        <v>MAINTENANCE_WMATA_FAC</v>
      </c>
      <c r="L44" s="6">
        <f>MATCH($K44,FAC_TOTALS_APTA!$A$2:$BB$2,)</f>
        <v>40</v>
      </c>
      <c r="M44" s="29">
        <f>IF(M40=0,0,VLOOKUP(M40,FAC_TOTALS_APTA!$A$4:$BD$126,$L44,FALSE))</f>
        <v>0</v>
      </c>
      <c r="N44" s="29">
        <f>IF(N40=0,0,VLOOKUP(N40,FAC_TOTALS_APTA!$A$4:$BD$126,$L44,FALSE))</f>
        <v>0</v>
      </c>
      <c r="O44" s="29">
        <f>IF(O40=0,0,VLOOKUP(O40,FAC_TOTALS_APTA!$A$4:$BD$126,$L44,FALSE))</f>
        <v>0</v>
      </c>
      <c r="P44" s="29">
        <f>IF(P40=0,0,VLOOKUP(P40,FAC_TOTALS_APTA!$A$4:$BD$126,$L44,FALSE))</f>
        <v>0</v>
      </c>
      <c r="Q44" s="29">
        <f>IF(Q40=0,0,VLOOKUP(Q40,FAC_TOTALS_APTA!$A$4:$BD$126,$L44,FALSE))</f>
        <v>0</v>
      </c>
      <c r="R44" s="29">
        <f>IF(R40=0,0,VLOOKUP(R40,FAC_TOTALS_APTA!$A$4:$BD$126,$L44,FALSE))</f>
        <v>0</v>
      </c>
      <c r="S44" s="29">
        <f>IF(S40=0,0,VLOOKUP(S40,FAC_TOTALS_APTA!$A$4:$BD$126,$L44,FALSE))</f>
        <v>0</v>
      </c>
      <c r="T44" s="29">
        <f>IF(T40=0,0,VLOOKUP(T40,FAC_TOTALS_APTA!$A$4:$BD$126,$L44,FALSE))</f>
        <v>0</v>
      </c>
      <c r="U44" s="29">
        <f>IF(U40=0,0,VLOOKUP(U40,FAC_TOTALS_APTA!$A$4:$BD$126,$L44,FALSE))</f>
        <v>0</v>
      </c>
      <c r="V44" s="29">
        <f>IF(V40=0,0,VLOOKUP(V40,FAC_TOTALS_APTA!$A$4:$BD$126,$L44,FALSE))</f>
        <v>0</v>
      </c>
      <c r="W44" s="29">
        <f>IF(W40=0,0,VLOOKUP(W40,FAC_TOTALS_APTA!$A$4:$BD$126,$L44,FALSE))</f>
        <v>0</v>
      </c>
      <c r="X44" s="29">
        <f>IF(X40=0,0,VLOOKUP(X40,FAC_TOTALS_APTA!$A$4:$BD$126,$L44,FALSE))</f>
        <v>0</v>
      </c>
      <c r="Y44" s="29">
        <f>IF(Y40=0,0,VLOOKUP(Y40,FAC_TOTALS_APTA!$A$4:$BD$126,$L44,FALSE))</f>
        <v>0</v>
      </c>
      <c r="Z44" s="29">
        <f>IF(Z40=0,0,VLOOKUP(Z40,FAC_TOTALS_APTA!$A$4:$BD$126,$L44,FALSE))</f>
        <v>0</v>
      </c>
      <c r="AA44" s="29">
        <f>IF(AA40=0,0,VLOOKUP(AA40,FAC_TOTALS_APTA!$A$4:$BD$126,$L44,FALSE))</f>
        <v>0</v>
      </c>
      <c r="AB44" s="29">
        <f>IF(AB40=0,0,VLOOKUP(AB40,FAC_TOTALS_APTA!$A$4:$BD$126,$L44,FALSE))</f>
        <v>0</v>
      </c>
      <c r="AC44" s="32">
        <f t="shared" si="15"/>
        <v>0</v>
      </c>
      <c r="AD44" s="33">
        <f>AC44/G56</f>
        <v>0</v>
      </c>
    </row>
    <row r="45" spans="2:30" x14ac:dyDescent="0.2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MATCH($D45,FAC_TOTALS_APTA!$A$2:$BD$2,)</f>
        <v>16</v>
      </c>
      <c r="G45" s="29">
        <f>VLOOKUP(G39,FAC_TOTALS_APTA!$A$4:$BD$126,$F45,FALSE)</f>
        <v>2873847.8133243402</v>
      </c>
      <c r="H45" s="29">
        <f>VLOOKUP(H39,FAC_TOTALS_APTA!$A$4:$BD$126,$F45,FALSE)</f>
        <v>3045539.4790095701</v>
      </c>
      <c r="I45" s="30">
        <f t="shared" si="12"/>
        <v>5.974278279079237E-2</v>
      </c>
      <c r="J45" s="31" t="str">
        <f t="shared" si="13"/>
        <v>_log</v>
      </c>
      <c r="K45" s="31" t="str">
        <f t="shared" si="14"/>
        <v>POP_EMP_log_FAC</v>
      </c>
      <c r="L45" s="6">
        <f>MATCH($K45,FAC_TOTALS_APTA!$A$2:$BB$2,)</f>
        <v>34</v>
      </c>
      <c r="M45" s="29">
        <f>IF(M39=0,0,VLOOKUP(M39,FAC_TOTALS_APTA!$A$4:$BD$126,$L45,FALSE))</f>
        <v>237456.96511281299</v>
      </c>
      <c r="N45" s="29">
        <f>IF(N39=0,0,VLOOKUP(N39,FAC_TOTALS_APTA!$A$4:$BD$126,$L45,FALSE))</f>
        <v>200350.212599502</v>
      </c>
      <c r="O45" s="29">
        <f>IF(O39=0,0,VLOOKUP(O39,FAC_TOTALS_APTA!$A$4:$BD$126,$L45,FALSE))</f>
        <v>218481.44835609701</v>
      </c>
      <c r="P45" s="29">
        <f>IF(P39=0,0,VLOOKUP(P39,FAC_TOTALS_APTA!$A$4:$BD$126,$L45,FALSE))</f>
        <v>179487.72180796799</v>
      </c>
      <c r="Q45" s="29">
        <f>IF(Q39=0,0,VLOOKUP(Q39,FAC_TOTALS_APTA!$A$4:$BD$126,$L45,FALSE))</f>
        <v>185485.68892608699</v>
      </c>
      <c r="R45" s="29">
        <f>IF(R39=0,0,VLOOKUP(R39,FAC_TOTALS_APTA!$A$4:$BD$126,$L45,FALSE))</f>
        <v>164971.57081906</v>
      </c>
      <c r="S45" s="29">
        <f>IF(S39=0,0,VLOOKUP(S39,FAC_TOTALS_APTA!$A$4:$BD$126,$L45,FALSE))</f>
        <v>0</v>
      </c>
      <c r="T45" s="29">
        <f>IF(T39=0,0,VLOOKUP(T39,FAC_TOTALS_APTA!$A$4:$BD$126,$L45,FALSE))</f>
        <v>0</v>
      </c>
      <c r="U45" s="29">
        <f>IF(U39=0,0,VLOOKUP(U39,FAC_TOTALS_APTA!$A$4:$BD$126,$L45,FALSE))</f>
        <v>0</v>
      </c>
      <c r="V45" s="29">
        <f>IF(V39=0,0,VLOOKUP(V39,FAC_TOTALS_APTA!$A$4:$BD$126,$L45,FALSE))</f>
        <v>0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5"/>
        <v>1186233.607621527</v>
      </c>
      <c r="AD45" s="33">
        <f>AC45/G55</f>
        <v>1.5045373677342612E-2</v>
      </c>
    </row>
    <row r="46" spans="2:30" x14ac:dyDescent="0.25">
      <c r="B46" s="25" t="s">
        <v>73</v>
      </c>
      <c r="C46" s="116"/>
      <c r="D46" s="104" t="s">
        <v>72</v>
      </c>
      <c r="E46" s="55"/>
      <c r="F46" s="6">
        <f>MATCH($D46,FAC_TOTALS_APTA!$A$2:$BD$2,)</f>
        <v>17</v>
      </c>
      <c r="G46" s="54">
        <f>VLOOKUP(G39,FAC_TOTALS_APTA!$A$4:$BD$126,$F46,FALSE)</f>
        <v>0.34747122969710198</v>
      </c>
      <c r="H46" s="54">
        <f>VLOOKUP(H39,FAC_TOTALS_APTA!$A$4:$BD$126,$F46,FALSE)</f>
        <v>0.34064764087298799</v>
      </c>
      <c r="I46" s="30">
        <f t="shared" si="12"/>
        <v>-1.963785269376761E-2</v>
      </c>
      <c r="J46" s="31" t="str">
        <f t="shared" si="13"/>
        <v/>
      </c>
      <c r="K46" s="31" t="str">
        <f t="shared" si="14"/>
        <v>TSD_POP_EMP_PCT_FAC</v>
      </c>
      <c r="L46" s="6">
        <f>MATCH($K46,FAC_TOTALS_APTA!$A$2:$BB$2,)</f>
        <v>35</v>
      </c>
      <c r="M46" s="29">
        <f>IF(M39=0,0,VLOOKUP(M39,FAC_TOTALS_APTA!$A$4:$BD$126,$L46,FALSE))</f>
        <v>-49732.827498348001</v>
      </c>
      <c r="N46" s="29">
        <f>IF(N39=0,0,VLOOKUP(N39,FAC_TOTALS_APTA!$A$4:$BD$126,$L46,FALSE))</f>
        <v>-74574.174111000393</v>
      </c>
      <c r="O46" s="29">
        <f>IF(O39=0,0,VLOOKUP(O39,FAC_TOTALS_APTA!$A$4:$BD$126,$L46,FALSE))</f>
        <v>-8089.9232157406204</v>
      </c>
      <c r="P46" s="29">
        <f>IF(P39=0,0,VLOOKUP(P39,FAC_TOTALS_APTA!$A$4:$BD$126,$L46,FALSE))</f>
        <v>-118379.375558404</v>
      </c>
      <c r="Q46" s="29">
        <f>IF(Q39=0,0,VLOOKUP(Q39,FAC_TOTALS_APTA!$A$4:$BD$126,$L46,FALSE))</f>
        <v>-89997.6697845569</v>
      </c>
      <c r="R46" s="29">
        <f>IF(R39=0,0,VLOOKUP(R39,FAC_TOTALS_APTA!$A$4:$BD$126,$L46,FALSE))</f>
        <v>93423.559331230295</v>
      </c>
      <c r="S46" s="29">
        <f>IF(S39=0,0,VLOOKUP(S39,FAC_TOTALS_APTA!$A$4:$BD$126,$L46,FALSE))</f>
        <v>0</v>
      </c>
      <c r="T46" s="29">
        <f>IF(T39=0,0,VLOOKUP(T39,FAC_TOTALS_APTA!$A$4:$BD$126,$L46,FALSE))</f>
        <v>0</v>
      </c>
      <c r="U46" s="29">
        <f>IF(U39=0,0,VLOOKUP(U39,FAC_TOTALS_APTA!$A$4:$BD$126,$L46,FALSE))</f>
        <v>0</v>
      </c>
      <c r="V46" s="29">
        <f>IF(V39=0,0,VLOOKUP(V39,FAC_TOTALS_APTA!$A$4:$BD$126,$L46,FALSE))</f>
        <v>0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5"/>
        <v>-247350.41083681962</v>
      </c>
      <c r="AD46" s="33">
        <f>AC46/G55</f>
        <v>-3.1372230025972429E-3</v>
      </c>
    </row>
    <row r="47" spans="2:30" x14ac:dyDescent="0.2">
      <c r="B47" s="115" t="s">
        <v>49</v>
      </c>
      <c r="C47" s="116" t="s">
        <v>21</v>
      </c>
      <c r="D47" s="124" t="s">
        <v>82</v>
      </c>
      <c r="E47" s="55"/>
      <c r="F47" s="6">
        <f>MATCH($D47,FAC_TOTALS_APTA!$A$2:$BD$2,)</f>
        <v>18</v>
      </c>
      <c r="G47" s="34">
        <f>VLOOKUP(G39,FAC_TOTALS_APTA!$A$4:$BD$126,$F47,FALSE)</f>
        <v>4.0037531914838302</v>
      </c>
      <c r="H47" s="34">
        <f>VLOOKUP(H39,FAC_TOTALS_APTA!$A$4:$BD$126,$F47,FALSE)</f>
        <v>2.8674048087374802</v>
      </c>
      <c r="I47" s="30">
        <f t="shared" si="12"/>
        <v>-0.28382078724618098</v>
      </c>
      <c r="J47" s="31" t="str">
        <f t="shared" si="13"/>
        <v>_log</v>
      </c>
      <c r="K47" s="31" t="str">
        <f t="shared" si="14"/>
        <v>GAS_PRICE_2018_log_FAC</v>
      </c>
      <c r="L47" s="6">
        <f>MATCH($K47,FAC_TOTALS_APTA!$A$2:$BB$2,)</f>
        <v>36</v>
      </c>
      <c r="M47" s="29">
        <f>IF(M39=0,0,VLOOKUP(M39,FAC_TOTALS_APTA!$A$4:$BD$126,$L47,FALSE))</f>
        <v>-355006.68709221098</v>
      </c>
      <c r="N47" s="29">
        <f>IF(N39=0,0,VLOOKUP(N39,FAC_TOTALS_APTA!$A$4:$BD$126,$L47,FALSE))</f>
        <v>-527911.12530814204</v>
      </c>
      <c r="O47" s="29">
        <f>IF(O39=0,0,VLOOKUP(O39,FAC_TOTALS_APTA!$A$4:$BD$126,$L47,FALSE))</f>
        <v>-2808912.4454119201</v>
      </c>
      <c r="P47" s="29">
        <f>IF(P39=0,0,VLOOKUP(P39,FAC_TOTALS_APTA!$A$4:$BD$126,$L47,FALSE))</f>
        <v>-1010103.19122136</v>
      </c>
      <c r="Q47" s="29">
        <f>IF(Q39=0,0,VLOOKUP(Q39,FAC_TOTALS_APTA!$A$4:$BD$126,$L47,FALSE))</f>
        <v>739990.43857878598</v>
      </c>
      <c r="R47" s="29">
        <f>IF(R39=0,0,VLOOKUP(R39,FAC_TOTALS_APTA!$A$4:$BD$126,$L47,FALSE))</f>
        <v>888909.83958100004</v>
      </c>
      <c r="S47" s="29">
        <f>IF(S39=0,0,VLOOKUP(S39,FAC_TOTALS_APTA!$A$4:$BD$126,$L47,FALSE))</f>
        <v>0</v>
      </c>
      <c r="T47" s="29">
        <f>IF(T39=0,0,VLOOKUP(T39,FAC_TOTALS_APTA!$A$4:$BD$126,$L47,FALSE))</f>
        <v>0</v>
      </c>
      <c r="U47" s="29">
        <f>IF(U39=0,0,VLOOKUP(U39,FAC_TOTALS_APTA!$A$4:$BD$126,$L47,FALSE))</f>
        <v>0</v>
      </c>
      <c r="V47" s="29">
        <f>IF(V39=0,0,VLOOKUP(V39,FAC_TOTALS_APTA!$A$4:$BD$126,$L47,FALSE))</f>
        <v>0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5"/>
        <v>-3073033.1708738469</v>
      </c>
      <c r="AD47" s="33">
        <f>AC47/G55</f>
        <v>-3.8976245557036632E-2</v>
      </c>
    </row>
    <row r="48" spans="2:30" x14ac:dyDescent="0.2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MATCH($D48,FAC_TOTALS_APTA!$A$2:$BD$2,)</f>
        <v>19</v>
      </c>
      <c r="G48" s="54">
        <f>VLOOKUP(G39,FAC_TOTALS_APTA!$A$4:$BD$126,$F48,FALSE)</f>
        <v>29075.687025196399</v>
      </c>
      <c r="H48" s="54">
        <f>VLOOKUP(H39,FAC_TOTALS_APTA!$A$4:$BD$126,$F48,FALSE)</f>
        <v>31798.715648167199</v>
      </c>
      <c r="I48" s="30">
        <f t="shared" si="12"/>
        <v>9.3653113703249025E-2</v>
      </c>
      <c r="J48" s="31" t="str">
        <f t="shared" si="13"/>
        <v>_log</v>
      </c>
      <c r="K48" s="31" t="str">
        <f t="shared" si="14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-122865.511267774</v>
      </c>
      <c r="N48" s="29">
        <f>IF(N39=0,0,VLOOKUP(N39,FAC_TOTALS_APTA!$A$4:$BD$126,$L48,FALSE))</f>
        <v>-15792.282397749101</v>
      </c>
      <c r="O48" s="29">
        <f>IF(O39=0,0,VLOOKUP(O39,FAC_TOTALS_APTA!$A$4:$BD$126,$L48,FALSE))</f>
        <v>-306655.66740245302</v>
      </c>
      <c r="P48" s="29">
        <f>IF(P39=0,0,VLOOKUP(P39,FAC_TOTALS_APTA!$A$4:$BD$126,$L48,FALSE))</f>
        <v>-106597.938852315</v>
      </c>
      <c r="Q48" s="29">
        <f>IF(Q39=0,0,VLOOKUP(Q39,FAC_TOTALS_APTA!$A$4:$BD$126,$L48,FALSE))</f>
        <v>31951.394057781701</v>
      </c>
      <c r="R48" s="29">
        <f>IF(R39=0,0,VLOOKUP(R39,FAC_TOTALS_APTA!$A$4:$BD$126,$L48,FALSE))</f>
        <v>-21948.352394865298</v>
      </c>
      <c r="S48" s="29">
        <f>IF(S39=0,0,VLOOKUP(S39,FAC_TOTALS_APTA!$A$4:$BD$126,$L48,FALSE))</f>
        <v>0</v>
      </c>
      <c r="T48" s="29">
        <f>IF(T39=0,0,VLOOKUP(T39,FAC_TOTALS_APTA!$A$4:$BD$126,$L48,FALSE))</f>
        <v>0</v>
      </c>
      <c r="U48" s="29">
        <f>IF(U39=0,0,VLOOKUP(U39,FAC_TOTALS_APTA!$A$4:$BD$126,$L48,FALSE))</f>
        <v>0</v>
      </c>
      <c r="V48" s="29">
        <f>IF(V39=0,0,VLOOKUP(V39,FAC_TOTALS_APTA!$A$4:$BD$126,$L48,FALSE))</f>
        <v>0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5"/>
        <v>-541908.35825737461</v>
      </c>
      <c r="AD48" s="33">
        <f>AC48/G55</f>
        <v>-6.8731940289612596E-3</v>
      </c>
    </row>
    <row r="49" spans="1:31" x14ac:dyDescent="0.25">
      <c r="B49" s="115" t="s">
        <v>62</v>
      </c>
      <c r="C49" s="116"/>
      <c r="D49" s="104" t="s">
        <v>9</v>
      </c>
      <c r="E49" s="55"/>
      <c r="F49" s="6">
        <f>MATCH($D49,FAC_TOTALS_APTA!$A$2:$BD$2,)</f>
        <v>20</v>
      </c>
      <c r="G49" s="29">
        <f>VLOOKUP(G39,FAC_TOTALS_APTA!$A$4:$BD$126,$F49,FALSE)</f>
        <v>8.3624406793883406</v>
      </c>
      <c r="H49" s="29">
        <f>VLOOKUP(H39,FAC_TOTALS_APTA!$A$4:$BD$126,$F49,FALSE)</f>
        <v>7.2343779632504601</v>
      </c>
      <c r="I49" s="30">
        <f t="shared" si="12"/>
        <v>-0.13489634897121816</v>
      </c>
      <c r="J49" s="31" t="str">
        <f t="shared" si="13"/>
        <v/>
      </c>
      <c r="K49" s="31" t="str">
        <f t="shared" si="14"/>
        <v>PCT_HH_NO_VEH_FAC</v>
      </c>
      <c r="L49" s="6">
        <f>MATCH($K49,FAC_TOTALS_APTA!$A$2:$BB$2,)</f>
        <v>38</v>
      </c>
      <c r="M49" s="29">
        <f>IF(M39=0,0,VLOOKUP(M39,FAC_TOTALS_APTA!$A$4:$BD$126,$L49,FALSE))</f>
        <v>-24916.727822163</v>
      </c>
      <c r="N49" s="29">
        <f>IF(N39=0,0,VLOOKUP(N39,FAC_TOTALS_APTA!$A$4:$BD$126,$L49,FALSE))</f>
        <v>-2039.9144132358599</v>
      </c>
      <c r="O49" s="29">
        <f>IF(O39=0,0,VLOOKUP(O39,FAC_TOTALS_APTA!$A$4:$BD$126,$L49,FALSE))</f>
        <v>-39246.296001239702</v>
      </c>
      <c r="P49" s="29">
        <f>IF(P39=0,0,VLOOKUP(P39,FAC_TOTALS_APTA!$A$4:$BD$126,$L49,FALSE))</f>
        <v>-49933.858475825597</v>
      </c>
      <c r="Q49" s="29">
        <f>IF(Q39=0,0,VLOOKUP(Q39,FAC_TOTALS_APTA!$A$4:$BD$126,$L49,FALSE))</f>
        <v>-36291.106614672397</v>
      </c>
      <c r="R49" s="29">
        <f>IF(R39=0,0,VLOOKUP(R39,FAC_TOTALS_APTA!$A$4:$BD$126,$L49,FALSE))</f>
        <v>-36907.218405738597</v>
      </c>
      <c r="S49" s="29">
        <f>IF(S39=0,0,VLOOKUP(S39,FAC_TOTALS_APTA!$A$4:$BD$126,$L49,FALSE))</f>
        <v>0</v>
      </c>
      <c r="T49" s="29">
        <f>IF(T39=0,0,VLOOKUP(T39,FAC_TOTALS_APTA!$A$4:$BD$126,$L49,FALSE))</f>
        <v>0</v>
      </c>
      <c r="U49" s="29">
        <f>IF(U39=0,0,VLOOKUP(U39,FAC_TOTALS_APTA!$A$4:$BD$126,$L49,FALSE))</f>
        <v>0</v>
      </c>
      <c r="V49" s="29">
        <f>IF(V39=0,0,VLOOKUP(V39,FAC_TOTALS_APTA!$A$4:$BD$126,$L49,FALSE))</f>
        <v>0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5"/>
        <v>-189335.12173287515</v>
      </c>
      <c r="AD49" s="33">
        <f>AC49/G55</f>
        <v>-2.4013968567522855E-3</v>
      </c>
    </row>
    <row r="50" spans="1:31" x14ac:dyDescent="0.25">
      <c r="B50" s="115" t="s">
        <v>47</v>
      </c>
      <c r="C50" s="116"/>
      <c r="D50" s="104" t="s">
        <v>28</v>
      </c>
      <c r="E50" s="55"/>
      <c r="F50" s="6">
        <f>MATCH($D50,FAC_TOTALS_APTA!$A$2:$BD$2,)</f>
        <v>21</v>
      </c>
      <c r="G50" s="34">
        <f>VLOOKUP(G39,FAC_TOTALS_APTA!$A$4:$BD$126,$F50,FALSE)</f>
        <v>4.4248857901299896</v>
      </c>
      <c r="H50" s="34">
        <f>VLOOKUP(H39,FAC_TOTALS_APTA!$A$4:$BD$126,$F50,FALSE)</f>
        <v>5.8615759225582398</v>
      </c>
      <c r="I50" s="30">
        <f t="shared" si="12"/>
        <v>0.32468411628451199</v>
      </c>
      <c r="J50" s="31" t="str">
        <f t="shared" si="13"/>
        <v/>
      </c>
      <c r="K50" s="31" t="str">
        <f t="shared" si="14"/>
        <v>JTW_HOME_PCT_FAC</v>
      </c>
      <c r="L50" s="6">
        <f>MATCH($K50,FAC_TOTALS_APTA!$A$2:$BB$2,)</f>
        <v>39</v>
      </c>
      <c r="M50" s="29">
        <f>IF(M39=0,0,VLOOKUP(M39,FAC_TOTALS_APTA!$A$4:$BD$126,$L50,FALSE))</f>
        <v>-5657.7429916910596</v>
      </c>
      <c r="N50" s="29">
        <f>IF(N39=0,0,VLOOKUP(N39,FAC_TOTALS_APTA!$A$4:$BD$126,$L50,FALSE))</f>
        <v>-56557.585500368601</v>
      </c>
      <c r="O50" s="29">
        <f>IF(O39=0,0,VLOOKUP(O39,FAC_TOTALS_APTA!$A$4:$BD$126,$L50,FALSE))</f>
        <v>-111565.233758352</v>
      </c>
      <c r="P50" s="29">
        <f>IF(P39=0,0,VLOOKUP(P39,FAC_TOTALS_APTA!$A$4:$BD$126,$L50,FALSE))</f>
        <v>-428314.197890907</v>
      </c>
      <c r="Q50" s="29">
        <f>IF(Q39=0,0,VLOOKUP(Q39,FAC_TOTALS_APTA!$A$4:$BD$126,$L50,FALSE))</f>
        <v>-212082.58880387701</v>
      </c>
      <c r="R50" s="29">
        <f>IF(R39=0,0,VLOOKUP(R39,FAC_TOTALS_APTA!$A$4:$BD$126,$L50,FALSE))</f>
        <v>-259257.07963975301</v>
      </c>
      <c r="S50" s="29">
        <f>IF(S39=0,0,VLOOKUP(S39,FAC_TOTALS_APTA!$A$4:$BD$126,$L50,FALSE))</f>
        <v>0</v>
      </c>
      <c r="T50" s="29">
        <f>IF(T39=0,0,VLOOKUP(T39,FAC_TOTALS_APTA!$A$4:$BD$126,$L50,FALSE))</f>
        <v>0</v>
      </c>
      <c r="U50" s="29">
        <f>IF(U39=0,0,VLOOKUP(U39,FAC_TOTALS_APTA!$A$4:$BD$126,$L50,FALSE))</f>
        <v>0</v>
      </c>
      <c r="V50" s="29">
        <f>IF(V39=0,0,VLOOKUP(V39,FAC_TOTALS_APTA!$A$4:$BD$126,$L50,FALSE))</f>
        <v>0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5"/>
        <v>-1073434.4285849486</v>
      </c>
      <c r="AD50" s="33">
        <f>AC50/G55</f>
        <v>-1.3614706236967526E-2</v>
      </c>
    </row>
    <row r="51" spans="1:31" x14ac:dyDescent="0.25">
      <c r="B51" s="115" t="s">
        <v>63</v>
      </c>
      <c r="C51" s="116"/>
      <c r="D51" s="126" t="s">
        <v>69</v>
      </c>
      <c r="E51" s="55"/>
      <c r="F51" s="6">
        <f>MATCH($D51,FAC_TOTALS_APTA!$A$2:$BD$2,)</f>
        <v>27</v>
      </c>
      <c r="G51" s="34">
        <f>VLOOKUP(G39,FAC_TOTALS_APTA!$A$4:$BD$126,$F51,FALSE)</f>
        <v>0</v>
      </c>
      <c r="H51" s="34">
        <f>VLOOKUP(H39,FAC_TOTALS_APTA!$A$4:$BD$126,$F51,FALSE)</f>
        <v>4.2089191369055401</v>
      </c>
      <c r="I51" s="30" t="str">
        <f t="shared" si="12"/>
        <v>-</v>
      </c>
      <c r="J51" s="31"/>
      <c r="K51" s="31" t="str">
        <f t="shared" si="14"/>
        <v>YEARS_SINCE_TNC_RAIL_MID_FAC</v>
      </c>
      <c r="L51" s="6">
        <f>MATCH($K51,FAC_TOTALS_APTA!$A$2:$BB$2,)</f>
        <v>45</v>
      </c>
      <c r="M51" s="29">
        <f>IF(M39=0,0,VLOOKUP(M39,FAC_TOTALS_APTA!$A$4:$BD$126,$L51,FALSE))</f>
        <v>0</v>
      </c>
      <c r="N51" s="29">
        <f>IF(N39=0,0,VLOOKUP(N39,FAC_TOTALS_APTA!$A$4:$BD$126,$L51,FALSE))</f>
        <v>-404015.30903557601</v>
      </c>
      <c r="O51" s="29">
        <f>IF(O39=0,0,VLOOKUP(O39,FAC_TOTALS_APTA!$A$4:$BD$126,$L51,FALSE))</f>
        <v>-1735430.5249258699</v>
      </c>
      <c r="P51" s="29">
        <f>IF(P39=0,0,VLOOKUP(P39,FAC_TOTALS_APTA!$A$4:$BD$126,$L51,FALSE))</f>
        <v>-1873490.3760804001</v>
      </c>
      <c r="Q51" s="29">
        <f>IF(Q39=0,0,VLOOKUP(Q39,FAC_TOTALS_APTA!$A$4:$BD$126,$L51,FALSE))</f>
        <v>-1848389.6139324999</v>
      </c>
      <c r="R51" s="29">
        <f>IF(R39=0,0,VLOOKUP(R39,FAC_TOTALS_APTA!$A$4:$BD$126,$L51,FALSE))</f>
        <v>-1777125.6747965901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5"/>
        <v>-7638451.4987709355</v>
      </c>
      <c r="AD51" s="33">
        <f>AC51/G55</f>
        <v>-9.6880881115562908E-2</v>
      </c>
    </row>
    <row r="52" spans="1:31" hidden="1" x14ac:dyDescent="0.25">
      <c r="B52" s="115" t="s">
        <v>64</v>
      </c>
      <c r="C52" s="116"/>
      <c r="D52" s="104" t="s">
        <v>43</v>
      </c>
      <c r="E52" s="55"/>
      <c r="F52" s="6">
        <f>MATCH($D52,FAC_TOTALS_APTA!$A$2:$BD$2,)</f>
        <v>28</v>
      </c>
      <c r="G52" s="34">
        <f>VLOOKUP(G39,FAC_TOTALS_APTA!$A$4:$BD$126,$F52,FALSE)</f>
        <v>0.34080460599745599</v>
      </c>
      <c r="H52" s="34">
        <f>VLOOKUP(H39,FAC_TOTALS_APTA!$A$4:$BD$126,$F52,FALSE)</f>
        <v>0.84038901753350603</v>
      </c>
      <c r="I52" s="30">
        <f t="shared" si="12"/>
        <v>1.4658968885525545</v>
      </c>
      <c r="J52" s="31" t="str">
        <f t="shared" ref="J52:J53" si="16">IF(C52="Log","_log","")</f>
        <v/>
      </c>
      <c r="K52" s="31" t="str">
        <f t="shared" si="14"/>
        <v>BIKE_SHARE_FAC</v>
      </c>
      <c r="L52" s="6">
        <f>MATCH($K52,FAC_TOTALS_APTA!$A$2:$BB$2,)</f>
        <v>46</v>
      </c>
      <c r="M52" s="29">
        <f>IF(M39=0,0,VLOOKUP(M39,FAC_TOTALS_APTA!$A$4:$BD$126,$L52,FALSE))</f>
        <v>-209192.42388803401</v>
      </c>
      <c r="N52" s="29">
        <f>IF(N39=0,0,VLOOKUP(N39,FAC_TOTALS_APTA!$A$4:$BD$126,$L52,FALSE))</f>
        <v>-3198.9927473836301</v>
      </c>
      <c r="O52" s="29">
        <f>IF(O39=0,0,VLOOKUP(O39,FAC_TOTALS_APTA!$A$4:$BD$126,$L52,FALSE))</f>
        <v>-110804.61132696801</v>
      </c>
      <c r="P52" s="29">
        <f>IF(P39=0,0,VLOOKUP(P39,FAC_TOTALS_APTA!$A$4:$BD$126,$L52,FALSE))</f>
        <v>-56259.547963907498</v>
      </c>
      <c r="Q52" s="29">
        <f>IF(Q39=0,0,VLOOKUP(Q39,FAC_TOTALS_APTA!$A$4:$BD$126,$L52,FALSE))</f>
        <v>-87037.441738338093</v>
      </c>
      <c r="R52" s="29">
        <f>IF(R39=0,0,VLOOKUP(R39,FAC_TOTALS_APTA!$A$4:$BD$126,$L52,FALSE))</f>
        <v>-23417.989606508399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0</v>
      </c>
      <c r="V52" s="29">
        <f>IF(V39=0,0,VLOOKUP(V39,FAC_TOTALS_APTA!$A$4:$BD$126,$L52,FALSE))</f>
        <v>0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5"/>
        <v>-489911.00727113965</v>
      </c>
      <c r="AD52" s="33">
        <f>AC52/G55</f>
        <v>-6.213695283694344E-3</v>
      </c>
    </row>
    <row r="53" spans="1:31" hidden="1" x14ac:dyDescent="0.25">
      <c r="B53" s="127" t="s">
        <v>65</v>
      </c>
      <c r="C53" s="128"/>
      <c r="D53" s="129" t="s">
        <v>44</v>
      </c>
      <c r="E53" s="56"/>
      <c r="F53" s="7">
        <f>MATCH($D53,FAC_TOTALS_APTA!$A$2:$BD$2,)</f>
        <v>29</v>
      </c>
      <c r="G53" s="35">
        <f>VLOOKUP(G39,FAC_TOTALS_APTA!$A$4:$BD$126,$F53,FALSE)</f>
        <v>0</v>
      </c>
      <c r="H53" s="35">
        <f>VLOOKUP(H39,FAC_TOTALS_APTA!$A$4:$BD$126,$F53,FALSE)</f>
        <v>0.54726427516599196</v>
      </c>
      <c r="I53" s="36" t="str">
        <f t="shared" si="12"/>
        <v>-</v>
      </c>
      <c r="J53" s="37" t="str">
        <f t="shared" si="16"/>
        <v/>
      </c>
      <c r="K53" s="37" t="str">
        <f t="shared" si="14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-1748137.22177104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5"/>
        <v>-1748137.22177104</v>
      </c>
      <c r="AD53" s="40">
        <f>AC53/G55</f>
        <v>-2.2172173821270132E-2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ref="K54" si="17">CONCATENATE(D54,J54,"_FAC")</f>
        <v>New_Reporter_FAC</v>
      </c>
      <c r="L54" s="44">
        <f>MATCH($K54,FAC_TOTALS_APTA!$A$2:$BB$2,)</f>
        <v>51</v>
      </c>
      <c r="M54" s="45">
        <f>IF(M39=0,0,VLOOKUP(M39,FAC_TOTALS_APTA!$A$4:$BD$126,$L54,FALSE))</f>
        <v>0</v>
      </c>
      <c r="N54" s="45">
        <f>IF(N39=0,0,VLOOKUP(N39,FAC_TOTALS_APTA!$A$4:$BD$126,$L54,FALSE))</f>
        <v>0</v>
      </c>
      <c r="O54" s="45">
        <f>IF(O39=0,0,VLOOKUP(O39,FAC_TOTALS_APTA!$A$4:$BD$126,$L54,FALSE))</f>
        <v>0</v>
      </c>
      <c r="P54" s="45">
        <f>IF(P39=0,0,VLOOKUP(P39,FAC_TOTALS_APTA!$A$4:$BD$126,$L54,FALSE))</f>
        <v>0</v>
      </c>
      <c r="Q54" s="45">
        <f>IF(Q39=0,0,VLOOKUP(Q39,FAC_TOTALS_APTA!$A$4:$BD$126,$L54,FALSE))</f>
        <v>0</v>
      </c>
      <c r="R54" s="45">
        <f>IF(R39=0,0,VLOOKUP(R39,FAC_TOTALS_APTA!$A$4:$BD$126,$L54,FALSE))</f>
        <v>0</v>
      </c>
      <c r="S54" s="45">
        <f>IF(S39=0,0,VLOOKUP(S39,FAC_TOTALS_APTA!$A$4:$BD$126,$L54,FALSE))</f>
        <v>0</v>
      </c>
      <c r="T54" s="45">
        <f>IF(T39=0,0,VLOOKUP(T39,FAC_TOTALS_APTA!$A$4:$BD$126,$L54,FALSE))</f>
        <v>0</v>
      </c>
      <c r="U54" s="45">
        <f>IF(U39=0,0,VLOOKUP(U39,FAC_TOTALS_APTA!$A$4:$BD$126,$L54,FALSE))</f>
        <v>0</v>
      </c>
      <c r="V54" s="45">
        <f>IF(V39=0,0,VLOOKUP(V39,FAC_TOTALS_APTA!$A$4:$BD$126,$L54,FALSE))</f>
        <v>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0">
        <f>VLOOKUP(G39,FAC_TOTALS_APTA!$A$4:$BD$126,$F55,FALSE)</f>
        <v>78843745.131297097</v>
      </c>
      <c r="H55" s="110">
        <f>VLOOKUP(H39,FAC_TOTALS_APTA!$A$4:$BB$126,$F55,FALSE)</f>
        <v>78005962.710860297</v>
      </c>
      <c r="I55" s="112">
        <f t="shared" ref="I55" si="18">H55/G55-1</f>
        <v>-1.0625857752465384E-2</v>
      </c>
      <c r="J55" s="31"/>
      <c r="K55" s="31"/>
      <c r="L55" s="6"/>
      <c r="M55" s="29">
        <f t="shared" ref="M55:AB55" si="19">SUM(M41:M48)</f>
        <v>6099351.7380928891</v>
      </c>
      <c r="N55" s="29">
        <f t="shared" si="19"/>
        <v>1248593.5801457933</v>
      </c>
      <c r="O55" s="29">
        <f t="shared" si="19"/>
        <v>-2544000.0915299971</v>
      </c>
      <c r="P55" s="29">
        <f t="shared" si="19"/>
        <v>1633807.3881559779</v>
      </c>
      <c r="Q55" s="29">
        <f t="shared" si="19"/>
        <v>779228.37274298677</v>
      </c>
      <c r="R55" s="29">
        <f t="shared" si="19"/>
        <v>3511538.5236014389</v>
      </c>
      <c r="S55" s="29">
        <f t="shared" si="19"/>
        <v>0</v>
      </c>
      <c r="T55" s="29">
        <f t="shared" si="19"/>
        <v>0</v>
      </c>
      <c r="U55" s="29">
        <f t="shared" si="19"/>
        <v>0</v>
      </c>
      <c r="V55" s="29">
        <f t="shared" si="19"/>
        <v>0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-837782.42043679953</v>
      </c>
      <c r="AD55" s="33">
        <f>I55</f>
        <v>-1.0625857752465384E-2</v>
      </c>
      <c r="AE55" s="106"/>
    </row>
    <row r="56" spans="1:31" ht="13.5" thickBot="1" x14ac:dyDescent="0.3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1">
        <f>VLOOKUP(G39,FAC_TOTALS_APTA!$A$4:$BB$126,$F56,FALSE)</f>
        <v>81673687</v>
      </c>
      <c r="H56" s="111">
        <f>VLOOKUP(H39,FAC_TOTALS_APTA!$A$4:$BB$126,$F56,FALSE)</f>
        <v>76851197</v>
      </c>
      <c r="I56" s="113">
        <f t="shared" ref="I56" si="20">H56/G56-1</f>
        <v>-5.9045822187505759E-2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-4822490</v>
      </c>
      <c r="AD56" s="52">
        <f>I56</f>
        <v>-5.9045822187505759E-2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-4.8419964435040375E-2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77" t="s">
        <v>51</v>
      </c>
      <c r="H64" s="177"/>
      <c r="I64" s="1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77" t="s">
        <v>55</v>
      </c>
      <c r="AD64" s="177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2012</v>
      </c>
      <c r="H65" s="85">
        <f>$C$2</f>
        <v>2018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1_3_2012</v>
      </c>
      <c r="H67" s="76" t="str">
        <f>CONCATENATE($C62,"_",$C63,"_",H65)</f>
        <v>1_3_2018</v>
      </c>
      <c r="I67" s="77"/>
      <c r="J67" s="76"/>
      <c r="K67" s="76"/>
      <c r="L67" s="76"/>
      <c r="M67" s="76" t="str">
        <f>IF($G65+M66&gt;$H65,0,CONCATENATE($C62,"_",$C63,"_",$G65+M66))</f>
        <v>1_3_2013</v>
      </c>
      <c r="N67" s="76" t="str">
        <f t="shared" ref="N67:AB67" si="21">IF($G65+N66&gt;$H65,0,CONCATENATE($C62,"_",$C63,"_",$G65+N66))</f>
        <v>1_3_2014</v>
      </c>
      <c r="O67" s="76" t="str">
        <f t="shared" si="21"/>
        <v>1_3_2015</v>
      </c>
      <c r="P67" s="76" t="str">
        <f t="shared" si="21"/>
        <v>1_3_2016</v>
      </c>
      <c r="Q67" s="76" t="str">
        <f t="shared" si="21"/>
        <v>1_3_2017</v>
      </c>
      <c r="R67" s="76" t="str">
        <f t="shared" si="21"/>
        <v>1_3_2018</v>
      </c>
      <c r="S67" s="76">
        <f t="shared" si="21"/>
        <v>0</v>
      </c>
      <c r="T67" s="76">
        <f t="shared" si="21"/>
        <v>0</v>
      </c>
      <c r="U67" s="76">
        <f t="shared" si="21"/>
        <v>0</v>
      </c>
      <c r="V67" s="76">
        <f t="shared" si="21"/>
        <v>0</v>
      </c>
      <c r="W67" s="76">
        <f t="shared" si="21"/>
        <v>0</v>
      </c>
      <c r="X67" s="76">
        <f t="shared" si="21"/>
        <v>0</v>
      </c>
      <c r="Y67" s="76">
        <f t="shared" si="21"/>
        <v>0</v>
      </c>
      <c r="Z67" s="76">
        <f t="shared" si="21"/>
        <v>0</v>
      </c>
      <c r="AA67" s="76">
        <f t="shared" si="21"/>
        <v>0</v>
      </c>
      <c r="AB67" s="76">
        <f t="shared" si="21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31</v>
      </c>
      <c r="C69" s="116" t="s">
        <v>21</v>
      </c>
      <c r="D69" s="104" t="s">
        <v>91</v>
      </c>
      <c r="E69" s="88"/>
      <c r="F69" s="76">
        <f>MATCH($D69,FAC_TOTALS_APTA!$A$2:$BD$2,)</f>
        <v>13</v>
      </c>
      <c r="G69" s="87" t="e">
        <f>VLOOKUP(G67,FAC_TOTALS_APTA!$A$4:$BD$126,$F69,FALSE)</f>
        <v>#N/A</v>
      </c>
      <c r="H69" s="87" t="e">
        <f>VLOOKUP(H67,FAC_TOTALS_APTA!$A$4:$BD$126,$F69,FALSE)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VRM_ADJ_RAIL_log_FAC</v>
      </c>
      <c r="L69" s="76">
        <f>MATCH($K69,FAC_TOTALS_APTA!$A$2:$BB$2,)</f>
        <v>31</v>
      </c>
      <c r="M69" s="87" t="e">
        <f>IF(M67=0,0,VLOOKUP(M67,FAC_TOTALS_APTA!$A$4:$BD$126,$L69,FALSE))</f>
        <v>#N/A</v>
      </c>
      <c r="N69" s="87" t="e">
        <f>IF(N67=0,0,VLOOKUP(N67,FAC_TOTALS_APTA!$A$4:$BD$126,$L69,FALSE))</f>
        <v>#N/A</v>
      </c>
      <c r="O69" s="87" t="e">
        <f>IF(O67=0,0,VLOOKUP(O67,FAC_TOTALS_APTA!$A$4:$BD$126,$L69,FALSE))</f>
        <v>#N/A</v>
      </c>
      <c r="P69" s="87" t="e">
        <f>IF(P67=0,0,VLOOKUP(P67,FAC_TOTALS_APTA!$A$4:$BD$126,$L69,FALSE))</f>
        <v>#N/A</v>
      </c>
      <c r="Q69" s="87" t="e">
        <f>IF(Q67=0,0,VLOOKUP(Q67,FAC_TOTALS_APTA!$A$4:$BD$126,$L69,FALSE))</f>
        <v>#N/A</v>
      </c>
      <c r="R69" s="87" t="e">
        <f>IF(R67=0,0,VLOOKUP(R67,FAC_TOTALS_APTA!$A$4:$BD$126,$L69,FALSE))</f>
        <v>#N/A</v>
      </c>
      <c r="S69" s="87">
        <f>IF(S67=0,0,VLOOKUP(S67,FAC_TOTALS_APTA!$A$4:$BD$126,$L69,FALSE))</f>
        <v>0</v>
      </c>
      <c r="T69" s="87">
        <f>IF(T67=0,0,VLOOKUP(T67,FAC_TOTALS_APTA!$A$4:$BD$126,$L69,FALSE))</f>
        <v>0</v>
      </c>
      <c r="U69" s="87">
        <f>IF(U67=0,0,VLOOKUP(U67,FAC_TOTALS_APTA!$A$4:$BD$126,$L69,FALSE))</f>
        <v>0</v>
      </c>
      <c r="V69" s="87">
        <f>IF(V67=0,0,VLOOKUP(V67,FAC_TOTALS_APTA!$A$4:$BD$126,$L69,FALSE))</f>
        <v>0</v>
      </c>
      <c r="W69" s="87">
        <f>IF(W67=0,0,VLOOKUP(W67,FAC_TOTALS_APTA!$A$4:$BD$126,$L69,FALSE))</f>
        <v>0</v>
      </c>
      <c r="X69" s="87">
        <f>IF(X67=0,0,VLOOKUP(X67,FAC_TOTALS_APTA!$A$4:$BD$126,$L69,FALSE))</f>
        <v>0</v>
      </c>
      <c r="Y69" s="87">
        <f>IF(Y67=0,0,VLOOKUP(Y67,FAC_TOTALS_APTA!$A$4:$BD$126,$L69,FALSE))</f>
        <v>0</v>
      </c>
      <c r="Z69" s="87">
        <f>IF(Z67=0,0,VLOOKUP(Z67,FAC_TOTALS_APTA!$A$4:$BD$126,$L69,FALSE))</f>
        <v>0</v>
      </c>
      <c r="AA69" s="87">
        <f>IF(AA67=0,0,VLOOKUP(AA67,FAC_TOTALS_APTA!$A$4:$BD$126,$L69,FALSE))</f>
        <v>0</v>
      </c>
      <c r="AB69" s="87">
        <f>IF(AB67=0,0,VLOOKUP(AB67,FAC_TOTALS_APTA!$A$4:$BD$126,$L69,FALSE))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52</v>
      </c>
      <c r="C70" s="116" t="s">
        <v>21</v>
      </c>
      <c r="D70" s="104" t="s">
        <v>92</v>
      </c>
      <c r="E70" s="88"/>
      <c r="F70" s="76">
        <f>MATCH($D70,FAC_TOTALS_APTA!$A$2:$BD$2,)</f>
        <v>15</v>
      </c>
      <c r="G70" s="93" t="e">
        <f>VLOOKUP(G67,FAC_TOTALS_APTA!$A$4:$BD$126,$F70,FALSE)</f>
        <v>#N/A</v>
      </c>
      <c r="H70" s="93" t="e">
        <f>VLOOKUP(H67,FAC_TOTALS_APTA!$A$4:$BD$126,$F70,FALSE)</f>
        <v>#N/A</v>
      </c>
      <c r="I70" s="89" t="str">
        <f t="shared" ref="I70:I81" si="22">IFERROR(H70/G70-1,"-")</f>
        <v>-</v>
      </c>
      <c r="J70" s="90" t="str">
        <f t="shared" ref="J70:J78" si="23">IF(C70="Log","_log","")</f>
        <v>_log</v>
      </c>
      <c r="K70" s="90" t="str">
        <f t="shared" ref="K70:K81" si="24">CONCATENATE(D70,J70,"_FAC")</f>
        <v>FARE_per_UPT_cleaned_2018_RAIL_log_FAC</v>
      </c>
      <c r="L70" s="76">
        <f>MATCH($K70,FAC_TOTALS_APTA!$A$2:$BB$2,)</f>
        <v>33</v>
      </c>
      <c r="M70" s="87" t="e">
        <f>IF(M67=0,0,VLOOKUP(M67,FAC_TOTALS_APTA!$A$4:$BD$126,$L70,FALSE))</f>
        <v>#N/A</v>
      </c>
      <c r="N70" s="87" t="e">
        <f>IF(N67=0,0,VLOOKUP(N67,FAC_TOTALS_APTA!$A$4:$BD$126,$L70,FALSE))</f>
        <v>#N/A</v>
      </c>
      <c r="O70" s="87" t="e">
        <f>IF(O67=0,0,VLOOKUP(O67,FAC_TOTALS_APTA!$A$4:$BD$126,$L70,FALSE))</f>
        <v>#N/A</v>
      </c>
      <c r="P70" s="87" t="e">
        <f>IF(P67=0,0,VLOOKUP(P67,FAC_TOTALS_APTA!$A$4:$BD$126,$L70,FALSE))</f>
        <v>#N/A</v>
      </c>
      <c r="Q70" s="87" t="e">
        <f>IF(Q67=0,0,VLOOKUP(Q67,FAC_TOTALS_APTA!$A$4:$BD$126,$L70,FALSE))</f>
        <v>#N/A</v>
      </c>
      <c r="R70" s="87" t="e">
        <f>IF(R67=0,0,VLOOKUP(R67,FAC_TOTALS_APTA!$A$4:$BD$126,$L70,FALSE))</f>
        <v>#N/A</v>
      </c>
      <c r="S70" s="87">
        <f>IF(S67=0,0,VLOOKUP(S67,FAC_TOTALS_APTA!$A$4:$BD$126,$L70,FALSE))</f>
        <v>0</v>
      </c>
      <c r="T70" s="87">
        <f>IF(T67=0,0,VLOOKUP(T67,FAC_TOTALS_APTA!$A$4:$BD$126,$L70,FALSE))</f>
        <v>0</v>
      </c>
      <c r="U70" s="87">
        <f>IF(U67=0,0,VLOOKUP(U67,FAC_TOTALS_APTA!$A$4:$BD$126,$L70,FALSE))</f>
        <v>0</v>
      </c>
      <c r="V70" s="87">
        <f>IF(V67=0,0,VLOOKUP(V67,FAC_TOTALS_APTA!$A$4:$BD$126,$L70,FALSE))</f>
        <v>0</v>
      </c>
      <c r="W70" s="87">
        <f>IF(W67=0,0,VLOOKUP(W67,FAC_TOTALS_APTA!$A$4:$BD$126,$L70,FALSE))</f>
        <v>0</v>
      </c>
      <c r="X70" s="87">
        <f>IF(X67=0,0,VLOOKUP(X67,FAC_TOTALS_APTA!$A$4:$BD$126,$L70,FALSE))</f>
        <v>0</v>
      </c>
      <c r="Y70" s="87">
        <f>IF(Y67=0,0,VLOOKUP(Y67,FAC_TOTALS_APTA!$A$4:$BD$126,$L70,FALSE))</f>
        <v>0</v>
      </c>
      <c r="Z70" s="87">
        <f>IF(Z67=0,0,VLOOKUP(Z67,FAC_TOTALS_APTA!$A$4:$BD$126,$L70,FALSE))</f>
        <v>0</v>
      </c>
      <c r="AA70" s="87">
        <f>IF(AA67=0,0,VLOOKUP(AA67,FAC_TOTALS_APTA!$A$4:$BD$126,$L70,FALSE))</f>
        <v>0</v>
      </c>
      <c r="AB70" s="87">
        <f>IF(AB67=0,0,VLOOKUP(AB67,FAC_TOTALS_APTA!$A$4:$BD$126,$L70,FALSE))</f>
        <v>0</v>
      </c>
      <c r="AC70" s="91" t="e">
        <f t="shared" ref="AC70:AC81" si="25">SUM(M70:AB70)</f>
        <v>#N/A</v>
      </c>
      <c r="AD70" s="92" t="e">
        <f>AC70/G83</f>
        <v>#N/A</v>
      </c>
    </row>
    <row r="71" spans="2:33" x14ac:dyDescent="0.25"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 t="e">
        <f>VLOOKUP(G67,FAC_TOTALS_APTA!$A$4:$BD$126,$F71,FALSE)</f>
        <v>#N/A</v>
      </c>
      <c r="H71" s="117" t="e">
        <f>VLOOKUP(H67,FAC_TOTALS_APTA!$A$4:$BD$126,$F71,FALSE)</f>
        <v>#N/A</v>
      </c>
      <c r="I71" s="30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MATCH($K71,FAC_TOTALS_APTA!$A$2:$BB$2,)</f>
        <v>41</v>
      </c>
      <c r="M71" s="117" t="e">
        <f>IF(M67=0,0,VLOOKUP(M67,FAC_TOTALS_APTA!$A$4:$BD$126,$L71,FALSE))</f>
        <v>#N/A</v>
      </c>
      <c r="N71" s="117" t="e">
        <f>IF(N67=0,0,VLOOKUP(N67,FAC_TOTALS_APTA!$A$4:$BD$126,$L71,FALSE))</f>
        <v>#N/A</v>
      </c>
      <c r="O71" s="117" t="e">
        <f>IF(O67=0,0,VLOOKUP(O67,FAC_TOTALS_APTA!$A$4:$BD$126,$L71,FALSE))</f>
        <v>#N/A</v>
      </c>
      <c r="P71" s="117" t="e">
        <f>IF(P67=0,0,VLOOKUP(P67,FAC_TOTALS_APTA!$A$4:$BD$126,$L71,FALSE))</f>
        <v>#N/A</v>
      </c>
      <c r="Q71" s="117" t="e">
        <f>IF(Q67=0,0,VLOOKUP(Q67,FAC_TOTALS_APTA!$A$4:$BD$126,$L71,FALSE))</f>
        <v>#N/A</v>
      </c>
      <c r="R71" s="117" t="e">
        <f>IF(R67=0,0,VLOOKUP(R67,FAC_TOTALS_APTA!$A$4:$BD$126,$L71,FALSE))</f>
        <v>#N/A</v>
      </c>
      <c r="S71" s="117">
        <f>IF(S67=0,0,VLOOKUP(S67,FAC_TOTALS_APTA!$A$4:$BD$126,$L71,FALSE))</f>
        <v>0</v>
      </c>
      <c r="T71" s="117">
        <f>IF(T67=0,0,VLOOKUP(T67,FAC_TOTALS_APTA!$A$4:$BD$126,$L71,FALSE))</f>
        <v>0</v>
      </c>
      <c r="U71" s="117">
        <f>IF(U67=0,0,VLOOKUP(U67,FAC_TOTALS_APTA!$A$4:$BD$126,$L71,FALSE))</f>
        <v>0</v>
      </c>
      <c r="V71" s="117">
        <f>IF(V67=0,0,VLOOKUP(V67,FAC_TOTALS_APTA!$A$4:$BD$126,$L71,FALSE))</f>
        <v>0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 t="e">
        <f t="shared" si="25"/>
        <v>#N/A</v>
      </c>
      <c r="AD71" s="122" t="e">
        <f>AC71/G84</f>
        <v>#N/A</v>
      </c>
    </row>
    <row r="72" spans="2:33" x14ac:dyDescent="0.25"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54" t="e">
        <f>VLOOKUP(G67,FAC_TOTALS_APTA!$A$4:$BD$126,$F72,FALSE)</f>
        <v>#N/A</v>
      </c>
      <c r="H72" s="54" t="e">
        <f>VLOOKUP(H67,FAC_TOTALS_APTA!$A$4:$BD$126,$F72,FALSE)</f>
        <v>#N/A</v>
      </c>
      <c r="I72" s="30" t="str">
        <f>IFERROR(H72/G72-1,"-")</f>
        <v>-</v>
      </c>
      <c r="J72" s="31" t="str">
        <f t="shared" si="23"/>
        <v/>
      </c>
      <c r="K72" s="31" t="str">
        <f t="shared" si="24"/>
        <v>MAINTENANCE_WMATA_FAC</v>
      </c>
      <c r="L72" s="6">
        <f>MATCH($K72,FAC_TOTALS_APTA!$A$2:$BB$2,)</f>
        <v>40</v>
      </c>
      <c r="M72" s="29">
        <f>IF(M68=0,0,VLOOKUP(M68,FAC_TOTALS_APTA!$A$4:$BD$126,$L72,FALSE))</f>
        <v>0</v>
      </c>
      <c r="N72" s="29">
        <f>IF(N68=0,0,VLOOKUP(N68,FAC_TOTALS_APTA!$A$4:$BD$126,$L72,FALSE))</f>
        <v>0</v>
      </c>
      <c r="O72" s="29">
        <f>IF(O68=0,0,VLOOKUP(O68,FAC_TOTALS_APTA!$A$4:$BD$126,$L72,FALSE))</f>
        <v>0</v>
      </c>
      <c r="P72" s="29">
        <f>IF(P68=0,0,VLOOKUP(P68,FAC_TOTALS_APTA!$A$4:$BD$126,$L72,FALSE))</f>
        <v>0</v>
      </c>
      <c r="Q72" s="29">
        <f>IF(Q68=0,0,VLOOKUP(Q68,FAC_TOTALS_APTA!$A$4:$BD$126,$L72,FALSE))</f>
        <v>0</v>
      </c>
      <c r="R72" s="29">
        <f>IF(R68=0,0,VLOOKUP(R68,FAC_TOTALS_APTA!$A$4:$BD$126,$L72,FALSE))</f>
        <v>0</v>
      </c>
      <c r="S72" s="29">
        <f>IF(S68=0,0,VLOOKUP(S68,FAC_TOTALS_APTA!$A$4:$BD$126,$L72,FALSE))</f>
        <v>0</v>
      </c>
      <c r="T72" s="29">
        <f>IF(T68=0,0,VLOOKUP(T68,FAC_TOTALS_APTA!$A$4:$BD$126,$L72,FALSE))</f>
        <v>0</v>
      </c>
      <c r="U72" s="29">
        <f>IF(U68=0,0,VLOOKUP(U68,FAC_TOTALS_APTA!$A$4:$BD$126,$L72,FALSE))</f>
        <v>0</v>
      </c>
      <c r="V72" s="29">
        <f>IF(V68=0,0,VLOOKUP(V68,FAC_TOTALS_APTA!$A$4:$BD$126,$L72,FALSE))</f>
        <v>0</v>
      </c>
      <c r="W72" s="29">
        <f>IF(W68=0,0,VLOOKUP(W68,FAC_TOTALS_APTA!$A$4:$BD$126,$L72,FALSE))</f>
        <v>0</v>
      </c>
      <c r="X72" s="29">
        <f>IF(X68=0,0,VLOOKUP(X68,FAC_TOTALS_APTA!$A$4:$BD$126,$L72,FALSE))</f>
        <v>0</v>
      </c>
      <c r="Y72" s="29">
        <f>IF(Y68=0,0,VLOOKUP(Y68,FAC_TOTALS_APTA!$A$4:$BD$126,$L72,FALSE))</f>
        <v>0</v>
      </c>
      <c r="Z72" s="29">
        <f>IF(Z68=0,0,VLOOKUP(Z68,FAC_TOTALS_APTA!$A$4:$BD$126,$L72,FALSE))</f>
        <v>0</v>
      </c>
      <c r="AA72" s="29">
        <f>IF(AA68=0,0,VLOOKUP(AA68,FAC_TOTALS_APTA!$A$4:$BD$126,$L72,FALSE))</f>
        <v>0</v>
      </c>
      <c r="AB72" s="29">
        <f>IF(AB68=0,0,VLOOKUP(AB68,FAC_TOTALS_APTA!$A$4:$BD$126,$L72,FALSE))</f>
        <v>0</v>
      </c>
      <c r="AC72" s="32">
        <f t="shared" si="25"/>
        <v>0</v>
      </c>
      <c r="AD72" s="33" t="e">
        <f>AC72/G84</f>
        <v>#N/A</v>
      </c>
    </row>
    <row r="73" spans="2:33" x14ac:dyDescent="0.2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MATCH($D73,FAC_TOTALS_APTA!$A$2:$BD$2,)</f>
        <v>16</v>
      </c>
      <c r="G73" s="87" t="e">
        <f>VLOOKUP(G67,FAC_TOTALS_APTA!$A$4:$BD$126,$F73,FALSE)</f>
        <v>#N/A</v>
      </c>
      <c r="H73" s="87" t="e">
        <f>VLOOKUP(H67,FAC_TOTALS_APTA!$A$4:$BD$126,$F73,FALSE)</f>
        <v>#N/A</v>
      </c>
      <c r="I73" s="89" t="str">
        <f t="shared" si="22"/>
        <v>-</v>
      </c>
      <c r="J73" s="90" t="str">
        <f t="shared" si="23"/>
        <v>_log</v>
      </c>
      <c r="K73" s="90" t="str">
        <f t="shared" si="24"/>
        <v>POP_EMP_log_FAC</v>
      </c>
      <c r="L73" s="76">
        <f>MATCH($K73,FAC_TOTALS_APTA!$A$2:$BB$2,)</f>
        <v>34</v>
      </c>
      <c r="M73" s="87" t="e">
        <f>IF(M67=0,0,VLOOKUP(M67,FAC_TOTALS_APTA!$A$4:$BD$126,$L73,FALSE))</f>
        <v>#N/A</v>
      </c>
      <c r="N73" s="87" t="e">
        <f>IF(N67=0,0,VLOOKUP(N67,FAC_TOTALS_APTA!$A$4:$BD$126,$L73,FALSE))</f>
        <v>#N/A</v>
      </c>
      <c r="O73" s="87" t="e">
        <f>IF(O67=0,0,VLOOKUP(O67,FAC_TOTALS_APTA!$A$4:$BD$126,$L73,FALSE))</f>
        <v>#N/A</v>
      </c>
      <c r="P73" s="87" t="e">
        <f>IF(P67=0,0,VLOOKUP(P67,FAC_TOTALS_APTA!$A$4:$BD$126,$L73,FALSE))</f>
        <v>#N/A</v>
      </c>
      <c r="Q73" s="87" t="e">
        <f>IF(Q67=0,0,VLOOKUP(Q67,FAC_TOTALS_APTA!$A$4:$BD$126,$L73,FALSE))</f>
        <v>#N/A</v>
      </c>
      <c r="R73" s="87" t="e">
        <f>IF(R67=0,0,VLOOKUP(R67,FAC_TOTALS_APTA!$A$4:$BD$126,$L73,FALSE))</f>
        <v>#N/A</v>
      </c>
      <c r="S73" s="87">
        <f>IF(S67=0,0,VLOOKUP(S67,FAC_TOTALS_APTA!$A$4:$BD$126,$L73,FALSE))</f>
        <v>0</v>
      </c>
      <c r="T73" s="87">
        <f>IF(T67=0,0,VLOOKUP(T67,FAC_TOTALS_APTA!$A$4:$BD$126,$L73,FALSE))</f>
        <v>0</v>
      </c>
      <c r="U73" s="87">
        <f>IF(U67=0,0,VLOOKUP(U67,FAC_TOTALS_APTA!$A$4:$BD$126,$L73,FALSE))</f>
        <v>0</v>
      </c>
      <c r="V73" s="87">
        <f>IF(V67=0,0,VLOOKUP(V67,FAC_TOTALS_APTA!$A$4:$BD$126,$L73,FALSE))</f>
        <v>0</v>
      </c>
      <c r="W73" s="87">
        <f>IF(W67=0,0,VLOOKUP(W67,FAC_TOTALS_APTA!$A$4:$BD$126,$L73,FALSE))</f>
        <v>0</v>
      </c>
      <c r="X73" s="87">
        <f>IF(X67=0,0,VLOOKUP(X67,FAC_TOTALS_APTA!$A$4:$BD$126,$L73,FALSE))</f>
        <v>0</v>
      </c>
      <c r="Y73" s="87">
        <f>IF(Y67=0,0,VLOOKUP(Y67,FAC_TOTALS_APTA!$A$4:$BD$126,$L73,FALSE))</f>
        <v>0</v>
      </c>
      <c r="Z73" s="87">
        <f>IF(Z67=0,0,VLOOKUP(Z67,FAC_TOTALS_APTA!$A$4:$BD$126,$L73,FALSE))</f>
        <v>0</v>
      </c>
      <c r="AA73" s="87">
        <f>IF(AA67=0,0,VLOOKUP(AA67,FAC_TOTALS_APTA!$A$4:$BD$126,$L73,FALSE))</f>
        <v>0</v>
      </c>
      <c r="AB73" s="87">
        <f>IF(AB67=0,0,VLOOKUP(AB67,FAC_TOTALS_APTA!$A$4:$BD$126,$L73,FALSE))</f>
        <v>0</v>
      </c>
      <c r="AC73" s="91" t="e">
        <f t="shared" si="25"/>
        <v>#N/A</v>
      </c>
      <c r="AD73" s="92" t="e">
        <f>AC73/G83</f>
        <v>#N/A</v>
      </c>
    </row>
    <row r="74" spans="2:33" x14ac:dyDescent="0.25">
      <c r="B74" s="25" t="s">
        <v>73</v>
      </c>
      <c r="C74" s="116"/>
      <c r="D74" s="104" t="s">
        <v>72</v>
      </c>
      <c r="E74" s="88"/>
      <c r="F74" s="76">
        <f>MATCH($D74,FAC_TOTALS_APTA!$A$2:$BD$2,)</f>
        <v>17</v>
      </c>
      <c r="G74" s="93" t="e">
        <f>VLOOKUP(G67,FAC_TOTALS_APTA!$A$4:$BD$126,$F74,FALSE)</f>
        <v>#N/A</v>
      </c>
      <c r="H74" s="93" t="e">
        <f>VLOOKUP(H67,FAC_TOTALS_APTA!$A$4:$BD$126,$F74,FALSE)</f>
        <v>#N/A</v>
      </c>
      <c r="I74" s="89" t="str">
        <f t="shared" si="22"/>
        <v>-</v>
      </c>
      <c r="J74" s="90" t="str">
        <f t="shared" si="23"/>
        <v/>
      </c>
      <c r="K74" s="90" t="str">
        <f t="shared" si="24"/>
        <v>TSD_POP_EMP_PCT_FAC</v>
      </c>
      <c r="L74" s="76">
        <f>MATCH($K74,FAC_TOTALS_APTA!$A$2:$BB$2,)</f>
        <v>35</v>
      </c>
      <c r="M74" s="87" t="e">
        <f>IF(M67=0,0,VLOOKUP(M67,FAC_TOTALS_APTA!$A$4:$BD$126,$L74,FALSE))</f>
        <v>#N/A</v>
      </c>
      <c r="N74" s="87" t="e">
        <f>IF(N67=0,0,VLOOKUP(N67,FAC_TOTALS_APTA!$A$4:$BD$126,$L74,FALSE))</f>
        <v>#N/A</v>
      </c>
      <c r="O74" s="87" t="e">
        <f>IF(O67=0,0,VLOOKUP(O67,FAC_TOTALS_APTA!$A$4:$BD$126,$L74,FALSE))</f>
        <v>#N/A</v>
      </c>
      <c r="P74" s="87" t="e">
        <f>IF(P67=0,0,VLOOKUP(P67,FAC_TOTALS_APTA!$A$4:$BD$126,$L74,FALSE))</f>
        <v>#N/A</v>
      </c>
      <c r="Q74" s="87" t="e">
        <f>IF(Q67=0,0,VLOOKUP(Q67,FAC_TOTALS_APTA!$A$4:$BD$126,$L74,FALSE))</f>
        <v>#N/A</v>
      </c>
      <c r="R74" s="87" t="e">
        <f>IF(R67=0,0,VLOOKUP(R67,FAC_TOTALS_APTA!$A$4:$BD$126,$L74,FALSE))</f>
        <v>#N/A</v>
      </c>
      <c r="S74" s="87">
        <f>IF(S67=0,0,VLOOKUP(S67,FAC_TOTALS_APTA!$A$4:$BD$126,$L74,FALSE))</f>
        <v>0</v>
      </c>
      <c r="T74" s="87">
        <f>IF(T67=0,0,VLOOKUP(T67,FAC_TOTALS_APTA!$A$4:$BD$126,$L74,FALSE))</f>
        <v>0</v>
      </c>
      <c r="U74" s="87">
        <f>IF(U67=0,0,VLOOKUP(U67,FAC_TOTALS_APTA!$A$4:$BD$126,$L74,FALSE))</f>
        <v>0</v>
      </c>
      <c r="V74" s="87">
        <f>IF(V67=0,0,VLOOKUP(V67,FAC_TOTALS_APTA!$A$4:$BD$126,$L74,FALSE))</f>
        <v>0</v>
      </c>
      <c r="W74" s="87">
        <f>IF(W67=0,0,VLOOKUP(W67,FAC_TOTALS_APTA!$A$4:$BD$126,$L74,FALSE))</f>
        <v>0</v>
      </c>
      <c r="X74" s="87">
        <f>IF(X67=0,0,VLOOKUP(X67,FAC_TOTALS_APTA!$A$4:$BD$126,$L74,FALSE))</f>
        <v>0</v>
      </c>
      <c r="Y74" s="87">
        <f>IF(Y67=0,0,VLOOKUP(Y67,FAC_TOTALS_APTA!$A$4:$BD$126,$L74,FALSE))</f>
        <v>0</v>
      </c>
      <c r="Z74" s="87">
        <f>IF(Z67=0,0,VLOOKUP(Z67,FAC_TOTALS_APTA!$A$4:$BD$126,$L74,FALSE))</f>
        <v>0</v>
      </c>
      <c r="AA74" s="87">
        <f>IF(AA67=0,0,VLOOKUP(AA67,FAC_TOTALS_APTA!$A$4:$BD$126,$L74,FALSE))</f>
        <v>0</v>
      </c>
      <c r="AB74" s="87">
        <f>IF(AB67=0,0,VLOOKUP(AB67,FAC_TOTALS_APTA!$A$4:$BD$126,$L74,FALSE))</f>
        <v>0</v>
      </c>
      <c r="AC74" s="91" t="e">
        <f t="shared" si="25"/>
        <v>#N/A</v>
      </c>
      <c r="AD74" s="92" t="e">
        <f>AC74/G83</f>
        <v>#N/A</v>
      </c>
    </row>
    <row r="75" spans="2:33" x14ac:dyDescent="0.2">
      <c r="B75" s="115" t="s">
        <v>49</v>
      </c>
      <c r="C75" s="116" t="s">
        <v>21</v>
      </c>
      <c r="D75" s="124" t="s">
        <v>82</v>
      </c>
      <c r="E75" s="88"/>
      <c r="F75" s="76">
        <f>MATCH($D75,FAC_TOTALS_APTA!$A$2:$BD$2,)</f>
        <v>18</v>
      </c>
      <c r="G75" s="94" t="e">
        <f>VLOOKUP(G67,FAC_TOTALS_APTA!$A$4:$BD$126,$F75,FALSE)</f>
        <v>#N/A</v>
      </c>
      <c r="H75" s="94" t="e">
        <f>VLOOKUP(H67,FAC_TOTALS_APTA!$A$4:$BD$126,$F75,FALSE)</f>
        <v>#N/A</v>
      </c>
      <c r="I75" s="89" t="str">
        <f t="shared" si="22"/>
        <v>-</v>
      </c>
      <c r="J75" s="90" t="str">
        <f t="shared" si="23"/>
        <v>_log</v>
      </c>
      <c r="K75" s="90" t="str">
        <f t="shared" si="24"/>
        <v>GAS_PRICE_2018_log_FAC</v>
      </c>
      <c r="L75" s="76">
        <f>MATCH($K75,FAC_TOTALS_APTA!$A$2:$BB$2,)</f>
        <v>36</v>
      </c>
      <c r="M75" s="87" t="e">
        <f>IF(M67=0,0,VLOOKUP(M67,FAC_TOTALS_APTA!$A$4:$BD$126,$L75,FALSE))</f>
        <v>#N/A</v>
      </c>
      <c r="N75" s="87" t="e">
        <f>IF(N67=0,0,VLOOKUP(N67,FAC_TOTALS_APTA!$A$4:$BD$126,$L75,FALSE))</f>
        <v>#N/A</v>
      </c>
      <c r="O75" s="87" t="e">
        <f>IF(O67=0,0,VLOOKUP(O67,FAC_TOTALS_APTA!$A$4:$BD$126,$L75,FALSE))</f>
        <v>#N/A</v>
      </c>
      <c r="P75" s="87" t="e">
        <f>IF(P67=0,0,VLOOKUP(P67,FAC_TOTALS_APTA!$A$4:$BD$126,$L75,FALSE))</f>
        <v>#N/A</v>
      </c>
      <c r="Q75" s="87" t="e">
        <f>IF(Q67=0,0,VLOOKUP(Q67,FAC_TOTALS_APTA!$A$4:$BD$126,$L75,FALSE))</f>
        <v>#N/A</v>
      </c>
      <c r="R75" s="87" t="e">
        <f>IF(R67=0,0,VLOOKUP(R67,FAC_TOTALS_APTA!$A$4:$BD$126,$L75,FALSE))</f>
        <v>#N/A</v>
      </c>
      <c r="S75" s="87">
        <f>IF(S67=0,0,VLOOKUP(S67,FAC_TOTALS_APTA!$A$4:$BD$126,$L75,FALSE))</f>
        <v>0</v>
      </c>
      <c r="T75" s="87">
        <f>IF(T67=0,0,VLOOKUP(T67,FAC_TOTALS_APTA!$A$4:$BD$126,$L75,FALSE))</f>
        <v>0</v>
      </c>
      <c r="U75" s="87">
        <f>IF(U67=0,0,VLOOKUP(U67,FAC_TOTALS_APTA!$A$4:$BD$126,$L75,FALSE))</f>
        <v>0</v>
      </c>
      <c r="V75" s="87">
        <f>IF(V67=0,0,VLOOKUP(V67,FAC_TOTALS_APTA!$A$4:$BD$126,$L75,FALSE))</f>
        <v>0</v>
      </c>
      <c r="W75" s="87">
        <f>IF(W67=0,0,VLOOKUP(W67,FAC_TOTALS_APTA!$A$4:$BD$126,$L75,FALSE))</f>
        <v>0</v>
      </c>
      <c r="X75" s="87">
        <f>IF(X67=0,0,VLOOKUP(X67,FAC_TOTALS_APTA!$A$4:$BD$126,$L75,FALSE))</f>
        <v>0</v>
      </c>
      <c r="Y75" s="87">
        <f>IF(Y67=0,0,VLOOKUP(Y67,FAC_TOTALS_APTA!$A$4:$BD$126,$L75,FALSE))</f>
        <v>0</v>
      </c>
      <c r="Z75" s="87">
        <f>IF(Z67=0,0,VLOOKUP(Z67,FAC_TOTALS_APTA!$A$4:$BD$126,$L75,FALSE))</f>
        <v>0</v>
      </c>
      <c r="AA75" s="87">
        <f>IF(AA67=0,0,VLOOKUP(AA67,FAC_TOTALS_APTA!$A$4:$BD$126,$L75,FALSE))</f>
        <v>0</v>
      </c>
      <c r="AB75" s="87">
        <f>IF(AB67=0,0,VLOOKUP(AB67,FAC_TOTALS_APTA!$A$4:$BD$126,$L75,FALSE))</f>
        <v>0</v>
      </c>
      <c r="AC75" s="91" t="e">
        <f t="shared" si="25"/>
        <v>#N/A</v>
      </c>
      <c r="AD75" s="92" t="e">
        <f>AC75/G83</f>
        <v>#N/A</v>
      </c>
    </row>
    <row r="76" spans="2:33" x14ac:dyDescent="0.2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MATCH($D76,FAC_TOTALS_APTA!$A$2:$BD$2,)</f>
        <v>19</v>
      </c>
      <c r="G76" s="93" t="e">
        <f>VLOOKUP(G67,FAC_TOTALS_APTA!$A$4:$BD$126,$F76,FALSE)</f>
        <v>#N/A</v>
      </c>
      <c r="H76" s="93" t="e">
        <f>VLOOKUP(H67,FAC_TOTALS_APTA!$A$4:$BD$126,$F76,FALSE)</f>
        <v>#N/A</v>
      </c>
      <c r="I76" s="89" t="str">
        <f t="shared" si="22"/>
        <v>-</v>
      </c>
      <c r="J76" s="90" t="str">
        <f t="shared" si="23"/>
        <v>_log</v>
      </c>
      <c r="K76" s="90" t="str">
        <f t="shared" si="24"/>
        <v>TOTAL_MED_INC_INDIV_2018_log_FAC</v>
      </c>
      <c r="L76" s="76">
        <f>MATCH($K76,FAC_TOTALS_APTA!$A$2:$BB$2,)</f>
        <v>37</v>
      </c>
      <c r="M76" s="87" t="e">
        <f>IF(M67=0,0,VLOOKUP(M67,FAC_TOTALS_APTA!$A$4:$BD$126,$L76,FALSE))</f>
        <v>#N/A</v>
      </c>
      <c r="N76" s="87" t="e">
        <f>IF(N67=0,0,VLOOKUP(N67,FAC_TOTALS_APTA!$A$4:$BD$126,$L76,FALSE))</f>
        <v>#N/A</v>
      </c>
      <c r="O76" s="87" t="e">
        <f>IF(O67=0,0,VLOOKUP(O67,FAC_TOTALS_APTA!$A$4:$BD$126,$L76,FALSE))</f>
        <v>#N/A</v>
      </c>
      <c r="P76" s="87" t="e">
        <f>IF(P67=0,0,VLOOKUP(P67,FAC_TOTALS_APTA!$A$4:$BD$126,$L76,FALSE))</f>
        <v>#N/A</v>
      </c>
      <c r="Q76" s="87" t="e">
        <f>IF(Q67=0,0,VLOOKUP(Q67,FAC_TOTALS_APTA!$A$4:$BD$126,$L76,FALSE))</f>
        <v>#N/A</v>
      </c>
      <c r="R76" s="87" t="e">
        <f>IF(R67=0,0,VLOOKUP(R67,FAC_TOTALS_APTA!$A$4:$BD$126,$L76,FALSE))</f>
        <v>#N/A</v>
      </c>
      <c r="S76" s="87">
        <f>IF(S67=0,0,VLOOKUP(S67,FAC_TOTALS_APTA!$A$4:$BD$126,$L76,FALSE))</f>
        <v>0</v>
      </c>
      <c r="T76" s="87">
        <f>IF(T67=0,0,VLOOKUP(T67,FAC_TOTALS_APTA!$A$4:$BD$126,$L76,FALSE))</f>
        <v>0</v>
      </c>
      <c r="U76" s="87">
        <f>IF(U67=0,0,VLOOKUP(U67,FAC_TOTALS_APTA!$A$4:$BD$126,$L76,FALSE))</f>
        <v>0</v>
      </c>
      <c r="V76" s="87">
        <f>IF(V67=0,0,VLOOKUP(V67,FAC_TOTALS_APTA!$A$4:$BD$126,$L76,FALSE))</f>
        <v>0</v>
      </c>
      <c r="W76" s="87">
        <f>IF(W67=0,0,VLOOKUP(W67,FAC_TOTALS_APTA!$A$4:$BD$126,$L76,FALSE))</f>
        <v>0</v>
      </c>
      <c r="X76" s="87">
        <f>IF(X67=0,0,VLOOKUP(X67,FAC_TOTALS_APTA!$A$4:$BD$126,$L76,FALSE))</f>
        <v>0</v>
      </c>
      <c r="Y76" s="87">
        <f>IF(Y67=0,0,VLOOKUP(Y67,FAC_TOTALS_APTA!$A$4:$BD$126,$L76,FALSE))</f>
        <v>0</v>
      </c>
      <c r="Z76" s="87">
        <f>IF(Z67=0,0,VLOOKUP(Z67,FAC_TOTALS_APTA!$A$4:$BD$126,$L76,FALSE))</f>
        <v>0</v>
      </c>
      <c r="AA76" s="87">
        <f>IF(AA67=0,0,VLOOKUP(AA67,FAC_TOTALS_APTA!$A$4:$BD$126,$L76,FALSE))</f>
        <v>0</v>
      </c>
      <c r="AB76" s="87">
        <f>IF(AB67=0,0,VLOOKUP(AB67,FAC_TOTALS_APTA!$A$4:$BD$126,$L76,FALSE))</f>
        <v>0</v>
      </c>
      <c r="AC76" s="91" t="e">
        <f t="shared" si="25"/>
        <v>#N/A</v>
      </c>
      <c r="AD76" s="92" t="e">
        <f>AC76/G83</f>
        <v>#N/A</v>
      </c>
    </row>
    <row r="77" spans="2:33" x14ac:dyDescent="0.25">
      <c r="B77" s="115" t="s">
        <v>62</v>
      </c>
      <c r="C77" s="116"/>
      <c r="D77" s="104" t="s">
        <v>9</v>
      </c>
      <c r="E77" s="88"/>
      <c r="F77" s="76">
        <f>MATCH($D77,FAC_TOTALS_APTA!$A$2:$BD$2,)</f>
        <v>20</v>
      </c>
      <c r="G77" s="87" t="e">
        <f>VLOOKUP(G67,FAC_TOTALS_APTA!$A$4:$BD$126,$F77,FALSE)</f>
        <v>#N/A</v>
      </c>
      <c r="H77" s="87" t="e">
        <f>VLOOKUP(H67,FAC_TOTALS_APTA!$A$4:$BD$126,$F77,FALSE)</f>
        <v>#N/A</v>
      </c>
      <c r="I77" s="89" t="str">
        <f t="shared" si="22"/>
        <v>-</v>
      </c>
      <c r="J77" s="90" t="str">
        <f t="shared" si="23"/>
        <v/>
      </c>
      <c r="K77" s="90" t="str">
        <f t="shared" si="24"/>
        <v>PCT_HH_NO_VEH_FAC</v>
      </c>
      <c r="L77" s="76">
        <f>MATCH($K77,FAC_TOTALS_APTA!$A$2:$BB$2,)</f>
        <v>38</v>
      </c>
      <c r="M77" s="87" t="e">
        <f>IF(M67=0,0,VLOOKUP(M67,FAC_TOTALS_APTA!$A$4:$BD$126,$L77,FALSE))</f>
        <v>#N/A</v>
      </c>
      <c r="N77" s="87" t="e">
        <f>IF(N67=0,0,VLOOKUP(N67,FAC_TOTALS_APTA!$A$4:$BD$126,$L77,FALSE))</f>
        <v>#N/A</v>
      </c>
      <c r="O77" s="87" t="e">
        <f>IF(O67=0,0,VLOOKUP(O67,FAC_TOTALS_APTA!$A$4:$BD$126,$L77,FALSE))</f>
        <v>#N/A</v>
      </c>
      <c r="P77" s="87" t="e">
        <f>IF(P67=0,0,VLOOKUP(P67,FAC_TOTALS_APTA!$A$4:$BD$126,$L77,FALSE))</f>
        <v>#N/A</v>
      </c>
      <c r="Q77" s="87" t="e">
        <f>IF(Q67=0,0,VLOOKUP(Q67,FAC_TOTALS_APTA!$A$4:$BD$126,$L77,FALSE))</f>
        <v>#N/A</v>
      </c>
      <c r="R77" s="87" t="e">
        <f>IF(R67=0,0,VLOOKUP(R67,FAC_TOTALS_APTA!$A$4:$BD$126,$L77,FALSE))</f>
        <v>#N/A</v>
      </c>
      <c r="S77" s="87">
        <f>IF(S67=0,0,VLOOKUP(S67,FAC_TOTALS_APTA!$A$4:$BD$126,$L77,FALSE))</f>
        <v>0</v>
      </c>
      <c r="T77" s="87">
        <f>IF(T67=0,0,VLOOKUP(T67,FAC_TOTALS_APTA!$A$4:$BD$126,$L77,FALSE))</f>
        <v>0</v>
      </c>
      <c r="U77" s="87">
        <f>IF(U67=0,0,VLOOKUP(U67,FAC_TOTALS_APTA!$A$4:$BD$126,$L77,FALSE))</f>
        <v>0</v>
      </c>
      <c r="V77" s="87">
        <f>IF(V67=0,0,VLOOKUP(V67,FAC_TOTALS_APTA!$A$4:$BD$126,$L77,FALSE))</f>
        <v>0</v>
      </c>
      <c r="W77" s="87">
        <f>IF(W67=0,0,VLOOKUP(W67,FAC_TOTALS_APTA!$A$4:$BD$126,$L77,FALSE))</f>
        <v>0</v>
      </c>
      <c r="X77" s="87">
        <f>IF(X67=0,0,VLOOKUP(X67,FAC_TOTALS_APTA!$A$4:$BD$126,$L77,FALSE))</f>
        <v>0</v>
      </c>
      <c r="Y77" s="87">
        <f>IF(Y67=0,0,VLOOKUP(Y67,FAC_TOTALS_APTA!$A$4:$BD$126,$L77,FALSE))</f>
        <v>0</v>
      </c>
      <c r="Z77" s="87">
        <f>IF(Z67=0,0,VLOOKUP(Z67,FAC_TOTALS_APTA!$A$4:$BD$126,$L77,FALSE))</f>
        <v>0</v>
      </c>
      <c r="AA77" s="87">
        <f>IF(AA67=0,0,VLOOKUP(AA67,FAC_TOTALS_APTA!$A$4:$BD$126,$L77,FALSE))</f>
        <v>0</v>
      </c>
      <c r="AB77" s="87">
        <f>IF(AB67=0,0,VLOOKUP(AB67,FAC_TOTALS_APTA!$A$4:$BD$126,$L77,FALSE))</f>
        <v>0</v>
      </c>
      <c r="AC77" s="91" t="e">
        <f t="shared" si="25"/>
        <v>#N/A</v>
      </c>
      <c r="AD77" s="92" t="e">
        <f>AC77/G83</f>
        <v>#N/A</v>
      </c>
    </row>
    <row r="78" spans="2:33" x14ac:dyDescent="0.25">
      <c r="B78" s="115" t="s">
        <v>47</v>
      </c>
      <c r="C78" s="116"/>
      <c r="D78" s="104" t="s">
        <v>28</v>
      </c>
      <c r="E78" s="88"/>
      <c r="F78" s="76">
        <f>MATCH($D78,FAC_TOTALS_APTA!$A$2:$BD$2,)</f>
        <v>21</v>
      </c>
      <c r="G78" s="94" t="e">
        <f>VLOOKUP(G67,FAC_TOTALS_APTA!$A$4:$BD$126,$F78,FALSE)</f>
        <v>#N/A</v>
      </c>
      <c r="H78" s="94" t="e">
        <f>VLOOKUP(H67,FAC_TOTALS_APTA!$A$4:$BD$126,$F78,FALSE)</f>
        <v>#N/A</v>
      </c>
      <c r="I78" s="89" t="str">
        <f t="shared" si="22"/>
        <v>-</v>
      </c>
      <c r="J78" s="90" t="str">
        <f t="shared" si="23"/>
        <v/>
      </c>
      <c r="K78" s="90" t="str">
        <f t="shared" si="24"/>
        <v>JTW_HOME_PCT_FAC</v>
      </c>
      <c r="L78" s="76">
        <f>MATCH($K78,FAC_TOTALS_APTA!$A$2:$BB$2,)</f>
        <v>39</v>
      </c>
      <c r="M78" s="87" t="e">
        <f>IF(M67=0,0,VLOOKUP(M67,FAC_TOTALS_APTA!$A$4:$BD$126,$L78,FALSE))</f>
        <v>#N/A</v>
      </c>
      <c r="N78" s="87" t="e">
        <f>IF(N67=0,0,VLOOKUP(N67,FAC_TOTALS_APTA!$A$4:$BD$126,$L78,FALSE))</f>
        <v>#N/A</v>
      </c>
      <c r="O78" s="87" t="e">
        <f>IF(O67=0,0,VLOOKUP(O67,FAC_TOTALS_APTA!$A$4:$BD$126,$L78,FALSE))</f>
        <v>#N/A</v>
      </c>
      <c r="P78" s="87" t="e">
        <f>IF(P67=0,0,VLOOKUP(P67,FAC_TOTALS_APTA!$A$4:$BD$126,$L78,FALSE))</f>
        <v>#N/A</v>
      </c>
      <c r="Q78" s="87" t="e">
        <f>IF(Q67=0,0,VLOOKUP(Q67,FAC_TOTALS_APTA!$A$4:$BD$126,$L78,FALSE))</f>
        <v>#N/A</v>
      </c>
      <c r="R78" s="87" t="e">
        <f>IF(R67=0,0,VLOOKUP(R67,FAC_TOTALS_APTA!$A$4:$BD$126,$L78,FALSE))</f>
        <v>#N/A</v>
      </c>
      <c r="S78" s="87">
        <f>IF(S67=0,0,VLOOKUP(S67,FAC_TOTALS_APTA!$A$4:$BD$126,$L78,FALSE))</f>
        <v>0</v>
      </c>
      <c r="T78" s="87">
        <f>IF(T67=0,0,VLOOKUP(T67,FAC_TOTALS_APTA!$A$4:$BD$126,$L78,FALSE))</f>
        <v>0</v>
      </c>
      <c r="U78" s="87">
        <f>IF(U67=0,0,VLOOKUP(U67,FAC_TOTALS_APTA!$A$4:$BD$126,$L78,FALSE))</f>
        <v>0</v>
      </c>
      <c r="V78" s="87">
        <f>IF(V67=0,0,VLOOKUP(V67,FAC_TOTALS_APTA!$A$4:$BD$126,$L78,FALSE))</f>
        <v>0</v>
      </c>
      <c r="W78" s="87">
        <f>IF(W67=0,0,VLOOKUP(W67,FAC_TOTALS_APTA!$A$4:$BD$126,$L78,FALSE))</f>
        <v>0</v>
      </c>
      <c r="X78" s="87">
        <f>IF(X67=0,0,VLOOKUP(X67,FAC_TOTALS_APTA!$A$4:$BD$126,$L78,FALSE))</f>
        <v>0</v>
      </c>
      <c r="Y78" s="87">
        <f>IF(Y67=0,0,VLOOKUP(Y67,FAC_TOTALS_APTA!$A$4:$BD$126,$L78,FALSE))</f>
        <v>0</v>
      </c>
      <c r="Z78" s="87">
        <f>IF(Z67=0,0,VLOOKUP(Z67,FAC_TOTALS_APTA!$A$4:$BD$126,$L78,FALSE))</f>
        <v>0</v>
      </c>
      <c r="AA78" s="87">
        <f>IF(AA67=0,0,VLOOKUP(AA67,FAC_TOTALS_APTA!$A$4:$BD$126,$L78,FALSE))</f>
        <v>0</v>
      </c>
      <c r="AB78" s="87">
        <f>IF(AB67=0,0,VLOOKUP(AB67,FAC_TOTALS_APTA!$A$4:$BD$126,$L78,FALSE))</f>
        <v>0</v>
      </c>
      <c r="AC78" s="91" t="e">
        <f t="shared" si="25"/>
        <v>#N/A</v>
      </c>
      <c r="AD78" s="92" t="e">
        <f>AC78/G83</f>
        <v>#N/A</v>
      </c>
    </row>
    <row r="79" spans="2:33" x14ac:dyDescent="0.25">
      <c r="B79" s="115" t="s">
        <v>63</v>
      </c>
      <c r="C79" s="116"/>
      <c r="D79" s="126" t="s">
        <v>69</v>
      </c>
      <c r="E79" s="88"/>
      <c r="F79" s="76">
        <f>MATCH($D79,FAC_TOTALS_APTA!$A$2:$BD$2,)</f>
        <v>27</v>
      </c>
      <c r="G79" s="94" t="e">
        <f>VLOOKUP(G67,FAC_TOTALS_APTA!$A$4:$BD$126,$F79,FALSE)</f>
        <v>#N/A</v>
      </c>
      <c r="H79" s="94" t="e">
        <f>VLOOKUP(H67,FAC_TOTALS_APTA!$A$4:$BD$126,$F79,FALSE)</f>
        <v>#N/A</v>
      </c>
      <c r="I79" s="89" t="str">
        <f t="shared" si="22"/>
        <v>-</v>
      </c>
      <c r="J79" s="90"/>
      <c r="K79" s="90" t="str">
        <f t="shared" si="24"/>
        <v>YEARS_SINCE_TNC_RAIL_MID_FAC</v>
      </c>
      <c r="L79" s="76">
        <f>MATCH($K79,FAC_TOTALS_APTA!$A$2:$BB$2,)</f>
        <v>45</v>
      </c>
      <c r="M79" s="87" t="e">
        <f>IF(M67=0,0,VLOOKUP(M67,FAC_TOTALS_APTA!$A$4:$BD$126,$L79,FALSE))</f>
        <v>#N/A</v>
      </c>
      <c r="N79" s="87" t="e">
        <f>IF(N67=0,0,VLOOKUP(N67,FAC_TOTALS_APTA!$A$4:$BD$126,$L79,FALSE))</f>
        <v>#N/A</v>
      </c>
      <c r="O79" s="87" t="e">
        <f>IF(O67=0,0,VLOOKUP(O67,FAC_TOTALS_APTA!$A$4:$BD$126,$L79,FALSE))</f>
        <v>#N/A</v>
      </c>
      <c r="P79" s="87" t="e">
        <f>IF(P67=0,0,VLOOKUP(P67,FAC_TOTALS_APTA!$A$4:$BD$126,$L79,FALSE))</f>
        <v>#N/A</v>
      </c>
      <c r="Q79" s="87" t="e">
        <f>IF(Q67=0,0,VLOOKUP(Q67,FAC_TOTALS_APTA!$A$4:$BD$126,$L79,FALSE))</f>
        <v>#N/A</v>
      </c>
      <c r="R79" s="87" t="e">
        <f>IF(R67=0,0,VLOOKUP(R67,FAC_TOTALS_APTA!$A$4:$BD$126,$L79,FALSE))</f>
        <v>#N/A</v>
      </c>
      <c r="S79" s="87">
        <f>IF(S67=0,0,VLOOKUP(S67,FAC_TOTALS_APTA!$A$4:$BD$126,$L79,FALSE))</f>
        <v>0</v>
      </c>
      <c r="T79" s="87">
        <f>IF(T67=0,0,VLOOKUP(T67,FAC_TOTALS_APTA!$A$4:$BD$126,$L79,FALSE))</f>
        <v>0</v>
      </c>
      <c r="U79" s="87">
        <f>IF(U67=0,0,VLOOKUP(U67,FAC_TOTALS_APTA!$A$4:$BD$126,$L79,FALSE))</f>
        <v>0</v>
      </c>
      <c r="V79" s="87">
        <f>IF(V67=0,0,VLOOKUP(V67,FAC_TOTALS_APTA!$A$4:$BD$126,$L79,FALSE))</f>
        <v>0</v>
      </c>
      <c r="W79" s="87">
        <f>IF(W67=0,0,VLOOKUP(W67,FAC_TOTALS_APTA!$A$4:$BD$126,$L79,FALSE))</f>
        <v>0</v>
      </c>
      <c r="X79" s="87">
        <f>IF(X67=0,0,VLOOKUP(X67,FAC_TOTALS_APTA!$A$4:$BD$126,$L79,FALSE))</f>
        <v>0</v>
      </c>
      <c r="Y79" s="87">
        <f>IF(Y67=0,0,VLOOKUP(Y67,FAC_TOTALS_APTA!$A$4:$BD$126,$L79,FALSE))</f>
        <v>0</v>
      </c>
      <c r="Z79" s="87">
        <f>IF(Z67=0,0,VLOOKUP(Z67,FAC_TOTALS_APTA!$A$4:$BD$126,$L79,FALSE))</f>
        <v>0</v>
      </c>
      <c r="AA79" s="87">
        <f>IF(AA67=0,0,VLOOKUP(AA67,FAC_TOTALS_APTA!$A$4:$BD$126,$L79,FALSE))</f>
        <v>0</v>
      </c>
      <c r="AB79" s="87">
        <f>IF(AB67=0,0,VLOOKUP(AB67,FAC_TOTALS_APTA!$A$4:$BD$126,$L79,FALSE))</f>
        <v>0</v>
      </c>
      <c r="AC79" s="91" t="e">
        <f t="shared" si="25"/>
        <v>#N/A</v>
      </c>
      <c r="AD79" s="92" t="e">
        <f>AC79/G83</f>
        <v>#N/A</v>
      </c>
      <c r="AG79" s="53"/>
    </row>
    <row r="80" spans="2:33" x14ac:dyDescent="0.25">
      <c r="B80" s="115" t="s">
        <v>64</v>
      </c>
      <c r="C80" s="116"/>
      <c r="D80" s="104" t="s">
        <v>43</v>
      </c>
      <c r="E80" s="88"/>
      <c r="F80" s="76">
        <f>MATCH($D80,FAC_TOTALS_APTA!$A$2:$BD$2,)</f>
        <v>28</v>
      </c>
      <c r="G80" s="94" t="e">
        <f>VLOOKUP(G67,FAC_TOTALS_APTA!$A$4:$BD$126,$F80,FALSE)</f>
        <v>#N/A</v>
      </c>
      <c r="H80" s="94" t="e">
        <f>VLOOKUP(H67,FAC_TOTALS_APTA!$A$4:$BD$126,$F80,FALSE)</f>
        <v>#N/A</v>
      </c>
      <c r="I80" s="89" t="str">
        <f t="shared" si="22"/>
        <v>-</v>
      </c>
      <c r="J80" s="90" t="str">
        <f t="shared" ref="J80:J81" si="26">IF(C80="Log","_log","")</f>
        <v/>
      </c>
      <c r="K80" s="90" t="str">
        <f t="shared" si="24"/>
        <v>BIKE_SHARE_FAC</v>
      </c>
      <c r="L80" s="76">
        <f>MATCH($K80,FAC_TOTALS_APTA!$A$2:$BB$2,)</f>
        <v>46</v>
      </c>
      <c r="M80" s="87" t="e">
        <f>IF(M67=0,0,VLOOKUP(M67,FAC_TOTALS_APTA!$A$4:$BD$126,$L80,FALSE))</f>
        <v>#N/A</v>
      </c>
      <c r="N80" s="87" t="e">
        <f>IF(N67=0,0,VLOOKUP(N67,FAC_TOTALS_APTA!$A$4:$BD$126,$L80,FALSE))</f>
        <v>#N/A</v>
      </c>
      <c r="O80" s="87" t="e">
        <f>IF(O67=0,0,VLOOKUP(O67,FAC_TOTALS_APTA!$A$4:$BD$126,$L80,FALSE))</f>
        <v>#N/A</v>
      </c>
      <c r="P80" s="87" t="e">
        <f>IF(P67=0,0,VLOOKUP(P67,FAC_TOTALS_APTA!$A$4:$BD$126,$L80,FALSE))</f>
        <v>#N/A</v>
      </c>
      <c r="Q80" s="87" t="e">
        <f>IF(Q67=0,0,VLOOKUP(Q67,FAC_TOTALS_APTA!$A$4:$BD$126,$L80,FALSE))</f>
        <v>#N/A</v>
      </c>
      <c r="R80" s="87" t="e">
        <f>IF(R67=0,0,VLOOKUP(R67,FAC_TOTALS_APTA!$A$4:$BD$126,$L80,FALSE))</f>
        <v>#N/A</v>
      </c>
      <c r="S80" s="87">
        <f>IF(S67=0,0,VLOOKUP(S67,FAC_TOTALS_APTA!$A$4:$BD$126,$L80,FALSE))</f>
        <v>0</v>
      </c>
      <c r="T80" s="87">
        <f>IF(T67=0,0,VLOOKUP(T67,FAC_TOTALS_APTA!$A$4:$BD$126,$L80,FALSE))</f>
        <v>0</v>
      </c>
      <c r="U80" s="87">
        <f>IF(U67=0,0,VLOOKUP(U67,FAC_TOTALS_APTA!$A$4:$BD$126,$L80,FALSE))</f>
        <v>0</v>
      </c>
      <c r="V80" s="87">
        <f>IF(V67=0,0,VLOOKUP(V67,FAC_TOTALS_APTA!$A$4:$BD$126,$L80,FALSE))</f>
        <v>0</v>
      </c>
      <c r="W80" s="87">
        <f>IF(W67=0,0,VLOOKUP(W67,FAC_TOTALS_APTA!$A$4:$BD$126,$L80,FALSE))</f>
        <v>0</v>
      </c>
      <c r="X80" s="87">
        <f>IF(X67=0,0,VLOOKUP(X67,FAC_TOTALS_APTA!$A$4:$BD$126,$L80,FALSE))</f>
        <v>0</v>
      </c>
      <c r="Y80" s="87">
        <f>IF(Y67=0,0,VLOOKUP(Y67,FAC_TOTALS_APTA!$A$4:$BD$126,$L80,FALSE))</f>
        <v>0</v>
      </c>
      <c r="Z80" s="87">
        <f>IF(Z67=0,0,VLOOKUP(Z67,FAC_TOTALS_APTA!$A$4:$BD$126,$L80,FALSE))</f>
        <v>0</v>
      </c>
      <c r="AA80" s="87">
        <f>IF(AA67=0,0,VLOOKUP(AA67,FAC_TOTALS_APTA!$A$4:$BD$126,$L80,FALSE))</f>
        <v>0</v>
      </c>
      <c r="AB80" s="87">
        <f>IF(AB67=0,0,VLOOKUP(AB67,FAC_TOTALS_APTA!$A$4:$BD$126,$L80,FALSE))</f>
        <v>0</v>
      </c>
      <c r="AC80" s="91" t="e">
        <f t="shared" si="25"/>
        <v>#N/A</v>
      </c>
      <c r="AD80" s="92" t="e">
        <f>AC80/G83</f>
        <v>#N/A</v>
      </c>
      <c r="AG80" s="53"/>
    </row>
    <row r="81" spans="2:33" x14ac:dyDescent="0.25">
      <c r="B81" s="127" t="s">
        <v>65</v>
      </c>
      <c r="C81" s="128"/>
      <c r="D81" s="129" t="s">
        <v>44</v>
      </c>
      <c r="E81" s="95"/>
      <c r="F81" s="86">
        <f>MATCH($D81,FAC_TOTALS_APTA!$A$2:$BD$2,)</f>
        <v>29</v>
      </c>
      <c r="G81" s="96" t="e">
        <f>VLOOKUP(G67,FAC_TOTALS_APTA!$A$4:$BD$126,$F81,FALSE)</f>
        <v>#N/A</v>
      </c>
      <c r="H81" s="96" t="e">
        <f>VLOOKUP(H67,FAC_TOTALS_APTA!$A$4:$BD$126,$F81,FALSE)</f>
        <v>#N/A</v>
      </c>
      <c r="I81" s="97" t="str">
        <f t="shared" si="22"/>
        <v>-</v>
      </c>
      <c r="J81" s="98" t="str">
        <f t="shared" si="26"/>
        <v/>
      </c>
      <c r="K81" s="98" t="str">
        <f t="shared" si="24"/>
        <v>scooter_flag_FAC</v>
      </c>
      <c r="L81" s="86">
        <f>MATCH($K81,FAC_TOTALS_APTA!$A$2:$BB$2,)</f>
        <v>47</v>
      </c>
      <c r="M81" s="99" t="e">
        <f>IF(M67=0,0,VLOOKUP(M67,FAC_TOTALS_APTA!$A$4:$BD$126,$L81,FALSE))</f>
        <v>#N/A</v>
      </c>
      <c r="N81" s="99" t="e">
        <f>IF(N67=0,0,VLOOKUP(N67,FAC_TOTALS_APTA!$A$4:$BD$126,$L81,FALSE))</f>
        <v>#N/A</v>
      </c>
      <c r="O81" s="99" t="e">
        <f>IF(O67=0,0,VLOOKUP(O67,FAC_TOTALS_APTA!$A$4:$BD$126,$L81,FALSE))</f>
        <v>#N/A</v>
      </c>
      <c r="P81" s="99" t="e">
        <f>IF(P67=0,0,VLOOKUP(P67,FAC_TOTALS_APTA!$A$4:$BD$126,$L81,FALSE))</f>
        <v>#N/A</v>
      </c>
      <c r="Q81" s="99" t="e">
        <f>IF(Q67=0,0,VLOOKUP(Q67,FAC_TOTALS_APTA!$A$4:$BD$126,$L81,FALSE))</f>
        <v>#N/A</v>
      </c>
      <c r="R81" s="99" t="e">
        <f>IF(R67=0,0,VLOOKUP(R67,FAC_TOTALS_APTA!$A$4:$BD$126,$L81,FALSE))</f>
        <v>#N/A</v>
      </c>
      <c r="S81" s="99">
        <f>IF(S67=0,0,VLOOKUP(S67,FAC_TOTALS_APTA!$A$4:$BD$126,$L81,FALSE))</f>
        <v>0</v>
      </c>
      <c r="T81" s="99">
        <f>IF(T67=0,0,VLOOKUP(T67,FAC_TOTALS_APTA!$A$4:$BD$126,$L81,FALSE))</f>
        <v>0</v>
      </c>
      <c r="U81" s="99">
        <f>IF(U67=0,0,VLOOKUP(U67,FAC_TOTALS_APTA!$A$4:$BD$126,$L81,FALSE))</f>
        <v>0</v>
      </c>
      <c r="V81" s="99">
        <f>IF(V67=0,0,VLOOKUP(V67,FAC_TOTALS_APTA!$A$4:$BD$126,$L81,FALSE))</f>
        <v>0</v>
      </c>
      <c r="W81" s="99">
        <f>IF(W67=0,0,VLOOKUP(W67,FAC_TOTALS_APTA!$A$4:$BD$126,$L81,FALSE))</f>
        <v>0</v>
      </c>
      <c r="X81" s="99">
        <f>IF(X67=0,0,VLOOKUP(X67,FAC_TOTALS_APTA!$A$4:$BD$126,$L81,FALSE))</f>
        <v>0</v>
      </c>
      <c r="Y81" s="99">
        <f>IF(Y67=0,0,VLOOKUP(Y67,FAC_TOTALS_APTA!$A$4:$BD$126,$L81,FALSE))</f>
        <v>0</v>
      </c>
      <c r="Z81" s="99">
        <f>IF(Z67=0,0,VLOOKUP(Z67,FAC_TOTALS_APTA!$A$4:$BD$126,$L81,FALSE))</f>
        <v>0</v>
      </c>
      <c r="AA81" s="99">
        <f>IF(AA67=0,0,VLOOKUP(AA67,FAC_TOTALS_APTA!$A$4:$BD$126,$L81,FALSE))</f>
        <v>0</v>
      </c>
      <c r="AB81" s="99">
        <f>IF(AB67=0,0,VLOOKUP(AB67,FAC_TOTALS_APTA!$A$4:$BD$126,$L81,FALSE))</f>
        <v>0</v>
      </c>
      <c r="AC81" s="100" t="e">
        <f t="shared" si="25"/>
        <v>#N/A</v>
      </c>
      <c r="AD81" s="101" t="e">
        <f>AC81/G83</f>
        <v>#N/A</v>
      </c>
      <c r="AG81" s="53"/>
    </row>
    <row r="82" spans="2:33" x14ac:dyDescent="0.2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ref="K82" si="27">CONCATENATE(D82,J82,"_FAC")</f>
        <v>New_Reporter_FAC</v>
      </c>
      <c r="L82" s="44">
        <f>MATCH($K82,FAC_TOTALS_APTA!$A$2:$BB$2,)</f>
        <v>51</v>
      </c>
      <c r="M82" s="45" t="e">
        <f>IF(M67=0,0,VLOOKUP(M67,FAC_TOTALS_APTA!$A$4:$BD$126,$L82,FALSE))</f>
        <v>#N/A</v>
      </c>
      <c r="N82" s="45" t="e">
        <f>IF(N67=0,0,VLOOKUP(N67,FAC_TOTALS_APTA!$A$4:$BD$126,$L82,FALSE))</f>
        <v>#N/A</v>
      </c>
      <c r="O82" s="45" t="e">
        <f>IF(O67=0,0,VLOOKUP(O67,FAC_TOTALS_APTA!$A$4:$BD$126,$L82,FALSE))</f>
        <v>#N/A</v>
      </c>
      <c r="P82" s="45" t="e">
        <f>IF(P67=0,0,VLOOKUP(P67,FAC_TOTALS_APTA!$A$4:$BD$126,$L82,FALSE))</f>
        <v>#N/A</v>
      </c>
      <c r="Q82" s="45" t="e">
        <f>IF(Q67=0,0,VLOOKUP(Q67,FAC_TOTALS_APTA!$A$4:$BD$126,$L82,FALSE))</f>
        <v>#N/A</v>
      </c>
      <c r="R82" s="45" t="e">
        <f>IF(R67=0,0,VLOOKUP(R67,FAC_TOTALS_APTA!$A$4:$BD$126,$L82,FALSE))</f>
        <v>#N/A</v>
      </c>
      <c r="S82" s="45">
        <f>IF(S67=0,0,VLOOKUP(S67,FAC_TOTALS_APTA!$A$4:$BD$126,$L82,FALSE))</f>
        <v>0</v>
      </c>
      <c r="T82" s="45">
        <f>IF(T67=0,0,VLOOKUP(T67,FAC_TOTALS_APTA!$A$4:$BD$126,$L82,FALSE))</f>
        <v>0</v>
      </c>
      <c r="U82" s="45">
        <f>IF(U67=0,0,VLOOKUP(U67,FAC_TOTALS_APTA!$A$4:$BD$126,$L82,FALSE))</f>
        <v>0</v>
      </c>
      <c r="V82" s="45">
        <f>IF(V67=0,0,VLOOKUP(V67,FAC_TOTALS_APTA!$A$4:$BD$126,$L82,FALSE))</f>
        <v>0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 t="e">
        <f>SUM(M82:AB82)</f>
        <v>#N/A</v>
      </c>
      <c r="AD82" s="49" t="e">
        <f>AC82/G84</f>
        <v>#N/A</v>
      </c>
    </row>
    <row r="83" spans="2:33" x14ac:dyDescent="0.25"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0" t="e">
        <f>VLOOKUP(G67,FAC_TOTALS_APTA!$A$4:$BD$126,$F83,FALSE)</f>
        <v>#N/A</v>
      </c>
      <c r="H83" s="110" t="e">
        <f>VLOOKUP(H67,FAC_TOTALS_APTA!$A$4:$BB$126,$F83,FALSE)</f>
        <v>#N/A</v>
      </c>
      <c r="I83" s="112" t="e">
        <f t="shared" ref="I83" si="28">H83/G83-1</f>
        <v>#N/A</v>
      </c>
      <c r="J83" s="31"/>
      <c r="K83" s="31"/>
      <c r="L83" s="6"/>
      <c r="M83" s="29" t="e">
        <f t="shared" ref="M83:AB83" si="29">SUM(M69:M76)</f>
        <v>#N/A</v>
      </c>
      <c r="N83" s="29" t="e">
        <f t="shared" si="29"/>
        <v>#N/A</v>
      </c>
      <c r="O83" s="29" t="e">
        <f t="shared" si="29"/>
        <v>#N/A</v>
      </c>
      <c r="P83" s="29" t="e">
        <f t="shared" si="29"/>
        <v>#N/A</v>
      </c>
      <c r="Q83" s="29" t="e">
        <f t="shared" si="29"/>
        <v>#N/A</v>
      </c>
      <c r="R83" s="29" t="e">
        <f t="shared" si="29"/>
        <v>#N/A</v>
      </c>
      <c r="S83" s="29">
        <f t="shared" si="29"/>
        <v>0</v>
      </c>
      <c r="T83" s="29">
        <f t="shared" si="29"/>
        <v>0</v>
      </c>
      <c r="U83" s="29">
        <f t="shared" si="29"/>
        <v>0</v>
      </c>
      <c r="V83" s="29">
        <f t="shared" si="29"/>
        <v>0</v>
      </c>
      <c r="W83" s="29">
        <f t="shared" si="29"/>
        <v>0</v>
      </c>
      <c r="X83" s="29">
        <f t="shared" si="29"/>
        <v>0</v>
      </c>
      <c r="Y83" s="29">
        <f t="shared" si="29"/>
        <v>0</v>
      </c>
      <c r="Z83" s="29">
        <f t="shared" si="29"/>
        <v>0</v>
      </c>
      <c r="AA83" s="29">
        <f t="shared" si="29"/>
        <v>0</v>
      </c>
      <c r="AB83" s="29">
        <f t="shared" si="29"/>
        <v>0</v>
      </c>
      <c r="AC83" s="32" t="e">
        <f>H83-G83</f>
        <v>#N/A</v>
      </c>
      <c r="AD83" s="33" t="e">
        <f>I83</f>
        <v>#N/A</v>
      </c>
    </row>
    <row r="84" spans="2:33" ht="13.5" thickBot="1" x14ac:dyDescent="0.3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1" t="e">
        <f>VLOOKUP(G67,FAC_TOTALS_APTA!$A$4:$BB$126,$F84,FALSE)</f>
        <v>#N/A</v>
      </c>
      <c r="H84" s="111" t="e">
        <f>VLOOKUP(H67,FAC_TOTALS_APTA!$A$4:$BB$126,$F84,FALSE)</f>
        <v>#N/A</v>
      </c>
      <c r="I84" s="113" t="e">
        <f t="shared" ref="I84" si="30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2:33" ht="14.25" thickTop="1" thickBot="1" x14ac:dyDescent="0.3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2:33" ht="13.5" thickTop="1" x14ac:dyDescent="0.25"/>
    <row r="87" spans="2:33" s="10" customFormat="1" x14ac:dyDescent="0.25">
      <c r="B87" s="18" t="s">
        <v>25</v>
      </c>
      <c r="E87" s="6"/>
      <c r="I87" s="17"/>
    </row>
    <row r="88" spans="2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2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2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2:33" ht="13.5" thickBot="1" x14ac:dyDescent="0.3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2:33" ht="13.5" thickTop="1" x14ac:dyDescent="0.25">
      <c r="B92" s="25"/>
      <c r="C92" s="6"/>
      <c r="D92" s="62"/>
      <c r="E92" s="6"/>
      <c r="F92" s="6"/>
      <c r="G92" s="176" t="s">
        <v>51</v>
      </c>
      <c r="H92" s="176"/>
      <c r="I92" s="176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76" t="s">
        <v>55</v>
      </c>
      <c r="AD92" s="176"/>
    </row>
    <row r="93" spans="2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2012</v>
      </c>
      <c r="H93" s="27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2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2:33" hidden="1" x14ac:dyDescent="0.25">
      <c r="B95" s="25"/>
      <c r="C95" s="28"/>
      <c r="D95" s="6"/>
      <c r="E95" s="6"/>
      <c r="F95" s="6"/>
      <c r="G95" s="6" t="str">
        <f>CONCATENATE($C90,"_",$C91,"_",G93)</f>
        <v>1_10_2012</v>
      </c>
      <c r="H95" s="6" t="str">
        <f>CONCATENATE($C90,"_",$C91,"_",H93)</f>
        <v>1_10_2018</v>
      </c>
      <c r="I95" s="28"/>
      <c r="J95" s="6"/>
      <c r="K95" s="6"/>
      <c r="L95" s="6"/>
      <c r="M95" s="6" t="str">
        <f>IF($G93+M94&gt;$H93,0,CONCATENATE($C90,"_",$C91,"_",$G93+M94))</f>
        <v>1_10_2013</v>
      </c>
      <c r="N95" s="6" t="str">
        <f t="shared" ref="N95:AB95" si="31">IF($G93+N94&gt;$H93,0,CONCATENATE($C90,"_",$C91,"_",$G93+N94))</f>
        <v>1_10_2014</v>
      </c>
      <c r="O95" s="6" t="str">
        <f t="shared" si="31"/>
        <v>1_10_2015</v>
      </c>
      <c r="P95" s="6" t="str">
        <f t="shared" si="31"/>
        <v>1_10_2016</v>
      </c>
      <c r="Q95" s="6" t="str">
        <f t="shared" si="31"/>
        <v>1_10_2017</v>
      </c>
      <c r="R95" s="6" t="str">
        <f t="shared" si="31"/>
        <v>1_10_2018</v>
      </c>
      <c r="S95" s="6">
        <f t="shared" si="31"/>
        <v>0</v>
      </c>
      <c r="T95" s="6">
        <f t="shared" si="31"/>
        <v>0</v>
      </c>
      <c r="U95" s="6">
        <f t="shared" si="31"/>
        <v>0</v>
      </c>
      <c r="V95" s="6">
        <f t="shared" si="31"/>
        <v>0</v>
      </c>
      <c r="W95" s="6">
        <f t="shared" si="31"/>
        <v>0</v>
      </c>
      <c r="X95" s="6">
        <f t="shared" si="31"/>
        <v>0</v>
      </c>
      <c r="Y95" s="6">
        <f t="shared" si="31"/>
        <v>0</v>
      </c>
      <c r="Z95" s="6">
        <f t="shared" si="31"/>
        <v>0</v>
      </c>
      <c r="AA95" s="6">
        <f t="shared" si="31"/>
        <v>0</v>
      </c>
      <c r="AB95" s="6">
        <f t="shared" si="31"/>
        <v>0</v>
      </c>
      <c r="AC95" s="6"/>
      <c r="AD95" s="6"/>
    </row>
    <row r="96" spans="2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31</v>
      </c>
      <c r="C97" s="116" t="s">
        <v>21</v>
      </c>
      <c r="D97" s="104" t="s">
        <v>91</v>
      </c>
      <c r="E97" s="55"/>
      <c r="F97" s="6">
        <f>MATCH($D97,FAC_TOTALS_APTA!$A$2:$BD$2,)</f>
        <v>13</v>
      </c>
      <c r="G97" s="29">
        <f>VLOOKUP(G95,FAC_TOTALS_APTA!$A$4:$BD$126,$F97,FALSE)</f>
        <v>542311539</v>
      </c>
      <c r="H97" s="29">
        <f>VLOOKUP(H95,FAC_TOTALS_APTA!$A$4:$BD$126,$F97,FALSE)</f>
        <v>560645668</v>
      </c>
      <c r="I97" s="30">
        <f>IFERROR(H97/G97-1,"-")</f>
        <v>3.3807373956687981E-2</v>
      </c>
      <c r="J97" s="31" t="str">
        <f>IF(C97="Log","_log","")</f>
        <v>_log</v>
      </c>
      <c r="K97" s="31" t="str">
        <f>CONCATENATE(D97,J97,"_FAC")</f>
        <v>VRM_ADJ_RAIL_log_FAC</v>
      </c>
      <c r="L97" s="6">
        <f>MATCH($K97,FAC_TOTALS_APTA!$A$2:$BB$2,)</f>
        <v>31</v>
      </c>
      <c r="M97" s="29">
        <f>IF(M95=0,0,VLOOKUP(M95,FAC_TOTALS_APTA!$A$4:$BD$126,$L97,FALSE))</f>
        <v>43139104.709113702</v>
      </c>
      <c r="N97" s="29">
        <f>IF(N95=0,0,VLOOKUP(N95,FAC_TOTALS_APTA!$A$4:$BD$126,$L97,FALSE))</f>
        <v>25011905.241103601</v>
      </c>
      <c r="O97" s="29">
        <f>IF(O95=0,0,VLOOKUP(O95,FAC_TOTALS_APTA!$A$4:$BD$126,$L97,FALSE))</f>
        <v>4418332.0194261102</v>
      </c>
      <c r="P97" s="29">
        <f>IF(P95=0,0,VLOOKUP(P95,FAC_TOTALS_APTA!$A$4:$BD$126,$L97,FALSE))</f>
        <v>-1875047.1894322301</v>
      </c>
      <c r="Q97" s="29">
        <f>IF(Q95=0,0,VLOOKUP(Q95,FAC_TOTALS_APTA!$A$4:$BD$126,$L97,FALSE))</f>
        <v>11691154.9746543</v>
      </c>
      <c r="R97" s="29">
        <f>IF(R95=0,0,VLOOKUP(R95,FAC_TOTALS_APTA!$A$4:$BD$126,$L97,FALSE))</f>
        <v>-16713601.034459401</v>
      </c>
      <c r="S97" s="29">
        <f>IF(S95=0,0,VLOOKUP(S95,FAC_TOTALS_APTA!$A$4:$BD$126,$L97,FALSE))</f>
        <v>0</v>
      </c>
      <c r="T97" s="29">
        <f>IF(T95=0,0,VLOOKUP(T95,FAC_TOTALS_APTA!$A$4:$BD$126,$L97,FALSE))</f>
        <v>0</v>
      </c>
      <c r="U97" s="29">
        <f>IF(U95=0,0,VLOOKUP(U95,FAC_TOTALS_APTA!$A$4:$BD$126,$L97,FALSE))</f>
        <v>0</v>
      </c>
      <c r="V97" s="29">
        <f>IF(V95=0,0,VLOOKUP(V95,FAC_TOTALS_APTA!$A$4:$BD$126,$L97,FALSE))</f>
        <v>0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65671848.720406085</v>
      </c>
      <c r="AD97" s="33">
        <f>AC97/G111</f>
        <v>1.8618803262250405E-2</v>
      </c>
    </row>
    <row r="98" spans="1:31" x14ac:dyDescent="0.25">
      <c r="B98" s="115" t="s">
        <v>52</v>
      </c>
      <c r="C98" s="116" t="s">
        <v>21</v>
      </c>
      <c r="D98" s="104" t="s">
        <v>92</v>
      </c>
      <c r="E98" s="55"/>
      <c r="F98" s="6">
        <f>MATCH($D98,FAC_TOTALS_APTA!$A$2:$BD$2,)</f>
        <v>15</v>
      </c>
      <c r="G98" s="54">
        <f>VLOOKUP(G95,FAC_TOTALS_APTA!$A$4:$BD$126,$F98,FALSE)</f>
        <v>1.6964752675200001</v>
      </c>
      <c r="H98" s="54">
        <f>VLOOKUP(H95,FAC_TOTALS_APTA!$A$4:$BD$126,$F98,FALSE)</f>
        <v>1.9555512669999999</v>
      </c>
      <c r="I98" s="30">
        <f t="shared" ref="I98:I109" si="32">IFERROR(H98/G98-1,"-")</f>
        <v>0.15271428027284539</v>
      </c>
      <c r="J98" s="31" t="str">
        <f t="shared" ref="J98:J106" si="33">IF(C98="Log","_log","")</f>
        <v>_log</v>
      </c>
      <c r="K98" s="31" t="str">
        <f t="shared" ref="K98:K109" si="34">CONCATENATE(D98,J98,"_FAC")</f>
        <v>FARE_per_UPT_cleaned_2018_RAIL_log_FAC</v>
      </c>
      <c r="L98" s="6">
        <f>MATCH($K98,FAC_TOTALS_APTA!$A$2:$BB$2,)</f>
        <v>33</v>
      </c>
      <c r="M98" s="29">
        <f>IF(M95=0,0,VLOOKUP(M95,FAC_TOTALS_APTA!$A$4:$BD$126,$L98,FALSE))</f>
        <v>-22683948.951900199</v>
      </c>
      <c r="N98" s="29">
        <f>IF(N95=0,0,VLOOKUP(N95,FAC_TOTALS_APTA!$A$4:$BD$126,$L98,FALSE))</f>
        <v>3482401.41378828</v>
      </c>
      <c r="O98" s="29">
        <f>IF(O95=0,0,VLOOKUP(O95,FAC_TOTALS_APTA!$A$4:$BD$126,$L98,FALSE))</f>
        <v>-51810118.9046942</v>
      </c>
      <c r="P98" s="29">
        <f>IF(P95=0,0,VLOOKUP(P95,FAC_TOTALS_APTA!$A$4:$BD$126,$L98,FALSE))</f>
        <v>-3588091.5970698502</v>
      </c>
      <c r="Q98" s="29">
        <f>IF(Q95=0,0,VLOOKUP(Q95,FAC_TOTALS_APTA!$A$4:$BD$126,$L98,FALSE))</f>
        <v>-1446053.9322704801</v>
      </c>
      <c r="R98" s="29">
        <f>IF(R95=0,0,VLOOKUP(R95,FAC_TOTALS_APTA!$A$4:$BD$126,$L98,FALSE))</f>
        <v>-21040440.6163022</v>
      </c>
      <c r="S98" s="29">
        <f>IF(S95=0,0,VLOOKUP(S95,FAC_TOTALS_APTA!$A$4:$BD$126,$L98,FALSE))</f>
        <v>0</v>
      </c>
      <c r="T98" s="29">
        <f>IF(T95=0,0,VLOOKUP(T95,FAC_TOTALS_APTA!$A$4:$BD$126,$L98,FALSE))</f>
        <v>0</v>
      </c>
      <c r="U98" s="29">
        <f>IF(U95=0,0,VLOOKUP(U95,FAC_TOTALS_APTA!$A$4:$BD$126,$L98,FALSE))</f>
        <v>0</v>
      </c>
      <c r="V98" s="29">
        <f>IF(V95=0,0,VLOOKUP(V95,FAC_TOTALS_APTA!$A$4:$BD$126,$L98,FALSE))</f>
        <v>0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5">SUM(M98:AB98)</f>
        <v>-97086252.588448644</v>
      </c>
      <c r="AD98" s="33">
        <f>AC98/G111</f>
        <v>-2.7525185777993687E-2</v>
      </c>
    </row>
    <row r="99" spans="1:31" x14ac:dyDescent="0.25"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30" t="str">
        <f>IFERROR(H99/G99-1,"-")</f>
        <v>-</v>
      </c>
      <c r="J99" s="120" t="str">
        <f t="shared" si="33"/>
        <v/>
      </c>
      <c r="K99" s="120" t="str">
        <f t="shared" si="34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5"/>
        <v>0</v>
      </c>
      <c r="AD99" s="122">
        <f>AC99/G112</f>
        <v>0</v>
      </c>
    </row>
    <row r="100" spans="1:31" x14ac:dyDescent="0.25"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54">
        <f>VLOOKUP(G95,FAC_TOTALS_APTA!$A$4:$BD$126,$F100,FALSE)</f>
        <v>0</v>
      </c>
      <c r="H100" s="54">
        <f>VLOOKUP(H95,FAC_TOTALS_APTA!$A$4:$BD$126,$F100,FALSE)</f>
        <v>0</v>
      </c>
      <c r="I100" s="30" t="str">
        <f>IFERROR(H100/G100-1,"-")</f>
        <v>-</v>
      </c>
      <c r="J100" s="31" t="str">
        <f t="shared" si="33"/>
        <v/>
      </c>
      <c r="K100" s="31" t="str">
        <f t="shared" si="34"/>
        <v>MAINTENANCE_WMATA_FAC</v>
      </c>
      <c r="L100" s="6">
        <f>MATCH($K100,FAC_TOTALS_APTA!$A$2:$BB$2,)</f>
        <v>40</v>
      </c>
      <c r="M100" s="29">
        <f>IF(M96=0,0,VLOOKUP(M96,FAC_TOTALS_APTA!$A$4:$BD$126,$L100,FALSE))</f>
        <v>0</v>
      </c>
      <c r="N100" s="29">
        <f>IF(N96=0,0,VLOOKUP(N96,FAC_TOTALS_APTA!$A$4:$BD$126,$L100,FALSE))</f>
        <v>0</v>
      </c>
      <c r="O100" s="29">
        <f>IF(O96=0,0,VLOOKUP(O96,FAC_TOTALS_APTA!$A$4:$BD$126,$L100,FALSE))</f>
        <v>0</v>
      </c>
      <c r="P100" s="29">
        <f>IF(P96=0,0,VLOOKUP(P96,FAC_TOTALS_APTA!$A$4:$BD$126,$L100,FALSE))</f>
        <v>0</v>
      </c>
      <c r="Q100" s="29">
        <f>IF(Q96=0,0,VLOOKUP(Q96,FAC_TOTALS_APTA!$A$4:$BD$126,$L100,FALSE))</f>
        <v>0</v>
      </c>
      <c r="R100" s="29">
        <f>IF(R96=0,0,VLOOKUP(R96,FAC_TOTALS_APTA!$A$4:$BD$126,$L100,FALSE))</f>
        <v>0</v>
      </c>
      <c r="S100" s="29">
        <f>IF(S96=0,0,VLOOKUP(S96,FAC_TOTALS_APTA!$A$4:$BD$126,$L100,FALSE))</f>
        <v>0</v>
      </c>
      <c r="T100" s="29">
        <f>IF(T96=0,0,VLOOKUP(T96,FAC_TOTALS_APTA!$A$4:$BD$126,$L100,FALSE))</f>
        <v>0</v>
      </c>
      <c r="U100" s="29">
        <f>IF(U96=0,0,VLOOKUP(U96,FAC_TOTALS_APTA!$A$4:$BD$126,$L100,FALSE))</f>
        <v>0</v>
      </c>
      <c r="V100" s="29">
        <f>IF(V96=0,0,VLOOKUP(V96,FAC_TOTALS_APTA!$A$4:$BD$126,$L100,FALSE))</f>
        <v>0</v>
      </c>
      <c r="W100" s="29">
        <f>IF(W96=0,0,VLOOKUP(W96,FAC_TOTALS_APTA!$A$4:$BD$126,$L100,FALSE))</f>
        <v>0</v>
      </c>
      <c r="X100" s="29">
        <f>IF(X96=0,0,VLOOKUP(X96,FAC_TOTALS_APTA!$A$4:$BD$126,$L100,FALSE))</f>
        <v>0</v>
      </c>
      <c r="Y100" s="29">
        <f>IF(Y96=0,0,VLOOKUP(Y96,FAC_TOTALS_APTA!$A$4:$BD$126,$L100,FALSE))</f>
        <v>0</v>
      </c>
      <c r="Z100" s="29">
        <f>IF(Z96=0,0,VLOOKUP(Z96,FAC_TOTALS_APTA!$A$4:$BD$126,$L100,FALSE))</f>
        <v>0</v>
      </c>
      <c r="AA100" s="29">
        <f>IF(AA96=0,0,VLOOKUP(AA96,FAC_TOTALS_APTA!$A$4:$BD$126,$L100,FALSE))</f>
        <v>0</v>
      </c>
      <c r="AB100" s="29">
        <f>IF(AB96=0,0,VLOOKUP(AB96,FAC_TOTALS_APTA!$A$4:$BD$126,$L100,FALSE))</f>
        <v>0</v>
      </c>
      <c r="AC100" s="32">
        <f t="shared" si="35"/>
        <v>0</v>
      </c>
      <c r="AD100" s="33">
        <f>AC100/G112</f>
        <v>0</v>
      </c>
    </row>
    <row r="101" spans="1:31" x14ac:dyDescent="0.2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MATCH($D101,FAC_TOTALS_APTA!$A$2:$BD$2,)</f>
        <v>16</v>
      </c>
      <c r="G101" s="29">
        <f>VLOOKUP(G95,FAC_TOTALS_APTA!$A$4:$BD$126,$F101,FALSE)</f>
        <v>27909105.420000002</v>
      </c>
      <c r="H101" s="29">
        <f>VLOOKUP(H95,FAC_TOTALS_APTA!$A$4:$BD$126,$F101,FALSE)</f>
        <v>29807700.839999899</v>
      </c>
      <c r="I101" s="30">
        <f t="shared" si="32"/>
        <v>6.8027813555046501E-2</v>
      </c>
      <c r="J101" s="31" t="str">
        <f t="shared" si="33"/>
        <v>_log</v>
      </c>
      <c r="K101" s="31" t="str">
        <f t="shared" si="34"/>
        <v>POP_EMP_log_FAC</v>
      </c>
      <c r="L101" s="6">
        <f>MATCH($K101,FAC_TOTALS_APTA!$A$2:$BB$2,)</f>
        <v>34</v>
      </c>
      <c r="M101" s="29">
        <f>IF(M95=0,0,VLOOKUP(M95,FAC_TOTALS_APTA!$A$4:$BD$126,$L101,FALSE))</f>
        <v>20524380.123167299</v>
      </c>
      <c r="N101" s="29">
        <f>IF(N95=0,0,VLOOKUP(N95,FAC_TOTALS_APTA!$A$4:$BD$126,$L101,FALSE))</f>
        <v>6671824.4706350099</v>
      </c>
      <c r="O101" s="29">
        <f>IF(O95=0,0,VLOOKUP(O95,FAC_TOTALS_APTA!$A$4:$BD$126,$L101,FALSE))</f>
        <v>6262737.1316978</v>
      </c>
      <c r="P101" s="29">
        <f>IF(P95=0,0,VLOOKUP(P95,FAC_TOTALS_APTA!$A$4:$BD$126,$L101,FALSE))</f>
        <v>1341872.7104687099</v>
      </c>
      <c r="Q101" s="29">
        <f>IF(Q95=0,0,VLOOKUP(Q95,FAC_TOTALS_APTA!$A$4:$BD$126,$L101,FALSE))</f>
        <v>5229122.4524614103</v>
      </c>
      <c r="R101" s="29">
        <f>IF(R95=0,0,VLOOKUP(R95,FAC_TOTALS_APTA!$A$4:$BD$126,$L101,FALSE))</f>
        <v>3158303.2340395101</v>
      </c>
      <c r="S101" s="29">
        <f>IF(S95=0,0,VLOOKUP(S95,FAC_TOTALS_APTA!$A$4:$BD$126,$L101,FALSE))</f>
        <v>0</v>
      </c>
      <c r="T101" s="29">
        <f>IF(T95=0,0,VLOOKUP(T95,FAC_TOTALS_APTA!$A$4:$BD$126,$L101,FALSE))</f>
        <v>0</v>
      </c>
      <c r="U101" s="29">
        <f>IF(U95=0,0,VLOOKUP(U95,FAC_TOTALS_APTA!$A$4:$BD$126,$L101,FALSE))</f>
        <v>0</v>
      </c>
      <c r="V101" s="29">
        <f>IF(V95=0,0,VLOOKUP(V95,FAC_TOTALS_APTA!$A$4:$BD$126,$L101,FALSE))</f>
        <v>0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5"/>
        <v>43188240.122469746</v>
      </c>
      <c r="AD101" s="33">
        <f>AC101/G111</f>
        <v>1.2244414642666105E-2</v>
      </c>
    </row>
    <row r="102" spans="1:31" x14ac:dyDescent="0.25">
      <c r="B102" s="25" t="s">
        <v>73</v>
      </c>
      <c r="C102" s="116"/>
      <c r="D102" s="104" t="s">
        <v>72</v>
      </c>
      <c r="E102" s="55"/>
      <c r="F102" s="6">
        <f>MATCH($D102,FAC_TOTALS_APTA!$A$2:$BD$2,)</f>
        <v>17</v>
      </c>
      <c r="G102" s="54">
        <f>VLOOKUP(G95,FAC_TOTALS_APTA!$A$4:$BD$126,$F102,FALSE)</f>
        <v>0.70702565886186597</v>
      </c>
      <c r="H102" s="54">
        <f>VLOOKUP(H95,FAC_TOTALS_APTA!$A$4:$BD$126,$F102,FALSE)</f>
        <v>0.71440492607780803</v>
      </c>
      <c r="I102" s="30">
        <f t="shared" si="32"/>
        <v>1.0437057161151397E-2</v>
      </c>
      <c r="J102" s="31" t="str">
        <f t="shared" si="33"/>
        <v/>
      </c>
      <c r="K102" s="31" t="str">
        <f t="shared" si="34"/>
        <v>TSD_POP_EMP_PCT_FAC</v>
      </c>
      <c r="L102" s="6">
        <f>MATCH($K102,FAC_TOTALS_APTA!$A$2:$BB$2,)</f>
        <v>35</v>
      </c>
      <c r="M102" s="29">
        <f>IF(M95=0,0,VLOOKUP(M95,FAC_TOTALS_APTA!$A$4:$BD$126,$L102,FALSE))</f>
        <v>1360498.0532658601</v>
      </c>
      <c r="N102" s="29">
        <f>IF(N95=0,0,VLOOKUP(N95,FAC_TOTALS_APTA!$A$4:$BD$126,$L102,FALSE))</f>
        <v>2593654.82957371</v>
      </c>
      <c r="O102" s="29">
        <f>IF(O95=0,0,VLOOKUP(O95,FAC_TOTALS_APTA!$A$4:$BD$126,$L102,FALSE))</f>
        <v>3962611.3643809902</v>
      </c>
      <c r="P102" s="29">
        <f>IF(P95=0,0,VLOOKUP(P95,FAC_TOTALS_APTA!$A$4:$BD$126,$L102,FALSE))</f>
        <v>929165.43088684301</v>
      </c>
      <c r="Q102" s="29">
        <f>IF(Q95=0,0,VLOOKUP(Q95,FAC_TOTALS_APTA!$A$4:$BD$126,$L102,FALSE))</f>
        <v>1575804.91643996</v>
      </c>
      <c r="R102" s="29">
        <f>IF(R95=0,0,VLOOKUP(R95,FAC_TOTALS_APTA!$A$4:$BD$126,$L102,FALSE))</f>
        <v>-1413227.4762192401</v>
      </c>
      <c r="S102" s="29">
        <f>IF(S95=0,0,VLOOKUP(S95,FAC_TOTALS_APTA!$A$4:$BD$126,$L102,FALSE))</f>
        <v>0</v>
      </c>
      <c r="T102" s="29">
        <f>IF(T95=0,0,VLOOKUP(T95,FAC_TOTALS_APTA!$A$4:$BD$126,$L102,FALSE))</f>
        <v>0</v>
      </c>
      <c r="U102" s="29">
        <f>IF(U95=0,0,VLOOKUP(U95,FAC_TOTALS_APTA!$A$4:$BD$126,$L102,FALSE))</f>
        <v>0</v>
      </c>
      <c r="V102" s="29">
        <f>IF(V95=0,0,VLOOKUP(V95,FAC_TOTALS_APTA!$A$4:$BD$126,$L102,FALSE))</f>
        <v>0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5"/>
        <v>9008507.1183281224</v>
      </c>
      <c r="AD102" s="33">
        <f>AC102/G111</f>
        <v>2.5540261922094476E-3</v>
      </c>
    </row>
    <row r="103" spans="1:31" x14ac:dyDescent="0.2">
      <c r="B103" s="115" t="s">
        <v>49</v>
      </c>
      <c r="C103" s="116" t="s">
        <v>21</v>
      </c>
      <c r="D103" s="124" t="s">
        <v>82</v>
      </c>
      <c r="E103" s="55"/>
      <c r="F103" s="6">
        <f>MATCH($D103,FAC_TOTALS_APTA!$A$2:$BD$2,)</f>
        <v>18</v>
      </c>
      <c r="G103" s="34">
        <f>VLOOKUP(G95,FAC_TOTALS_APTA!$A$4:$BD$126,$F103,FALSE)</f>
        <v>4.1093000000000002</v>
      </c>
      <c r="H103" s="34">
        <f>VLOOKUP(H95,FAC_TOTALS_APTA!$A$4:$BD$126,$F103,FALSE)</f>
        <v>2.9199999999999902</v>
      </c>
      <c r="I103" s="30">
        <f t="shared" si="32"/>
        <v>-0.28941668897379358</v>
      </c>
      <c r="J103" s="31" t="str">
        <f t="shared" si="33"/>
        <v>_log</v>
      </c>
      <c r="K103" s="31" t="str">
        <f t="shared" si="34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-13947737.5384722</v>
      </c>
      <c r="N103" s="29">
        <f>IF(N95=0,0,VLOOKUP(N95,FAC_TOTALS_APTA!$A$4:$BD$126,$L103,FALSE))</f>
        <v>-16937472.202499501</v>
      </c>
      <c r="O103" s="29">
        <f>IF(O95=0,0,VLOOKUP(O95,FAC_TOTALS_APTA!$A$4:$BD$126,$L103,FALSE))</f>
        <v>-110232109.671599</v>
      </c>
      <c r="P103" s="29">
        <f>IF(P95=0,0,VLOOKUP(P95,FAC_TOTALS_APTA!$A$4:$BD$126,$L103,FALSE))</f>
        <v>-33868129.043748103</v>
      </c>
      <c r="Q103" s="29">
        <f>IF(Q95=0,0,VLOOKUP(Q95,FAC_TOTALS_APTA!$A$4:$BD$126,$L103,FALSE))</f>
        <v>33271401.388338599</v>
      </c>
      <c r="R103" s="29">
        <f>IF(R95=0,0,VLOOKUP(R95,FAC_TOTALS_APTA!$A$4:$BD$126,$L103,FALSE))</f>
        <v>26589624.4315897</v>
      </c>
      <c r="S103" s="29">
        <f>IF(S95=0,0,VLOOKUP(S95,FAC_TOTALS_APTA!$A$4:$BD$126,$L103,FALSE))</f>
        <v>0</v>
      </c>
      <c r="T103" s="29">
        <f>IF(T95=0,0,VLOOKUP(T95,FAC_TOTALS_APTA!$A$4:$BD$126,$L103,FALSE))</f>
        <v>0</v>
      </c>
      <c r="U103" s="29">
        <f>IF(U95=0,0,VLOOKUP(U95,FAC_TOTALS_APTA!$A$4:$BD$126,$L103,FALSE))</f>
        <v>0</v>
      </c>
      <c r="V103" s="29">
        <f>IF(V95=0,0,VLOOKUP(V95,FAC_TOTALS_APTA!$A$4:$BD$126,$L103,FALSE))</f>
        <v>0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5"/>
        <v>-115124422.63639054</v>
      </c>
      <c r="AD103" s="33">
        <f>AC103/G111</f>
        <v>-3.2639236103628733E-2</v>
      </c>
    </row>
    <row r="104" spans="1:31" x14ac:dyDescent="0.2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MATCH($D104,FAC_TOTALS_APTA!$A$2:$BD$2,)</f>
        <v>19</v>
      </c>
      <c r="G104" s="54">
        <f>VLOOKUP(G95,FAC_TOTALS_APTA!$A$4:$BD$126,$F104,FALSE)</f>
        <v>33963.31</v>
      </c>
      <c r="H104" s="54">
        <f>VLOOKUP(H95,FAC_TOTALS_APTA!$A$4:$BD$126,$F104,FALSE)</f>
        <v>36801.5</v>
      </c>
      <c r="I104" s="30">
        <f t="shared" si="32"/>
        <v>8.3566354398319831E-2</v>
      </c>
      <c r="J104" s="31" t="str">
        <f t="shared" si="33"/>
        <v>_log</v>
      </c>
      <c r="K104" s="31" t="str">
        <f t="shared" si="34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1617631.06335578</v>
      </c>
      <c r="N104" s="29">
        <f>IF(N95=0,0,VLOOKUP(N95,FAC_TOTALS_APTA!$A$4:$BD$126,$L104,FALSE))</f>
        <v>764263.54057657195</v>
      </c>
      <c r="O104" s="29">
        <f>IF(O95=0,0,VLOOKUP(O95,FAC_TOTALS_APTA!$A$4:$BD$126,$L104,FALSE))</f>
        <v>-3894670.6667943699</v>
      </c>
      <c r="P104" s="29">
        <f>IF(P95=0,0,VLOOKUP(P95,FAC_TOTALS_APTA!$A$4:$BD$126,$L104,FALSE))</f>
        <v>-7030170.9479993796</v>
      </c>
      <c r="Q104" s="29">
        <f>IF(Q95=0,0,VLOOKUP(Q95,FAC_TOTALS_APTA!$A$4:$BD$126,$L104,FALSE))</f>
        <v>-3940428.2026585499</v>
      </c>
      <c r="R104" s="29">
        <f>IF(R95=0,0,VLOOKUP(R95,FAC_TOTALS_APTA!$A$4:$BD$126,$L104,FALSE))</f>
        <v>-5163683.0747870104</v>
      </c>
      <c r="S104" s="29">
        <f>IF(S95=0,0,VLOOKUP(S95,FAC_TOTALS_APTA!$A$4:$BD$126,$L104,FALSE))</f>
        <v>0</v>
      </c>
      <c r="T104" s="29">
        <f>IF(T95=0,0,VLOOKUP(T95,FAC_TOTALS_APTA!$A$4:$BD$126,$L104,FALSE))</f>
        <v>0</v>
      </c>
      <c r="U104" s="29">
        <f>IF(U95=0,0,VLOOKUP(U95,FAC_TOTALS_APTA!$A$4:$BD$126,$L104,FALSE))</f>
        <v>0</v>
      </c>
      <c r="V104" s="29">
        <f>IF(V95=0,0,VLOOKUP(V95,FAC_TOTALS_APTA!$A$4:$BD$126,$L104,FALSE))</f>
        <v>0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5"/>
        <v>-17647058.288306955</v>
      </c>
      <c r="AD104" s="33">
        <f>AC104/G111</f>
        <v>-5.0031651739591973E-3</v>
      </c>
    </row>
    <row r="105" spans="1:31" x14ac:dyDescent="0.25">
      <c r="B105" s="115" t="s">
        <v>62</v>
      </c>
      <c r="C105" s="116"/>
      <c r="D105" s="104" t="s">
        <v>9</v>
      </c>
      <c r="E105" s="55"/>
      <c r="F105" s="6">
        <f>MATCH($D105,FAC_TOTALS_APTA!$A$2:$BD$2,)</f>
        <v>20</v>
      </c>
      <c r="G105" s="29">
        <f>VLOOKUP(G95,FAC_TOTALS_APTA!$A$4:$BD$126,$F105,FALSE)</f>
        <v>31.51</v>
      </c>
      <c r="H105" s="29">
        <f>VLOOKUP(H95,FAC_TOTALS_APTA!$A$4:$BD$126,$F105,FALSE)</f>
        <v>30.01</v>
      </c>
      <c r="I105" s="30">
        <f t="shared" si="32"/>
        <v>-4.7603935258648034E-2</v>
      </c>
      <c r="J105" s="31" t="str">
        <f t="shared" si="33"/>
        <v/>
      </c>
      <c r="K105" s="31" t="str">
        <f t="shared" si="34"/>
        <v>PCT_HH_NO_VEH_FAC</v>
      </c>
      <c r="L105" s="6">
        <f>MATCH($K105,FAC_TOTALS_APTA!$A$2:$BB$2,)</f>
        <v>38</v>
      </c>
      <c r="M105" s="29">
        <f>IF(M95=0,0,VLOOKUP(M95,FAC_TOTALS_APTA!$A$4:$BD$126,$L105,FALSE))</f>
        <v>-9254324.2990899403</v>
      </c>
      <c r="N105" s="29">
        <f>IF(N95=0,0,VLOOKUP(N95,FAC_TOTALS_APTA!$A$4:$BD$126,$L105,FALSE))</f>
        <v>1638033.60245311</v>
      </c>
      <c r="O105" s="29">
        <f>IF(O95=0,0,VLOOKUP(O95,FAC_TOTALS_APTA!$A$4:$BD$126,$L105,FALSE))</f>
        <v>-188476.30387352101</v>
      </c>
      <c r="P105" s="29">
        <f>IF(P95=0,0,VLOOKUP(P95,FAC_TOTALS_APTA!$A$4:$BD$126,$L105,FALSE))</f>
        <v>-1770720.00481606</v>
      </c>
      <c r="Q105" s="29">
        <f>IF(Q95=0,0,VLOOKUP(Q95,FAC_TOTALS_APTA!$A$4:$BD$126,$L105,FALSE))</f>
        <v>738388.99480731704</v>
      </c>
      <c r="R105" s="29">
        <f>IF(R95=0,0,VLOOKUP(R95,FAC_TOTALS_APTA!$A$4:$BD$126,$L105,FALSE))</f>
        <v>61945.874080874797</v>
      </c>
      <c r="S105" s="29">
        <f>IF(S95=0,0,VLOOKUP(S95,FAC_TOTALS_APTA!$A$4:$BD$126,$L105,FALSE))</f>
        <v>0</v>
      </c>
      <c r="T105" s="29">
        <f>IF(T95=0,0,VLOOKUP(T95,FAC_TOTALS_APTA!$A$4:$BD$126,$L105,FALSE))</f>
        <v>0</v>
      </c>
      <c r="U105" s="29">
        <f>IF(U95=0,0,VLOOKUP(U95,FAC_TOTALS_APTA!$A$4:$BD$126,$L105,FALSE))</f>
        <v>0</v>
      </c>
      <c r="V105" s="29">
        <f>IF(V95=0,0,VLOOKUP(V95,FAC_TOTALS_APTA!$A$4:$BD$126,$L105,FALSE))</f>
        <v>0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5"/>
        <v>-8775152.1364382207</v>
      </c>
      <c r="AD105" s="33">
        <f>AC105/G111</f>
        <v>-2.4878670908177422E-3</v>
      </c>
    </row>
    <row r="106" spans="1:31" x14ac:dyDescent="0.25">
      <c r="B106" s="115" t="s">
        <v>47</v>
      </c>
      <c r="C106" s="116"/>
      <c r="D106" s="104" t="s">
        <v>28</v>
      </c>
      <c r="E106" s="55"/>
      <c r="F106" s="6">
        <f>MATCH($D106,FAC_TOTALS_APTA!$A$2:$BD$2,)</f>
        <v>21</v>
      </c>
      <c r="G106" s="34">
        <f>VLOOKUP(G95,FAC_TOTALS_APTA!$A$4:$BD$126,$F106,FALSE)</f>
        <v>4.0999999999999996</v>
      </c>
      <c r="H106" s="34">
        <f>VLOOKUP(H95,FAC_TOTALS_APTA!$A$4:$BD$126,$F106,FALSE)</f>
        <v>4.5999999999999996</v>
      </c>
      <c r="I106" s="30">
        <f t="shared" si="32"/>
        <v>0.12195121951219523</v>
      </c>
      <c r="J106" s="31" t="str">
        <f t="shared" si="33"/>
        <v/>
      </c>
      <c r="K106" s="31" t="str">
        <f t="shared" si="34"/>
        <v>JTW_HOME_PCT_FAC</v>
      </c>
      <c r="L106" s="6">
        <f>MATCH($K106,FAC_TOTALS_APTA!$A$2:$BB$2,)</f>
        <v>39</v>
      </c>
      <c r="M106" s="29">
        <f>IF(M95=0,0,VLOOKUP(M95,FAC_TOTALS_APTA!$A$4:$BD$126,$L106,FALSE))</f>
        <v>-2239707.4262431399</v>
      </c>
      <c r="N106" s="29">
        <f>IF(N95=0,0,VLOOKUP(N95,FAC_TOTALS_APTA!$A$4:$BD$126,$L106,FALSE))</f>
        <v>0</v>
      </c>
      <c r="O106" s="29">
        <f>IF(O95=0,0,VLOOKUP(O95,FAC_TOTALS_APTA!$A$4:$BD$126,$L106,FALSE))</f>
        <v>2400476.7009284701</v>
      </c>
      <c r="P106" s="29">
        <f>IF(P95=0,0,VLOOKUP(P95,FAC_TOTALS_APTA!$A$4:$BD$126,$L106,FALSE))</f>
        <v>-9316583.7392887902</v>
      </c>
      <c r="Q106" s="29">
        <f>IF(Q95=0,0,VLOOKUP(Q95,FAC_TOTALS_APTA!$A$4:$BD$126,$L106,FALSE))</f>
        <v>0</v>
      </c>
      <c r="R106" s="29">
        <f>IF(R95=0,0,VLOOKUP(R95,FAC_TOTALS_APTA!$A$4:$BD$126,$L106,FALSE))</f>
        <v>-2364965.5804737601</v>
      </c>
      <c r="S106" s="29">
        <f>IF(S95=0,0,VLOOKUP(S95,FAC_TOTALS_APTA!$A$4:$BD$126,$L106,FALSE))</f>
        <v>0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0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5"/>
        <v>-11520780.04507722</v>
      </c>
      <c r="AD106" s="33">
        <f>AC106/G111</f>
        <v>-3.2662874773053399E-3</v>
      </c>
    </row>
    <row r="107" spans="1:31" x14ac:dyDescent="0.25">
      <c r="B107" s="115" t="s">
        <v>63</v>
      </c>
      <c r="C107" s="116"/>
      <c r="D107" s="126" t="s">
        <v>93</v>
      </c>
      <c r="E107" s="55"/>
      <c r="F107" s="6">
        <f>MATCH($D107,FAC_TOTALS_APTA!$A$2:$BD$2,)</f>
        <v>26</v>
      </c>
      <c r="G107" s="34">
        <f>VLOOKUP(G95,FAC_TOTALS_APTA!$A$4:$BD$126,$F107,FALSE)</f>
        <v>1</v>
      </c>
      <c r="H107" s="34">
        <f>VLOOKUP(H95,FAC_TOTALS_APTA!$A$4:$BD$126,$F107,FALSE)</f>
        <v>7</v>
      </c>
      <c r="I107" s="30">
        <f t="shared" si="32"/>
        <v>6</v>
      </c>
      <c r="J107" s="31"/>
      <c r="K107" s="31" t="str">
        <f t="shared" si="34"/>
        <v>YEARS_SINCE_TNC_RAIL_HINY_FAC</v>
      </c>
      <c r="L107" s="6">
        <f>MATCH($K107,FAC_TOTALS_APTA!$A$2:$BB$2,)</f>
        <v>44</v>
      </c>
      <c r="M107" s="29">
        <f>IF(M95=0,0,VLOOKUP(M95,FAC_TOTALS_APTA!$A$4:$BD$126,$L107,FALSE))</f>
        <v>6387786.5598905096</v>
      </c>
      <c r="N107" s="29">
        <f>IF(N95=0,0,VLOOKUP(N95,FAC_TOTALS_APTA!$A$4:$BD$126,$L107,FALSE))</f>
        <v>6604159.0291191395</v>
      </c>
      <c r="O107" s="29">
        <f>IF(O95=0,0,VLOOKUP(O95,FAC_TOTALS_APTA!$A$4:$BD$126,$L107,FALSE))</f>
        <v>6841076.4035889702</v>
      </c>
      <c r="P107" s="29">
        <f>IF(P95=0,0,VLOOKUP(P95,FAC_TOTALS_APTA!$A$4:$BD$126,$L107,FALSE))</f>
        <v>6650493.73729211</v>
      </c>
      <c r="Q107" s="29">
        <f>IF(Q95=0,0,VLOOKUP(Q95,FAC_TOTALS_APTA!$A$4:$BD$126,$L107,FALSE))</f>
        <v>6699273.0688118702</v>
      </c>
      <c r="R107" s="29">
        <f>IF(R95=0,0,VLOOKUP(R95,FAC_TOTALS_APTA!$A$4:$BD$126,$L107,FALSE))</f>
        <v>6745030.7002348397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0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5"/>
        <v>39927819.498937443</v>
      </c>
      <c r="AD107" s="33">
        <f>AC107/G111</f>
        <v>1.1320043982717423E-2</v>
      </c>
    </row>
    <row r="108" spans="1:31" hidden="1" x14ac:dyDescent="0.25">
      <c r="B108" s="115" t="s">
        <v>64</v>
      </c>
      <c r="C108" s="116"/>
      <c r="D108" s="104" t="s">
        <v>43</v>
      </c>
      <c r="E108" s="55"/>
      <c r="F108" s="6">
        <f>MATCH($D108,FAC_TOTALS_APTA!$A$2:$BD$2,)</f>
        <v>28</v>
      </c>
      <c r="G108" s="34">
        <f>VLOOKUP(G95,FAC_TOTALS_APTA!$A$4:$BD$126,$F108,FALSE)</f>
        <v>0</v>
      </c>
      <c r="H108" s="34">
        <f>VLOOKUP(H95,FAC_TOTALS_APTA!$A$4:$BD$126,$F108,FALSE)</f>
        <v>1</v>
      </c>
      <c r="I108" s="30" t="str">
        <f t="shared" si="32"/>
        <v>-</v>
      </c>
      <c r="J108" s="31" t="str">
        <f t="shared" ref="J108:J109" si="36">IF(C108="Log","_log","")</f>
        <v/>
      </c>
      <c r="K108" s="31" t="str">
        <f t="shared" si="34"/>
        <v>BIKE_SHARE_FAC</v>
      </c>
      <c r="L108" s="6">
        <f>MATCH($K108,FAC_TOTALS_APTA!$A$2:$BB$2,)</f>
        <v>46</v>
      </c>
      <c r="M108" s="29">
        <f>IF(M95=0,0,VLOOKUP(M95,FAC_TOTALS_APTA!$A$4:$BD$126,$L108,FALSE))</f>
        <v>-31582422.511112999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5"/>
        <v>-31582422.511112999</v>
      </c>
      <c r="AD108" s="33">
        <f>AC108/G111</f>
        <v>-8.9540179351912299E-3</v>
      </c>
    </row>
    <row r="109" spans="1:31" hidden="1" x14ac:dyDescent="0.25">
      <c r="B109" s="127" t="s">
        <v>65</v>
      </c>
      <c r="C109" s="128"/>
      <c r="D109" s="129" t="s">
        <v>44</v>
      </c>
      <c r="E109" s="56"/>
      <c r="F109" s="7">
        <f>MATCH($D109,FAC_TOTALS_APTA!$A$2:$BD$2,)</f>
        <v>29</v>
      </c>
      <c r="G109" s="35">
        <f>VLOOKUP(G95,FAC_TOTALS_APTA!$A$4:$BD$126,$F109,FALSE)</f>
        <v>0</v>
      </c>
      <c r="H109" s="35">
        <f>VLOOKUP(H95,FAC_TOTALS_APTA!$A$4:$BD$126,$F109,FALSE)</f>
        <v>0</v>
      </c>
      <c r="I109" s="36" t="str">
        <f t="shared" si="32"/>
        <v>-</v>
      </c>
      <c r="J109" s="37" t="str">
        <f t="shared" si="36"/>
        <v/>
      </c>
      <c r="K109" s="37" t="str">
        <f t="shared" si="34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5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ref="K110" si="37">CONCATENATE(D110,J110,"_FAC")</f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3527178830.7444901</v>
      </c>
      <c r="H111" s="117">
        <f>VLOOKUP(H95,FAC_TOTALS_APTA!$A$4:$BB$126,$F111,FALSE)</f>
        <v>3386384444.8388</v>
      </c>
      <c r="I111" s="112">
        <f t="shared" ref="I111" si="38">H111/G111-1</f>
        <v>-3.9916996744951638E-2</v>
      </c>
      <c r="J111" s="31"/>
      <c r="K111" s="31"/>
      <c r="L111" s="6"/>
      <c r="M111" s="29">
        <f t="shared" ref="M111:AB111" si="39">SUM(M97:M104)</f>
        <v>30009927.458530247</v>
      </c>
      <c r="N111" s="29">
        <f t="shared" si="39"/>
        <v>21586577.293177675</v>
      </c>
      <c r="O111" s="29">
        <f t="shared" si="39"/>
        <v>-151293218.72758266</v>
      </c>
      <c r="P111" s="29">
        <f t="shared" si="39"/>
        <v>-44090400.63689401</v>
      </c>
      <c r="Q111" s="29">
        <f t="shared" si="39"/>
        <v>46381001.596965238</v>
      </c>
      <c r="R111" s="29">
        <f t="shared" si="39"/>
        <v>-14583024.536138643</v>
      </c>
      <c r="S111" s="29">
        <f t="shared" si="39"/>
        <v>0</v>
      </c>
      <c r="T111" s="29">
        <f t="shared" si="39"/>
        <v>0</v>
      </c>
      <c r="U111" s="29">
        <f t="shared" si="39"/>
        <v>0</v>
      </c>
      <c r="V111" s="29">
        <f t="shared" si="39"/>
        <v>0</v>
      </c>
      <c r="W111" s="29">
        <f t="shared" si="39"/>
        <v>0</v>
      </c>
      <c r="X111" s="29">
        <f t="shared" si="39"/>
        <v>0</v>
      </c>
      <c r="Y111" s="29">
        <f t="shared" si="39"/>
        <v>0</v>
      </c>
      <c r="Z111" s="29">
        <f t="shared" si="39"/>
        <v>0</v>
      </c>
      <c r="AA111" s="29">
        <f t="shared" si="39"/>
        <v>0</v>
      </c>
      <c r="AB111" s="29">
        <f t="shared" si="39"/>
        <v>0</v>
      </c>
      <c r="AC111" s="32">
        <f>H111-G111</f>
        <v>-140794385.90569019</v>
      </c>
      <c r="AD111" s="33">
        <f>I111</f>
        <v>-3.9916996744951638E-2</v>
      </c>
      <c r="AE111" s="106"/>
    </row>
    <row r="112" spans="1:31" ht="13.5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2929500930.99999</v>
      </c>
      <c r="H112" s="114">
        <f>VLOOKUP(H95,FAC_TOTALS_APTA!$A$4:$BB$126,$F112,FALSE)</f>
        <v>3028681761</v>
      </c>
      <c r="I112" s="113">
        <f t="shared" ref="I112" si="40">H112/G112-1</f>
        <v>3.3855879324180549E-2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99180830.000010014</v>
      </c>
      <c r="AD112" s="52">
        <f>I112</f>
        <v>3.3855879324180549E-2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7.3772876069132187E-2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45"/>
  <sheetViews>
    <sheetView workbookViewId="0">
      <pane xSplit="4" ySplit="3" topLeftCell="E102" activePane="bottomRight" state="frozen"/>
      <selection pane="topRight" activeCell="E1" sqref="E1"/>
      <selection pane="bottomLeft" activeCell="A4" sqref="A4"/>
      <selection pane="bottomRight" activeCell="I108" sqref="I108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7.375" style="162" bestFit="1" customWidth="1"/>
    <col min="5" max="5" width="13.5" style="162" bestFit="1" customWidth="1"/>
    <col min="6" max="6" width="11.875" style="162" customWidth="1"/>
    <col min="7" max="8" width="16.25" style="163" bestFit="1" customWidth="1"/>
    <col min="9" max="9" width="15.375" style="163" customWidth="1"/>
    <col min="10" max="10" width="16.125" style="163" customWidth="1"/>
    <col min="11" max="11" width="15.5" style="163" bestFit="1" customWidth="1"/>
    <col min="12" max="12" width="14.75" style="163" bestFit="1" customWidth="1"/>
    <col min="13" max="13" width="15.25" style="163" bestFit="1" customWidth="1"/>
    <col min="14" max="15" width="12" style="163" bestFit="1" customWidth="1"/>
    <col min="16" max="16" width="16.75" style="163" bestFit="1" customWidth="1"/>
    <col min="17" max="17" width="14.5" style="163" bestFit="1" customWidth="1"/>
    <col min="18" max="18" width="12.625" style="163" bestFit="1" customWidth="1"/>
    <col min="19" max="19" width="13.875" style="163" bestFit="1" customWidth="1"/>
    <col min="20" max="20" width="14" style="163" bestFit="1" customWidth="1"/>
    <col min="21" max="21" width="13.875" style="163" customWidth="1"/>
    <col min="22" max="22" width="14" style="163" bestFit="1" customWidth="1"/>
    <col min="23" max="23" width="13.875" style="163" customWidth="1"/>
    <col min="24" max="24" width="14.125" style="163" bestFit="1" customWidth="1"/>
    <col min="25" max="25" width="14" style="163" customWidth="1"/>
    <col min="26" max="26" width="14.375" style="163" bestFit="1" customWidth="1"/>
    <col min="27" max="28" width="12" style="163" bestFit="1" customWidth="1"/>
    <col min="29" max="29" width="14.375" style="163" bestFit="1" customWidth="1"/>
    <col min="30" max="30" width="14.125" style="163" bestFit="1" customWidth="1"/>
    <col min="31" max="31" width="16.75" style="163" bestFit="1" customWidth="1"/>
    <col min="32" max="32" width="21.875" style="162" bestFit="1" customWidth="1"/>
    <col min="33" max="33" width="22.125" style="163" bestFit="1" customWidth="1"/>
    <col min="34" max="34" width="27.125" style="162" bestFit="1" customWidth="1"/>
    <col min="35" max="35" width="18.75" style="163" bestFit="1" customWidth="1"/>
    <col min="36" max="36" width="23" style="162" bestFit="1" customWidth="1"/>
    <col min="37" max="37" width="17.75" style="163" bestFit="1" customWidth="1"/>
    <col min="38" max="38" width="22.125" style="162" bestFit="1" customWidth="1"/>
    <col min="39" max="40" width="22" style="162" customWidth="1"/>
    <col min="41" max="41" width="22" style="163" bestFit="1" customWidth="1"/>
    <col min="42" max="42" width="26.25" style="162" bestFit="1" customWidth="1"/>
    <col min="43" max="43" width="18.75" style="163" bestFit="1" customWidth="1"/>
    <col min="44" max="44" width="23.125" style="162" bestFit="1" customWidth="1"/>
    <col min="45" max="50" width="23" style="162" customWidth="1"/>
    <col min="51" max="52" width="23" customWidth="1"/>
    <col min="53" max="53" width="25.125" style="2" customWidth="1"/>
    <col min="54" max="54" width="17.5" style="2" bestFit="1" customWidth="1"/>
  </cols>
  <sheetData>
    <row r="1" spans="1:74" s="5" customFormat="1" x14ac:dyDescent="0.25">
      <c r="C1" s="72" t="s">
        <v>12</v>
      </c>
      <c r="D1" s="161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1"/>
      <c r="AT1" s="161"/>
      <c r="AU1" s="161"/>
      <c r="AV1" s="161"/>
      <c r="AW1" s="164"/>
      <c r="AX1" s="164"/>
      <c r="BA1" s="73"/>
      <c r="BB1" s="73"/>
    </row>
    <row r="2" spans="1:74" s="5" customFormat="1" x14ac:dyDescent="0.25">
      <c r="B2" s="5" t="s">
        <v>0</v>
      </c>
      <c r="C2" s="5" t="s">
        <v>2</v>
      </c>
      <c r="D2" s="161" t="s">
        <v>1</v>
      </c>
      <c r="E2" t="s">
        <v>54</v>
      </c>
      <c r="F2" t="s">
        <v>68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87</v>
      </c>
      <c r="M2" t="s">
        <v>91</v>
      </c>
      <c r="N2" t="s">
        <v>88</v>
      </c>
      <c r="O2" t="s">
        <v>92</v>
      </c>
      <c r="P2" t="s">
        <v>8</v>
      </c>
      <c r="Q2" t="s">
        <v>72</v>
      </c>
      <c r="R2" t="s">
        <v>82</v>
      </c>
      <c r="S2" t="s">
        <v>14</v>
      </c>
      <c r="T2" t="s">
        <v>9</v>
      </c>
      <c r="U2" t="s">
        <v>28</v>
      </c>
      <c r="V2" t="s">
        <v>77</v>
      </c>
      <c r="W2" t="s">
        <v>78</v>
      </c>
      <c r="X2" t="s">
        <v>89</v>
      </c>
      <c r="Y2" t="s">
        <v>90</v>
      </c>
      <c r="Z2" t="s">
        <v>93</v>
      </c>
      <c r="AA2" t="s">
        <v>69</v>
      </c>
      <c r="AB2" t="s">
        <v>43</v>
      </c>
      <c r="AC2" t="s">
        <v>44</v>
      </c>
      <c r="AD2" t="s">
        <v>94</v>
      </c>
      <c r="AE2" t="s">
        <v>95</v>
      </c>
      <c r="AF2" t="s">
        <v>96</v>
      </c>
      <c r="AG2" t="s">
        <v>97</v>
      </c>
      <c r="AH2" t="s">
        <v>10</v>
      </c>
      <c r="AI2" t="s">
        <v>74</v>
      </c>
      <c r="AJ2" t="s">
        <v>83</v>
      </c>
      <c r="AK2" t="s">
        <v>29</v>
      </c>
      <c r="AL2" t="s">
        <v>11</v>
      </c>
      <c r="AM2" t="s">
        <v>30</v>
      </c>
      <c r="AN2" t="s">
        <v>79</v>
      </c>
      <c r="AO2" t="s">
        <v>85</v>
      </c>
      <c r="AP2" t="s">
        <v>98</v>
      </c>
      <c r="AQ2" t="s">
        <v>99</v>
      </c>
      <c r="AR2" t="s">
        <v>100</v>
      </c>
      <c r="AS2" t="s">
        <v>84</v>
      </c>
      <c r="AT2" t="s">
        <v>75</v>
      </c>
      <c r="AU2" t="s">
        <v>76</v>
      </c>
      <c r="AV2" t="s">
        <v>38</v>
      </c>
      <c r="AW2" t="s">
        <v>39</v>
      </c>
      <c r="AX2" t="s">
        <v>40</v>
      </c>
      <c r="AY2" t="s">
        <v>41</v>
      </c>
      <c r="AZ2" t="s">
        <v>42</v>
      </c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</row>
    <row r="3" spans="1:74" x14ac:dyDescent="0.25">
      <c r="A3" s="4">
        <v>1</v>
      </c>
      <c r="B3" s="4">
        <v>2</v>
      </c>
      <c r="C3" s="4">
        <v>3</v>
      </c>
      <c r="D3" s="165">
        <v>4</v>
      </c>
      <c r="E3" s="165">
        <v>5</v>
      </c>
      <c r="F3" s="165">
        <v>6</v>
      </c>
      <c r="G3" s="165">
        <v>7</v>
      </c>
      <c r="H3" s="165">
        <v>8</v>
      </c>
      <c r="I3" s="165">
        <v>9</v>
      </c>
      <c r="J3" s="165">
        <v>10</v>
      </c>
      <c r="K3" s="165">
        <v>11</v>
      </c>
      <c r="L3" s="165">
        <v>12</v>
      </c>
      <c r="M3" s="165">
        <v>13</v>
      </c>
      <c r="N3" s="165">
        <v>14</v>
      </c>
      <c r="O3" s="165">
        <v>15</v>
      </c>
      <c r="P3" s="165">
        <v>16</v>
      </c>
      <c r="Q3" s="165">
        <v>17</v>
      </c>
      <c r="R3" s="165">
        <v>18</v>
      </c>
      <c r="S3" s="165">
        <v>19</v>
      </c>
      <c r="T3" s="166">
        <v>20</v>
      </c>
      <c r="U3" s="165">
        <v>21</v>
      </c>
      <c r="V3" s="165">
        <v>22</v>
      </c>
      <c r="W3" s="165">
        <v>23</v>
      </c>
      <c r="X3" s="165">
        <v>24</v>
      </c>
      <c r="Y3" s="165">
        <v>25</v>
      </c>
      <c r="Z3" s="165">
        <v>26</v>
      </c>
      <c r="AA3" s="165">
        <v>27</v>
      </c>
      <c r="AB3" s="165">
        <v>28</v>
      </c>
      <c r="AC3" s="165">
        <v>29</v>
      </c>
      <c r="AD3" s="165">
        <v>30</v>
      </c>
      <c r="AE3" s="165">
        <v>31</v>
      </c>
      <c r="AF3" s="165">
        <v>32</v>
      </c>
      <c r="AG3" s="165">
        <v>33</v>
      </c>
      <c r="AH3" s="165">
        <v>34</v>
      </c>
      <c r="AI3" s="165">
        <v>35</v>
      </c>
      <c r="AJ3" s="165">
        <v>36</v>
      </c>
      <c r="AK3" s="165">
        <v>37</v>
      </c>
      <c r="AL3" s="165">
        <v>38</v>
      </c>
      <c r="AM3" s="165">
        <v>39</v>
      </c>
      <c r="AN3" s="165">
        <v>40</v>
      </c>
      <c r="AO3" s="165">
        <v>41</v>
      </c>
      <c r="AP3" s="165">
        <v>42</v>
      </c>
      <c r="AQ3" s="165">
        <v>43</v>
      </c>
      <c r="AR3" s="165">
        <v>44</v>
      </c>
      <c r="AS3" s="165">
        <v>45</v>
      </c>
      <c r="AT3" s="165">
        <v>46</v>
      </c>
      <c r="AU3" s="165">
        <v>47</v>
      </c>
      <c r="AV3" s="165">
        <v>48</v>
      </c>
      <c r="AW3" s="165">
        <v>49</v>
      </c>
      <c r="AX3" s="165">
        <v>50</v>
      </c>
      <c r="AY3" s="165">
        <v>51</v>
      </c>
      <c r="AZ3" s="165">
        <v>52</v>
      </c>
      <c r="BA3" s="4"/>
      <c r="BB3" s="4"/>
      <c r="BC3" s="4"/>
      <c r="BD3" s="4"/>
      <c r="BE3" s="4"/>
      <c r="BF3" s="4"/>
    </row>
    <row r="4" spans="1:74" x14ac:dyDescent="0.25">
      <c r="A4" t="str">
        <f>CONCATENATE(B4,"_",C4,"_",D4)</f>
        <v>0_1_2002</v>
      </c>
      <c r="B4">
        <v>0</v>
      </c>
      <c r="C4">
        <v>1</v>
      </c>
      <c r="D4" s="162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1989004769.90504</v>
      </c>
      <c r="K4">
        <v>0</v>
      </c>
      <c r="L4">
        <v>69431799.636510193</v>
      </c>
      <c r="M4">
        <v>0</v>
      </c>
      <c r="N4">
        <v>0.91027864284140703</v>
      </c>
      <c r="O4">
        <v>0</v>
      </c>
      <c r="P4">
        <v>9573567.1438265797</v>
      </c>
      <c r="Q4">
        <v>0.56791506562331096</v>
      </c>
      <c r="R4">
        <v>1.99892297215457</v>
      </c>
      <c r="S4">
        <v>39381.469965213502</v>
      </c>
      <c r="T4">
        <v>9.9176880297119094</v>
      </c>
      <c r="U4">
        <v>3.9438940773070499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2217749582</v>
      </c>
      <c r="AZ4">
        <v>2217749582</v>
      </c>
      <c r="BA4"/>
      <c r="BB4"/>
    </row>
    <row r="5" spans="1:74" x14ac:dyDescent="0.25">
      <c r="A5" t="str">
        <f t="shared" ref="A5:A71" si="0">CONCATENATE(B5,"_",C5,"_",D5)</f>
        <v>0_1_2003</v>
      </c>
      <c r="B5">
        <v>0</v>
      </c>
      <c r="C5">
        <v>1</v>
      </c>
      <c r="D5" s="162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2157318500.03023</v>
      </c>
      <c r="K5">
        <v>33581343.7490751</v>
      </c>
      <c r="L5">
        <v>69475683.838446796</v>
      </c>
      <c r="M5">
        <v>0</v>
      </c>
      <c r="N5">
        <v>0.91687073440147104</v>
      </c>
      <c r="O5">
        <v>0</v>
      </c>
      <c r="P5">
        <v>9715711.2025870793</v>
      </c>
      <c r="Q5">
        <v>0.56633197127096302</v>
      </c>
      <c r="R5">
        <v>2.3077092528229799</v>
      </c>
      <c r="S5">
        <v>38481.401179127999</v>
      </c>
      <c r="T5">
        <v>9.8266441604857402</v>
      </c>
      <c r="U5">
        <v>3.9438940773070499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-1654184.03781188</v>
      </c>
      <c r="AE5">
        <v>0</v>
      </c>
      <c r="AF5">
        <v>-3424269.1844878802</v>
      </c>
      <c r="AG5">
        <v>0</v>
      </c>
      <c r="AH5">
        <v>8348263.6157266796</v>
      </c>
      <c r="AI5">
        <v>-3663444.0047366801</v>
      </c>
      <c r="AJ5">
        <v>31104621.1207777</v>
      </c>
      <c r="AK5">
        <v>3473957.8329330999</v>
      </c>
      <c r="AL5">
        <v>-404120.81822783401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33795521.218227699</v>
      </c>
      <c r="AW5">
        <v>34213336.396950401</v>
      </c>
      <c r="AX5">
        <v>-105749000.39695001</v>
      </c>
      <c r="AY5">
        <v>0</v>
      </c>
      <c r="AZ5">
        <v>-71535663.999999896</v>
      </c>
      <c r="BA5"/>
      <c r="BB5"/>
    </row>
    <row r="6" spans="1:74" x14ac:dyDescent="0.25">
      <c r="A6" t="str">
        <f t="shared" si="0"/>
        <v>0_1_2004</v>
      </c>
      <c r="B6">
        <v>0</v>
      </c>
      <c r="C6">
        <v>1</v>
      </c>
      <c r="D6" s="162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2486644790.8962498</v>
      </c>
      <c r="K6">
        <v>84567261.249953598</v>
      </c>
      <c r="L6">
        <v>71765534.239041999</v>
      </c>
      <c r="M6">
        <v>0</v>
      </c>
      <c r="N6">
        <v>0.88111629180226403</v>
      </c>
      <c r="O6">
        <v>0</v>
      </c>
      <c r="P6">
        <v>9734314.7826844901</v>
      </c>
      <c r="Q6">
        <v>0.56708000568482797</v>
      </c>
      <c r="R6">
        <v>2.60745949407365</v>
      </c>
      <c r="S6">
        <v>38183.589923807398</v>
      </c>
      <c r="T6">
        <v>9.7869676092694604</v>
      </c>
      <c r="U6">
        <v>3.9555663396720502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22800811.929629099</v>
      </c>
      <c r="AE6">
        <v>0</v>
      </c>
      <c r="AF6">
        <v>23883678.012509</v>
      </c>
      <c r="AG6">
        <v>0</v>
      </c>
      <c r="AH6">
        <v>9911548.6939433403</v>
      </c>
      <c r="AI6">
        <v>-2016237.1299159101</v>
      </c>
      <c r="AJ6">
        <v>28090424.1627253</v>
      </c>
      <c r="AK6">
        <v>4736681.2034896696</v>
      </c>
      <c r="AL6">
        <v>-385473.05551600602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79858760.472043201</v>
      </c>
      <c r="AW6">
        <v>81462080.650432795</v>
      </c>
      <c r="AX6">
        <v>-11157714.6504326</v>
      </c>
      <c r="AY6">
        <v>179225222.99999899</v>
      </c>
      <c r="AZ6">
        <v>249529589</v>
      </c>
      <c r="BA6"/>
      <c r="BB6"/>
    </row>
    <row r="7" spans="1:74" x14ac:dyDescent="0.25">
      <c r="A7" t="str">
        <f t="shared" si="0"/>
        <v>0_1_2005</v>
      </c>
      <c r="B7">
        <v>0</v>
      </c>
      <c r="C7">
        <v>1</v>
      </c>
      <c r="D7" s="162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2706022389.93682</v>
      </c>
      <c r="K7">
        <v>25704242.883335501</v>
      </c>
      <c r="L7">
        <v>70767074.604147598</v>
      </c>
      <c r="M7">
        <v>0</v>
      </c>
      <c r="N7">
        <v>0.908709006019361</v>
      </c>
      <c r="O7">
        <v>0</v>
      </c>
      <c r="P7">
        <v>9670224.8115459997</v>
      </c>
      <c r="Q7">
        <v>0.56213257598667299</v>
      </c>
      <c r="R7">
        <v>3.0629169958820901</v>
      </c>
      <c r="S7">
        <v>37264.378431327401</v>
      </c>
      <c r="T7">
        <v>9.5820881245511096</v>
      </c>
      <c r="U7">
        <v>3.9826876644648799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-18433580.460927099</v>
      </c>
      <c r="AE7">
        <v>0</v>
      </c>
      <c r="AF7">
        <v>-10941883.877299201</v>
      </c>
      <c r="AG7">
        <v>0</v>
      </c>
      <c r="AH7">
        <v>11437935.362945801</v>
      </c>
      <c r="AI7">
        <v>-1482752.1288063701</v>
      </c>
      <c r="AJ7">
        <v>40967248.354984596</v>
      </c>
      <c r="AK7">
        <v>4575296.1043723701</v>
      </c>
      <c r="AL7">
        <v>-574376.69274083304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25547886.6625292</v>
      </c>
      <c r="AW7">
        <v>25152122.072508</v>
      </c>
      <c r="AX7">
        <v>6964288.9274904896</v>
      </c>
      <c r="AY7">
        <v>125667082.999999</v>
      </c>
      <c r="AZ7">
        <v>157783493.999998</v>
      </c>
      <c r="BA7"/>
      <c r="BB7"/>
    </row>
    <row r="8" spans="1:74" x14ac:dyDescent="0.25">
      <c r="A8" t="str">
        <f t="shared" si="0"/>
        <v>0_1_2006</v>
      </c>
      <c r="B8">
        <v>0</v>
      </c>
      <c r="C8">
        <v>1</v>
      </c>
      <c r="D8" s="162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2750614448.3828902</v>
      </c>
      <c r="K8">
        <v>44592058.446068801</v>
      </c>
      <c r="L8">
        <v>70624705.906152099</v>
      </c>
      <c r="M8">
        <v>0</v>
      </c>
      <c r="N8">
        <v>0.897836833845017</v>
      </c>
      <c r="O8">
        <v>0</v>
      </c>
      <c r="P8">
        <v>9915449.72303918</v>
      </c>
      <c r="Q8">
        <v>0.56167964854839703</v>
      </c>
      <c r="R8">
        <v>3.3556920653326898</v>
      </c>
      <c r="S8">
        <v>35771.540827119403</v>
      </c>
      <c r="T8">
        <v>9.4619485484100494</v>
      </c>
      <c r="U8">
        <v>4.3015517876788696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-4429955.7974834796</v>
      </c>
      <c r="AE8">
        <v>0</v>
      </c>
      <c r="AF8">
        <v>8030686.02679017</v>
      </c>
      <c r="AG8">
        <v>0</v>
      </c>
      <c r="AH8">
        <v>15494579.843892099</v>
      </c>
      <c r="AI8">
        <v>-444448.82300326403</v>
      </c>
      <c r="AJ8">
        <v>25775093.106889602</v>
      </c>
      <c r="AK8">
        <v>7400423.2698369799</v>
      </c>
      <c r="AL8">
        <v>-641817.69786671398</v>
      </c>
      <c r="AM8">
        <v>-6156146.9799181102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45028412.9491373</v>
      </c>
      <c r="AW8">
        <v>45111963.164308801</v>
      </c>
      <c r="AX8">
        <v>-14756650.1643061</v>
      </c>
      <c r="AY8">
        <v>0</v>
      </c>
      <c r="AZ8">
        <v>30355313.0000026</v>
      </c>
      <c r="BA8"/>
      <c r="BB8"/>
    </row>
    <row r="9" spans="1:74" x14ac:dyDescent="0.25">
      <c r="A9" t="str">
        <f t="shared" si="0"/>
        <v>0_1_2007</v>
      </c>
      <c r="B9">
        <v>0</v>
      </c>
      <c r="C9">
        <v>1</v>
      </c>
      <c r="D9" s="162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2754213472.2611299</v>
      </c>
      <c r="K9">
        <v>3599023.87823684</v>
      </c>
      <c r="L9">
        <v>71582714.355237693</v>
      </c>
      <c r="M9">
        <v>0</v>
      </c>
      <c r="N9">
        <v>0.92086023061058198</v>
      </c>
      <c r="O9">
        <v>0</v>
      </c>
      <c r="P9">
        <v>9964969.7656980809</v>
      </c>
      <c r="Q9">
        <v>0.55508678283873902</v>
      </c>
      <c r="R9">
        <v>3.5310062793786798</v>
      </c>
      <c r="S9">
        <v>36276.706108743201</v>
      </c>
      <c r="T9">
        <v>9.2945652359991193</v>
      </c>
      <c r="U9">
        <v>4.4274885399032797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19185059.6939964</v>
      </c>
      <c r="AE9">
        <v>0</v>
      </c>
      <c r="AF9">
        <v>-19422079.354122601</v>
      </c>
      <c r="AG9">
        <v>0</v>
      </c>
      <c r="AH9">
        <v>4271216.1427105097</v>
      </c>
      <c r="AI9">
        <v>-6802199.2308213199</v>
      </c>
      <c r="AJ9">
        <v>14726342.3365997</v>
      </c>
      <c r="AK9">
        <v>-2570783.5509136198</v>
      </c>
      <c r="AL9">
        <v>-853039.32659324701</v>
      </c>
      <c r="AM9">
        <v>-2653016.83109832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5881499.8797575403</v>
      </c>
      <c r="AW9">
        <v>5679675.7646748396</v>
      </c>
      <c r="AX9">
        <v>4075648.2353226198</v>
      </c>
      <c r="AY9">
        <v>0</v>
      </c>
      <c r="AZ9">
        <v>9755323.9999974594</v>
      </c>
      <c r="BA9"/>
      <c r="BB9"/>
    </row>
    <row r="10" spans="1:74" x14ac:dyDescent="0.25">
      <c r="A10" t="str">
        <f t="shared" si="0"/>
        <v>0_1_2008</v>
      </c>
      <c r="B10">
        <v>0</v>
      </c>
      <c r="C10">
        <v>1</v>
      </c>
      <c r="D10" s="162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2820963959.6929798</v>
      </c>
      <c r="K10">
        <v>66750487.431847699</v>
      </c>
      <c r="L10">
        <v>71889164.491291001</v>
      </c>
      <c r="M10">
        <v>0</v>
      </c>
      <c r="N10">
        <v>0.90104162550678502</v>
      </c>
      <c r="O10">
        <v>0</v>
      </c>
      <c r="P10">
        <v>9988399.3974122796</v>
      </c>
      <c r="Q10">
        <v>0.55810480951068597</v>
      </c>
      <c r="R10">
        <v>3.9554554445044898</v>
      </c>
      <c r="S10">
        <v>36238.918817514997</v>
      </c>
      <c r="T10">
        <v>9.4554621860263008</v>
      </c>
      <c r="U10">
        <v>4.5087477278502996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7.1046637199104395E-2</v>
      </c>
      <c r="AC10">
        <v>0</v>
      </c>
      <c r="AD10">
        <v>9090785.4744599797</v>
      </c>
      <c r="AE10">
        <v>0</v>
      </c>
      <c r="AF10">
        <v>14651506.2194272</v>
      </c>
      <c r="AG10">
        <v>0</v>
      </c>
      <c r="AH10">
        <v>2824400.8044545902</v>
      </c>
      <c r="AI10">
        <v>3128471.50667154</v>
      </c>
      <c r="AJ10">
        <v>33736614.900928304</v>
      </c>
      <c r="AK10">
        <v>237098.76386560299</v>
      </c>
      <c r="AL10">
        <v>838944.68461139</v>
      </c>
      <c r="AM10">
        <v>-1609549.7204076101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-1952077.4134720999</v>
      </c>
      <c r="AU10">
        <v>0</v>
      </c>
      <c r="AV10">
        <v>60946195.220539004</v>
      </c>
      <c r="AW10">
        <v>61613730.101879098</v>
      </c>
      <c r="AX10">
        <v>21830477.8981218</v>
      </c>
      <c r="AY10">
        <v>0</v>
      </c>
      <c r="AZ10">
        <v>83444208.000000998</v>
      </c>
      <c r="BA10"/>
      <c r="BB10"/>
    </row>
    <row r="11" spans="1:74" x14ac:dyDescent="0.25">
      <c r="A11" t="str">
        <f t="shared" si="0"/>
        <v>0_1_2009</v>
      </c>
      <c r="B11">
        <v>0</v>
      </c>
      <c r="C11">
        <v>1</v>
      </c>
      <c r="D11" s="162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2647260746.66292</v>
      </c>
      <c r="K11">
        <v>-173703213.03005299</v>
      </c>
      <c r="L11">
        <v>70967398.250165403</v>
      </c>
      <c r="M11">
        <v>0</v>
      </c>
      <c r="N11">
        <v>0.99318691376596602</v>
      </c>
      <c r="O11">
        <v>0</v>
      </c>
      <c r="P11">
        <v>9910892.7921914905</v>
      </c>
      <c r="Q11">
        <v>0.56058664875456199</v>
      </c>
      <c r="R11">
        <v>2.9101362046971899</v>
      </c>
      <c r="S11">
        <v>34545.635455789001</v>
      </c>
      <c r="T11">
        <v>9.5671246893685105</v>
      </c>
      <c r="U11">
        <v>4.7193406660422497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7.1046637199104395E-2</v>
      </c>
      <c r="AC11">
        <v>0</v>
      </c>
      <c r="AD11">
        <v>-12465021.932657</v>
      </c>
      <c r="AE11">
        <v>0</v>
      </c>
      <c r="AF11">
        <v>-72486080.190738395</v>
      </c>
      <c r="AG11">
        <v>0</v>
      </c>
      <c r="AH11">
        <v>-2672348.0330626001</v>
      </c>
      <c r="AI11">
        <v>2808629.0445670099</v>
      </c>
      <c r="AJ11">
        <v>-90037621.651523501</v>
      </c>
      <c r="AK11">
        <v>9495150.8449715395</v>
      </c>
      <c r="AL11">
        <v>595732.59771988296</v>
      </c>
      <c r="AM11">
        <v>-4331164.6050540404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-169092723.92577699</v>
      </c>
      <c r="AW11">
        <v>-166310924.56373599</v>
      </c>
      <c r="AX11">
        <v>38113796.5637367</v>
      </c>
      <c r="AY11">
        <v>0</v>
      </c>
      <c r="AZ11">
        <v>-128197127.999999</v>
      </c>
      <c r="BA11"/>
      <c r="BB11"/>
    </row>
    <row r="12" spans="1:74" x14ac:dyDescent="0.25">
      <c r="A12" t="str">
        <f t="shared" si="0"/>
        <v>0_1_2010</v>
      </c>
      <c r="B12">
        <v>0</v>
      </c>
      <c r="C12">
        <v>1</v>
      </c>
      <c r="D12" s="16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2621232708.1176901</v>
      </c>
      <c r="K12">
        <v>-26028038.5452305</v>
      </c>
      <c r="L12">
        <v>67087317.041166797</v>
      </c>
      <c r="M12">
        <v>0</v>
      </c>
      <c r="N12">
        <v>1.0111597906565399</v>
      </c>
      <c r="O12">
        <v>0</v>
      </c>
      <c r="P12">
        <v>9893600.1005124096</v>
      </c>
      <c r="Q12">
        <v>0.56410963816295001</v>
      </c>
      <c r="R12">
        <v>3.3619635552803002</v>
      </c>
      <c r="S12">
        <v>33716.160475015902</v>
      </c>
      <c r="T12">
        <v>9.7777681153092697</v>
      </c>
      <c r="U12">
        <v>4.9479701995259902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0.127685464009864</v>
      </c>
      <c r="AC12">
        <v>0</v>
      </c>
      <c r="AD12">
        <v>-54395881.465665199</v>
      </c>
      <c r="AE12">
        <v>0</v>
      </c>
      <c r="AF12">
        <v>-12809806.5610341</v>
      </c>
      <c r="AG12">
        <v>0</v>
      </c>
      <c r="AH12">
        <v>305505.99222634698</v>
      </c>
      <c r="AI12">
        <v>3565300.9727867902</v>
      </c>
      <c r="AJ12">
        <v>40604373.398570403</v>
      </c>
      <c r="AK12">
        <v>4526657.4343047002</v>
      </c>
      <c r="AL12">
        <v>1111360.23198005</v>
      </c>
      <c r="AM12">
        <v>-4479088.2520073904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-1664644.54611339</v>
      </c>
      <c r="AU12">
        <v>0</v>
      </c>
      <c r="AV12">
        <v>-23236222.7949518</v>
      </c>
      <c r="AW12">
        <v>-23521202.3706236</v>
      </c>
      <c r="AX12">
        <v>-63220529.6293751</v>
      </c>
      <c r="AY12">
        <v>0</v>
      </c>
      <c r="AZ12">
        <v>-86741731.999998793</v>
      </c>
      <c r="BA12"/>
      <c r="BB12"/>
    </row>
    <row r="13" spans="1:74" x14ac:dyDescent="0.25">
      <c r="A13" t="str">
        <f t="shared" si="0"/>
        <v>0_1_2011</v>
      </c>
      <c r="B13">
        <v>0</v>
      </c>
      <c r="C13">
        <v>1</v>
      </c>
      <c r="D13" s="162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2626057421.6949301</v>
      </c>
      <c r="K13">
        <v>4824713.5772363804</v>
      </c>
      <c r="L13">
        <v>64589050.378745601</v>
      </c>
      <c r="M13">
        <v>0</v>
      </c>
      <c r="N13">
        <v>1.0324809727559301</v>
      </c>
      <c r="O13">
        <v>0</v>
      </c>
      <c r="P13">
        <v>9986664.0981256608</v>
      </c>
      <c r="Q13">
        <v>0.55971715621927998</v>
      </c>
      <c r="R13">
        <v>4.09287732495845</v>
      </c>
      <c r="S13">
        <v>33057.754898560801</v>
      </c>
      <c r="T13">
        <v>10.065434436475099</v>
      </c>
      <c r="U13">
        <v>4.8950368235540802</v>
      </c>
      <c r="V13">
        <v>0</v>
      </c>
      <c r="W13">
        <v>0</v>
      </c>
      <c r="X13">
        <v>0.12496612797067699</v>
      </c>
      <c r="Y13">
        <v>0</v>
      </c>
      <c r="Z13">
        <v>0</v>
      </c>
      <c r="AA13">
        <v>0</v>
      </c>
      <c r="AB13">
        <v>0.16867203705134001</v>
      </c>
      <c r="AC13">
        <v>0</v>
      </c>
      <c r="AD13">
        <v>-36247344.5327968</v>
      </c>
      <c r="AE13">
        <v>0</v>
      </c>
      <c r="AF13">
        <v>-14181457.185838699</v>
      </c>
      <c r="AG13">
        <v>0</v>
      </c>
      <c r="AH13">
        <v>5644179.1485857498</v>
      </c>
      <c r="AI13">
        <v>-4339183.1161548998</v>
      </c>
      <c r="AJ13">
        <v>55756492.121132798</v>
      </c>
      <c r="AK13">
        <v>3525760.9735961901</v>
      </c>
      <c r="AL13">
        <v>1446561.5986824899</v>
      </c>
      <c r="AM13">
        <v>1061633.38816647</v>
      </c>
      <c r="AN13">
        <v>0</v>
      </c>
      <c r="AO13">
        <v>0</v>
      </c>
      <c r="AP13">
        <v>-5235238.1767890397</v>
      </c>
      <c r="AQ13">
        <v>0</v>
      </c>
      <c r="AR13">
        <v>0</v>
      </c>
      <c r="AS13">
        <v>0</v>
      </c>
      <c r="AT13">
        <v>-1152536.44476927</v>
      </c>
      <c r="AU13">
        <v>0</v>
      </c>
      <c r="AV13">
        <v>6278867.7738148803</v>
      </c>
      <c r="AW13">
        <v>5207093.2075131703</v>
      </c>
      <c r="AX13">
        <v>25334919.792486601</v>
      </c>
      <c r="AY13">
        <v>0</v>
      </c>
      <c r="AZ13">
        <v>30542012.999999698</v>
      </c>
      <c r="BA13"/>
      <c r="BB13"/>
    </row>
    <row r="14" spans="1:74" x14ac:dyDescent="0.25">
      <c r="A14" t="str">
        <f t="shared" si="0"/>
        <v>0_1_2012</v>
      </c>
      <c r="B14">
        <v>0</v>
      </c>
      <c r="C14">
        <v>1</v>
      </c>
      <c r="D14" s="162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2596221372.9513698</v>
      </c>
      <c r="K14">
        <v>-29836048.7435629</v>
      </c>
      <c r="L14">
        <v>63654979.010831997</v>
      </c>
      <c r="M14">
        <v>0</v>
      </c>
      <c r="N14">
        <v>1.03319372827068</v>
      </c>
      <c r="O14">
        <v>0</v>
      </c>
      <c r="P14">
        <v>10106162.1305601</v>
      </c>
      <c r="Q14">
        <v>0.55566673939080602</v>
      </c>
      <c r="R14">
        <v>4.1402142572755398</v>
      </c>
      <c r="S14">
        <v>32885.708578535901</v>
      </c>
      <c r="T14">
        <v>9.9589405328228597</v>
      </c>
      <c r="U14">
        <v>4.9873568486467601</v>
      </c>
      <c r="V14">
        <v>0</v>
      </c>
      <c r="W14">
        <v>0</v>
      </c>
      <c r="X14">
        <v>0.50499774940706799</v>
      </c>
      <c r="Y14">
        <v>0</v>
      </c>
      <c r="Z14">
        <v>0</v>
      </c>
      <c r="AA14">
        <v>0</v>
      </c>
      <c r="AB14">
        <v>0.20578687227443601</v>
      </c>
      <c r="AC14">
        <v>0</v>
      </c>
      <c r="AD14">
        <v>-13982351.9432179</v>
      </c>
      <c r="AE14">
        <v>0</v>
      </c>
      <c r="AF14">
        <v>538197.68256242096</v>
      </c>
      <c r="AG14">
        <v>0</v>
      </c>
      <c r="AH14">
        <v>7129469.8848175304</v>
      </c>
      <c r="AI14">
        <v>-3910804.0005435301</v>
      </c>
      <c r="AJ14">
        <v>3203326.7535713199</v>
      </c>
      <c r="AK14">
        <v>1060492.5624096401</v>
      </c>
      <c r="AL14">
        <v>-553170.886410748</v>
      </c>
      <c r="AM14">
        <v>-1976065.9640327599</v>
      </c>
      <c r="AN14">
        <v>0</v>
      </c>
      <c r="AO14">
        <v>0</v>
      </c>
      <c r="AP14">
        <v>-18249966.2837101</v>
      </c>
      <c r="AQ14">
        <v>0</v>
      </c>
      <c r="AR14">
        <v>0</v>
      </c>
      <c r="AS14">
        <v>0</v>
      </c>
      <c r="AT14">
        <v>-720905.65613446501</v>
      </c>
      <c r="AU14">
        <v>0</v>
      </c>
      <c r="AV14">
        <v>-27461777.8506887</v>
      </c>
      <c r="AW14">
        <v>-27424428.854313798</v>
      </c>
      <c r="AX14">
        <v>60569957.8543128</v>
      </c>
      <c r="AY14">
        <v>0</v>
      </c>
      <c r="AZ14">
        <v>33145528.999999002</v>
      </c>
      <c r="BA14"/>
      <c r="BB14"/>
    </row>
    <row r="15" spans="1:74" x14ac:dyDescent="0.25">
      <c r="A15" t="str">
        <f t="shared" si="0"/>
        <v>0_1_2013</v>
      </c>
      <c r="B15">
        <v>0</v>
      </c>
      <c r="C15">
        <v>1</v>
      </c>
      <c r="D15" s="162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2548887182.17099</v>
      </c>
      <c r="K15">
        <v>-47334190.780370101</v>
      </c>
      <c r="L15">
        <v>64440490.501856402</v>
      </c>
      <c r="M15">
        <v>0</v>
      </c>
      <c r="N15">
        <v>1.0525608051525199</v>
      </c>
      <c r="O15">
        <v>0</v>
      </c>
      <c r="P15">
        <v>10218543.9397672</v>
      </c>
      <c r="Q15">
        <v>0.55548457630107895</v>
      </c>
      <c r="R15">
        <v>3.9654549378235</v>
      </c>
      <c r="S15">
        <v>33089.926406244202</v>
      </c>
      <c r="T15">
        <v>9.6952007021101192</v>
      </c>
      <c r="U15">
        <v>4.99002797712998</v>
      </c>
      <c r="V15">
        <v>0</v>
      </c>
      <c r="W15">
        <v>0</v>
      </c>
      <c r="X15">
        <v>1.3142978187952701</v>
      </c>
      <c r="Y15">
        <v>0</v>
      </c>
      <c r="Z15">
        <v>0</v>
      </c>
      <c r="AA15">
        <v>0</v>
      </c>
      <c r="AB15">
        <v>0.20578687227443601</v>
      </c>
      <c r="AC15">
        <v>0</v>
      </c>
      <c r="AD15">
        <v>15320256.4839039</v>
      </c>
      <c r="AE15">
        <v>0</v>
      </c>
      <c r="AF15">
        <v>-12210318.4265201</v>
      </c>
      <c r="AG15">
        <v>0</v>
      </c>
      <c r="AH15">
        <v>6671214.1760201901</v>
      </c>
      <c r="AI15">
        <v>-141277.05670140201</v>
      </c>
      <c r="AJ15">
        <v>-12437139.929720201</v>
      </c>
      <c r="AK15">
        <v>-1059156.6157464499</v>
      </c>
      <c r="AL15">
        <v>-1294855.2653189099</v>
      </c>
      <c r="AM15">
        <v>-29172.88919989</v>
      </c>
      <c r="AN15">
        <v>0</v>
      </c>
      <c r="AO15">
        <v>0</v>
      </c>
      <c r="AP15">
        <v>-39894662.3628949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-45075111.886177801</v>
      </c>
      <c r="AW15">
        <v>-44992128.922364503</v>
      </c>
      <c r="AX15">
        <v>42502647.922365397</v>
      </c>
      <c r="AY15">
        <v>0</v>
      </c>
      <c r="AZ15">
        <v>-2489480.9999990901</v>
      </c>
      <c r="BA15"/>
      <c r="BB15"/>
    </row>
    <row r="16" spans="1:74" x14ac:dyDescent="0.25">
      <c r="A16" t="str">
        <f t="shared" si="0"/>
        <v>0_1_2014</v>
      </c>
      <c r="B16">
        <v>0</v>
      </c>
      <c r="C16">
        <v>1</v>
      </c>
      <c r="D16" s="162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2485201720.6187401</v>
      </c>
      <c r="K16">
        <v>-63685461.552259699</v>
      </c>
      <c r="L16">
        <v>64472290.625995196</v>
      </c>
      <c r="M16">
        <v>0</v>
      </c>
      <c r="N16">
        <v>1.0552857020000399</v>
      </c>
      <c r="O16">
        <v>0</v>
      </c>
      <c r="P16">
        <v>10358402.7220985</v>
      </c>
      <c r="Q16">
        <v>0.55491771804149104</v>
      </c>
      <c r="R16">
        <v>3.7576320769069</v>
      </c>
      <c r="S16">
        <v>33372.446493620198</v>
      </c>
      <c r="T16">
        <v>9.6436540883721307</v>
      </c>
      <c r="U16">
        <v>5.14302810748379</v>
      </c>
      <c r="V16">
        <v>0</v>
      </c>
      <c r="W16">
        <v>0</v>
      </c>
      <c r="X16">
        <v>2.1833497858733701</v>
      </c>
      <c r="Y16">
        <v>0</v>
      </c>
      <c r="Z16">
        <v>0</v>
      </c>
      <c r="AA16">
        <v>0</v>
      </c>
      <c r="AB16">
        <v>0.47212362391407298</v>
      </c>
      <c r="AC16">
        <v>0</v>
      </c>
      <c r="AD16">
        <v>2799364.69961853</v>
      </c>
      <c r="AE16">
        <v>0</v>
      </c>
      <c r="AF16">
        <v>-3440403.9505489198</v>
      </c>
      <c r="AG16">
        <v>0</v>
      </c>
      <c r="AH16">
        <v>7918046.8659014003</v>
      </c>
      <c r="AI16">
        <v>-539722.07620426</v>
      </c>
      <c r="AJ16">
        <v>-15504484.674719101</v>
      </c>
      <c r="AK16">
        <v>-1542060.0905571899</v>
      </c>
      <c r="AL16">
        <v>-320568.56732176902</v>
      </c>
      <c r="AM16">
        <v>-3140707.32232256</v>
      </c>
      <c r="AN16">
        <v>0</v>
      </c>
      <c r="AO16">
        <v>0</v>
      </c>
      <c r="AP16">
        <v>-42702945.434217602</v>
      </c>
      <c r="AQ16">
        <v>0</v>
      </c>
      <c r="AR16">
        <v>0</v>
      </c>
      <c r="AS16">
        <v>0</v>
      </c>
      <c r="AT16">
        <v>-7793655.2959113503</v>
      </c>
      <c r="AU16">
        <v>0</v>
      </c>
      <c r="AV16">
        <v>-64267135.846282899</v>
      </c>
      <c r="AW16">
        <v>-63732978.846924201</v>
      </c>
      <c r="AX16">
        <v>36088914.846922196</v>
      </c>
      <c r="AY16">
        <v>0</v>
      </c>
      <c r="AZ16">
        <v>-27644064.000002</v>
      </c>
      <c r="BA16"/>
      <c r="BB16"/>
    </row>
    <row r="17" spans="1:54" x14ac:dyDescent="0.25">
      <c r="A17" t="str">
        <f t="shared" si="0"/>
        <v>0_1_2015</v>
      </c>
      <c r="B17">
        <v>0</v>
      </c>
      <c r="C17">
        <v>1</v>
      </c>
      <c r="D17" s="162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2354210555.1298699</v>
      </c>
      <c r="K17">
        <v>-130991165.48886</v>
      </c>
      <c r="L17">
        <v>65239258.512049802</v>
      </c>
      <c r="M17">
        <v>0</v>
      </c>
      <c r="N17">
        <v>1.0818127292498301</v>
      </c>
      <c r="O17">
        <v>0</v>
      </c>
      <c r="P17">
        <v>10472818.6457387</v>
      </c>
      <c r="Q17">
        <v>0.55561990692373497</v>
      </c>
      <c r="R17">
        <v>2.85766669283365</v>
      </c>
      <c r="S17">
        <v>34516.890531118501</v>
      </c>
      <c r="T17">
        <v>9.5105274519725995</v>
      </c>
      <c r="U17">
        <v>5.28422265336616</v>
      </c>
      <c r="V17">
        <v>0</v>
      </c>
      <c r="W17">
        <v>1.8557417611547999E-2</v>
      </c>
      <c r="X17">
        <v>3.1833497858733701</v>
      </c>
      <c r="Y17">
        <v>0</v>
      </c>
      <c r="Z17">
        <v>0</v>
      </c>
      <c r="AA17">
        <v>0</v>
      </c>
      <c r="AB17">
        <v>0.72363055956676403</v>
      </c>
      <c r="AC17">
        <v>0</v>
      </c>
      <c r="AD17">
        <v>16164729.3272873</v>
      </c>
      <c r="AE17">
        <v>0</v>
      </c>
      <c r="AF17">
        <v>-20089434.082403801</v>
      </c>
      <c r="AG17">
        <v>0</v>
      </c>
      <c r="AH17">
        <v>6834317.78860592</v>
      </c>
      <c r="AI17">
        <v>663623.33570457099</v>
      </c>
      <c r="AJ17">
        <v>-75298478.472686797</v>
      </c>
      <c r="AK17">
        <v>-5961392.6371671697</v>
      </c>
      <c r="AL17">
        <v>-639524.48604372202</v>
      </c>
      <c r="AM17">
        <v>-2579850.28401493</v>
      </c>
      <c r="AN17">
        <v>0</v>
      </c>
      <c r="AO17">
        <v>1621605.7212227201</v>
      </c>
      <c r="AP17">
        <v>-48256290.604243197</v>
      </c>
      <c r="AQ17">
        <v>0</v>
      </c>
      <c r="AR17">
        <v>0</v>
      </c>
      <c r="AS17">
        <v>0</v>
      </c>
      <c r="AT17">
        <v>-6666096.4804303804</v>
      </c>
      <c r="AU17">
        <v>0</v>
      </c>
      <c r="AV17">
        <v>-134206790.87416901</v>
      </c>
      <c r="AW17">
        <v>-132372304.164681</v>
      </c>
      <c r="AX17">
        <v>67136935.164684102</v>
      </c>
      <c r="AY17">
        <v>0</v>
      </c>
      <c r="AZ17">
        <v>-65235368.999997698</v>
      </c>
      <c r="BA17"/>
      <c r="BB17"/>
    </row>
    <row r="18" spans="1:54" x14ac:dyDescent="0.25">
      <c r="A18" t="str">
        <f t="shared" si="0"/>
        <v>0_1_2016</v>
      </c>
      <c r="B18">
        <v>0</v>
      </c>
      <c r="C18">
        <v>1</v>
      </c>
      <c r="D18" s="162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2266981168.9400301</v>
      </c>
      <c r="K18">
        <v>-87229386.189840704</v>
      </c>
      <c r="L18">
        <v>66113243.246801101</v>
      </c>
      <c r="M18">
        <v>0</v>
      </c>
      <c r="N18">
        <v>1.1047173026228101</v>
      </c>
      <c r="O18">
        <v>0</v>
      </c>
      <c r="P18">
        <v>10554924.899873899</v>
      </c>
      <c r="Q18">
        <v>0.55504323849516102</v>
      </c>
      <c r="R18">
        <v>2.5185717610537002</v>
      </c>
      <c r="S18">
        <v>35303.229511006401</v>
      </c>
      <c r="T18">
        <v>9.3812591235224794</v>
      </c>
      <c r="U18">
        <v>5.7157851486528504</v>
      </c>
      <c r="V18">
        <v>0</v>
      </c>
      <c r="W18">
        <v>3.7114835223095999E-2</v>
      </c>
      <c r="X18">
        <v>4.1833497858733697</v>
      </c>
      <c r="Y18">
        <v>0</v>
      </c>
      <c r="Z18">
        <v>0</v>
      </c>
      <c r="AA18">
        <v>0</v>
      </c>
      <c r="AB18">
        <v>0.98277465691555099</v>
      </c>
      <c r="AC18">
        <v>0</v>
      </c>
      <c r="AD18">
        <v>15483945.021248</v>
      </c>
      <c r="AE18">
        <v>0</v>
      </c>
      <c r="AF18">
        <v>-15961361.153643901</v>
      </c>
      <c r="AG18">
        <v>0</v>
      </c>
      <c r="AH18">
        <v>5152490.4286909699</v>
      </c>
      <c r="AI18">
        <v>-525345.63220226602</v>
      </c>
      <c r="AJ18">
        <v>-31611109.506399099</v>
      </c>
      <c r="AK18">
        <v>-3833078.8870814401</v>
      </c>
      <c r="AL18">
        <v>-644927.72871518601</v>
      </c>
      <c r="AM18">
        <v>-8108202.2660836903</v>
      </c>
      <c r="AN18">
        <v>0</v>
      </c>
      <c r="AO18">
        <v>1596379.6869196401</v>
      </c>
      <c r="AP18">
        <v>-47002561.869898602</v>
      </c>
      <c r="AQ18">
        <v>0</v>
      </c>
      <c r="AR18">
        <v>0</v>
      </c>
      <c r="AS18">
        <v>0</v>
      </c>
      <c r="AT18">
        <v>-6466561.3965962296</v>
      </c>
      <c r="AU18">
        <v>0</v>
      </c>
      <c r="AV18">
        <v>-91920333.303761899</v>
      </c>
      <c r="AW18">
        <v>-90767972.716841593</v>
      </c>
      <c r="AX18">
        <v>-31413261.2831591</v>
      </c>
      <c r="AY18">
        <v>0</v>
      </c>
      <c r="AZ18">
        <v>-122181234</v>
      </c>
      <c r="BA18"/>
      <c r="BB18"/>
    </row>
    <row r="19" spans="1:54" x14ac:dyDescent="0.25">
      <c r="A19" t="str">
        <f t="shared" si="0"/>
        <v>0_1_2017</v>
      </c>
      <c r="B19">
        <v>0</v>
      </c>
      <c r="C19">
        <v>1</v>
      </c>
      <c r="D19" s="162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2273491676.6986699</v>
      </c>
      <c r="K19">
        <v>6510507.7586340904</v>
      </c>
      <c r="L19">
        <v>66222639.767624497</v>
      </c>
      <c r="M19">
        <v>0</v>
      </c>
      <c r="N19">
        <v>1.06543147344353</v>
      </c>
      <c r="O19">
        <v>0</v>
      </c>
      <c r="P19">
        <v>10662889.4121828</v>
      </c>
      <c r="Q19">
        <v>0.55380053594204004</v>
      </c>
      <c r="R19">
        <v>2.7392459466138002</v>
      </c>
      <c r="S19">
        <v>36103.068578746301</v>
      </c>
      <c r="T19">
        <v>9.2334461909402794</v>
      </c>
      <c r="U19">
        <v>5.8844236677877504</v>
      </c>
      <c r="V19">
        <v>0</v>
      </c>
      <c r="W19">
        <v>5.3187899018982701E-2</v>
      </c>
      <c r="X19">
        <v>5.1833497858733697</v>
      </c>
      <c r="Y19">
        <v>0</v>
      </c>
      <c r="Z19">
        <v>0</v>
      </c>
      <c r="AA19">
        <v>0</v>
      </c>
      <c r="AB19">
        <v>0.98277465691555099</v>
      </c>
      <c r="AC19">
        <v>0</v>
      </c>
      <c r="AD19">
        <v>7834323.8755453601</v>
      </c>
      <c r="AE19">
        <v>0</v>
      </c>
      <c r="AF19">
        <v>24426564.490045901</v>
      </c>
      <c r="AG19">
        <v>0</v>
      </c>
      <c r="AH19">
        <v>5982112.4413540503</v>
      </c>
      <c r="AI19">
        <v>-1104070.2500897001</v>
      </c>
      <c r="AJ19">
        <v>20418865.6239613</v>
      </c>
      <c r="AK19">
        <v>-3793188.78230666</v>
      </c>
      <c r="AL19">
        <v>-674079.68177445501</v>
      </c>
      <c r="AM19">
        <v>-2992337.6675694198</v>
      </c>
      <c r="AN19">
        <v>0</v>
      </c>
      <c r="AO19">
        <v>1763685.3685756</v>
      </c>
      <c r="AP19">
        <v>-44654416.589023598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7207458.8287183195</v>
      </c>
      <c r="AW19">
        <v>6661708.6486504199</v>
      </c>
      <c r="AX19">
        <v>-99366494.648651093</v>
      </c>
      <c r="AY19">
        <v>0</v>
      </c>
      <c r="AZ19">
        <v>-92704786.000000596</v>
      </c>
      <c r="BA19"/>
      <c r="BB19"/>
    </row>
    <row r="20" spans="1:54" x14ac:dyDescent="0.25">
      <c r="A20" t="str">
        <f t="shared" si="0"/>
        <v>0_1_2018</v>
      </c>
      <c r="B20">
        <v>0</v>
      </c>
      <c r="C20">
        <v>1</v>
      </c>
      <c r="D20" s="162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2226350490.5049801</v>
      </c>
      <c r="K20">
        <v>-47141186.193685003</v>
      </c>
      <c r="L20">
        <v>66335689.749269299</v>
      </c>
      <c r="M20">
        <v>0</v>
      </c>
      <c r="N20">
        <v>1.03280582691442</v>
      </c>
      <c r="O20">
        <v>0</v>
      </c>
      <c r="P20">
        <v>10741812.069976499</v>
      </c>
      <c r="Q20">
        <v>0.55478249392358903</v>
      </c>
      <c r="R20">
        <v>3.0460655824605101</v>
      </c>
      <c r="S20">
        <v>36989.701487673403</v>
      </c>
      <c r="T20">
        <v>9.0962859730607892</v>
      </c>
      <c r="U20">
        <v>6.1187931809606004</v>
      </c>
      <c r="V20">
        <v>0</v>
      </c>
      <c r="W20">
        <v>3.2146127591773301E-2</v>
      </c>
      <c r="X20">
        <v>6.1833497858733697</v>
      </c>
      <c r="Y20">
        <v>0</v>
      </c>
      <c r="Z20">
        <v>0</v>
      </c>
      <c r="AA20">
        <v>0</v>
      </c>
      <c r="AB20">
        <v>1</v>
      </c>
      <c r="AC20">
        <v>0.535820345896039</v>
      </c>
      <c r="AD20">
        <v>6055640.0625807</v>
      </c>
      <c r="AE20">
        <v>0</v>
      </c>
      <c r="AF20">
        <v>20065591.094436999</v>
      </c>
      <c r="AG20">
        <v>0</v>
      </c>
      <c r="AH20">
        <v>4631399.2725235298</v>
      </c>
      <c r="AI20">
        <v>828465.11952008202</v>
      </c>
      <c r="AJ20">
        <v>25062075.526025999</v>
      </c>
      <c r="AK20">
        <v>-3853069.15477901</v>
      </c>
      <c r="AL20">
        <v>-614414.86120328098</v>
      </c>
      <c r="AM20">
        <v>-4021421.5012425599</v>
      </c>
      <c r="AN20">
        <v>0</v>
      </c>
      <c r="AO20">
        <v>-1460674.8951131499</v>
      </c>
      <c r="AP20">
        <v>-42872765.687049396</v>
      </c>
      <c r="AQ20">
        <v>0</v>
      </c>
      <c r="AR20">
        <v>0</v>
      </c>
      <c r="AS20">
        <v>0</v>
      </c>
      <c r="AT20">
        <v>-310695.32207366801</v>
      </c>
      <c r="AU20">
        <v>-49443353.3376531</v>
      </c>
      <c r="AV20">
        <v>-45933223.6840268</v>
      </c>
      <c r="AW20">
        <v>-46865399.735301703</v>
      </c>
      <c r="AX20">
        <v>-7550094.26469744</v>
      </c>
      <c r="AY20">
        <v>0</v>
      </c>
      <c r="AZ20">
        <v>-54415493.999999203</v>
      </c>
      <c r="BA20"/>
      <c r="BB20"/>
    </row>
    <row r="21" spans="1:54" x14ac:dyDescent="0.25">
      <c r="A21" t="str">
        <f t="shared" si="0"/>
        <v>0_2_2002</v>
      </c>
      <c r="B21">
        <v>0</v>
      </c>
      <c r="C21">
        <v>2</v>
      </c>
      <c r="D21" s="162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713883688.93148899</v>
      </c>
      <c r="K21">
        <v>0</v>
      </c>
      <c r="L21">
        <v>13378352.2086371</v>
      </c>
      <c r="M21">
        <v>0</v>
      </c>
      <c r="N21">
        <v>0.92425916812859699</v>
      </c>
      <c r="O21">
        <v>0</v>
      </c>
      <c r="P21">
        <v>2412902.98573989</v>
      </c>
      <c r="Q21">
        <v>0.357365417272761</v>
      </c>
      <c r="R21">
        <v>1.9468195567767399</v>
      </c>
      <c r="S21">
        <v>35715.451599492502</v>
      </c>
      <c r="T21">
        <v>7.8156462434034699</v>
      </c>
      <c r="U21">
        <v>3.29893510953965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4.7394709953269498E-2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692881970</v>
      </c>
      <c r="AZ21">
        <v>692881970</v>
      </c>
      <c r="BA21"/>
      <c r="BB21"/>
    </row>
    <row r="22" spans="1:54" x14ac:dyDescent="0.25">
      <c r="A22" t="str">
        <f t="shared" si="0"/>
        <v>0_2_2003</v>
      </c>
      <c r="B22">
        <v>0</v>
      </c>
      <c r="C22">
        <v>2</v>
      </c>
      <c r="D22" s="16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800855618.51351798</v>
      </c>
      <c r="K22">
        <v>13314875.943890899</v>
      </c>
      <c r="L22">
        <v>13026932.796544701</v>
      </c>
      <c r="M22">
        <v>0</v>
      </c>
      <c r="N22">
        <v>0.87267615679307897</v>
      </c>
      <c r="O22">
        <v>0</v>
      </c>
      <c r="P22">
        <v>2374560.0640381798</v>
      </c>
      <c r="Q22">
        <v>0.35480650509096501</v>
      </c>
      <c r="R22">
        <v>2.2027861871074199</v>
      </c>
      <c r="S22">
        <v>35129.657977308299</v>
      </c>
      <c r="T22">
        <v>7.6032487138457299</v>
      </c>
      <c r="U22">
        <v>3.3806762574596898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4.3359039353014002E-2</v>
      </c>
      <c r="AC22">
        <v>0</v>
      </c>
      <c r="AD22">
        <v>333222.708008288</v>
      </c>
      <c r="AE22">
        <v>0</v>
      </c>
      <c r="AF22">
        <v>696187.48905043397</v>
      </c>
      <c r="AG22">
        <v>0</v>
      </c>
      <c r="AH22">
        <v>3813432.70564014</v>
      </c>
      <c r="AI22">
        <v>-708547.43395985197</v>
      </c>
      <c r="AJ22">
        <v>8570553.4831008092</v>
      </c>
      <c r="AK22">
        <v>987634.37035830796</v>
      </c>
      <c r="AL22">
        <v>-52518.3960302575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13330478.6083491</v>
      </c>
      <c r="AW22">
        <v>13200212.273820899</v>
      </c>
      <c r="AX22">
        <v>-371353.27382096299</v>
      </c>
      <c r="AY22">
        <v>64490437</v>
      </c>
      <c r="AZ22">
        <v>77319296</v>
      </c>
      <c r="BA22"/>
      <c r="BB22"/>
    </row>
    <row r="23" spans="1:54" x14ac:dyDescent="0.25">
      <c r="A23" t="str">
        <f t="shared" si="0"/>
        <v>0_2_2004</v>
      </c>
      <c r="B23">
        <v>0</v>
      </c>
      <c r="C23">
        <v>2</v>
      </c>
      <c r="D23" s="162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866652933.26660001</v>
      </c>
      <c r="K23">
        <v>21861613.778656099</v>
      </c>
      <c r="L23">
        <v>12498024.033456299</v>
      </c>
      <c r="M23">
        <v>0</v>
      </c>
      <c r="N23">
        <v>0.857865434554824</v>
      </c>
      <c r="O23">
        <v>0</v>
      </c>
      <c r="P23">
        <v>2380930.3377387198</v>
      </c>
      <c r="Q23">
        <v>0.35769842507487198</v>
      </c>
      <c r="R23">
        <v>2.5257419598212101</v>
      </c>
      <c r="S23">
        <v>34149.207747186898</v>
      </c>
      <c r="T23">
        <v>7.5174288730388703</v>
      </c>
      <c r="U23">
        <v>3.4095997197652399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4.1835837141439902E-2</v>
      </c>
      <c r="AC23">
        <v>0</v>
      </c>
      <c r="AD23">
        <v>-1024906.4510566</v>
      </c>
      <c r="AE23">
        <v>0</v>
      </c>
      <c r="AF23">
        <v>4394260.6842861697</v>
      </c>
      <c r="AG23">
        <v>0</v>
      </c>
      <c r="AH23">
        <v>4838516.9405761398</v>
      </c>
      <c r="AI23">
        <v>-1448095.7300891799</v>
      </c>
      <c r="AJ23">
        <v>10510601.8856744</v>
      </c>
      <c r="AK23">
        <v>1667679.5431373101</v>
      </c>
      <c r="AL23">
        <v>-56689.749115789098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18350966.0843242</v>
      </c>
      <c r="AW23">
        <v>18556361.149667401</v>
      </c>
      <c r="AX23">
        <v>-5599665.1496676505</v>
      </c>
      <c r="AY23">
        <v>27575194</v>
      </c>
      <c r="AZ23">
        <v>40531889.999999799</v>
      </c>
      <c r="BA23"/>
      <c r="BB23"/>
    </row>
    <row r="24" spans="1:54" x14ac:dyDescent="0.25">
      <c r="A24" t="str">
        <f t="shared" si="0"/>
        <v>0_2_2005</v>
      </c>
      <c r="B24">
        <v>0</v>
      </c>
      <c r="C24">
        <v>2</v>
      </c>
      <c r="D24" s="162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915674899.02363503</v>
      </c>
      <c r="K24">
        <v>22719818.395769</v>
      </c>
      <c r="L24">
        <v>12247363.8094016</v>
      </c>
      <c r="M24">
        <v>0</v>
      </c>
      <c r="N24">
        <v>0.87014836008015595</v>
      </c>
      <c r="O24">
        <v>0</v>
      </c>
      <c r="P24">
        <v>2431976.7748505399</v>
      </c>
      <c r="Q24">
        <v>0.35138187466933302</v>
      </c>
      <c r="R24">
        <v>2.9854155094792598</v>
      </c>
      <c r="S24">
        <v>33180.000316564998</v>
      </c>
      <c r="T24">
        <v>7.4922899329385704</v>
      </c>
      <c r="U24">
        <v>3.4123453178573202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4.0648914520427397E-2</v>
      </c>
      <c r="AC24">
        <v>0</v>
      </c>
      <c r="AD24">
        <v>1130028.57316423</v>
      </c>
      <c r="AE24">
        <v>0</v>
      </c>
      <c r="AF24">
        <v>-1633029.7777281399</v>
      </c>
      <c r="AG24">
        <v>0</v>
      </c>
      <c r="AH24">
        <v>5015586.57068522</v>
      </c>
      <c r="AI24">
        <v>-949584.53927012905</v>
      </c>
      <c r="AJ24">
        <v>14450943.9167866</v>
      </c>
      <c r="AK24">
        <v>1620816.8477109601</v>
      </c>
      <c r="AL24">
        <v>-44801.174993676803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19589960.4163551</v>
      </c>
      <c r="AW24">
        <v>19700754.5802976</v>
      </c>
      <c r="AX24">
        <v>1029044.41970277</v>
      </c>
      <c r="AY24">
        <v>22919974</v>
      </c>
      <c r="AZ24">
        <v>43649773.000000402</v>
      </c>
      <c r="BA24"/>
      <c r="BB24"/>
    </row>
    <row r="25" spans="1:54" x14ac:dyDescent="0.25">
      <c r="A25" t="str">
        <f t="shared" si="0"/>
        <v>0_2_2006</v>
      </c>
      <c r="B25">
        <v>0</v>
      </c>
      <c r="C25">
        <v>2</v>
      </c>
      <c r="D25" s="162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950557060.17273295</v>
      </c>
      <c r="K25">
        <v>17427015.190576199</v>
      </c>
      <c r="L25">
        <v>12189060.458303699</v>
      </c>
      <c r="M25">
        <v>0</v>
      </c>
      <c r="N25">
        <v>0.87453611440325896</v>
      </c>
      <c r="O25">
        <v>0</v>
      </c>
      <c r="P25">
        <v>2489143.47111732</v>
      </c>
      <c r="Q25">
        <v>0.34989923840892501</v>
      </c>
      <c r="R25">
        <v>3.2678900407111202</v>
      </c>
      <c r="S25">
        <v>31707.039385882101</v>
      </c>
      <c r="T25">
        <v>7.5260429450324597</v>
      </c>
      <c r="U25">
        <v>3.5735851352236199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3.98717196983382E-2</v>
      </c>
      <c r="AC25">
        <v>0</v>
      </c>
      <c r="AD25">
        <v>2564943.6904467898</v>
      </c>
      <c r="AE25">
        <v>0</v>
      </c>
      <c r="AF25">
        <v>-3657593.0869601802</v>
      </c>
      <c r="AG25">
        <v>0</v>
      </c>
      <c r="AH25">
        <v>6077172.7326792805</v>
      </c>
      <c r="AI25">
        <v>-89397.054546426705</v>
      </c>
      <c r="AJ25">
        <v>8488626.5625487901</v>
      </c>
      <c r="AK25">
        <v>2678635.4590072702</v>
      </c>
      <c r="AL25">
        <v>7054.1943029783497</v>
      </c>
      <c r="AM25">
        <v>-1216924.01639579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14852518.4810827</v>
      </c>
      <c r="AW25">
        <v>14991312.3952247</v>
      </c>
      <c r="AX25">
        <v>27752064.604775101</v>
      </c>
      <c r="AY25">
        <v>15747264</v>
      </c>
      <c r="AZ25">
        <v>58490640.999999903</v>
      </c>
      <c r="BA25"/>
      <c r="BB25"/>
    </row>
    <row r="26" spans="1:54" x14ac:dyDescent="0.25">
      <c r="A26" t="str">
        <f t="shared" si="0"/>
        <v>0_2_2007</v>
      </c>
      <c r="B26">
        <v>0</v>
      </c>
      <c r="C26">
        <v>2</v>
      </c>
      <c r="D26" s="162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964774633.02620006</v>
      </c>
      <c r="K26">
        <v>3595317.8645722098</v>
      </c>
      <c r="L26">
        <v>12139213.002662901</v>
      </c>
      <c r="M26">
        <v>0</v>
      </c>
      <c r="N26">
        <v>0.89575729761823097</v>
      </c>
      <c r="O26">
        <v>0</v>
      </c>
      <c r="P26">
        <v>2506046.0194194498</v>
      </c>
      <c r="Q26">
        <v>0.34780737583798599</v>
      </c>
      <c r="R26">
        <v>3.4551355017601701</v>
      </c>
      <c r="S26">
        <v>31993.077300879799</v>
      </c>
      <c r="T26">
        <v>7.4289218051663397</v>
      </c>
      <c r="U26">
        <v>3.74734725518692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3.9455505721186702E-2</v>
      </c>
      <c r="AC26">
        <v>0</v>
      </c>
      <c r="AD26">
        <v>3203987.1291996301</v>
      </c>
      <c r="AE26">
        <v>0</v>
      </c>
      <c r="AF26">
        <v>-4766119.0725097898</v>
      </c>
      <c r="AG26">
        <v>0</v>
      </c>
      <c r="AH26">
        <v>2532438.10012668</v>
      </c>
      <c r="AI26">
        <v>-1307541.7305647701</v>
      </c>
      <c r="AJ26">
        <v>5638927.6675712503</v>
      </c>
      <c r="AK26">
        <v>-725667.42349317996</v>
      </c>
      <c r="AL26">
        <v>-160289.52654214899</v>
      </c>
      <c r="AM26">
        <v>-1260882.7749158801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3154852.3688717801</v>
      </c>
      <c r="AW26">
        <v>3046981.23015205</v>
      </c>
      <c r="AX26">
        <v>-740259.23015222303</v>
      </c>
      <c r="AY26">
        <v>8688267.9999999907</v>
      </c>
      <c r="AZ26">
        <v>10994989.999999801</v>
      </c>
      <c r="BA26"/>
      <c r="BB26"/>
    </row>
    <row r="27" spans="1:54" x14ac:dyDescent="0.25">
      <c r="A27" t="str">
        <f t="shared" si="0"/>
        <v>0_2_2008</v>
      </c>
      <c r="B27">
        <v>0</v>
      </c>
      <c r="C27">
        <v>2</v>
      </c>
      <c r="D27" s="162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989414785.51860201</v>
      </c>
      <c r="K27">
        <v>24640152.4924017</v>
      </c>
      <c r="L27">
        <v>12290406.974323301</v>
      </c>
      <c r="M27">
        <v>0</v>
      </c>
      <c r="N27">
        <v>0.89493191570186303</v>
      </c>
      <c r="O27">
        <v>0</v>
      </c>
      <c r="P27">
        <v>2511974.24835356</v>
      </c>
      <c r="Q27">
        <v>0.34768094753883899</v>
      </c>
      <c r="R27">
        <v>3.8651958319828799</v>
      </c>
      <c r="S27">
        <v>31801.154273996501</v>
      </c>
      <c r="T27">
        <v>7.6059558929172697</v>
      </c>
      <c r="U27">
        <v>3.8012413147221298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3.9455505721186702E-2</v>
      </c>
      <c r="AC27">
        <v>0</v>
      </c>
      <c r="AD27">
        <v>7121812.4851595098</v>
      </c>
      <c r="AE27">
        <v>0</v>
      </c>
      <c r="AF27">
        <v>1576585.76013057</v>
      </c>
      <c r="AG27">
        <v>0</v>
      </c>
      <c r="AH27">
        <v>1139909.2205346799</v>
      </c>
      <c r="AI27">
        <v>-87998.107276090101</v>
      </c>
      <c r="AJ27">
        <v>11840986.614596199</v>
      </c>
      <c r="AK27">
        <v>448679.02286403597</v>
      </c>
      <c r="AL27">
        <v>316776.79456632899</v>
      </c>
      <c r="AM27">
        <v>-277775.08076711401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22078976.7098081</v>
      </c>
      <c r="AW27">
        <v>22469774.604157701</v>
      </c>
      <c r="AX27">
        <v>41133073.395842403</v>
      </c>
      <c r="AY27">
        <v>0</v>
      </c>
      <c r="AZ27">
        <v>63602848.000000201</v>
      </c>
      <c r="BA27"/>
      <c r="BB27"/>
    </row>
    <row r="28" spans="1:54" x14ac:dyDescent="0.25">
      <c r="A28" t="str">
        <f t="shared" si="0"/>
        <v>0_2_2009</v>
      </c>
      <c r="B28">
        <v>0</v>
      </c>
      <c r="C28">
        <v>2</v>
      </c>
      <c r="D28" s="162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919778595.00755298</v>
      </c>
      <c r="K28">
        <v>-69636190.511048794</v>
      </c>
      <c r="L28">
        <v>11963645.855133699</v>
      </c>
      <c r="M28">
        <v>0</v>
      </c>
      <c r="N28">
        <v>1.0103714186644599</v>
      </c>
      <c r="O28">
        <v>0</v>
      </c>
      <c r="P28">
        <v>2493193.30275037</v>
      </c>
      <c r="Q28">
        <v>0.35148787587781599</v>
      </c>
      <c r="R28">
        <v>2.8103374921298898</v>
      </c>
      <c r="S28">
        <v>30173.234862315599</v>
      </c>
      <c r="T28">
        <v>7.7096809882267996</v>
      </c>
      <c r="U28">
        <v>4.0092201872556501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3.9455505721186702E-2</v>
      </c>
      <c r="AC28">
        <v>0</v>
      </c>
      <c r="AD28">
        <v>-6919273.3268606197</v>
      </c>
      <c r="AE28">
        <v>0</v>
      </c>
      <c r="AF28">
        <v>-33592774.510672599</v>
      </c>
      <c r="AG28">
        <v>0</v>
      </c>
      <c r="AH28">
        <v>-1066143.7088672</v>
      </c>
      <c r="AI28">
        <v>1543548.1077350599</v>
      </c>
      <c r="AJ28">
        <v>-34035434.129789203</v>
      </c>
      <c r="AK28">
        <v>3635179.5877254</v>
      </c>
      <c r="AL28">
        <v>177576.659682514</v>
      </c>
      <c r="AM28">
        <v>-1630720.2636355001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-71888041.584682196</v>
      </c>
      <c r="AW28">
        <v>-70072848.501610205</v>
      </c>
      <c r="AX28">
        <v>-9576761.4983901195</v>
      </c>
      <c r="AY28">
        <v>0</v>
      </c>
      <c r="AZ28">
        <v>-79649610.000000298</v>
      </c>
      <c r="BA28"/>
      <c r="BB28"/>
    </row>
    <row r="29" spans="1:54" x14ac:dyDescent="0.25">
      <c r="A29" t="str">
        <f t="shared" si="0"/>
        <v>0_2_2010</v>
      </c>
      <c r="B29">
        <v>0</v>
      </c>
      <c r="C29">
        <v>2</v>
      </c>
      <c r="D29" s="162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935873725.24637699</v>
      </c>
      <c r="K29">
        <v>13755132.1211129</v>
      </c>
      <c r="L29">
        <v>11662173.301157</v>
      </c>
      <c r="M29">
        <v>0</v>
      </c>
      <c r="N29">
        <v>1.0147581535574</v>
      </c>
      <c r="O29">
        <v>0</v>
      </c>
      <c r="P29">
        <v>2506860.1969974199</v>
      </c>
      <c r="Q29">
        <v>0.351349882525408</v>
      </c>
      <c r="R29">
        <v>3.2698495335109898</v>
      </c>
      <c r="S29">
        <v>29669.122375049599</v>
      </c>
      <c r="T29">
        <v>7.9259908324617898</v>
      </c>
      <c r="U29">
        <v>4.0278793298481501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3.9346372443128198E-2</v>
      </c>
      <c r="AC29">
        <v>0</v>
      </c>
      <c r="AD29">
        <v>-6207014.64091451</v>
      </c>
      <c r="AE29">
        <v>0</v>
      </c>
      <c r="AF29">
        <v>767298.83282143401</v>
      </c>
      <c r="AG29">
        <v>0</v>
      </c>
      <c r="AH29">
        <v>1896310.32872249</v>
      </c>
      <c r="AI29">
        <v>182423.48767850699</v>
      </c>
      <c r="AJ29">
        <v>14911706.6226357</v>
      </c>
      <c r="AK29">
        <v>1041614.22283217</v>
      </c>
      <c r="AL29">
        <v>459276.92738579499</v>
      </c>
      <c r="AM29">
        <v>-7754.5537634593002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13043861.227398099</v>
      </c>
      <c r="AW29">
        <v>13243691.561709501</v>
      </c>
      <c r="AX29">
        <v>-25727859.5617094</v>
      </c>
      <c r="AY29">
        <v>2308521.9999999902</v>
      </c>
      <c r="AZ29">
        <v>-10175645.999999801</v>
      </c>
      <c r="BA29"/>
      <c r="BB29"/>
    </row>
    <row r="30" spans="1:54" x14ac:dyDescent="0.25">
      <c r="A30" t="str">
        <f t="shared" si="0"/>
        <v>0_2_2011</v>
      </c>
      <c r="B30">
        <v>0</v>
      </c>
      <c r="C30">
        <v>2</v>
      </c>
      <c r="D30" s="162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956159915.28499103</v>
      </c>
      <c r="K30">
        <v>20286190.038613498</v>
      </c>
      <c r="L30">
        <v>11462779.6350004</v>
      </c>
      <c r="M30">
        <v>0</v>
      </c>
      <c r="N30">
        <v>0.99742845238218503</v>
      </c>
      <c r="O30">
        <v>0</v>
      </c>
      <c r="P30">
        <v>2526455.28324511</v>
      </c>
      <c r="Q30">
        <v>0.34410319623580099</v>
      </c>
      <c r="R30">
        <v>4.0111020093806999</v>
      </c>
      <c r="S30">
        <v>29100.830016762298</v>
      </c>
      <c r="T30">
        <v>8.2132553545452698</v>
      </c>
      <c r="U30">
        <v>4.1277261650759902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5.2275766936384201E-2</v>
      </c>
      <c r="AC30">
        <v>0</v>
      </c>
      <c r="AD30">
        <v>-5889995.2738197502</v>
      </c>
      <c r="AE30">
        <v>0</v>
      </c>
      <c r="AF30">
        <v>4048712.7940840502</v>
      </c>
      <c r="AG30">
        <v>0</v>
      </c>
      <c r="AH30">
        <v>1545501.9265282899</v>
      </c>
      <c r="AI30">
        <v>-2583583.5668977499</v>
      </c>
      <c r="AJ30">
        <v>20840077.8821842</v>
      </c>
      <c r="AK30">
        <v>1276611.61797757</v>
      </c>
      <c r="AL30">
        <v>473238.30289521598</v>
      </c>
      <c r="AM30">
        <v>-825325.50570206402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-146479.21827437801</v>
      </c>
      <c r="AU30">
        <v>0</v>
      </c>
      <c r="AV30">
        <v>18738758.958975401</v>
      </c>
      <c r="AW30">
        <v>18681063.4497867</v>
      </c>
      <c r="AX30">
        <v>18673140.550213199</v>
      </c>
      <c r="AY30">
        <v>0</v>
      </c>
      <c r="AZ30">
        <v>37354203.999999903</v>
      </c>
      <c r="BA30"/>
      <c r="BB30"/>
    </row>
    <row r="31" spans="1:54" x14ac:dyDescent="0.25">
      <c r="A31" t="str">
        <f t="shared" si="0"/>
        <v>0_2_2012</v>
      </c>
      <c r="B31">
        <v>0</v>
      </c>
      <c r="C31">
        <v>2</v>
      </c>
      <c r="D31" s="162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951074556.84306395</v>
      </c>
      <c r="K31">
        <v>-5085358.4419261999</v>
      </c>
      <c r="L31">
        <v>11264859.978528</v>
      </c>
      <c r="M31">
        <v>0</v>
      </c>
      <c r="N31">
        <v>0.99257439422925597</v>
      </c>
      <c r="O31">
        <v>0</v>
      </c>
      <c r="P31">
        <v>2552570.2182420199</v>
      </c>
      <c r="Q31">
        <v>0.33060451780988898</v>
      </c>
      <c r="R31">
        <v>4.0256358420234699</v>
      </c>
      <c r="S31">
        <v>28874.309502126802</v>
      </c>
      <c r="T31">
        <v>8.2569154106646199</v>
      </c>
      <c r="U31">
        <v>4.1251469761152801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8.9326402136675601E-2</v>
      </c>
      <c r="AC31">
        <v>0</v>
      </c>
      <c r="AD31">
        <v>-3436908.8120193901</v>
      </c>
      <c r="AE31">
        <v>0</v>
      </c>
      <c r="AF31">
        <v>31760.717496051999</v>
      </c>
      <c r="AG31">
        <v>0</v>
      </c>
      <c r="AH31">
        <v>2087529.43013197</v>
      </c>
      <c r="AI31">
        <v>-4690605.6089858804</v>
      </c>
      <c r="AJ31">
        <v>399674.96092674701</v>
      </c>
      <c r="AK31">
        <v>641022.13802432804</v>
      </c>
      <c r="AL31">
        <v>51087.676009695802</v>
      </c>
      <c r="AM31">
        <v>18531.0323485638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-420579.39151501399</v>
      </c>
      <c r="AU31">
        <v>0</v>
      </c>
      <c r="AV31">
        <v>-5318487.8575829202</v>
      </c>
      <c r="AW31">
        <v>-5333705.2859261399</v>
      </c>
      <c r="AX31">
        <v>30491872.285925701</v>
      </c>
      <c r="AY31">
        <v>0</v>
      </c>
      <c r="AZ31">
        <v>25158166.999999601</v>
      </c>
      <c r="BA31"/>
      <c r="BB31"/>
    </row>
    <row r="32" spans="1:54" x14ac:dyDescent="0.25">
      <c r="A32" t="str">
        <f t="shared" si="0"/>
        <v>0_2_2013</v>
      </c>
      <c r="B32">
        <v>0</v>
      </c>
      <c r="C32">
        <v>2</v>
      </c>
      <c r="D32" s="16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943433097.82063794</v>
      </c>
      <c r="K32">
        <v>-7641459.0224267403</v>
      </c>
      <c r="L32">
        <v>11263611.059694201</v>
      </c>
      <c r="M32">
        <v>0</v>
      </c>
      <c r="N32">
        <v>1.0208482016625799</v>
      </c>
      <c r="O32">
        <v>0</v>
      </c>
      <c r="P32">
        <v>2586254.4538099999</v>
      </c>
      <c r="Q32">
        <v>0.32980914648163001</v>
      </c>
      <c r="R32">
        <v>3.8688140678341698</v>
      </c>
      <c r="S32">
        <v>29012.009098915601</v>
      </c>
      <c r="T32">
        <v>8.0614106631504807</v>
      </c>
      <c r="U32">
        <v>4.2099835744081098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0.149923329189557</v>
      </c>
      <c r="AC32">
        <v>0</v>
      </c>
      <c r="AD32">
        <v>2859690.6191149699</v>
      </c>
      <c r="AE32">
        <v>0</v>
      </c>
      <c r="AF32">
        <v>-7798464.8489393601</v>
      </c>
      <c r="AG32">
        <v>0</v>
      </c>
      <c r="AH32">
        <v>3569289.2427819902</v>
      </c>
      <c r="AI32">
        <v>-313652.08092510398</v>
      </c>
      <c r="AJ32">
        <v>-4364919.7605556501</v>
      </c>
      <c r="AK32">
        <v>-306374.38226036902</v>
      </c>
      <c r="AL32">
        <v>-347710.02824967599</v>
      </c>
      <c r="AM32">
        <v>-489061.04749145999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-648997.01470398996</v>
      </c>
      <c r="AU32">
        <v>0</v>
      </c>
      <c r="AV32">
        <v>-7840199.3012286397</v>
      </c>
      <c r="AW32">
        <v>-7836134.7317990102</v>
      </c>
      <c r="AX32">
        <v>-9950465.2682006303</v>
      </c>
      <c r="AY32">
        <v>0</v>
      </c>
      <c r="AZ32">
        <v>-17786599.999999601</v>
      </c>
      <c r="BA32"/>
      <c r="BB32"/>
    </row>
    <row r="33" spans="1:54" x14ac:dyDescent="0.25">
      <c r="A33" t="str">
        <f t="shared" si="0"/>
        <v>0_2_2014</v>
      </c>
      <c r="B33">
        <v>0</v>
      </c>
      <c r="C33">
        <v>2</v>
      </c>
      <c r="D33" s="162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942818374.21955705</v>
      </c>
      <c r="K33">
        <v>-614723.60108065698</v>
      </c>
      <c r="L33">
        <v>11419119.683224799</v>
      </c>
      <c r="M33">
        <v>0</v>
      </c>
      <c r="N33">
        <v>1.00169303980737</v>
      </c>
      <c r="O33">
        <v>0</v>
      </c>
      <c r="P33">
        <v>2619700.4193235799</v>
      </c>
      <c r="Q33">
        <v>0.32846012645969902</v>
      </c>
      <c r="R33">
        <v>3.64891258968906</v>
      </c>
      <c r="S33">
        <v>29100.5921407038</v>
      </c>
      <c r="T33">
        <v>8.1039332362453802</v>
      </c>
      <c r="U33">
        <v>4.2869099312537804</v>
      </c>
      <c r="V33">
        <v>0</v>
      </c>
      <c r="W33">
        <v>0</v>
      </c>
      <c r="X33">
        <v>0</v>
      </c>
      <c r="Y33">
        <v>0.161617672595357</v>
      </c>
      <c r="Z33">
        <v>0</v>
      </c>
      <c r="AA33">
        <v>0</v>
      </c>
      <c r="AB33">
        <v>0.274270248635608</v>
      </c>
      <c r="AC33">
        <v>0</v>
      </c>
      <c r="AD33">
        <v>6515568.5939772604</v>
      </c>
      <c r="AE33">
        <v>0</v>
      </c>
      <c r="AF33">
        <v>3482394.4997145901</v>
      </c>
      <c r="AG33">
        <v>0</v>
      </c>
      <c r="AH33">
        <v>2703293.2888610102</v>
      </c>
      <c r="AI33">
        <v>-563893.191899581</v>
      </c>
      <c r="AJ33">
        <v>-6179036.9691080097</v>
      </c>
      <c r="AK33">
        <v>-234024.08051166101</v>
      </c>
      <c r="AL33">
        <v>68314.828546623496</v>
      </c>
      <c r="AM33">
        <v>-613685.94614765397</v>
      </c>
      <c r="AN33">
        <v>0</v>
      </c>
      <c r="AO33">
        <v>0</v>
      </c>
      <c r="AP33">
        <v>0</v>
      </c>
      <c r="AQ33">
        <v>-4689347.1843558298</v>
      </c>
      <c r="AR33">
        <v>0</v>
      </c>
      <c r="AS33">
        <v>0</v>
      </c>
      <c r="AT33">
        <v>-995508.07544095803</v>
      </c>
      <c r="AU33">
        <v>0</v>
      </c>
      <c r="AV33">
        <v>-505924.23636419902</v>
      </c>
      <c r="AW33">
        <v>-574347.41894992499</v>
      </c>
      <c r="AX33">
        <v>-3539836.5810498302</v>
      </c>
      <c r="AY33">
        <v>0</v>
      </c>
      <c r="AZ33">
        <v>-4114183.9999997602</v>
      </c>
      <c r="BA33"/>
      <c r="BB33"/>
    </row>
    <row r="34" spans="1:54" x14ac:dyDescent="0.25">
      <c r="A34" t="str">
        <f t="shared" si="0"/>
        <v>0_2_2015</v>
      </c>
      <c r="B34">
        <v>0</v>
      </c>
      <c r="C34">
        <v>2</v>
      </c>
      <c r="D34" s="162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894614245.135584</v>
      </c>
      <c r="K34">
        <v>-48204129.083972901</v>
      </c>
      <c r="L34">
        <v>11782498.880544901</v>
      </c>
      <c r="M34">
        <v>0</v>
      </c>
      <c r="N34">
        <v>1.0041721746130801</v>
      </c>
      <c r="O34">
        <v>0</v>
      </c>
      <c r="P34">
        <v>2653957.9308234402</v>
      </c>
      <c r="Q34">
        <v>0.32927560808973799</v>
      </c>
      <c r="R34">
        <v>2.6811130935646199</v>
      </c>
      <c r="S34">
        <v>30303.426469331898</v>
      </c>
      <c r="T34">
        <v>7.8985869256322099</v>
      </c>
      <c r="U34">
        <v>4.4359767146259097</v>
      </c>
      <c r="V34">
        <v>0</v>
      </c>
      <c r="W34">
        <v>9.6904988128316497E-3</v>
      </c>
      <c r="X34">
        <v>0</v>
      </c>
      <c r="Y34">
        <v>1.0007329349109699</v>
      </c>
      <c r="Z34">
        <v>0</v>
      </c>
      <c r="AA34">
        <v>0</v>
      </c>
      <c r="AB34">
        <v>0.49431643972456502</v>
      </c>
      <c r="AC34">
        <v>0</v>
      </c>
      <c r="AD34">
        <v>12705383.8041442</v>
      </c>
      <c r="AE34">
        <v>0</v>
      </c>
      <c r="AF34">
        <v>-1947175.51258246</v>
      </c>
      <c r="AG34">
        <v>0</v>
      </c>
      <c r="AH34">
        <v>2648913.8839835399</v>
      </c>
      <c r="AI34">
        <v>335904.15712262702</v>
      </c>
      <c r="AJ34">
        <v>-31064398.9370116</v>
      </c>
      <c r="AK34">
        <v>-2593014.71420437</v>
      </c>
      <c r="AL34">
        <v>-392206.67624373501</v>
      </c>
      <c r="AM34">
        <v>-1065921.6889583</v>
      </c>
      <c r="AN34">
        <v>0</v>
      </c>
      <c r="AO34">
        <v>534945.43560017098</v>
      </c>
      <c r="AP34">
        <v>0</v>
      </c>
      <c r="AQ34">
        <v>-25361398.034484498</v>
      </c>
      <c r="AR34">
        <v>0</v>
      </c>
      <c r="AS34">
        <v>0</v>
      </c>
      <c r="AT34">
        <v>-2171107.0985205998</v>
      </c>
      <c r="AU34">
        <v>0</v>
      </c>
      <c r="AV34">
        <v>-48370075.381154999</v>
      </c>
      <c r="AW34">
        <v>-48017854.2861384</v>
      </c>
      <c r="AX34">
        <v>22401629.286138199</v>
      </c>
      <c r="AY34">
        <v>0</v>
      </c>
      <c r="AZ34">
        <v>-25616225.000000101</v>
      </c>
      <c r="BA34"/>
      <c r="BB34"/>
    </row>
    <row r="35" spans="1:54" x14ac:dyDescent="0.25">
      <c r="A35" t="str">
        <f t="shared" si="0"/>
        <v>0_2_2016</v>
      </c>
      <c r="B35">
        <v>0</v>
      </c>
      <c r="C35">
        <v>2</v>
      </c>
      <c r="D35" s="162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859663839.97545695</v>
      </c>
      <c r="K35">
        <v>-34950405.160127804</v>
      </c>
      <c r="L35">
        <v>12159503.951854199</v>
      </c>
      <c r="M35">
        <v>0</v>
      </c>
      <c r="N35">
        <v>1.01846091725655</v>
      </c>
      <c r="O35">
        <v>0</v>
      </c>
      <c r="P35">
        <v>2686779.4906811798</v>
      </c>
      <c r="Q35">
        <v>0.32603077162588501</v>
      </c>
      <c r="R35">
        <v>2.3755801694335101</v>
      </c>
      <c r="S35">
        <v>31096.219490803</v>
      </c>
      <c r="T35">
        <v>7.72797644755798</v>
      </c>
      <c r="U35">
        <v>4.9466887498879997</v>
      </c>
      <c r="V35">
        <v>0</v>
      </c>
      <c r="W35">
        <v>9.6904988128316497E-3</v>
      </c>
      <c r="X35">
        <v>0</v>
      </c>
      <c r="Y35">
        <v>1.9321347378446301</v>
      </c>
      <c r="Z35">
        <v>0</v>
      </c>
      <c r="AA35">
        <v>0</v>
      </c>
      <c r="AB35">
        <v>0.63630868723493395</v>
      </c>
      <c r="AC35">
        <v>0</v>
      </c>
      <c r="AD35">
        <v>12309222.749712501</v>
      </c>
      <c r="AE35">
        <v>0</v>
      </c>
      <c r="AF35">
        <v>-3581815.2317296299</v>
      </c>
      <c r="AG35">
        <v>0</v>
      </c>
      <c r="AH35">
        <v>2467364.1328561502</v>
      </c>
      <c r="AI35">
        <v>-1283070.03787311</v>
      </c>
      <c r="AJ35">
        <v>-11135438.185518499</v>
      </c>
      <c r="AK35">
        <v>-1588145.6810755001</v>
      </c>
      <c r="AL35">
        <v>-246506.59503809499</v>
      </c>
      <c r="AM35">
        <v>-3538397.02378385</v>
      </c>
      <c r="AN35">
        <v>0</v>
      </c>
      <c r="AO35">
        <v>0</v>
      </c>
      <c r="AP35">
        <v>0</v>
      </c>
      <c r="AQ35">
        <v>-28007602.155899402</v>
      </c>
      <c r="AR35">
        <v>0</v>
      </c>
      <c r="AS35">
        <v>0</v>
      </c>
      <c r="AT35">
        <v>-1401794.50363023</v>
      </c>
      <c r="AU35">
        <v>0</v>
      </c>
      <c r="AV35">
        <v>-36006182.531979598</v>
      </c>
      <c r="AW35">
        <v>-35861028.656061999</v>
      </c>
      <c r="AX35">
        <v>-6480565.3439378999</v>
      </c>
      <c r="AY35">
        <v>0</v>
      </c>
      <c r="AZ35">
        <v>-42341593.999999903</v>
      </c>
      <c r="BA35"/>
      <c r="BB35"/>
    </row>
    <row r="36" spans="1:54" x14ac:dyDescent="0.25">
      <c r="A36" t="str">
        <f t="shared" si="0"/>
        <v>0_2_2017</v>
      </c>
      <c r="B36">
        <v>0</v>
      </c>
      <c r="C36">
        <v>2</v>
      </c>
      <c r="D36" s="162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842321299.85985005</v>
      </c>
      <c r="K36">
        <v>-13850278.655587999</v>
      </c>
      <c r="L36">
        <v>12281198.976827201</v>
      </c>
      <c r="M36">
        <v>0</v>
      </c>
      <c r="N36">
        <v>1.0133404202490499</v>
      </c>
      <c r="O36">
        <v>0</v>
      </c>
      <c r="P36">
        <v>2723302.83405361</v>
      </c>
      <c r="Q36">
        <v>0.32283668878671401</v>
      </c>
      <c r="R36">
        <v>2.58711112807655</v>
      </c>
      <c r="S36">
        <v>31229.150292567101</v>
      </c>
      <c r="T36">
        <v>7.4478462005949302</v>
      </c>
      <c r="U36">
        <v>5.1713650493599799</v>
      </c>
      <c r="V36">
        <v>0</v>
      </c>
      <c r="W36">
        <v>1.94402988602498E-2</v>
      </c>
      <c r="X36">
        <v>0</v>
      </c>
      <c r="Y36">
        <v>2.8696980053701102</v>
      </c>
      <c r="Z36">
        <v>0</v>
      </c>
      <c r="AA36">
        <v>0</v>
      </c>
      <c r="AB36">
        <v>0.73091161422099005</v>
      </c>
      <c r="AC36">
        <v>0</v>
      </c>
      <c r="AD36">
        <v>3763137.9382464699</v>
      </c>
      <c r="AE36">
        <v>0</v>
      </c>
      <c r="AF36">
        <v>2794796.8384182798</v>
      </c>
      <c r="AG36">
        <v>0</v>
      </c>
      <c r="AH36">
        <v>2501719.0852741101</v>
      </c>
      <c r="AI36">
        <v>-487577.69900485798</v>
      </c>
      <c r="AJ36">
        <v>7622303.2845630003</v>
      </c>
      <c r="AK36">
        <v>-312763.91394067399</v>
      </c>
      <c r="AL36">
        <v>-508709.58773357002</v>
      </c>
      <c r="AM36">
        <v>-1502187.8095598801</v>
      </c>
      <c r="AN36">
        <v>0</v>
      </c>
      <c r="AO36">
        <v>438955.454091575</v>
      </c>
      <c r="AP36">
        <v>0</v>
      </c>
      <c r="AQ36">
        <v>-26869250.096822701</v>
      </c>
      <c r="AR36">
        <v>0</v>
      </c>
      <c r="AS36">
        <v>0</v>
      </c>
      <c r="AT36">
        <v>-1011666.98310909</v>
      </c>
      <c r="AU36">
        <v>0</v>
      </c>
      <c r="AV36">
        <v>-13814428.7713055</v>
      </c>
      <c r="AW36">
        <v>-14151713.3678119</v>
      </c>
      <c r="AX36">
        <v>-25445205.6321881</v>
      </c>
      <c r="AY36">
        <v>0</v>
      </c>
      <c r="AZ36">
        <v>-39596919</v>
      </c>
      <c r="BA36"/>
      <c r="BB36"/>
    </row>
    <row r="37" spans="1:54" x14ac:dyDescent="0.25">
      <c r="A37" t="str">
        <f t="shared" si="0"/>
        <v>0_2_2018</v>
      </c>
      <c r="B37">
        <v>0</v>
      </c>
      <c r="C37">
        <v>2</v>
      </c>
      <c r="D37" s="162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824632468.02864695</v>
      </c>
      <c r="K37">
        <v>-21820641.281687699</v>
      </c>
      <c r="L37">
        <v>12605880.249967899</v>
      </c>
      <c r="M37">
        <v>0</v>
      </c>
      <c r="N37">
        <v>1.0085579264681701</v>
      </c>
      <c r="O37">
        <v>0</v>
      </c>
      <c r="P37">
        <v>2755043.8205972002</v>
      </c>
      <c r="Q37">
        <v>0.32665160783327502</v>
      </c>
      <c r="R37">
        <v>2.86612689037909</v>
      </c>
      <c r="S37">
        <v>31624.666409858299</v>
      </c>
      <c r="T37">
        <v>7.1994298882696199</v>
      </c>
      <c r="U37">
        <v>5.4675502827794897</v>
      </c>
      <c r="V37">
        <v>0</v>
      </c>
      <c r="W37">
        <v>2.9190098907668102E-2</v>
      </c>
      <c r="X37">
        <v>0</v>
      </c>
      <c r="Y37">
        <v>3.85967537363417</v>
      </c>
      <c r="Z37">
        <v>0</v>
      </c>
      <c r="AA37">
        <v>0</v>
      </c>
      <c r="AB37">
        <v>0.82475758674098198</v>
      </c>
      <c r="AC37">
        <v>0.41079761662414999</v>
      </c>
      <c r="AD37">
        <v>6961380.5081279203</v>
      </c>
      <c r="AE37">
        <v>0</v>
      </c>
      <c r="AF37">
        <v>3759697.7564474298</v>
      </c>
      <c r="AG37">
        <v>0</v>
      </c>
      <c r="AH37">
        <v>2172162.36234122</v>
      </c>
      <c r="AI37">
        <v>680041.21113127901</v>
      </c>
      <c r="AJ37">
        <v>8852873.0354119502</v>
      </c>
      <c r="AK37">
        <v>-738018.56474398798</v>
      </c>
      <c r="AL37">
        <v>-412081.23558392102</v>
      </c>
      <c r="AM37">
        <v>-1866706.86989657</v>
      </c>
      <c r="AN37">
        <v>0</v>
      </c>
      <c r="AO37">
        <v>435455.77237049199</v>
      </c>
      <c r="AP37">
        <v>0</v>
      </c>
      <c r="AQ37">
        <v>-27322000.040593199</v>
      </c>
      <c r="AR37">
        <v>0</v>
      </c>
      <c r="AS37">
        <v>0</v>
      </c>
      <c r="AT37">
        <v>-967724.68381831201</v>
      </c>
      <c r="AU37">
        <v>-12522673.699328</v>
      </c>
      <c r="AV37">
        <v>-21258478.974190298</v>
      </c>
      <c r="AW37">
        <v>-21584926.265842199</v>
      </c>
      <c r="AX37">
        <v>-421525.734157698</v>
      </c>
      <c r="AY37">
        <v>0</v>
      </c>
      <c r="AZ37">
        <v>-22006451.999999899</v>
      </c>
      <c r="BA37"/>
      <c r="BB37"/>
    </row>
    <row r="38" spans="1:54" x14ac:dyDescent="0.25">
      <c r="A38" t="str">
        <f t="shared" si="0"/>
        <v>0_3_2002</v>
      </c>
      <c r="B38">
        <v>0</v>
      </c>
      <c r="C38">
        <v>3</v>
      </c>
      <c r="D38" s="162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105437135.656376</v>
      </c>
      <c r="K38">
        <v>0</v>
      </c>
      <c r="L38">
        <v>2436593.4779696302</v>
      </c>
      <c r="M38">
        <v>0</v>
      </c>
      <c r="N38">
        <v>0.90327811224383903</v>
      </c>
      <c r="O38">
        <v>0</v>
      </c>
      <c r="P38">
        <v>625427.99872995203</v>
      </c>
      <c r="Q38">
        <v>0.24101167174693</v>
      </c>
      <c r="R38">
        <v>1.9327110653241599</v>
      </c>
      <c r="S38">
        <v>34213.9259747588</v>
      </c>
      <c r="T38">
        <v>6.6866462964353799</v>
      </c>
      <c r="U38">
        <v>3.3043487636261699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3.0372520728264501E-2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93361892</v>
      </c>
      <c r="AZ38">
        <v>93361892</v>
      </c>
      <c r="BA38"/>
      <c r="BB38"/>
    </row>
    <row r="39" spans="1:54" x14ac:dyDescent="0.25">
      <c r="A39" t="str">
        <f t="shared" si="0"/>
        <v>0_3_2003</v>
      </c>
      <c r="B39">
        <v>0</v>
      </c>
      <c r="C39">
        <v>3</v>
      </c>
      <c r="D39" s="162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123336800.197106</v>
      </c>
      <c r="K39">
        <v>3661867.4352540602</v>
      </c>
      <c r="L39">
        <v>2233198.89111595</v>
      </c>
      <c r="M39">
        <v>0</v>
      </c>
      <c r="N39">
        <v>0.85839124566602198</v>
      </c>
      <c r="O39">
        <v>0</v>
      </c>
      <c r="P39">
        <v>606473.78608284402</v>
      </c>
      <c r="Q39">
        <v>0.23853130071381301</v>
      </c>
      <c r="R39">
        <v>2.1754289026257698</v>
      </c>
      <c r="S39">
        <v>33123.494929623899</v>
      </c>
      <c r="T39">
        <v>6.8276570740113396</v>
      </c>
      <c r="U39">
        <v>3.1964995583905602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2.64969027536021E-2</v>
      </c>
      <c r="AC39">
        <v>0</v>
      </c>
      <c r="AD39">
        <v>142744.48639822399</v>
      </c>
      <c r="AE39">
        <v>0</v>
      </c>
      <c r="AF39">
        <v>762555.70643313206</v>
      </c>
      <c r="AG39">
        <v>0</v>
      </c>
      <c r="AH39">
        <v>603056.78578565503</v>
      </c>
      <c r="AI39">
        <v>-149998.622044207</v>
      </c>
      <c r="AJ39">
        <v>1094902.4705316699</v>
      </c>
      <c r="AK39">
        <v>238794.733529877</v>
      </c>
      <c r="AL39">
        <v>27216.1696971007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2769056.5170740099</v>
      </c>
      <c r="AW39">
        <v>2838093.6158245699</v>
      </c>
      <c r="AX39">
        <v>-3145400.6158245602</v>
      </c>
      <c r="AY39">
        <v>13655748</v>
      </c>
      <c r="AZ39">
        <v>13348441</v>
      </c>
      <c r="BA39"/>
      <c r="BB39"/>
    </row>
    <row r="40" spans="1:54" x14ac:dyDescent="0.25">
      <c r="A40" t="str">
        <f t="shared" si="0"/>
        <v>0_3_2004</v>
      </c>
      <c r="B40">
        <v>0</v>
      </c>
      <c r="C40">
        <v>3</v>
      </c>
      <c r="D40" s="162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173903774.80350301</v>
      </c>
      <c r="K40">
        <v>4652581.0775817903</v>
      </c>
      <c r="L40">
        <v>2306245.5779373501</v>
      </c>
      <c r="M40">
        <v>0</v>
      </c>
      <c r="N40">
        <v>0.85260774292212504</v>
      </c>
      <c r="O40">
        <v>0</v>
      </c>
      <c r="P40">
        <v>611693.84004382696</v>
      </c>
      <c r="Q40">
        <v>0.24408513500852499</v>
      </c>
      <c r="R40">
        <v>2.4979813251360601</v>
      </c>
      <c r="S40">
        <v>30558.561992458999</v>
      </c>
      <c r="T40">
        <v>7.0669842761828701</v>
      </c>
      <c r="U40">
        <v>3.1096136229761302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1.8659381765202598E-2</v>
      </c>
      <c r="AC40">
        <v>0</v>
      </c>
      <c r="AD40">
        <v>1086601.11573619</v>
      </c>
      <c r="AE40">
        <v>0</v>
      </c>
      <c r="AF40">
        <v>263870.86853300501</v>
      </c>
      <c r="AG40">
        <v>0</v>
      </c>
      <c r="AH40">
        <v>797603.16454284196</v>
      </c>
      <c r="AI40">
        <v>-11717.8473243961</v>
      </c>
      <c r="AJ40">
        <v>1481847.3268381499</v>
      </c>
      <c r="AK40">
        <v>365722.965671991</v>
      </c>
      <c r="AL40">
        <v>22408.771499434701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3994796.6624167301</v>
      </c>
      <c r="AW40">
        <v>4094574.3147014198</v>
      </c>
      <c r="AX40">
        <v>-3273788.3147014398</v>
      </c>
      <c r="AY40">
        <v>44950739</v>
      </c>
      <c r="AZ40">
        <v>45771524.999999903</v>
      </c>
      <c r="BA40"/>
      <c r="BB40"/>
    </row>
    <row r="41" spans="1:54" x14ac:dyDescent="0.25">
      <c r="A41" t="str">
        <f t="shared" si="0"/>
        <v>0_3_2005</v>
      </c>
      <c r="B41">
        <v>0</v>
      </c>
      <c r="C41">
        <v>3</v>
      </c>
      <c r="D41" s="162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208779015.16363299</v>
      </c>
      <c r="K41">
        <v>4010208.56692146</v>
      </c>
      <c r="L41">
        <v>2099012.64537337</v>
      </c>
      <c r="M41">
        <v>0</v>
      </c>
      <c r="N41">
        <v>0.83291999374987302</v>
      </c>
      <c r="O41">
        <v>0</v>
      </c>
      <c r="P41">
        <v>623605.49709429301</v>
      </c>
      <c r="Q41">
        <v>0.231065183520199</v>
      </c>
      <c r="R41">
        <v>2.9636798654038801</v>
      </c>
      <c r="S41">
        <v>29296.885264873199</v>
      </c>
      <c r="T41">
        <v>7.0451785115968599</v>
      </c>
      <c r="U41">
        <v>3.1541646759211899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1.5798946791481899E-2</v>
      </c>
      <c r="AC41">
        <v>0</v>
      </c>
      <c r="AD41">
        <v>-1422027.3843189599</v>
      </c>
      <c r="AE41">
        <v>0</v>
      </c>
      <c r="AF41">
        <v>492495.26002911199</v>
      </c>
      <c r="AG41">
        <v>0</v>
      </c>
      <c r="AH41">
        <v>1246649.6953129801</v>
      </c>
      <c r="AI41">
        <v>-370608.15981672902</v>
      </c>
      <c r="AJ41">
        <v>2798361.5131083098</v>
      </c>
      <c r="AK41">
        <v>458438.35186153499</v>
      </c>
      <c r="AL41">
        <v>31633.821974726801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3177507.7526770001</v>
      </c>
      <c r="AW41">
        <v>3213895.3988708202</v>
      </c>
      <c r="AX41">
        <v>616353.60112916399</v>
      </c>
      <c r="AY41">
        <v>27514218</v>
      </c>
      <c r="AZ41">
        <v>31344466.999999899</v>
      </c>
      <c r="BA41"/>
      <c r="BB41"/>
    </row>
    <row r="42" spans="1:54" x14ac:dyDescent="0.25">
      <c r="A42" t="str">
        <f t="shared" si="0"/>
        <v>0_3_2006</v>
      </c>
      <c r="B42">
        <v>0</v>
      </c>
      <c r="C42">
        <v>3</v>
      </c>
      <c r="D42" s="16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248124095.88054201</v>
      </c>
      <c r="K42">
        <v>9197267.8827050198</v>
      </c>
      <c r="L42">
        <v>1996582.2992606501</v>
      </c>
      <c r="M42">
        <v>0</v>
      </c>
      <c r="N42">
        <v>0.85874902196382197</v>
      </c>
      <c r="O42">
        <v>0</v>
      </c>
      <c r="P42">
        <v>625346.50641073403</v>
      </c>
      <c r="Q42">
        <v>0.22820859414647299</v>
      </c>
      <c r="R42">
        <v>3.2552741681692301</v>
      </c>
      <c r="S42">
        <v>27812.987350267202</v>
      </c>
      <c r="T42">
        <v>7.0247419658865402</v>
      </c>
      <c r="U42">
        <v>3.5884451611100401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1.3768518722405801E-2</v>
      </c>
      <c r="AC42">
        <v>0</v>
      </c>
      <c r="AD42">
        <v>2801073.3661135999</v>
      </c>
      <c r="AE42">
        <v>0</v>
      </c>
      <c r="AF42">
        <v>-271602.27327941603</v>
      </c>
      <c r="AG42">
        <v>0</v>
      </c>
      <c r="AH42">
        <v>1601615.8553827801</v>
      </c>
      <c r="AI42">
        <v>-35181.587071080801</v>
      </c>
      <c r="AJ42">
        <v>1830390.0911379</v>
      </c>
      <c r="AK42">
        <v>768304.957474372</v>
      </c>
      <c r="AL42">
        <v>45806.906894689302</v>
      </c>
      <c r="AM42">
        <v>-465907.27640573098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6335795.9818080096</v>
      </c>
      <c r="AW42">
        <v>6539966.7775333999</v>
      </c>
      <c r="AX42">
        <v>6249007.2224666299</v>
      </c>
      <c r="AY42">
        <v>26468097.999999899</v>
      </c>
      <c r="AZ42">
        <v>39257072</v>
      </c>
      <c r="BA42"/>
      <c r="BB42"/>
    </row>
    <row r="43" spans="1:54" x14ac:dyDescent="0.25">
      <c r="A43" t="str">
        <f t="shared" si="0"/>
        <v>0_3_2007</v>
      </c>
      <c r="B43">
        <v>0</v>
      </c>
      <c r="C43">
        <v>3</v>
      </c>
      <c r="D43" s="162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267337510.811728</v>
      </c>
      <c r="K43">
        <v>5368463.4162518298</v>
      </c>
      <c r="L43">
        <v>2003873.15211862</v>
      </c>
      <c r="M43">
        <v>0</v>
      </c>
      <c r="N43">
        <v>0.85533074829581202</v>
      </c>
      <c r="O43">
        <v>0</v>
      </c>
      <c r="P43">
        <v>623133.82390321395</v>
      </c>
      <c r="Q43">
        <v>0.22073030793252599</v>
      </c>
      <c r="R43">
        <v>3.4334782548745499</v>
      </c>
      <c r="S43">
        <v>28098.797510458</v>
      </c>
      <c r="T43">
        <v>7.17414649824536</v>
      </c>
      <c r="U43">
        <v>3.7197084420179301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1.2999499519204301E-2</v>
      </c>
      <c r="AC43">
        <v>0</v>
      </c>
      <c r="AD43">
        <v>2987581.39479096</v>
      </c>
      <c r="AE43">
        <v>0</v>
      </c>
      <c r="AF43">
        <v>312721.07133529498</v>
      </c>
      <c r="AG43">
        <v>0</v>
      </c>
      <c r="AH43">
        <v>626656.09167142701</v>
      </c>
      <c r="AI43">
        <v>-340143.87342832901</v>
      </c>
      <c r="AJ43">
        <v>1325623.2282261299</v>
      </c>
      <c r="AK43">
        <v>-187173.08829948399</v>
      </c>
      <c r="AL43">
        <v>42170.932212345098</v>
      </c>
      <c r="AM43">
        <v>-242001.09571344499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4467825.8519646702</v>
      </c>
      <c r="AW43">
        <v>4462329.4756030897</v>
      </c>
      <c r="AX43">
        <v>4162407.5243968801</v>
      </c>
      <c r="AY43">
        <v>12183549</v>
      </c>
      <c r="AZ43">
        <v>20808285.999999899</v>
      </c>
      <c r="BA43"/>
      <c r="BB43"/>
    </row>
    <row r="44" spans="1:54" x14ac:dyDescent="0.25">
      <c r="A44" t="str">
        <f t="shared" si="0"/>
        <v>0_3_2008</v>
      </c>
      <c r="B44">
        <v>0</v>
      </c>
      <c r="C44">
        <v>3</v>
      </c>
      <c r="D44" s="162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279212671.162395</v>
      </c>
      <c r="K44">
        <v>6847856.5026604999</v>
      </c>
      <c r="L44">
        <v>2045451.35607338</v>
      </c>
      <c r="M44">
        <v>0</v>
      </c>
      <c r="N44">
        <v>0.83675880989931595</v>
      </c>
      <c r="O44">
        <v>0</v>
      </c>
      <c r="P44">
        <v>631406.76496574702</v>
      </c>
      <c r="Q44">
        <v>0.21423325125085799</v>
      </c>
      <c r="R44">
        <v>3.8553356378928401</v>
      </c>
      <c r="S44">
        <v>28303.270758760598</v>
      </c>
      <c r="T44">
        <v>7.1357024164090896</v>
      </c>
      <c r="U44">
        <v>3.72182145453958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1.27645194869662E-2</v>
      </c>
      <c r="AC44">
        <v>0</v>
      </c>
      <c r="AD44">
        <v>1639878.37723696</v>
      </c>
      <c r="AE44">
        <v>0</v>
      </c>
      <c r="AF44">
        <v>1157047.2611708699</v>
      </c>
      <c r="AG44">
        <v>0</v>
      </c>
      <c r="AH44">
        <v>224149.63614407601</v>
      </c>
      <c r="AI44">
        <v>-427889.08140581101</v>
      </c>
      <c r="AJ44">
        <v>3188946.4325709199</v>
      </c>
      <c r="AK44">
        <v>-121559.27838309501</v>
      </c>
      <c r="AL44">
        <v>-13058.654078724399</v>
      </c>
      <c r="AM44">
        <v>57244.615807169801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5683145.0442081001</v>
      </c>
      <c r="AW44">
        <v>5739957.5927756699</v>
      </c>
      <c r="AX44">
        <v>12167313.407224299</v>
      </c>
      <c r="AY44">
        <v>4015598.9999999902</v>
      </c>
      <c r="AZ44">
        <v>21922870</v>
      </c>
      <c r="BA44"/>
      <c r="BB44"/>
    </row>
    <row r="45" spans="1:54" x14ac:dyDescent="0.25">
      <c r="A45" t="str">
        <f t="shared" si="0"/>
        <v>0_3_2009</v>
      </c>
      <c r="B45">
        <v>0</v>
      </c>
      <c r="C45">
        <v>3</v>
      </c>
      <c r="D45" s="162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281342325.85385501</v>
      </c>
      <c r="K45">
        <v>-10536868.7210947</v>
      </c>
      <c r="L45">
        <v>2019529.28840738</v>
      </c>
      <c r="M45">
        <v>0</v>
      </c>
      <c r="N45">
        <v>0.87880583809795099</v>
      </c>
      <c r="O45">
        <v>0</v>
      </c>
      <c r="P45">
        <v>609605.28005366505</v>
      </c>
      <c r="Q45">
        <v>0.22081464924976299</v>
      </c>
      <c r="R45">
        <v>2.7863624188910401</v>
      </c>
      <c r="S45">
        <v>26722.041273401599</v>
      </c>
      <c r="T45">
        <v>7.1784159489522601</v>
      </c>
      <c r="U45">
        <v>3.7187435167299299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1.20461252156473E-2</v>
      </c>
      <c r="AC45">
        <v>0</v>
      </c>
      <c r="AD45">
        <v>1383767.3761584701</v>
      </c>
      <c r="AE45">
        <v>0</v>
      </c>
      <c r="AF45">
        <v>-4040605.8601401499</v>
      </c>
      <c r="AG45">
        <v>0</v>
      </c>
      <c r="AH45">
        <v>-222967.114686619</v>
      </c>
      <c r="AI45">
        <v>703949.37108553399</v>
      </c>
      <c r="AJ45">
        <v>-9296950.0291764699</v>
      </c>
      <c r="AK45">
        <v>978074.78526260203</v>
      </c>
      <c r="AL45">
        <v>46970.136867890098</v>
      </c>
      <c r="AM45">
        <v>78355.445944563704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-10294921.5154969</v>
      </c>
      <c r="AW45">
        <v>-10281453.5603872</v>
      </c>
      <c r="AX45">
        <v>2301921.5603872002</v>
      </c>
      <c r="AY45">
        <v>13248340.999999899</v>
      </c>
      <c r="AZ45">
        <v>5268808.99999996</v>
      </c>
      <c r="BA45"/>
      <c r="BB45"/>
    </row>
    <row r="46" spans="1:54" x14ac:dyDescent="0.25">
      <c r="A46" t="str">
        <f t="shared" si="0"/>
        <v>0_3_2010</v>
      </c>
      <c r="B46">
        <v>0</v>
      </c>
      <c r="C46">
        <v>3</v>
      </c>
      <c r="D46" s="162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290970884.39995199</v>
      </c>
      <c r="K46">
        <v>7190469.1143004298</v>
      </c>
      <c r="L46">
        <v>1978915.2493904701</v>
      </c>
      <c r="M46">
        <v>0</v>
      </c>
      <c r="N46">
        <v>0.86119251401601804</v>
      </c>
      <c r="O46">
        <v>0</v>
      </c>
      <c r="P46">
        <v>612874.20691296004</v>
      </c>
      <c r="Q46">
        <v>0.223300400096271</v>
      </c>
      <c r="R46">
        <v>3.2463067363760798</v>
      </c>
      <c r="S46">
        <v>26688.256039153999</v>
      </c>
      <c r="T46">
        <v>7.4350733284934201</v>
      </c>
      <c r="U46">
        <v>4.0766241097197602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2.8423094628907599E-2</v>
      </c>
      <c r="AC46">
        <v>0</v>
      </c>
      <c r="AD46">
        <v>524753.98951699096</v>
      </c>
      <c r="AE46">
        <v>0</v>
      </c>
      <c r="AF46">
        <v>1439996.06055076</v>
      </c>
      <c r="AG46">
        <v>0</v>
      </c>
      <c r="AH46">
        <v>485485.39076213603</v>
      </c>
      <c r="AI46">
        <v>277424.94428671198</v>
      </c>
      <c r="AJ46">
        <v>4477529.0107670398</v>
      </c>
      <c r="AK46">
        <v>-60883.636981080803</v>
      </c>
      <c r="AL46">
        <v>146018.878183208</v>
      </c>
      <c r="AM46">
        <v>-621733.18623941601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-45409.698275823503</v>
      </c>
      <c r="AU46">
        <v>0</v>
      </c>
      <c r="AV46">
        <v>6594248.4768845998</v>
      </c>
      <c r="AW46">
        <v>6666585.3154360196</v>
      </c>
      <c r="AX46">
        <v>-3561515.315436</v>
      </c>
      <c r="AY46">
        <v>1770537</v>
      </c>
      <c r="AZ46">
        <v>4875607.0000000102</v>
      </c>
      <c r="BA46"/>
      <c r="BB46"/>
    </row>
    <row r="47" spans="1:54" x14ac:dyDescent="0.25">
      <c r="A47" t="str">
        <f t="shared" si="0"/>
        <v>0_3_2011</v>
      </c>
      <c r="B47">
        <v>0</v>
      </c>
      <c r="C47">
        <v>3</v>
      </c>
      <c r="D47" s="162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301222245.76751798</v>
      </c>
      <c r="K47">
        <v>9528227.4545394499</v>
      </c>
      <c r="L47">
        <v>1946387.8468207</v>
      </c>
      <c r="M47">
        <v>0</v>
      </c>
      <c r="N47">
        <v>0.82689773679198897</v>
      </c>
      <c r="O47">
        <v>0</v>
      </c>
      <c r="P47">
        <v>614648.46434809605</v>
      </c>
      <c r="Q47">
        <v>0.215608017051509</v>
      </c>
      <c r="R47">
        <v>3.9898887004223398</v>
      </c>
      <c r="S47">
        <v>26432.954663786499</v>
      </c>
      <c r="T47">
        <v>7.4899764906927802</v>
      </c>
      <c r="U47">
        <v>3.9427737757402199</v>
      </c>
      <c r="V47">
        <v>0</v>
      </c>
      <c r="W47">
        <v>9.2987181962922594E-3</v>
      </c>
      <c r="X47">
        <v>0</v>
      </c>
      <c r="Y47">
        <v>0</v>
      </c>
      <c r="Z47">
        <v>0</v>
      </c>
      <c r="AA47">
        <v>0</v>
      </c>
      <c r="AB47">
        <v>2.8271346876418201E-2</v>
      </c>
      <c r="AC47">
        <v>0</v>
      </c>
      <c r="AD47">
        <v>-282303.18891704403</v>
      </c>
      <c r="AE47">
        <v>0</v>
      </c>
      <c r="AF47">
        <v>2531896.78757963</v>
      </c>
      <c r="AG47">
        <v>0</v>
      </c>
      <c r="AH47">
        <v>370350.58841328003</v>
      </c>
      <c r="AI47">
        <v>-733136.18876095803</v>
      </c>
      <c r="AJ47">
        <v>6468232.3992128503</v>
      </c>
      <c r="AK47">
        <v>114271.56979679099</v>
      </c>
      <c r="AL47">
        <v>52614.545562815802</v>
      </c>
      <c r="AM47">
        <v>188725.621204177</v>
      </c>
      <c r="AN47">
        <v>0</v>
      </c>
      <c r="AO47">
        <v>115179.426273119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8753502.6948951706</v>
      </c>
      <c r="AW47">
        <v>8813865.4405940492</v>
      </c>
      <c r="AX47">
        <v>7790364.5594059601</v>
      </c>
      <c r="AY47">
        <v>1273013.99999999</v>
      </c>
      <c r="AZ47">
        <v>17877244</v>
      </c>
      <c r="BA47"/>
      <c r="BB47"/>
    </row>
    <row r="48" spans="1:54" x14ac:dyDescent="0.25">
      <c r="A48" t="str">
        <f t="shared" si="0"/>
        <v>0_3_2012</v>
      </c>
      <c r="B48">
        <v>0</v>
      </c>
      <c r="C48">
        <v>3</v>
      </c>
      <c r="D48" s="162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308203651.52852601</v>
      </c>
      <c r="K48">
        <v>-126029.68013602</v>
      </c>
      <c r="L48">
        <v>1935564.7547657499</v>
      </c>
      <c r="M48">
        <v>0</v>
      </c>
      <c r="N48">
        <v>0.82821757692531495</v>
      </c>
      <c r="O48">
        <v>0</v>
      </c>
      <c r="P48">
        <v>608223.96752153302</v>
      </c>
      <c r="Q48">
        <v>0.20287939749310699</v>
      </c>
      <c r="R48">
        <v>3.99676458590372</v>
      </c>
      <c r="S48">
        <v>25928.146323228299</v>
      </c>
      <c r="T48">
        <v>7.33093904795337</v>
      </c>
      <c r="U48">
        <v>3.7964745491418501</v>
      </c>
      <c r="V48">
        <v>0</v>
      </c>
      <c r="W48">
        <v>1.81254270699816E-2</v>
      </c>
      <c r="X48">
        <v>0</v>
      </c>
      <c r="Y48">
        <v>0</v>
      </c>
      <c r="Z48">
        <v>0</v>
      </c>
      <c r="AA48">
        <v>0</v>
      </c>
      <c r="AB48">
        <v>3.8681875663871497E-2</v>
      </c>
      <c r="AC48">
        <v>0</v>
      </c>
      <c r="AD48">
        <v>418133.244070335</v>
      </c>
      <c r="AE48">
        <v>0</v>
      </c>
      <c r="AF48">
        <v>-331557.23319185898</v>
      </c>
      <c r="AG48">
        <v>0</v>
      </c>
      <c r="AH48">
        <v>489773.87898028898</v>
      </c>
      <c r="AI48">
        <v>-1203020.45702273</v>
      </c>
      <c r="AJ48">
        <v>68276.930620733896</v>
      </c>
      <c r="AK48">
        <v>342342.71775774902</v>
      </c>
      <c r="AL48">
        <v>-67834.095583404604</v>
      </c>
      <c r="AM48">
        <v>266999.03489283897</v>
      </c>
      <c r="AN48">
        <v>0</v>
      </c>
      <c r="AO48">
        <v>111408.05717736699</v>
      </c>
      <c r="AP48">
        <v>0</v>
      </c>
      <c r="AQ48">
        <v>0</v>
      </c>
      <c r="AR48">
        <v>0</v>
      </c>
      <c r="AS48">
        <v>0</v>
      </c>
      <c r="AT48">
        <v>-29481.8343631891</v>
      </c>
      <c r="AU48">
        <v>0</v>
      </c>
      <c r="AV48">
        <v>111829.565623895</v>
      </c>
      <c r="AW48">
        <v>171949.37743751099</v>
      </c>
      <c r="AX48">
        <v>8191616.6225624001</v>
      </c>
      <c r="AY48">
        <v>6209327.9999999898</v>
      </c>
      <c r="AZ48">
        <v>14572893.999999899</v>
      </c>
      <c r="BA48"/>
      <c r="BB48"/>
    </row>
    <row r="49" spans="1:54" x14ac:dyDescent="0.25">
      <c r="A49" t="str">
        <f t="shared" si="0"/>
        <v>0_3_2013</v>
      </c>
      <c r="B49">
        <v>0</v>
      </c>
      <c r="C49">
        <v>3</v>
      </c>
      <c r="D49" s="162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302418210.84567302</v>
      </c>
      <c r="K49">
        <v>-5785440.6828530598</v>
      </c>
      <c r="L49">
        <v>1946060.67257579</v>
      </c>
      <c r="M49">
        <v>0</v>
      </c>
      <c r="N49">
        <v>0.88674250938854704</v>
      </c>
      <c r="O49">
        <v>0</v>
      </c>
      <c r="P49">
        <v>617901.40567327396</v>
      </c>
      <c r="Q49">
        <v>0.20234804564720699</v>
      </c>
      <c r="R49">
        <v>3.8467504249086302</v>
      </c>
      <c r="S49">
        <v>25948.276808231301</v>
      </c>
      <c r="T49">
        <v>7.3388802978969201</v>
      </c>
      <c r="U49">
        <v>3.7100248896118599</v>
      </c>
      <c r="V49">
        <v>0</v>
      </c>
      <c r="W49">
        <v>1.81254270699816E-2</v>
      </c>
      <c r="X49">
        <v>0</v>
      </c>
      <c r="Y49">
        <v>0</v>
      </c>
      <c r="Z49">
        <v>0</v>
      </c>
      <c r="AA49">
        <v>0</v>
      </c>
      <c r="AB49">
        <v>3.8681875663871497E-2</v>
      </c>
      <c r="AC49">
        <v>0</v>
      </c>
      <c r="AD49">
        <v>1030600.11939784</v>
      </c>
      <c r="AE49">
        <v>0</v>
      </c>
      <c r="AF49">
        <v>-6147447.9760548295</v>
      </c>
      <c r="AG49">
        <v>0</v>
      </c>
      <c r="AH49">
        <v>849016.30680104496</v>
      </c>
      <c r="AI49">
        <v>-50255.838112372498</v>
      </c>
      <c r="AJ49">
        <v>-1341369.4178015201</v>
      </c>
      <c r="AK49">
        <v>-10200.6018462914</v>
      </c>
      <c r="AL49">
        <v>16728.1102484898</v>
      </c>
      <c r="AM49">
        <v>225427.102469184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-5376295.7038388597</v>
      </c>
      <c r="AW49">
        <v>-5379038.67426774</v>
      </c>
      <c r="AX49">
        <v>2587318.6742678601</v>
      </c>
      <c r="AY49">
        <v>0</v>
      </c>
      <c r="AZ49">
        <v>-2791719.9999998701</v>
      </c>
      <c r="BA49"/>
      <c r="BB49"/>
    </row>
    <row r="50" spans="1:54" x14ac:dyDescent="0.25">
      <c r="A50" t="str">
        <f t="shared" si="0"/>
        <v>0_3_2014</v>
      </c>
      <c r="B50">
        <v>0</v>
      </c>
      <c r="C50">
        <v>3</v>
      </c>
      <c r="D50" s="162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303397948.661488</v>
      </c>
      <c r="K50">
        <v>979737.81581489695</v>
      </c>
      <c r="L50">
        <v>1979471.6415816301</v>
      </c>
      <c r="M50">
        <v>0</v>
      </c>
      <c r="N50">
        <v>0.87558638487103202</v>
      </c>
      <c r="O50">
        <v>0</v>
      </c>
      <c r="P50">
        <v>622817.90920902696</v>
      </c>
      <c r="Q50">
        <v>0.199736608861838</v>
      </c>
      <c r="R50">
        <v>3.63380642695265</v>
      </c>
      <c r="S50">
        <v>26285.550477232198</v>
      </c>
      <c r="T50">
        <v>7.44553066439346</v>
      </c>
      <c r="U50">
        <v>3.87627722590357</v>
      </c>
      <c r="V50">
        <v>0</v>
      </c>
      <c r="W50">
        <v>1.81254270699816E-2</v>
      </c>
      <c r="X50">
        <v>0</v>
      </c>
      <c r="Y50">
        <v>0</v>
      </c>
      <c r="Z50">
        <v>0</v>
      </c>
      <c r="AA50">
        <v>0</v>
      </c>
      <c r="AB50">
        <v>5.6456685005288498E-2</v>
      </c>
      <c r="AC50">
        <v>0</v>
      </c>
      <c r="AD50">
        <v>3061470.30521109</v>
      </c>
      <c r="AE50">
        <v>0</v>
      </c>
      <c r="AF50">
        <v>447741.35888656898</v>
      </c>
      <c r="AG50">
        <v>0</v>
      </c>
      <c r="AH50">
        <v>513119.40310287499</v>
      </c>
      <c r="AI50">
        <v>-279876.131866301</v>
      </c>
      <c r="AJ50">
        <v>-1969835.9408327001</v>
      </c>
      <c r="AK50">
        <v>-302731.08114346</v>
      </c>
      <c r="AL50">
        <v>20152.559959247701</v>
      </c>
      <c r="AM50">
        <v>-392203.63969469297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-68057.010176877593</v>
      </c>
      <c r="AU50">
        <v>0</v>
      </c>
      <c r="AV50">
        <v>1029819.2223811999</v>
      </c>
      <c r="AW50">
        <v>1086241.96588933</v>
      </c>
      <c r="AX50">
        <v>-1254992.9658893901</v>
      </c>
      <c r="AY50">
        <v>0</v>
      </c>
      <c r="AZ50">
        <v>-168751.000000053</v>
      </c>
      <c r="BA50"/>
      <c r="BB50"/>
    </row>
    <row r="51" spans="1:54" x14ac:dyDescent="0.25">
      <c r="A51" t="str">
        <f t="shared" si="0"/>
        <v>0_3_2015</v>
      </c>
      <c r="B51">
        <v>0</v>
      </c>
      <c r="C51">
        <v>3</v>
      </c>
      <c r="D51" s="162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286142705.94381899</v>
      </c>
      <c r="K51">
        <v>-17255242.717669401</v>
      </c>
      <c r="L51">
        <v>2031768.2667340201</v>
      </c>
      <c r="M51">
        <v>0</v>
      </c>
      <c r="N51">
        <v>0.92610744089206498</v>
      </c>
      <c r="O51">
        <v>0</v>
      </c>
      <c r="P51">
        <v>628390.24457361503</v>
      </c>
      <c r="Q51">
        <v>0.19673814729922501</v>
      </c>
      <c r="R51">
        <v>2.6341108998418701</v>
      </c>
      <c r="S51">
        <v>27172.0242436115</v>
      </c>
      <c r="T51">
        <v>7.2637074674622797</v>
      </c>
      <c r="U51">
        <v>3.8998559605686198</v>
      </c>
      <c r="V51">
        <v>0</v>
      </c>
      <c r="W51">
        <v>1.81254270699816E-2</v>
      </c>
      <c r="X51">
        <v>0</v>
      </c>
      <c r="Y51">
        <v>0.58852490250573697</v>
      </c>
      <c r="Z51">
        <v>0</v>
      </c>
      <c r="AA51">
        <v>0</v>
      </c>
      <c r="AB51">
        <v>0.116648771724323</v>
      </c>
      <c r="AC51">
        <v>0</v>
      </c>
      <c r="AD51">
        <v>2988159.9024330801</v>
      </c>
      <c r="AE51">
        <v>0</v>
      </c>
      <c r="AF51">
        <v>-3853910.57985149</v>
      </c>
      <c r="AG51">
        <v>0</v>
      </c>
      <c r="AH51">
        <v>588375.79737674003</v>
      </c>
      <c r="AI51">
        <v>-365963.91621579998</v>
      </c>
      <c r="AJ51">
        <v>-10505049.983457999</v>
      </c>
      <c r="AK51">
        <v>-681892.79482452304</v>
      </c>
      <c r="AL51">
        <v>-96413.315229213302</v>
      </c>
      <c r="AM51">
        <v>29256.108166645499</v>
      </c>
      <c r="AN51">
        <v>0</v>
      </c>
      <c r="AO51">
        <v>0</v>
      </c>
      <c r="AP51">
        <v>0</v>
      </c>
      <c r="AQ51">
        <v>-5651722.1222044602</v>
      </c>
      <c r="AR51">
        <v>0</v>
      </c>
      <c r="AS51">
        <v>0</v>
      </c>
      <c r="AT51">
        <v>-169861.99772245</v>
      </c>
      <c r="AU51">
        <v>0</v>
      </c>
      <c r="AV51">
        <v>-17609419.477459598</v>
      </c>
      <c r="AW51">
        <v>-17312444.020566199</v>
      </c>
      <c r="AX51">
        <v>5776743.0205662297</v>
      </c>
      <c r="AY51">
        <v>0</v>
      </c>
      <c r="AZ51">
        <v>-11535701</v>
      </c>
      <c r="BA51"/>
      <c r="BB51"/>
    </row>
    <row r="52" spans="1:54" x14ac:dyDescent="0.25">
      <c r="A52" t="str">
        <f t="shared" si="0"/>
        <v>0_3_2016</v>
      </c>
      <c r="B52">
        <v>0</v>
      </c>
      <c r="C52">
        <v>3</v>
      </c>
      <c r="D52" s="16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272534394.92510003</v>
      </c>
      <c r="K52">
        <v>-13608311.0187185</v>
      </c>
      <c r="L52">
        <v>2070163.5346603</v>
      </c>
      <c r="M52">
        <v>0</v>
      </c>
      <c r="N52">
        <v>0.98231499881384798</v>
      </c>
      <c r="O52">
        <v>0</v>
      </c>
      <c r="P52">
        <v>633203.89148553996</v>
      </c>
      <c r="Q52">
        <v>0.20067080188470501</v>
      </c>
      <c r="R52">
        <v>2.3486757765466901</v>
      </c>
      <c r="S52">
        <v>27560.696767792098</v>
      </c>
      <c r="T52">
        <v>7.0910426864023099</v>
      </c>
      <c r="U52">
        <v>4.4601404866979797</v>
      </c>
      <c r="V52">
        <v>0</v>
      </c>
      <c r="W52">
        <v>1.81254270699816E-2</v>
      </c>
      <c r="X52">
        <v>0</v>
      </c>
      <c r="Y52">
        <v>1.3895032207564899</v>
      </c>
      <c r="Z52">
        <v>0</v>
      </c>
      <c r="AA52">
        <v>0</v>
      </c>
      <c r="AB52">
        <v>0.19620894514568199</v>
      </c>
      <c r="AC52">
        <v>0</v>
      </c>
      <c r="AD52">
        <v>2000583.3408287601</v>
      </c>
      <c r="AE52">
        <v>0</v>
      </c>
      <c r="AF52">
        <v>-4226856.1928318301</v>
      </c>
      <c r="AG52">
        <v>0</v>
      </c>
      <c r="AH52">
        <v>541102.95997200802</v>
      </c>
      <c r="AI52">
        <v>490957.34551744402</v>
      </c>
      <c r="AJ52">
        <v>-3408896.12215742</v>
      </c>
      <c r="AK52">
        <v>-265351.86665498401</v>
      </c>
      <c r="AL52">
        <v>-75496.863771920194</v>
      </c>
      <c r="AM52">
        <v>-1271342.56554748</v>
      </c>
      <c r="AN52">
        <v>0</v>
      </c>
      <c r="AO52">
        <v>0</v>
      </c>
      <c r="AP52">
        <v>0</v>
      </c>
      <c r="AQ52">
        <v>-7625349.8118203096</v>
      </c>
      <c r="AR52">
        <v>0</v>
      </c>
      <c r="AS52">
        <v>0</v>
      </c>
      <c r="AT52">
        <v>-269074.43521273503</v>
      </c>
      <c r="AU52">
        <v>0</v>
      </c>
      <c r="AV52">
        <v>-14069116.8399754</v>
      </c>
      <c r="AW52">
        <v>-13800639.5478168</v>
      </c>
      <c r="AX52">
        <v>-4687291.4521831097</v>
      </c>
      <c r="AY52">
        <v>0</v>
      </c>
      <c r="AZ52">
        <v>-18487930.999999899</v>
      </c>
      <c r="BA52"/>
      <c r="BB52"/>
    </row>
    <row r="53" spans="1:54" x14ac:dyDescent="0.25">
      <c r="A53" t="str">
        <f t="shared" si="0"/>
        <v>0_3_2017</v>
      </c>
      <c r="B53">
        <v>0</v>
      </c>
      <c r="C53">
        <v>3</v>
      </c>
      <c r="D53" s="162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266688953.43935099</v>
      </c>
      <c r="K53">
        <v>-4957406.7555057798</v>
      </c>
      <c r="L53">
        <v>2092519.58216083</v>
      </c>
      <c r="M53">
        <v>0</v>
      </c>
      <c r="N53">
        <v>0.97553444358584496</v>
      </c>
      <c r="O53">
        <v>0</v>
      </c>
      <c r="P53">
        <v>637940.464880354</v>
      </c>
      <c r="Q53">
        <v>0.19912958800177799</v>
      </c>
      <c r="R53">
        <v>2.5615476818083498</v>
      </c>
      <c r="S53">
        <v>27766.121232206599</v>
      </c>
      <c r="T53">
        <v>7.0528773145489101</v>
      </c>
      <c r="U53">
        <v>4.7619152118705497</v>
      </c>
      <c r="V53">
        <v>0</v>
      </c>
      <c r="W53">
        <v>1.81254270699816E-2</v>
      </c>
      <c r="X53">
        <v>0</v>
      </c>
      <c r="Y53">
        <v>2.2760238037469702</v>
      </c>
      <c r="Z53">
        <v>0</v>
      </c>
      <c r="AA53">
        <v>0</v>
      </c>
      <c r="AB53">
        <v>0.42140254669565802</v>
      </c>
      <c r="AC53">
        <v>0</v>
      </c>
      <c r="AD53">
        <v>1574497.8194190899</v>
      </c>
      <c r="AE53">
        <v>0</v>
      </c>
      <c r="AF53">
        <v>491585.72433331702</v>
      </c>
      <c r="AG53">
        <v>0</v>
      </c>
      <c r="AH53">
        <v>459385.582217663</v>
      </c>
      <c r="AI53">
        <v>-73528.779746038097</v>
      </c>
      <c r="AJ53">
        <v>2445879.9282500502</v>
      </c>
      <c r="AK53">
        <v>-221327.91332938601</v>
      </c>
      <c r="AL53">
        <v>-23881.3021251383</v>
      </c>
      <c r="AM53">
        <v>-617315.66923324496</v>
      </c>
      <c r="AN53">
        <v>0</v>
      </c>
      <c r="AO53">
        <v>0</v>
      </c>
      <c r="AP53">
        <v>0</v>
      </c>
      <c r="AQ53">
        <v>-8110982.2984014796</v>
      </c>
      <c r="AR53">
        <v>0</v>
      </c>
      <c r="AS53">
        <v>0</v>
      </c>
      <c r="AT53">
        <v>-631691.44822952</v>
      </c>
      <c r="AU53">
        <v>0</v>
      </c>
      <c r="AV53">
        <v>-4772072.8926130002</v>
      </c>
      <c r="AW53">
        <v>-4883204.85350795</v>
      </c>
      <c r="AX53">
        <v>-3510509.1464920398</v>
      </c>
      <c r="AY53">
        <v>0</v>
      </c>
      <c r="AZ53">
        <v>-8393713.9999999907</v>
      </c>
      <c r="BA53"/>
      <c r="BB53"/>
    </row>
    <row r="54" spans="1:54" x14ac:dyDescent="0.25">
      <c r="A54" t="str">
        <f t="shared" si="0"/>
        <v>0_3_2018</v>
      </c>
      <c r="B54">
        <v>0</v>
      </c>
      <c r="C54">
        <v>3</v>
      </c>
      <c r="D54" s="162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262240270.762007</v>
      </c>
      <c r="K54">
        <v>-5383787.7889489802</v>
      </c>
      <c r="L54">
        <v>2110597.3381989901</v>
      </c>
      <c r="M54">
        <v>0</v>
      </c>
      <c r="N54">
        <v>0.97569250120411</v>
      </c>
      <c r="O54">
        <v>0</v>
      </c>
      <c r="P54">
        <v>643261.456961027</v>
      </c>
      <c r="Q54">
        <v>0.199048693555371</v>
      </c>
      <c r="R54">
        <v>2.8183435351760502</v>
      </c>
      <c r="S54">
        <v>28105.315492605201</v>
      </c>
      <c r="T54">
        <v>6.9794359227421401</v>
      </c>
      <c r="U54">
        <v>5.1283173872823102</v>
      </c>
      <c r="V54">
        <v>0</v>
      </c>
      <c r="W54">
        <v>1.81254270699816E-2</v>
      </c>
      <c r="X54">
        <v>0</v>
      </c>
      <c r="Y54">
        <v>3.2621241012143001</v>
      </c>
      <c r="Z54">
        <v>0</v>
      </c>
      <c r="AA54">
        <v>0</v>
      </c>
      <c r="AB54">
        <v>0.57605336462404799</v>
      </c>
      <c r="AC54">
        <v>6.7187175884046699E-2</v>
      </c>
      <c r="AD54">
        <v>1660266.4426704601</v>
      </c>
      <c r="AE54">
        <v>0</v>
      </c>
      <c r="AF54">
        <v>872883.82367694203</v>
      </c>
      <c r="AG54">
        <v>0</v>
      </c>
      <c r="AH54">
        <v>483546.06628416502</v>
      </c>
      <c r="AI54">
        <v>-111296.701167201</v>
      </c>
      <c r="AJ54">
        <v>2681608.54824263</v>
      </c>
      <c r="AK54">
        <v>-255662.790271048</v>
      </c>
      <c r="AL54">
        <v>-30438.040526688699</v>
      </c>
      <c r="AM54">
        <v>-761228.08915608295</v>
      </c>
      <c r="AN54">
        <v>0</v>
      </c>
      <c r="AO54">
        <v>0</v>
      </c>
      <c r="AP54">
        <v>0</v>
      </c>
      <c r="AQ54">
        <v>-8766277.5824893098</v>
      </c>
      <c r="AR54">
        <v>0</v>
      </c>
      <c r="AS54">
        <v>0</v>
      </c>
      <c r="AT54">
        <v>-433456.37556307501</v>
      </c>
      <c r="AU54">
        <v>-775450.74322328996</v>
      </c>
      <c r="AV54">
        <v>-5442636.0297159404</v>
      </c>
      <c r="AW54">
        <v>-5514510.03381842</v>
      </c>
      <c r="AX54">
        <v>2283229.0338183902</v>
      </c>
      <c r="AY54">
        <v>0</v>
      </c>
      <c r="AZ54">
        <v>-3231281.00000002</v>
      </c>
      <c r="BA54"/>
      <c r="BB54"/>
    </row>
    <row r="55" spans="1:54" x14ac:dyDescent="0.25">
      <c r="A55" t="str">
        <f t="shared" ref="A55:A59" si="1">CONCATENATE(B55,"_",C55,"_",D55)</f>
        <v>0_10_2002</v>
      </c>
      <c r="B55">
        <v>0</v>
      </c>
      <c r="C55">
        <v>10</v>
      </c>
      <c r="D55" s="162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1298572219.7509201</v>
      </c>
      <c r="K55">
        <v>0</v>
      </c>
      <c r="L55">
        <v>253905652</v>
      </c>
      <c r="M55">
        <v>0</v>
      </c>
      <c r="N55">
        <v>0.97956348559999995</v>
      </c>
      <c r="O55">
        <v>0</v>
      </c>
      <c r="P55">
        <v>25697520.3899999</v>
      </c>
      <c r="Q55">
        <v>0.70319922136740198</v>
      </c>
      <c r="R55">
        <v>1.974</v>
      </c>
      <c r="S55">
        <v>42439.074999999903</v>
      </c>
      <c r="T55">
        <v>31.709999999999901</v>
      </c>
      <c r="U55">
        <v>3.5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1201007994</v>
      </c>
      <c r="AZ55">
        <v>1201007994</v>
      </c>
      <c r="BA55"/>
      <c r="BB55"/>
    </row>
    <row r="56" spans="1:54" x14ac:dyDescent="0.25">
      <c r="A56" t="str">
        <f t="shared" si="1"/>
        <v>0_10_2003</v>
      </c>
      <c r="B56">
        <v>0</v>
      </c>
      <c r="C56">
        <v>10</v>
      </c>
      <c r="D56" s="162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1209263545.76492</v>
      </c>
      <c r="K56">
        <v>-89308673.985992402</v>
      </c>
      <c r="L56">
        <v>232535028.99999899</v>
      </c>
      <c r="M56">
        <v>0</v>
      </c>
      <c r="N56">
        <v>1.1512130358199999</v>
      </c>
      <c r="O56">
        <v>0</v>
      </c>
      <c r="P56">
        <v>26042245.269999899</v>
      </c>
      <c r="Q56">
        <v>0.70198121073034003</v>
      </c>
      <c r="R56">
        <v>2.2467999999999901</v>
      </c>
      <c r="S56">
        <v>41148.635000000002</v>
      </c>
      <c r="T56">
        <v>31.36</v>
      </c>
      <c r="U56">
        <v>3.5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-46579034.451082297</v>
      </c>
      <c r="AE56">
        <v>0</v>
      </c>
      <c r="AF56">
        <v>-56502325.618615702</v>
      </c>
      <c r="AG56">
        <v>0</v>
      </c>
      <c r="AH56">
        <v>3491462.1806977699</v>
      </c>
      <c r="AI56">
        <v>-583253.26178469998</v>
      </c>
      <c r="AJ56">
        <v>15205112.537418</v>
      </c>
      <c r="AK56">
        <v>2636539.7898162398</v>
      </c>
      <c r="AL56">
        <v>-841477.71213293204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-83172976.535683602</v>
      </c>
      <c r="AW56">
        <v>-82598741.725192904</v>
      </c>
      <c r="AX56">
        <v>9281900.7251910493</v>
      </c>
      <c r="AY56">
        <v>0</v>
      </c>
      <c r="AZ56">
        <v>-73316841.000001907</v>
      </c>
      <c r="BA56"/>
      <c r="BB56"/>
    </row>
    <row r="57" spans="1:54" x14ac:dyDescent="0.25">
      <c r="A57" t="str">
        <f t="shared" si="1"/>
        <v>0_10_2004</v>
      </c>
      <c r="B57">
        <v>0</v>
      </c>
      <c r="C57">
        <v>10</v>
      </c>
      <c r="D57" s="162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1238549546.8176301</v>
      </c>
      <c r="K57">
        <v>29286001.052705999</v>
      </c>
      <c r="L57">
        <v>243107286.99999899</v>
      </c>
      <c r="M57">
        <v>0</v>
      </c>
      <c r="N57">
        <v>1.20597552096</v>
      </c>
      <c r="O57">
        <v>0</v>
      </c>
      <c r="P57">
        <v>26563773.749999899</v>
      </c>
      <c r="Q57">
        <v>0.69839341816490697</v>
      </c>
      <c r="R57">
        <v>2.5669</v>
      </c>
      <c r="S57">
        <v>39531.589999999997</v>
      </c>
      <c r="T57">
        <v>31</v>
      </c>
      <c r="U57">
        <v>3.5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22784448.220681001</v>
      </c>
      <c r="AE57">
        <v>0</v>
      </c>
      <c r="AF57">
        <v>-16308411.813094201</v>
      </c>
      <c r="AG57">
        <v>0</v>
      </c>
      <c r="AH57">
        <v>4881593.7827261696</v>
      </c>
      <c r="AI57">
        <v>-1612398.9423768399</v>
      </c>
      <c r="AJ57">
        <v>15302946.9173308</v>
      </c>
      <c r="AK57">
        <v>3215167.5956603698</v>
      </c>
      <c r="AL57">
        <v>-812675.18942878395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27450670.571498498</v>
      </c>
      <c r="AW57">
        <v>27310477.033353802</v>
      </c>
      <c r="AX57">
        <v>-45764596.033351697</v>
      </c>
      <c r="AY57">
        <v>0</v>
      </c>
      <c r="AZ57">
        <v>-18454118.999997798</v>
      </c>
      <c r="BA57"/>
      <c r="BB57"/>
    </row>
    <row r="58" spans="1:54" x14ac:dyDescent="0.25">
      <c r="A58" t="str">
        <f t="shared" si="1"/>
        <v>0_10_2005</v>
      </c>
      <c r="B58">
        <v>0</v>
      </c>
      <c r="C58">
        <v>10</v>
      </c>
      <c r="D58" s="162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1304788031.64007</v>
      </c>
      <c r="K58">
        <v>66238484.822435804</v>
      </c>
      <c r="L58">
        <v>254087770.99999899</v>
      </c>
      <c r="M58">
        <v>0</v>
      </c>
      <c r="N58">
        <v>1.1702642381999999</v>
      </c>
      <c r="O58">
        <v>0</v>
      </c>
      <c r="P58">
        <v>27081157.499999899</v>
      </c>
      <c r="Q58">
        <v>0.69604989521012905</v>
      </c>
      <c r="R58">
        <v>3.0314999999999901</v>
      </c>
      <c r="S58">
        <v>38116.919999999896</v>
      </c>
      <c r="T58">
        <v>30.68</v>
      </c>
      <c r="U58">
        <v>3.5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22266464.2209429</v>
      </c>
      <c r="AE58">
        <v>0</v>
      </c>
      <c r="AF58">
        <v>10540834.094417701</v>
      </c>
      <c r="AG58">
        <v>0</v>
      </c>
      <c r="AH58">
        <v>4671012.9048612705</v>
      </c>
      <c r="AI58">
        <v>-1036230.3578777</v>
      </c>
      <c r="AJ58">
        <v>19641413.347507801</v>
      </c>
      <c r="AK58">
        <v>2874339.0643200502</v>
      </c>
      <c r="AL58">
        <v>-710585.03696564503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58247248.237206496</v>
      </c>
      <c r="AW58">
        <v>59322762.363346398</v>
      </c>
      <c r="AX58">
        <v>16854172.636651099</v>
      </c>
      <c r="AY58">
        <v>0</v>
      </c>
      <c r="AZ58">
        <v>76176934.999997601</v>
      </c>
      <c r="BA58"/>
      <c r="BB58"/>
    </row>
    <row r="59" spans="1:54" x14ac:dyDescent="0.25">
      <c r="A59" t="str">
        <f t="shared" si="1"/>
        <v>0_10_2006</v>
      </c>
      <c r="B59">
        <v>0</v>
      </c>
      <c r="C59">
        <v>10</v>
      </c>
      <c r="D59" s="162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1313920402.00684</v>
      </c>
      <c r="K59">
        <v>9132370.36677026</v>
      </c>
      <c r="L59">
        <v>252268421</v>
      </c>
      <c r="M59">
        <v>0</v>
      </c>
      <c r="N59">
        <v>1.202828105</v>
      </c>
      <c r="O59">
        <v>0</v>
      </c>
      <c r="P59">
        <v>27655014.75</v>
      </c>
      <c r="Q59">
        <v>0.70081421238459896</v>
      </c>
      <c r="R59">
        <v>3.3499999999999899</v>
      </c>
      <c r="S59">
        <v>36028.75</v>
      </c>
      <c r="T59">
        <v>30.18</v>
      </c>
      <c r="U59">
        <v>3.7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-3826210.6589630698</v>
      </c>
      <c r="AE59">
        <v>0</v>
      </c>
      <c r="AF59">
        <v>-10186709.025641199</v>
      </c>
      <c r="AG59">
        <v>0</v>
      </c>
      <c r="AH59">
        <v>5427302.6205821997</v>
      </c>
      <c r="AI59">
        <v>2254493.7563626198</v>
      </c>
      <c r="AJ59">
        <v>12991766.4682872</v>
      </c>
      <c r="AK59">
        <v>4752422.2105713803</v>
      </c>
      <c r="AL59">
        <v>-1186324.50791581</v>
      </c>
      <c r="AM59">
        <v>-1811889.2047870599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8414851.6584962904</v>
      </c>
      <c r="AW59">
        <v>8296856.76166395</v>
      </c>
      <c r="AX59">
        <v>-34170156.7616634</v>
      </c>
      <c r="AY59">
        <v>0</v>
      </c>
      <c r="AZ59">
        <v>-25873299.999999501</v>
      </c>
      <c r="BA59"/>
      <c r="BB59"/>
    </row>
    <row r="60" spans="1:54" x14ac:dyDescent="0.25">
      <c r="A60" t="str">
        <f t="shared" si="0"/>
        <v>0_10_2007</v>
      </c>
      <c r="B60">
        <v>0</v>
      </c>
      <c r="C60">
        <v>10</v>
      </c>
      <c r="D60" s="162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1318300970.6878099</v>
      </c>
      <c r="K60">
        <v>4380568.6809766199</v>
      </c>
      <c r="L60">
        <v>256261700.99999899</v>
      </c>
      <c r="M60">
        <v>0</v>
      </c>
      <c r="N60">
        <v>1.2309854982699999</v>
      </c>
      <c r="O60">
        <v>0</v>
      </c>
      <c r="P60">
        <v>27714120</v>
      </c>
      <c r="Q60">
        <v>0.69978105660465495</v>
      </c>
      <c r="R60">
        <v>3.4605999999999901</v>
      </c>
      <c r="S60">
        <v>36660.58</v>
      </c>
      <c r="T60">
        <v>30.4</v>
      </c>
      <c r="U60">
        <v>3.6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8222083.6345542204</v>
      </c>
      <c r="AE60">
        <v>0</v>
      </c>
      <c r="AF60">
        <v>-8503364.2332102302</v>
      </c>
      <c r="AG60">
        <v>0</v>
      </c>
      <c r="AH60">
        <v>539413.49576975696</v>
      </c>
      <c r="AI60">
        <v>-477670.03641741403</v>
      </c>
      <c r="AJ60">
        <v>4180925.8240630501</v>
      </c>
      <c r="AK60">
        <v>-1430668.97276035</v>
      </c>
      <c r="AL60">
        <v>510957.993768332</v>
      </c>
      <c r="AM60">
        <v>887188.27909027098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3928865.98485763</v>
      </c>
      <c r="AW60">
        <v>3865871.5788125601</v>
      </c>
      <c r="AX60">
        <v>-62694573.578813002</v>
      </c>
      <c r="AY60">
        <v>0</v>
      </c>
      <c r="AZ60">
        <v>-58828702.000000402</v>
      </c>
      <c r="BA60"/>
      <c r="BB60"/>
    </row>
    <row r="61" spans="1:54" x14ac:dyDescent="0.25">
      <c r="A61" t="str">
        <f t="shared" si="0"/>
        <v>0_10_2008</v>
      </c>
      <c r="B61">
        <v>0</v>
      </c>
      <c r="C61">
        <v>10</v>
      </c>
      <c r="D61" s="162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1344788139.40593</v>
      </c>
      <c r="K61">
        <v>26487168.7181179</v>
      </c>
      <c r="L61">
        <v>260943221</v>
      </c>
      <c r="M61">
        <v>0</v>
      </c>
      <c r="N61">
        <v>1.24213280256</v>
      </c>
      <c r="O61">
        <v>0</v>
      </c>
      <c r="P61">
        <v>27956797.669999901</v>
      </c>
      <c r="Q61">
        <v>0.69861119861852705</v>
      </c>
      <c r="R61">
        <v>3.91949999999999</v>
      </c>
      <c r="S61">
        <v>36716.94</v>
      </c>
      <c r="T61">
        <v>30.42</v>
      </c>
      <c r="U61">
        <v>3.7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9001569.9128233492</v>
      </c>
      <c r="AE61">
        <v>0</v>
      </c>
      <c r="AF61">
        <v>-3174594.6553274002</v>
      </c>
      <c r="AG61">
        <v>0</v>
      </c>
      <c r="AH61">
        <v>2092505.9210791001</v>
      </c>
      <c r="AI61">
        <v>-513418.128241873</v>
      </c>
      <c r="AJ61">
        <v>15560198.20482</v>
      </c>
      <c r="AK61">
        <v>-120071.205288995</v>
      </c>
      <c r="AL61">
        <v>44085.243398793202</v>
      </c>
      <c r="AM61">
        <v>-841533.36172624805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22048741.931536701</v>
      </c>
      <c r="AW61">
        <v>22115392.6366065</v>
      </c>
      <c r="AX61">
        <v>-10260185.636606</v>
      </c>
      <c r="AY61">
        <v>0</v>
      </c>
      <c r="AZ61">
        <v>11855207.0000004</v>
      </c>
      <c r="BA61"/>
      <c r="BB61"/>
    </row>
    <row r="62" spans="1:54" x14ac:dyDescent="0.25">
      <c r="A62" t="str">
        <f t="shared" si="0"/>
        <v>0_10_2009</v>
      </c>
      <c r="B62">
        <v>0</v>
      </c>
      <c r="C62">
        <v>10</v>
      </c>
      <c r="D62" s="1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1283761520.5399201</v>
      </c>
      <c r="K62">
        <v>-61026618.866014197</v>
      </c>
      <c r="L62">
        <v>261208990.99999899</v>
      </c>
      <c r="M62">
        <v>0</v>
      </c>
      <c r="N62">
        <v>1.2984894877499999</v>
      </c>
      <c r="O62">
        <v>0</v>
      </c>
      <c r="P62">
        <v>27734538</v>
      </c>
      <c r="Q62">
        <v>0.70705174720515196</v>
      </c>
      <c r="R62">
        <v>2.84309999999999</v>
      </c>
      <c r="S62">
        <v>35494.29</v>
      </c>
      <c r="T62">
        <v>30.61</v>
      </c>
      <c r="U62">
        <v>3.8999999999999901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509651.42683237302</v>
      </c>
      <c r="AE62">
        <v>0</v>
      </c>
      <c r="AF62">
        <v>-15890580.9530131</v>
      </c>
      <c r="AG62">
        <v>0</v>
      </c>
      <c r="AH62">
        <v>-1932859.9884963499</v>
      </c>
      <c r="AI62">
        <v>3751403.24109382</v>
      </c>
      <c r="AJ62">
        <v>-38693166.636340499</v>
      </c>
      <c r="AK62">
        <v>2678971.8098487998</v>
      </c>
      <c r="AL62">
        <v>423392.66359329497</v>
      </c>
      <c r="AM62">
        <v>-1700543.86474928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-50853732.301230997</v>
      </c>
      <c r="AW62">
        <v>-50488408.471932098</v>
      </c>
      <c r="AX62">
        <v>16932508.471930701</v>
      </c>
      <c r="AY62">
        <v>0</v>
      </c>
      <c r="AZ62">
        <v>-33555900.000001401</v>
      </c>
      <c r="BA62"/>
      <c r="BB62"/>
    </row>
    <row r="63" spans="1:54" x14ac:dyDescent="0.25">
      <c r="A63" t="str">
        <f t="shared" si="0"/>
        <v>0_10_2010</v>
      </c>
      <c r="B63">
        <v>0</v>
      </c>
      <c r="C63">
        <v>10</v>
      </c>
      <c r="D63" s="162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1233718575.1905301</v>
      </c>
      <c r="K63">
        <v>-50042945.34939</v>
      </c>
      <c r="L63">
        <v>234440206.99999899</v>
      </c>
      <c r="M63">
        <v>0</v>
      </c>
      <c r="N63">
        <v>1.3328625246499901</v>
      </c>
      <c r="O63">
        <v>0</v>
      </c>
      <c r="P63">
        <v>27553600.749999899</v>
      </c>
      <c r="Q63">
        <v>0.71198282361478205</v>
      </c>
      <c r="R63">
        <v>3.2889999999999899</v>
      </c>
      <c r="S63">
        <v>35213</v>
      </c>
      <c r="T63">
        <v>30.93</v>
      </c>
      <c r="U63">
        <v>3.8999999999999901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-51229712.277286202</v>
      </c>
      <c r="AE63">
        <v>0</v>
      </c>
      <c r="AF63">
        <v>-9241846.7825973295</v>
      </c>
      <c r="AG63">
        <v>0</v>
      </c>
      <c r="AH63">
        <v>-1537412.1365938899</v>
      </c>
      <c r="AI63">
        <v>2124029.2390560498</v>
      </c>
      <c r="AJ63">
        <v>17113954.2142663</v>
      </c>
      <c r="AK63">
        <v>609847.79531761596</v>
      </c>
      <c r="AL63">
        <v>691665.28840056399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-41469474.6594368</v>
      </c>
      <c r="AW63">
        <v>-42061474.309845001</v>
      </c>
      <c r="AX63">
        <v>18854263.3098449</v>
      </c>
      <c r="AY63">
        <v>0</v>
      </c>
      <c r="AZ63">
        <v>-23207211.000000101</v>
      </c>
      <c r="BA63"/>
      <c r="BB63"/>
    </row>
    <row r="64" spans="1:54" x14ac:dyDescent="0.25">
      <c r="A64" t="str">
        <f t="shared" si="0"/>
        <v>0_10_2011</v>
      </c>
      <c r="B64">
        <v>0</v>
      </c>
      <c r="C64">
        <v>10</v>
      </c>
      <c r="D64" s="162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1230381802.7634101</v>
      </c>
      <c r="K64">
        <v>-3336772.4271168699</v>
      </c>
      <c r="L64">
        <v>228510747.99999899</v>
      </c>
      <c r="M64">
        <v>0</v>
      </c>
      <c r="N64">
        <v>1.4103132355200001</v>
      </c>
      <c r="O64">
        <v>0</v>
      </c>
      <c r="P64">
        <v>27682634.670000002</v>
      </c>
      <c r="Q64">
        <v>0.71184921256512901</v>
      </c>
      <c r="R64">
        <v>4.0655999999999999</v>
      </c>
      <c r="S64">
        <v>34147.68</v>
      </c>
      <c r="T64">
        <v>31.299999999999901</v>
      </c>
      <c r="U64">
        <v>3.8999999999999901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-12098335.2359237</v>
      </c>
      <c r="AE64">
        <v>0</v>
      </c>
      <c r="AF64">
        <v>-19795021.104775399</v>
      </c>
      <c r="AG64">
        <v>0</v>
      </c>
      <c r="AH64">
        <v>1075130.8060596599</v>
      </c>
      <c r="AI64">
        <v>-56257.419454822302</v>
      </c>
      <c r="AJ64">
        <v>25490543.0713282</v>
      </c>
      <c r="AK64">
        <v>2305887.8702718201</v>
      </c>
      <c r="AL64">
        <v>782576.52821878903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-2295475.48427549</v>
      </c>
      <c r="AW64">
        <v>-2855576.5931563801</v>
      </c>
      <c r="AX64">
        <v>-28880753.406842399</v>
      </c>
      <c r="AY64">
        <v>0</v>
      </c>
      <c r="AZ64">
        <v>-31736329.9999988</v>
      </c>
      <c r="BA64"/>
      <c r="BB64"/>
    </row>
    <row r="65" spans="1:74" x14ac:dyDescent="0.25">
      <c r="A65" t="str">
        <f t="shared" si="0"/>
        <v>0_10_2012</v>
      </c>
      <c r="B65">
        <v>0</v>
      </c>
      <c r="C65">
        <v>10</v>
      </c>
      <c r="D65" s="162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1217968573.43753</v>
      </c>
      <c r="K65">
        <v>-12413229.325881399</v>
      </c>
      <c r="L65">
        <v>227959423.99999899</v>
      </c>
      <c r="M65">
        <v>0</v>
      </c>
      <c r="N65">
        <v>1.36910030643</v>
      </c>
      <c r="O65">
        <v>0</v>
      </c>
      <c r="P65">
        <v>27909105.420000002</v>
      </c>
      <c r="Q65">
        <v>0.70702565886186597</v>
      </c>
      <c r="R65">
        <v>4.1093000000000002</v>
      </c>
      <c r="S65">
        <v>33963.31</v>
      </c>
      <c r="T65">
        <v>31.51</v>
      </c>
      <c r="U65">
        <v>4.0999999999999996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-1112310.66126201</v>
      </c>
      <c r="AE65">
        <v>0</v>
      </c>
      <c r="AF65">
        <v>10286120.5413123</v>
      </c>
      <c r="AG65">
        <v>0</v>
      </c>
      <c r="AH65">
        <v>1819259.9217173799</v>
      </c>
      <c r="AI65">
        <v>-1968084.85187924</v>
      </c>
      <c r="AJ65">
        <v>1261776.0729549699</v>
      </c>
      <c r="AK65">
        <v>393791.38283874898</v>
      </c>
      <c r="AL65">
        <v>430744.91572990402</v>
      </c>
      <c r="AM65">
        <v>-1565273.6671887899</v>
      </c>
      <c r="AN65">
        <v>0</v>
      </c>
      <c r="AO65">
        <v>0</v>
      </c>
      <c r="AP65">
        <v>-19681089.6061197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-10135065.951896399</v>
      </c>
      <c r="AW65">
        <v>-10331742.2172643</v>
      </c>
      <c r="AX65">
        <v>18925308.2172658</v>
      </c>
      <c r="AY65">
        <v>0</v>
      </c>
      <c r="AZ65">
        <v>8593566.0000015404</v>
      </c>
      <c r="BA65"/>
      <c r="BB65"/>
    </row>
    <row r="66" spans="1:74" x14ac:dyDescent="0.25">
      <c r="A66" t="str">
        <f t="shared" si="0"/>
        <v>0_10_2013</v>
      </c>
      <c r="B66">
        <v>0</v>
      </c>
      <c r="C66">
        <v>10</v>
      </c>
      <c r="D66" s="162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1119990332.9644599</v>
      </c>
      <c r="K66">
        <v>-97978240.473065093</v>
      </c>
      <c r="L66">
        <v>232024740.99999899</v>
      </c>
      <c r="M66">
        <v>0</v>
      </c>
      <c r="N66">
        <v>1.6314814637999999</v>
      </c>
      <c r="O66">
        <v>0</v>
      </c>
      <c r="P66">
        <v>28818049.079999998</v>
      </c>
      <c r="Q66">
        <v>0.70818988617793599</v>
      </c>
      <c r="R66">
        <v>3.9420000000000002</v>
      </c>
      <c r="S66">
        <v>33700.32</v>
      </c>
      <c r="T66">
        <v>29.93</v>
      </c>
      <c r="U66">
        <v>4.2</v>
      </c>
      <c r="V66">
        <v>0</v>
      </c>
      <c r="W66">
        <v>0</v>
      </c>
      <c r="X66">
        <v>2</v>
      </c>
      <c r="Y66">
        <v>0</v>
      </c>
      <c r="Z66">
        <v>0</v>
      </c>
      <c r="AA66">
        <v>0</v>
      </c>
      <c r="AB66">
        <v>1</v>
      </c>
      <c r="AC66">
        <v>0</v>
      </c>
      <c r="AD66">
        <v>8244938.4984470997</v>
      </c>
      <c r="AE66">
        <v>0</v>
      </c>
      <c r="AF66">
        <v>-60981754.960969202</v>
      </c>
      <c r="AG66">
        <v>0</v>
      </c>
      <c r="AH66">
        <v>7234929.6137362299</v>
      </c>
      <c r="AI66">
        <v>479581.23928396101</v>
      </c>
      <c r="AJ66">
        <v>-4916635.6672476502</v>
      </c>
      <c r="AK66">
        <v>570221.69800694205</v>
      </c>
      <c r="AL66">
        <v>-3262187.9211362102</v>
      </c>
      <c r="AM66">
        <v>-789506.211003214</v>
      </c>
      <c r="AN66">
        <v>0</v>
      </c>
      <c r="AO66">
        <v>0</v>
      </c>
      <c r="AP66">
        <v>-19846245.422509599</v>
      </c>
      <c r="AQ66">
        <v>0</v>
      </c>
      <c r="AR66">
        <v>0</v>
      </c>
      <c r="AS66">
        <v>0</v>
      </c>
      <c r="AT66">
        <v>-11132935.685656101</v>
      </c>
      <c r="AU66">
        <v>0</v>
      </c>
      <c r="AV66">
        <v>-84399594.819047898</v>
      </c>
      <c r="AW66">
        <v>-83071385.655780196</v>
      </c>
      <c r="AX66">
        <v>81921898.6557803</v>
      </c>
      <c r="AY66">
        <v>0</v>
      </c>
      <c r="AZ66">
        <v>-1149486.9999998801</v>
      </c>
      <c r="BA66"/>
      <c r="BB66"/>
    </row>
    <row r="67" spans="1:74" x14ac:dyDescent="0.25">
      <c r="A67" t="str">
        <f t="shared" si="0"/>
        <v>0_10_2014</v>
      </c>
      <c r="B67">
        <v>0</v>
      </c>
      <c r="C67">
        <v>10</v>
      </c>
      <c r="D67" s="162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1097422027.7076001</v>
      </c>
      <c r="K67">
        <v>-22568305.2568652</v>
      </c>
      <c r="L67">
        <v>232003465</v>
      </c>
      <c r="M67">
        <v>0</v>
      </c>
      <c r="N67">
        <v>1.62762807398</v>
      </c>
      <c r="O67">
        <v>0</v>
      </c>
      <c r="P67">
        <v>29110612.079999998</v>
      </c>
      <c r="Q67">
        <v>0.71033623275977098</v>
      </c>
      <c r="R67">
        <v>3.75239999999999</v>
      </c>
      <c r="S67">
        <v>33580.799999999901</v>
      </c>
      <c r="T67">
        <v>30.2</v>
      </c>
      <c r="U67">
        <v>4.2</v>
      </c>
      <c r="V67">
        <v>0</v>
      </c>
      <c r="W67">
        <v>0</v>
      </c>
      <c r="X67">
        <v>3</v>
      </c>
      <c r="Y67">
        <v>0</v>
      </c>
      <c r="Z67">
        <v>0</v>
      </c>
      <c r="AA67">
        <v>0</v>
      </c>
      <c r="AB67">
        <v>1</v>
      </c>
      <c r="AC67">
        <v>0</v>
      </c>
      <c r="AD67">
        <v>-42554.895286797197</v>
      </c>
      <c r="AE67">
        <v>0</v>
      </c>
      <c r="AF67">
        <v>876336.06194725598</v>
      </c>
      <c r="AG67">
        <v>0</v>
      </c>
      <c r="AH67">
        <v>2272260.1431499301</v>
      </c>
      <c r="AI67">
        <v>883335.36355277605</v>
      </c>
      <c r="AJ67">
        <v>-5768488.5417536497</v>
      </c>
      <c r="AK67">
        <v>260289.45901652399</v>
      </c>
      <c r="AL67">
        <v>557874.15936622606</v>
      </c>
      <c r="AM67">
        <v>0</v>
      </c>
      <c r="AN67">
        <v>0</v>
      </c>
      <c r="AO67">
        <v>0</v>
      </c>
      <c r="AP67">
        <v>-19824153.9573466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-20785102.2073544</v>
      </c>
      <c r="AW67">
        <v>-20785423.555987801</v>
      </c>
      <c r="AX67">
        <v>10223337.555985101</v>
      </c>
      <c r="AY67">
        <v>0</v>
      </c>
      <c r="AZ67">
        <v>-10562086.0000026</v>
      </c>
      <c r="BA67"/>
      <c r="BB67"/>
    </row>
    <row r="68" spans="1:74" x14ac:dyDescent="0.25">
      <c r="A68" t="str">
        <f t="shared" si="0"/>
        <v>0_10_2015</v>
      </c>
      <c r="B68">
        <v>0</v>
      </c>
      <c r="C68">
        <v>10</v>
      </c>
      <c r="D68" s="162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1030754130.94696</v>
      </c>
      <c r="K68">
        <v>-66667896.7606401</v>
      </c>
      <c r="L68">
        <v>232760765</v>
      </c>
      <c r="M68">
        <v>0</v>
      </c>
      <c r="N68">
        <v>1.6811518782799999</v>
      </c>
      <c r="O68">
        <v>0</v>
      </c>
      <c r="P68">
        <v>29378317.829999901</v>
      </c>
      <c r="Q68">
        <v>0.71350123486694395</v>
      </c>
      <c r="R68">
        <v>2.7029999999999998</v>
      </c>
      <c r="S68">
        <v>34173.339999999902</v>
      </c>
      <c r="T68">
        <v>30.169999999999899</v>
      </c>
      <c r="U68">
        <v>4.0999999999999996</v>
      </c>
      <c r="V68">
        <v>0</v>
      </c>
      <c r="W68">
        <v>0</v>
      </c>
      <c r="X68">
        <v>4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1497949.2020632001</v>
      </c>
      <c r="AE68">
        <v>0</v>
      </c>
      <c r="AF68">
        <v>-11860897.9673694</v>
      </c>
      <c r="AG68">
        <v>0</v>
      </c>
      <c r="AH68">
        <v>2037984.3999222701</v>
      </c>
      <c r="AI68">
        <v>1289490.5172834301</v>
      </c>
      <c r="AJ68">
        <v>-35871107.9767671</v>
      </c>
      <c r="AK68">
        <v>-1267381.6407826799</v>
      </c>
      <c r="AL68">
        <v>-61332.889912483901</v>
      </c>
      <c r="AM68">
        <v>781149.51434068405</v>
      </c>
      <c r="AN68">
        <v>0</v>
      </c>
      <c r="AO68">
        <v>0</v>
      </c>
      <c r="AP68">
        <v>-19621166.0549892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-63075312.896211401</v>
      </c>
      <c r="AW68">
        <v>-62022238.675991602</v>
      </c>
      <c r="AX68">
        <v>38403678.675992802</v>
      </c>
      <c r="AY68">
        <v>0</v>
      </c>
      <c r="AZ68">
        <v>-23618559.9999988</v>
      </c>
      <c r="BA68"/>
      <c r="BB68"/>
    </row>
    <row r="69" spans="1:74" x14ac:dyDescent="0.25">
      <c r="A69" t="str">
        <f t="shared" si="0"/>
        <v>0_10_2016</v>
      </c>
      <c r="B69">
        <v>0</v>
      </c>
      <c r="C69">
        <v>10</v>
      </c>
      <c r="D69" s="162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991899562.39798498</v>
      </c>
      <c r="K69">
        <v>-38854568.548977703</v>
      </c>
      <c r="L69">
        <v>232107588.99999899</v>
      </c>
      <c r="M69">
        <v>0</v>
      </c>
      <c r="N69">
        <v>1.6875652615500001</v>
      </c>
      <c r="O69">
        <v>0</v>
      </c>
      <c r="P69">
        <v>29437697.499999899</v>
      </c>
      <c r="Q69">
        <v>0.71426500750022204</v>
      </c>
      <c r="R69">
        <v>2.4255</v>
      </c>
      <c r="S69">
        <v>35302.049999999901</v>
      </c>
      <c r="T69">
        <v>29.8799999999999</v>
      </c>
      <c r="U69">
        <v>4.5</v>
      </c>
      <c r="V69">
        <v>0</v>
      </c>
      <c r="W69">
        <v>0</v>
      </c>
      <c r="X69">
        <v>5</v>
      </c>
      <c r="Y69">
        <v>0</v>
      </c>
      <c r="Z69">
        <v>0</v>
      </c>
      <c r="AA69">
        <v>0</v>
      </c>
      <c r="AB69">
        <v>1</v>
      </c>
      <c r="AC69">
        <v>0</v>
      </c>
      <c r="AD69">
        <v>-1260097.31645456</v>
      </c>
      <c r="AE69">
        <v>0</v>
      </c>
      <c r="AF69">
        <v>-1379866.0052244901</v>
      </c>
      <c r="AG69">
        <v>0</v>
      </c>
      <c r="AH69">
        <v>438786.824582464</v>
      </c>
      <c r="AI69">
        <v>303833.25165635499</v>
      </c>
      <c r="AJ69">
        <v>-11074738.0744217</v>
      </c>
      <c r="AK69">
        <v>-2298836.8140127398</v>
      </c>
      <c r="AL69">
        <v>-579018.11556067294</v>
      </c>
      <c r="AM69">
        <v>-3046484.3371702698</v>
      </c>
      <c r="AN69">
        <v>0</v>
      </c>
      <c r="AO69">
        <v>0</v>
      </c>
      <c r="AP69">
        <v>-19167251.747616399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-38063672.334222198</v>
      </c>
      <c r="AW69">
        <v>-37594680.430509701</v>
      </c>
      <c r="AX69">
        <v>39519084.4305114</v>
      </c>
      <c r="AY69">
        <v>0</v>
      </c>
      <c r="AZ69">
        <v>1924404.0000016601</v>
      </c>
      <c r="BA69"/>
      <c r="BB69"/>
    </row>
    <row r="70" spans="1:74" x14ac:dyDescent="0.25">
      <c r="A70" t="str">
        <f t="shared" si="0"/>
        <v>0_10_2017</v>
      </c>
      <c r="B70">
        <v>0</v>
      </c>
      <c r="C70">
        <v>10</v>
      </c>
      <c r="D70" s="162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972623070.88394403</v>
      </c>
      <c r="K70">
        <v>-19276491.514040999</v>
      </c>
      <c r="L70">
        <v>230935446.99999899</v>
      </c>
      <c r="M70">
        <v>0</v>
      </c>
      <c r="N70">
        <v>1.7337943710599999</v>
      </c>
      <c r="O70">
        <v>0</v>
      </c>
      <c r="P70">
        <v>29668394.669999901</v>
      </c>
      <c r="Q70">
        <v>0.71555075149007497</v>
      </c>
      <c r="R70">
        <v>2.6928000000000001</v>
      </c>
      <c r="S70">
        <v>35945.819999999898</v>
      </c>
      <c r="T70">
        <v>30</v>
      </c>
      <c r="U70">
        <v>4.5</v>
      </c>
      <c r="V70">
        <v>0</v>
      </c>
      <c r="W70">
        <v>0</v>
      </c>
      <c r="X70">
        <v>6</v>
      </c>
      <c r="Y70">
        <v>0</v>
      </c>
      <c r="Z70">
        <v>0</v>
      </c>
      <c r="AA70">
        <v>0</v>
      </c>
      <c r="AB70">
        <v>1</v>
      </c>
      <c r="AC70">
        <v>0</v>
      </c>
      <c r="AD70">
        <v>-2273424.5677918098</v>
      </c>
      <c r="AE70">
        <v>0</v>
      </c>
      <c r="AF70">
        <v>-9827234.5340522397</v>
      </c>
      <c r="AG70">
        <v>0</v>
      </c>
      <c r="AH70">
        <v>1700726.44718942</v>
      </c>
      <c r="AI70">
        <v>512516.79825150297</v>
      </c>
      <c r="AJ70">
        <v>10821232.9679843</v>
      </c>
      <c r="AK70">
        <v>-1281589.8878707499</v>
      </c>
      <c r="AL70">
        <v>240154.57721616299</v>
      </c>
      <c r="AM70">
        <v>0</v>
      </c>
      <c r="AN70">
        <v>0</v>
      </c>
      <c r="AO70">
        <v>0</v>
      </c>
      <c r="AP70">
        <v>-19204235.988347702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-19311854.187421098</v>
      </c>
      <c r="AW70">
        <v>-19419447.538514599</v>
      </c>
      <c r="AX70">
        <v>-37174536.461487599</v>
      </c>
      <c r="AY70">
        <v>0</v>
      </c>
      <c r="AZ70">
        <v>-56593984.000002198</v>
      </c>
      <c r="BA70"/>
      <c r="BB70"/>
    </row>
    <row r="71" spans="1:74" x14ac:dyDescent="0.25">
      <c r="A71" t="str">
        <f t="shared" si="0"/>
        <v>0_10_2018</v>
      </c>
      <c r="B71">
        <v>0</v>
      </c>
      <c r="C71">
        <v>10</v>
      </c>
      <c r="D71" s="162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961993169.461308</v>
      </c>
      <c r="K71">
        <v>-10629901.422636</v>
      </c>
      <c r="L71">
        <v>230662402</v>
      </c>
      <c r="M71">
        <v>0</v>
      </c>
      <c r="N71">
        <v>1.7232403279999999</v>
      </c>
      <c r="O71">
        <v>0</v>
      </c>
      <c r="P71">
        <v>29807700.839999899</v>
      </c>
      <c r="Q71">
        <v>0.71440492607780803</v>
      </c>
      <c r="R71">
        <v>2.9199999999999902</v>
      </c>
      <c r="S71">
        <v>36801.5</v>
      </c>
      <c r="T71">
        <v>30.01</v>
      </c>
      <c r="U71">
        <v>4.5999999999999996</v>
      </c>
      <c r="V71">
        <v>0</v>
      </c>
      <c r="W71">
        <v>0</v>
      </c>
      <c r="X71">
        <v>7</v>
      </c>
      <c r="Y71">
        <v>0</v>
      </c>
      <c r="Z71">
        <v>0</v>
      </c>
      <c r="AA71">
        <v>0</v>
      </c>
      <c r="AB71">
        <v>1</v>
      </c>
      <c r="AC71">
        <v>0</v>
      </c>
      <c r="AD71">
        <v>-501590.63527974201</v>
      </c>
      <c r="AE71">
        <v>0</v>
      </c>
      <c r="AF71">
        <v>2115371.1923325402</v>
      </c>
      <c r="AG71">
        <v>0</v>
      </c>
      <c r="AH71">
        <v>962459.49187749997</v>
      </c>
      <c r="AI71">
        <v>-430666.11970935098</v>
      </c>
      <c r="AJ71">
        <v>8102906.6949057896</v>
      </c>
      <c r="AK71">
        <v>-1573577.77898339</v>
      </c>
      <c r="AL71">
        <v>18877.3496633289</v>
      </c>
      <c r="AM71">
        <v>-720698.23643225303</v>
      </c>
      <c r="AN71">
        <v>0</v>
      </c>
      <c r="AO71">
        <v>0</v>
      </c>
      <c r="AP71">
        <v>-18116582.081893299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-10143500.123518899</v>
      </c>
      <c r="AW71">
        <v>-10302449.154304801</v>
      </c>
      <c r="AX71">
        <v>3448926.15430508</v>
      </c>
      <c r="AY71">
        <v>0</v>
      </c>
      <c r="AZ71">
        <v>-6853522.9999997597</v>
      </c>
      <c r="BA71"/>
      <c r="BB71"/>
    </row>
    <row r="72" spans="1:74" x14ac:dyDescent="0.25"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G72" s="162"/>
      <c r="AI72" s="162"/>
      <c r="AK72" s="162"/>
      <c r="AO72" s="162"/>
      <c r="AQ72" s="162"/>
      <c r="AS72" s="167"/>
      <c r="AU72" s="167"/>
      <c r="AW72" s="167"/>
      <c r="AY72" s="3"/>
      <c r="BA72"/>
      <c r="BB72"/>
    </row>
    <row r="73" spans="1:74" x14ac:dyDescent="0.25"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G73" s="162"/>
      <c r="AI73" s="162"/>
      <c r="AK73" s="162"/>
      <c r="AO73" s="162"/>
      <c r="AQ73" s="162"/>
      <c r="AS73" s="167"/>
      <c r="AT73" s="167"/>
      <c r="AU73" s="167"/>
      <c r="AV73" s="167"/>
      <c r="AW73" s="167"/>
      <c r="AX73" s="167"/>
      <c r="AY73" s="3"/>
      <c r="AZ73" s="3"/>
      <c r="BA73"/>
    </row>
    <row r="74" spans="1:74" x14ac:dyDescent="0.25">
      <c r="C74" s="1" t="s">
        <v>13</v>
      </c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G74" s="162"/>
      <c r="AI74" s="162"/>
      <c r="AK74" s="162"/>
      <c r="AO74" s="162"/>
      <c r="AQ74" s="162"/>
      <c r="AS74" s="167"/>
      <c r="AT74" s="167"/>
      <c r="AU74" s="167"/>
      <c r="AV74" s="167"/>
      <c r="AW74" s="167"/>
      <c r="AX74" s="167"/>
      <c r="AY74" s="3"/>
      <c r="AZ74" s="3"/>
      <c r="BA74"/>
    </row>
    <row r="75" spans="1:74" s="5" customFormat="1" x14ac:dyDescent="0.25">
      <c r="B75" s="5" t="s">
        <v>0</v>
      </c>
      <c r="C75" s="5" t="s">
        <v>2</v>
      </c>
      <c r="D75" t="s">
        <v>54</v>
      </c>
      <c r="E75" t="s">
        <v>54</v>
      </c>
      <c r="F75" t="s">
        <v>68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87</v>
      </c>
      <c r="M75" t="s">
        <v>91</v>
      </c>
      <c r="N75" t="s">
        <v>88</v>
      </c>
      <c r="O75" t="s">
        <v>92</v>
      </c>
      <c r="P75" t="s">
        <v>8</v>
      </c>
      <c r="Q75" t="s">
        <v>72</v>
      </c>
      <c r="R75" t="s">
        <v>82</v>
      </c>
      <c r="S75" t="s">
        <v>14</v>
      </c>
      <c r="T75" t="s">
        <v>9</v>
      </c>
      <c r="U75" t="s">
        <v>28</v>
      </c>
      <c r="V75" t="s">
        <v>77</v>
      </c>
      <c r="W75" t="s">
        <v>78</v>
      </c>
      <c r="X75" t="s">
        <v>89</v>
      </c>
      <c r="Y75" t="s">
        <v>90</v>
      </c>
      <c r="Z75" t="s">
        <v>93</v>
      </c>
      <c r="AA75" t="s">
        <v>69</v>
      </c>
      <c r="AB75" t="s">
        <v>43</v>
      </c>
      <c r="AC75" t="s">
        <v>44</v>
      </c>
      <c r="AD75" t="s">
        <v>94</v>
      </c>
      <c r="AE75" t="s">
        <v>95</v>
      </c>
      <c r="AF75" t="s">
        <v>96</v>
      </c>
      <c r="AG75" t="s">
        <v>97</v>
      </c>
      <c r="AH75" t="s">
        <v>10</v>
      </c>
      <c r="AI75" t="s">
        <v>74</v>
      </c>
      <c r="AJ75" t="s">
        <v>83</v>
      </c>
      <c r="AK75" t="s">
        <v>29</v>
      </c>
      <c r="AL75" t="s">
        <v>11</v>
      </c>
      <c r="AM75" t="s">
        <v>30</v>
      </c>
      <c r="AN75" t="s">
        <v>79</v>
      </c>
      <c r="AO75" t="s">
        <v>85</v>
      </c>
      <c r="AP75" t="s">
        <v>98</v>
      </c>
      <c r="AQ75" t="s">
        <v>99</v>
      </c>
      <c r="AR75" t="s">
        <v>100</v>
      </c>
      <c r="AS75" t="s">
        <v>84</v>
      </c>
      <c r="AT75" t="s">
        <v>75</v>
      </c>
      <c r="AU75" t="s">
        <v>76</v>
      </c>
      <c r="AV75" t="s">
        <v>38</v>
      </c>
      <c r="AW75" t="s">
        <v>39</v>
      </c>
      <c r="AX75" t="s">
        <v>40</v>
      </c>
      <c r="AY75" t="s">
        <v>41</v>
      </c>
      <c r="AZ75" t="s">
        <v>42</v>
      </c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</row>
    <row r="76" spans="1:74" x14ac:dyDescent="0.25">
      <c r="A76" t="str">
        <f t="shared" ref="A76:A126" si="2">CONCATENATE(B76,"_",C76,"_",D76)</f>
        <v>1_1_2002</v>
      </c>
      <c r="B76">
        <v>1</v>
      </c>
      <c r="C76">
        <v>1</v>
      </c>
      <c r="D76" s="162">
        <v>2002</v>
      </c>
      <c r="E76">
        <v>1288939109.99999</v>
      </c>
      <c r="F76">
        <v>1600147407</v>
      </c>
      <c r="G76">
        <v>0</v>
      </c>
      <c r="H76">
        <v>1288939109.99999</v>
      </c>
      <c r="I76">
        <v>0</v>
      </c>
      <c r="J76">
        <v>1026555708.58699</v>
      </c>
      <c r="K76">
        <v>0</v>
      </c>
      <c r="L76">
        <v>0</v>
      </c>
      <c r="M76">
        <v>49932404.401087999</v>
      </c>
      <c r="N76">
        <v>0</v>
      </c>
      <c r="O76">
        <v>1.64428480391638</v>
      </c>
      <c r="P76">
        <v>8455732.9469062109</v>
      </c>
      <c r="Q76">
        <v>0.44345565364207301</v>
      </c>
      <c r="R76">
        <v>1.9562821014237</v>
      </c>
      <c r="S76">
        <v>43683.908616914901</v>
      </c>
      <c r="T76">
        <v>11.084471518324801</v>
      </c>
      <c r="U76">
        <v>3.902560944093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1288939109.99999</v>
      </c>
      <c r="AZ76">
        <v>1288939109.99999</v>
      </c>
      <c r="BA76"/>
      <c r="BB76"/>
    </row>
    <row r="77" spans="1:74" x14ac:dyDescent="0.25">
      <c r="A77" t="str">
        <f t="shared" si="2"/>
        <v>1_1_2003</v>
      </c>
      <c r="B77">
        <v>1</v>
      </c>
      <c r="C77">
        <v>1</v>
      </c>
      <c r="D77" s="162">
        <v>2003</v>
      </c>
      <c r="E77">
        <v>1288939109.99999</v>
      </c>
      <c r="F77">
        <v>1600147407</v>
      </c>
      <c r="G77">
        <v>1288939109.99999</v>
      </c>
      <c r="H77">
        <v>1274900577.99999</v>
      </c>
      <c r="I77">
        <v>-14038531.999999501</v>
      </c>
      <c r="J77">
        <v>1334420921.8322201</v>
      </c>
      <c r="K77">
        <v>63604637.279050797</v>
      </c>
      <c r="L77">
        <v>0</v>
      </c>
      <c r="M77">
        <v>53602940.288169198</v>
      </c>
      <c r="N77">
        <v>0</v>
      </c>
      <c r="O77">
        <v>1.6341998736408201</v>
      </c>
      <c r="P77">
        <v>8598581.7896695491</v>
      </c>
      <c r="Q77">
        <v>0.44749378436914899</v>
      </c>
      <c r="R77">
        <v>2.2341232637125801</v>
      </c>
      <c r="S77">
        <v>42670.716778018803</v>
      </c>
      <c r="T77">
        <v>10.9976736464378</v>
      </c>
      <c r="U77">
        <v>3.902560944093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52907869.729852498</v>
      </c>
      <c r="AF77">
        <v>0</v>
      </c>
      <c r="AG77">
        <v>954635.71280785406</v>
      </c>
      <c r="AH77">
        <v>5109044.0259117102</v>
      </c>
      <c r="AI77">
        <v>-2790897.2210295</v>
      </c>
      <c r="AJ77">
        <v>16589414.0764565</v>
      </c>
      <c r="AK77">
        <v>2182484.8376568402</v>
      </c>
      <c r="AL77">
        <v>-223889.860754439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68965400.192958504</v>
      </c>
      <c r="AW77">
        <v>69719250.906336695</v>
      </c>
      <c r="AX77">
        <v>-79995838.906336606</v>
      </c>
      <c r="AY77">
        <v>0</v>
      </c>
      <c r="AZ77">
        <v>-10276587.999999801</v>
      </c>
      <c r="BA77"/>
      <c r="BB77"/>
    </row>
    <row r="78" spans="1:74" x14ac:dyDescent="0.25">
      <c r="A78" t="str">
        <f t="shared" si="2"/>
        <v>1_1_2004</v>
      </c>
      <c r="B78">
        <v>1</v>
      </c>
      <c r="C78">
        <v>1</v>
      </c>
      <c r="D78" s="162">
        <v>2004</v>
      </c>
      <c r="E78">
        <v>1296634996.99999</v>
      </c>
      <c r="F78">
        <v>1611534497</v>
      </c>
      <c r="G78">
        <v>1274900577.99999</v>
      </c>
      <c r="H78">
        <v>1354636471</v>
      </c>
      <c r="I78">
        <v>72040006.000000805</v>
      </c>
      <c r="J78">
        <v>1394737116.4590499</v>
      </c>
      <c r="K78">
        <v>53291850.5919649</v>
      </c>
      <c r="L78">
        <v>0</v>
      </c>
      <c r="M78">
        <v>53750208.320538104</v>
      </c>
      <c r="N78">
        <v>0</v>
      </c>
      <c r="O78">
        <v>1.6039632578583201</v>
      </c>
      <c r="P78">
        <v>8769753.8845768701</v>
      </c>
      <c r="Q78">
        <v>0.44603777423240598</v>
      </c>
      <c r="R78">
        <v>2.5561682244003099</v>
      </c>
      <c r="S78">
        <v>41259.962849208197</v>
      </c>
      <c r="T78">
        <v>10.890791800554799</v>
      </c>
      <c r="U78">
        <v>3.8966104678570499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20110817.4288042</v>
      </c>
      <c r="AF78">
        <v>0</v>
      </c>
      <c r="AG78">
        <v>6288260.0700812098</v>
      </c>
      <c r="AH78">
        <v>6122847.9377800198</v>
      </c>
      <c r="AI78">
        <v>-761930.09194121195</v>
      </c>
      <c r="AJ78">
        <v>17595757.875653598</v>
      </c>
      <c r="AK78">
        <v>2961073.8115839902</v>
      </c>
      <c r="AL78">
        <v>-220782.35278385601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52096044.679177999</v>
      </c>
      <c r="AW78">
        <v>53310443.854430601</v>
      </c>
      <c r="AX78">
        <v>18729562.1455702</v>
      </c>
      <c r="AY78">
        <v>7695887</v>
      </c>
      <c r="AZ78">
        <v>79735893.000000805</v>
      </c>
      <c r="BA78"/>
      <c r="BB78"/>
    </row>
    <row r="79" spans="1:74" x14ac:dyDescent="0.25">
      <c r="A79" t="str">
        <f t="shared" si="2"/>
        <v>1_1_2005</v>
      </c>
      <c r="B79">
        <v>1</v>
      </c>
      <c r="C79">
        <v>1</v>
      </c>
      <c r="D79" s="162">
        <v>2005</v>
      </c>
      <c r="E79">
        <v>1304536664.99999</v>
      </c>
      <c r="F79">
        <v>1622733011</v>
      </c>
      <c r="G79">
        <v>1354636471</v>
      </c>
      <c r="H79">
        <v>1404388432.99999</v>
      </c>
      <c r="I79">
        <v>41850293.999998502</v>
      </c>
      <c r="J79">
        <v>1441930754.22067</v>
      </c>
      <c r="K79">
        <v>38102294.323194697</v>
      </c>
      <c r="L79">
        <v>0</v>
      </c>
      <c r="M79">
        <v>53886815.947280802</v>
      </c>
      <c r="N79">
        <v>0</v>
      </c>
      <c r="O79">
        <v>1.6171605728613201</v>
      </c>
      <c r="P79">
        <v>8932883.7708925996</v>
      </c>
      <c r="Q79">
        <v>0.44446829477549799</v>
      </c>
      <c r="R79">
        <v>3.0153663144971001</v>
      </c>
      <c r="S79">
        <v>40066.286860637701</v>
      </c>
      <c r="T79">
        <v>10.770660834933199</v>
      </c>
      <c r="U79">
        <v>3.89844811904922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7897513.6845846903</v>
      </c>
      <c r="AF79">
        <v>0</v>
      </c>
      <c r="AG79">
        <v>-3029852.5129537499</v>
      </c>
      <c r="AH79">
        <v>6652285.7228964204</v>
      </c>
      <c r="AI79">
        <v>-546858.80763554899</v>
      </c>
      <c r="AJ79">
        <v>23847854.022976901</v>
      </c>
      <c r="AK79">
        <v>2886342.1904317201</v>
      </c>
      <c r="AL79">
        <v>-247548.420011749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37459735.880288698</v>
      </c>
      <c r="AW79">
        <v>37653524.260589898</v>
      </c>
      <c r="AX79">
        <v>4196769.7394086001</v>
      </c>
      <c r="AY79">
        <v>7901667.9999999898</v>
      </c>
      <c r="AZ79">
        <v>49751961.999998502</v>
      </c>
      <c r="BA79"/>
      <c r="BB79"/>
    </row>
    <row r="80" spans="1:74" x14ac:dyDescent="0.25">
      <c r="A80" t="str">
        <f t="shared" si="2"/>
        <v>1_1_2006</v>
      </c>
      <c r="B80">
        <v>1</v>
      </c>
      <c r="C80">
        <v>1</v>
      </c>
      <c r="D80" s="162">
        <v>2006</v>
      </c>
      <c r="E80">
        <v>1304536664.99999</v>
      </c>
      <c r="F80">
        <v>1622733011</v>
      </c>
      <c r="G80">
        <v>1404388432.99999</v>
      </c>
      <c r="H80">
        <v>1466313949</v>
      </c>
      <c r="I80">
        <v>61925516.000001803</v>
      </c>
      <c r="J80">
        <v>1498435879.8661599</v>
      </c>
      <c r="K80">
        <v>56505125.645492204</v>
      </c>
      <c r="L80">
        <v>0</v>
      </c>
      <c r="M80">
        <v>55602614.908346198</v>
      </c>
      <c r="N80">
        <v>0</v>
      </c>
      <c r="O80">
        <v>1.6580792102602699</v>
      </c>
      <c r="P80">
        <v>9184079.1280833408</v>
      </c>
      <c r="Q80">
        <v>0.44439896498612003</v>
      </c>
      <c r="R80">
        <v>3.3069910161743099</v>
      </c>
      <c r="S80">
        <v>38280.2060297266</v>
      </c>
      <c r="T80">
        <v>10.702248974849599</v>
      </c>
      <c r="U80">
        <v>4.1640990511370504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38487982.437890097</v>
      </c>
      <c r="AF80">
        <v>0</v>
      </c>
      <c r="AG80">
        <v>-6623356.3325889697</v>
      </c>
      <c r="AH80">
        <v>8773115.0986231994</v>
      </c>
      <c r="AI80">
        <v>-9297.9888733987991</v>
      </c>
      <c r="AJ80">
        <v>14197292.1724982</v>
      </c>
      <c r="AK80">
        <v>4609569.4325866299</v>
      </c>
      <c r="AL80">
        <v>-197179.93108661001</v>
      </c>
      <c r="AM80">
        <v>-2873764.0559148602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56364360.833134398</v>
      </c>
      <c r="AW80">
        <v>56519022.694430597</v>
      </c>
      <c r="AX80">
        <v>5406493.3055711798</v>
      </c>
      <c r="AY80">
        <v>0</v>
      </c>
      <c r="AZ80">
        <v>61925516.000001803</v>
      </c>
      <c r="BA80"/>
      <c r="BB80"/>
    </row>
    <row r="81" spans="1:54" x14ac:dyDescent="0.25">
      <c r="A81" t="str">
        <f t="shared" si="2"/>
        <v>1_1_2007</v>
      </c>
      <c r="B81">
        <v>1</v>
      </c>
      <c r="C81">
        <v>1</v>
      </c>
      <c r="D81" s="162">
        <v>2007</v>
      </c>
      <c r="E81">
        <v>1304536664.99999</v>
      </c>
      <c r="F81">
        <v>1622733011</v>
      </c>
      <c r="G81">
        <v>1466313949</v>
      </c>
      <c r="H81">
        <v>1490391379</v>
      </c>
      <c r="I81">
        <v>24077429.9999994</v>
      </c>
      <c r="J81">
        <v>1559445250.48241</v>
      </c>
      <c r="K81">
        <v>61009370.616251297</v>
      </c>
      <c r="L81">
        <v>0</v>
      </c>
      <c r="M81">
        <v>59370868.793091901</v>
      </c>
      <c r="N81">
        <v>0</v>
      </c>
      <c r="O81">
        <v>1.66872488475637</v>
      </c>
      <c r="P81">
        <v>9248151.0689201597</v>
      </c>
      <c r="Q81">
        <v>0.43646275257080402</v>
      </c>
      <c r="R81">
        <v>3.4716298018220102</v>
      </c>
      <c r="S81">
        <v>38809.4845758581</v>
      </c>
      <c r="T81">
        <v>10.5610246145438</v>
      </c>
      <c r="U81">
        <v>4.3807667493960301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66275237.442195699</v>
      </c>
      <c r="AF81">
        <v>0</v>
      </c>
      <c r="AG81">
        <v>-2623517.2869072501</v>
      </c>
      <c r="AH81">
        <v>2516214.3775887801</v>
      </c>
      <c r="AI81">
        <v>-4550519.6211145502</v>
      </c>
      <c r="AJ81">
        <v>7876550.3835509596</v>
      </c>
      <c r="AK81">
        <v>-1391021.55222641</v>
      </c>
      <c r="AL81">
        <v>-401673.18840727501</v>
      </c>
      <c r="AM81">
        <v>-2432030.26920097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65269240.285479002</v>
      </c>
      <c r="AW81">
        <v>65016958.372583002</v>
      </c>
      <c r="AX81">
        <v>-40939528.372583501</v>
      </c>
      <c r="AY81">
        <v>0</v>
      </c>
      <c r="AZ81">
        <v>24077429.9999994</v>
      </c>
      <c r="BA81"/>
      <c r="BB81"/>
    </row>
    <row r="82" spans="1:54" x14ac:dyDescent="0.25">
      <c r="A82" t="str">
        <f t="shared" si="2"/>
        <v>1_1_2008</v>
      </c>
      <c r="B82">
        <v>1</v>
      </c>
      <c r="C82">
        <v>1</v>
      </c>
      <c r="D82" s="162">
        <v>2008</v>
      </c>
      <c r="E82">
        <v>1304536664.99999</v>
      </c>
      <c r="F82">
        <v>1622733011</v>
      </c>
      <c r="G82">
        <v>1490391379</v>
      </c>
      <c r="H82">
        <v>1563634307</v>
      </c>
      <c r="I82">
        <v>73242928.000000596</v>
      </c>
      <c r="J82">
        <v>1598617048.52087</v>
      </c>
      <c r="K82">
        <v>39171798.038458496</v>
      </c>
      <c r="L82">
        <v>0</v>
      </c>
      <c r="M82">
        <v>60720696.180242598</v>
      </c>
      <c r="N82">
        <v>0</v>
      </c>
      <c r="O82">
        <v>1.7224676618128401</v>
      </c>
      <c r="P82">
        <v>9291879.4741836209</v>
      </c>
      <c r="Q82">
        <v>0.44007330866257199</v>
      </c>
      <c r="R82">
        <v>3.9047266684501301</v>
      </c>
      <c r="S82">
        <v>38748.318441506301</v>
      </c>
      <c r="T82">
        <v>10.7060497576202</v>
      </c>
      <c r="U82">
        <v>4.4760410563086701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0.18946376796546399</v>
      </c>
      <c r="AC82">
        <v>0</v>
      </c>
      <c r="AD82">
        <v>0</v>
      </c>
      <c r="AE82">
        <v>28743799.177805599</v>
      </c>
      <c r="AF82">
        <v>0</v>
      </c>
      <c r="AG82">
        <v>-11093609.661896899</v>
      </c>
      <c r="AH82">
        <v>2128584.3128940798</v>
      </c>
      <c r="AI82">
        <v>2001990.89345888</v>
      </c>
      <c r="AJ82">
        <v>19908572.390547499</v>
      </c>
      <c r="AK82">
        <v>76777.215070985403</v>
      </c>
      <c r="AL82">
        <v>431928.20986938901</v>
      </c>
      <c r="AM82">
        <v>-1017422.58941077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-3064394.8661025702</v>
      </c>
      <c r="AU82">
        <v>0</v>
      </c>
      <c r="AV82">
        <v>38116225.082236297</v>
      </c>
      <c r="AW82">
        <v>37979747.761930697</v>
      </c>
      <c r="AX82">
        <v>35263180.238069899</v>
      </c>
      <c r="AY82">
        <v>0</v>
      </c>
      <c r="AZ82">
        <v>73242928.000000596</v>
      </c>
      <c r="BA82"/>
      <c r="BB82"/>
    </row>
    <row r="83" spans="1:54" x14ac:dyDescent="0.25">
      <c r="A83" t="str">
        <f t="shared" si="2"/>
        <v>1_1_2009</v>
      </c>
      <c r="B83">
        <v>1</v>
      </c>
      <c r="C83">
        <v>1</v>
      </c>
      <c r="D83" s="162">
        <v>2009</v>
      </c>
      <c r="E83">
        <v>1315885005.99999</v>
      </c>
      <c r="F83">
        <v>1636775019</v>
      </c>
      <c r="G83">
        <v>1563634307</v>
      </c>
      <c r="H83">
        <v>1542166468.99999</v>
      </c>
      <c r="I83">
        <v>-32816179.000001501</v>
      </c>
      <c r="J83">
        <v>1543391890.97773</v>
      </c>
      <c r="K83">
        <v>-71740037.677601203</v>
      </c>
      <c r="L83">
        <v>0</v>
      </c>
      <c r="M83">
        <v>60228814.572822303</v>
      </c>
      <c r="N83">
        <v>0</v>
      </c>
      <c r="O83">
        <v>1.82893803269755</v>
      </c>
      <c r="P83">
        <v>9223489.1182339005</v>
      </c>
      <c r="Q83">
        <v>0.44151068116868197</v>
      </c>
      <c r="R83">
        <v>2.8462521151519899</v>
      </c>
      <c r="S83">
        <v>37103.449917785103</v>
      </c>
      <c r="T83">
        <v>10.8032460409766</v>
      </c>
      <c r="U83">
        <v>4.6394372370407497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0.187829811019216</v>
      </c>
      <c r="AC83">
        <v>0</v>
      </c>
      <c r="AD83">
        <v>0</v>
      </c>
      <c r="AE83">
        <v>3863411.1025754502</v>
      </c>
      <c r="AF83">
        <v>0</v>
      </c>
      <c r="AG83">
        <v>-23450327.4580874</v>
      </c>
      <c r="AH83">
        <v>-697589.33382026898</v>
      </c>
      <c r="AI83">
        <v>721034.36435633304</v>
      </c>
      <c r="AJ83">
        <v>-53689810.907522298</v>
      </c>
      <c r="AK83">
        <v>4905990.0751179401</v>
      </c>
      <c r="AL83">
        <v>381828.06358722801</v>
      </c>
      <c r="AM83">
        <v>-1992265.4054424199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-69957729.499235496</v>
      </c>
      <c r="AW83">
        <v>-69535886.193894193</v>
      </c>
      <c r="AX83">
        <v>36719707.193892598</v>
      </c>
      <c r="AY83">
        <v>11348341</v>
      </c>
      <c r="AZ83">
        <v>-21467838.000001501</v>
      </c>
      <c r="BA83"/>
      <c r="BB83"/>
    </row>
    <row r="84" spans="1:54" x14ac:dyDescent="0.25">
      <c r="A84" t="str">
        <f t="shared" si="2"/>
        <v>1_1_2010</v>
      </c>
      <c r="B84">
        <v>1</v>
      </c>
      <c r="C84">
        <v>1</v>
      </c>
      <c r="D84" s="162">
        <v>2010</v>
      </c>
      <c r="E84">
        <v>1357920541.99999</v>
      </c>
      <c r="F84">
        <v>1684310471</v>
      </c>
      <c r="G84">
        <v>1542166468.99999</v>
      </c>
      <c r="H84">
        <v>1584263533</v>
      </c>
      <c r="I84">
        <v>61528.000000629501</v>
      </c>
      <c r="J84">
        <v>1622567577.14218</v>
      </c>
      <c r="K84">
        <v>31862829.842756402</v>
      </c>
      <c r="L84">
        <v>0</v>
      </c>
      <c r="M84">
        <v>58542062.920650803</v>
      </c>
      <c r="N84">
        <v>0</v>
      </c>
      <c r="O84">
        <v>1.84639026340027</v>
      </c>
      <c r="P84">
        <v>9075411.1666394807</v>
      </c>
      <c r="Q84">
        <v>0.45550484064964702</v>
      </c>
      <c r="R84">
        <v>3.3049430308570198</v>
      </c>
      <c r="S84">
        <v>36269.585627314998</v>
      </c>
      <c r="T84">
        <v>11.0604116095697</v>
      </c>
      <c r="U84">
        <v>4.8650127250228996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0.19551027088004699</v>
      </c>
      <c r="AC84">
        <v>0</v>
      </c>
      <c r="AD84">
        <v>0</v>
      </c>
      <c r="AE84">
        <v>-3614236.9424456302</v>
      </c>
      <c r="AF84">
        <v>0</v>
      </c>
      <c r="AG84">
        <v>-130934.765528424</v>
      </c>
      <c r="AH84">
        <v>921481.10288370599</v>
      </c>
      <c r="AI84">
        <v>9023447.5112702902</v>
      </c>
      <c r="AJ84">
        <v>25011456.4309613</v>
      </c>
      <c r="AK84">
        <v>2661130.0168197802</v>
      </c>
      <c r="AL84">
        <v>878898.60497828003</v>
      </c>
      <c r="AM84">
        <v>-2719614.3752265801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-320113.36026384903</v>
      </c>
      <c r="AU84">
        <v>0</v>
      </c>
      <c r="AV84">
        <v>31711514.223448899</v>
      </c>
      <c r="AW84">
        <v>31538553.386156999</v>
      </c>
      <c r="AX84">
        <v>-31477025.386156399</v>
      </c>
      <c r="AY84">
        <v>42035535.999999903</v>
      </c>
      <c r="AZ84">
        <v>42097064.000000603</v>
      </c>
      <c r="BA84"/>
      <c r="BB84"/>
    </row>
    <row r="85" spans="1:54" x14ac:dyDescent="0.25">
      <c r="A85" t="str">
        <f t="shared" si="2"/>
        <v>1_1_2011</v>
      </c>
      <c r="B85">
        <v>1</v>
      </c>
      <c r="C85">
        <v>1</v>
      </c>
      <c r="D85" s="162">
        <v>2011</v>
      </c>
      <c r="E85">
        <v>1357920541.99999</v>
      </c>
      <c r="F85">
        <v>1684310471</v>
      </c>
      <c r="G85">
        <v>1584263533</v>
      </c>
      <c r="H85">
        <v>1649966415</v>
      </c>
      <c r="I85">
        <v>65702881.999999799</v>
      </c>
      <c r="J85">
        <v>1664533573.1391699</v>
      </c>
      <c r="K85">
        <v>41965995.996982597</v>
      </c>
      <c r="L85">
        <v>0</v>
      </c>
      <c r="M85">
        <v>58648128.683592103</v>
      </c>
      <c r="N85">
        <v>0</v>
      </c>
      <c r="O85">
        <v>1.8637728774042599</v>
      </c>
      <c r="P85">
        <v>9159450.9602589998</v>
      </c>
      <c r="Q85">
        <v>0.45075925590674898</v>
      </c>
      <c r="R85">
        <v>4.05616919494837</v>
      </c>
      <c r="S85">
        <v>35668.3190565029</v>
      </c>
      <c r="T85">
        <v>11.3570696908715</v>
      </c>
      <c r="U85">
        <v>4.8273632355876099</v>
      </c>
      <c r="V85">
        <v>0</v>
      </c>
      <c r="W85">
        <v>0</v>
      </c>
      <c r="X85">
        <v>0</v>
      </c>
      <c r="Y85">
        <v>0</v>
      </c>
      <c r="Z85">
        <v>0.12084668721360201</v>
      </c>
      <c r="AA85">
        <v>0</v>
      </c>
      <c r="AB85">
        <v>0.35897183665993898</v>
      </c>
      <c r="AC85">
        <v>0</v>
      </c>
      <c r="AD85">
        <v>0</v>
      </c>
      <c r="AE85">
        <v>5120848.5620247498</v>
      </c>
      <c r="AF85">
        <v>0</v>
      </c>
      <c r="AG85">
        <v>-3231817.53006837</v>
      </c>
      <c r="AH85">
        <v>3558528.6564936</v>
      </c>
      <c r="AI85">
        <v>-2934944.9346888498</v>
      </c>
      <c r="AJ85">
        <v>36872819.469543003</v>
      </c>
      <c r="AK85">
        <v>1886352.9856807301</v>
      </c>
      <c r="AL85">
        <v>947163.06849404704</v>
      </c>
      <c r="AM85">
        <v>472907.01048427197</v>
      </c>
      <c r="AN85">
        <v>0</v>
      </c>
      <c r="AO85">
        <v>0</v>
      </c>
      <c r="AP85">
        <v>0</v>
      </c>
      <c r="AQ85">
        <v>0</v>
      </c>
      <c r="AR85">
        <v>403017.32747810002</v>
      </c>
      <c r="AS85">
        <v>0</v>
      </c>
      <c r="AT85">
        <v>-2558655.7175046899</v>
      </c>
      <c r="AU85">
        <v>0</v>
      </c>
      <c r="AV85">
        <v>40536218.897936597</v>
      </c>
      <c r="AW85">
        <v>40651520.336286098</v>
      </c>
      <c r="AX85">
        <v>25051361.663713701</v>
      </c>
      <c r="AY85">
        <v>0</v>
      </c>
      <c r="AZ85">
        <v>65702881.999999799</v>
      </c>
      <c r="BA85"/>
      <c r="BB85"/>
    </row>
    <row r="86" spans="1:54" x14ac:dyDescent="0.25">
      <c r="A86" t="str">
        <f t="shared" si="2"/>
        <v>1_1_2012</v>
      </c>
      <c r="B86">
        <v>1</v>
      </c>
      <c r="C86">
        <v>1</v>
      </c>
      <c r="D86" s="162">
        <v>2012</v>
      </c>
      <c r="E86">
        <v>1357920541.99999</v>
      </c>
      <c r="F86">
        <v>1684310471</v>
      </c>
      <c r="G86">
        <v>1649966415</v>
      </c>
      <c r="H86">
        <v>1684310471</v>
      </c>
      <c r="I86">
        <v>34344055.999999903</v>
      </c>
      <c r="J86">
        <v>1698382992.73049</v>
      </c>
      <c r="K86">
        <v>33849419.591320403</v>
      </c>
      <c r="L86">
        <v>0</v>
      </c>
      <c r="M86">
        <v>60228514.526974499</v>
      </c>
      <c r="N86">
        <v>0</v>
      </c>
      <c r="O86">
        <v>1.87757629079359</v>
      </c>
      <c r="P86">
        <v>9265369.1436843593</v>
      </c>
      <c r="Q86">
        <v>0.44667552967074198</v>
      </c>
      <c r="R86">
        <v>4.0850684443871499</v>
      </c>
      <c r="S86">
        <v>35332.063055995401</v>
      </c>
      <c r="T86">
        <v>11.244313444527</v>
      </c>
      <c r="U86">
        <v>4.8858900437047801</v>
      </c>
      <c r="V86">
        <v>0</v>
      </c>
      <c r="W86">
        <v>0</v>
      </c>
      <c r="X86">
        <v>0</v>
      </c>
      <c r="Y86">
        <v>0</v>
      </c>
      <c r="Z86">
        <v>0.619991742491807</v>
      </c>
      <c r="AA86">
        <v>0</v>
      </c>
      <c r="AB86">
        <v>0.36463924263986802</v>
      </c>
      <c r="AC86">
        <v>0</v>
      </c>
      <c r="AD86">
        <v>0</v>
      </c>
      <c r="AE86">
        <v>33133268.3049125</v>
      </c>
      <c r="AF86">
        <v>0</v>
      </c>
      <c r="AG86">
        <v>-1998482.4610954199</v>
      </c>
      <c r="AH86">
        <v>4514044.59008813</v>
      </c>
      <c r="AI86">
        <v>-2655213.90673187</v>
      </c>
      <c r="AJ86">
        <v>1368764.80127204</v>
      </c>
      <c r="AK86">
        <v>1068338.2640080201</v>
      </c>
      <c r="AL86">
        <v>-373645.08994880598</v>
      </c>
      <c r="AM86">
        <v>-757020.62808226398</v>
      </c>
      <c r="AN86">
        <v>0</v>
      </c>
      <c r="AO86">
        <v>0</v>
      </c>
      <c r="AP86">
        <v>0</v>
      </c>
      <c r="AQ86">
        <v>0</v>
      </c>
      <c r="AR86">
        <v>1741558.22373934</v>
      </c>
      <c r="AS86">
        <v>0</v>
      </c>
      <c r="AT86">
        <v>-116302.366001175</v>
      </c>
      <c r="AU86">
        <v>0</v>
      </c>
      <c r="AV86">
        <v>35925309.732160501</v>
      </c>
      <c r="AW86">
        <v>36193947.160454802</v>
      </c>
      <c r="AX86">
        <v>-1849891.1604549701</v>
      </c>
      <c r="AY86">
        <v>0</v>
      </c>
      <c r="AZ86">
        <v>34344055.999999903</v>
      </c>
      <c r="BA86"/>
      <c r="BB86"/>
    </row>
    <row r="87" spans="1:54" x14ac:dyDescent="0.25">
      <c r="A87" t="str">
        <f t="shared" si="2"/>
        <v>1_1_2013</v>
      </c>
      <c r="B87">
        <v>1</v>
      </c>
      <c r="C87">
        <v>1</v>
      </c>
      <c r="D87" s="162">
        <v>2013</v>
      </c>
      <c r="E87">
        <v>1357920541.99999</v>
      </c>
      <c r="F87">
        <v>1684310471</v>
      </c>
      <c r="G87">
        <v>1684310471</v>
      </c>
      <c r="H87">
        <v>1692923428</v>
      </c>
      <c r="I87">
        <v>8612957.0000004098</v>
      </c>
      <c r="J87">
        <v>1700892222.5669401</v>
      </c>
      <c r="K87">
        <v>2509229.8364484301</v>
      </c>
      <c r="L87">
        <v>0</v>
      </c>
      <c r="M87">
        <v>61513379.605220102</v>
      </c>
      <c r="N87">
        <v>0</v>
      </c>
      <c r="O87">
        <v>2.0084616362367398</v>
      </c>
      <c r="P87">
        <v>9360035.1093612593</v>
      </c>
      <c r="Q87">
        <v>0.447001312958766</v>
      </c>
      <c r="R87">
        <v>3.9264334458579802</v>
      </c>
      <c r="S87">
        <v>35625.734670719801</v>
      </c>
      <c r="T87">
        <v>10.910247641198101</v>
      </c>
      <c r="U87">
        <v>4.8874813217163897</v>
      </c>
      <c r="V87">
        <v>0</v>
      </c>
      <c r="W87">
        <v>0</v>
      </c>
      <c r="X87">
        <v>0</v>
      </c>
      <c r="Y87">
        <v>0</v>
      </c>
      <c r="Z87">
        <v>1.54359979775606</v>
      </c>
      <c r="AA87">
        <v>0</v>
      </c>
      <c r="AB87">
        <v>0.36463924263986802</v>
      </c>
      <c r="AC87">
        <v>0</v>
      </c>
      <c r="AD87">
        <v>0</v>
      </c>
      <c r="AE87">
        <v>30928332.9025825</v>
      </c>
      <c r="AF87">
        <v>0</v>
      </c>
      <c r="AG87">
        <v>-25418315.9769114</v>
      </c>
      <c r="AH87">
        <v>4089940.9442238398</v>
      </c>
      <c r="AI87">
        <v>181375.68883743999</v>
      </c>
      <c r="AJ87">
        <v>-7688488.7470450997</v>
      </c>
      <c r="AK87">
        <v>-1032013.52275504</v>
      </c>
      <c r="AL87">
        <v>-1125450.88728879</v>
      </c>
      <c r="AM87">
        <v>-37519.051632841598</v>
      </c>
      <c r="AN87">
        <v>0</v>
      </c>
      <c r="AO87">
        <v>0</v>
      </c>
      <c r="AP87">
        <v>0</v>
      </c>
      <c r="AQ87">
        <v>0</v>
      </c>
      <c r="AR87">
        <v>3343956.59359182</v>
      </c>
      <c r="AS87">
        <v>0</v>
      </c>
      <c r="AT87">
        <v>0</v>
      </c>
      <c r="AU87">
        <v>0</v>
      </c>
      <c r="AV87">
        <v>3241817.9436024101</v>
      </c>
      <c r="AW87">
        <v>2830564.5238166498</v>
      </c>
      <c r="AX87">
        <v>5782392.47618376</v>
      </c>
      <c r="AY87">
        <v>0</v>
      </c>
      <c r="AZ87">
        <v>8612957.0000004098</v>
      </c>
      <c r="BA87"/>
      <c r="BB87"/>
    </row>
    <row r="88" spans="1:54" x14ac:dyDescent="0.25">
      <c r="A88" t="str">
        <f t="shared" si="2"/>
        <v>1_1_2014</v>
      </c>
      <c r="B88">
        <v>1</v>
      </c>
      <c r="C88">
        <v>1</v>
      </c>
      <c r="D88" s="162">
        <v>2014</v>
      </c>
      <c r="E88">
        <v>1357920541.99999</v>
      </c>
      <c r="F88">
        <v>1684310471</v>
      </c>
      <c r="G88">
        <v>1692923428</v>
      </c>
      <c r="H88">
        <v>1741056553</v>
      </c>
      <c r="I88">
        <v>48133124.999999397</v>
      </c>
      <c r="J88">
        <v>1737420735.0245299</v>
      </c>
      <c r="K88">
        <v>36528512.457597502</v>
      </c>
      <c r="L88">
        <v>0</v>
      </c>
      <c r="M88">
        <v>63396051.766034603</v>
      </c>
      <c r="N88">
        <v>0</v>
      </c>
      <c r="O88">
        <v>1.9796424919522899</v>
      </c>
      <c r="P88">
        <v>9471627.2095400691</v>
      </c>
      <c r="Q88">
        <v>0.446620210058637</v>
      </c>
      <c r="R88">
        <v>3.7159925873714301</v>
      </c>
      <c r="S88">
        <v>35762.044715306198</v>
      </c>
      <c r="T88">
        <v>10.8819876961769</v>
      </c>
      <c r="U88">
        <v>5.1402361395310496</v>
      </c>
      <c r="V88">
        <v>0</v>
      </c>
      <c r="W88">
        <v>0</v>
      </c>
      <c r="X88">
        <v>0</v>
      </c>
      <c r="Y88">
        <v>0</v>
      </c>
      <c r="Z88">
        <v>2.4966078729516701</v>
      </c>
      <c r="AA88">
        <v>0</v>
      </c>
      <c r="AB88">
        <v>0.59875677836236696</v>
      </c>
      <c r="AC88">
        <v>0</v>
      </c>
      <c r="AD88">
        <v>0</v>
      </c>
      <c r="AE88">
        <v>42467872.4405858</v>
      </c>
      <c r="AF88">
        <v>0</v>
      </c>
      <c r="AG88">
        <v>4708428.9750439301</v>
      </c>
      <c r="AH88">
        <v>4826180.0641054502</v>
      </c>
      <c r="AI88">
        <v>-246296.95296733899</v>
      </c>
      <c r="AJ88">
        <v>-10549663.558173001</v>
      </c>
      <c r="AK88">
        <v>-625573.77290861902</v>
      </c>
      <c r="AL88">
        <v>-127828.778849293</v>
      </c>
      <c r="AM88">
        <v>-3144341.86031667</v>
      </c>
      <c r="AN88">
        <v>0</v>
      </c>
      <c r="AO88">
        <v>0</v>
      </c>
      <c r="AP88">
        <v>0</v>
      </c>
      <c r="AQ88">
        <v>0</v>
      </c>
      <c r="AR88">
        <v>3476504.80811512</v>
      </c>
      <c r="AS88">
        <v>0</v>
      </c>
      <c r="AT88">
        <v>-4355750.7564673098</v>
      </c>
      <c r="AU88">
        <v>0</v>
      </c>
      <c r="AV88">
        <v>36429530.608168103</v>
      </c>
      <c r="AW88">
        <v>36615614.865709499</v>
      </c>
      <c r="AX88">
        <v>11517510.134289799</v>
      </c>
      <c r="AY88">
        <v>0</v>
      </c>
      <c r="AZ88">
        <v>48133124.999999397</v>
      </c>
      <c r="BA88"/>
      <c r="BB88"/>
    </row>
    <row r="89" spans="1:54" x14ac:dyDescent="0.25">
      <c r="A89" t="str">
        <f t="shared" si="2"/>
        <v>1_1_2015</v>
      </c>
      <c r="B89">
        <v>1</v>
      </c>
      <c r="C89">
        <v>1</v>
      </c>
      <c r="D89" s="162">
        <v>2015</v>
      </c>
      <c r="E89">
        <v>1357920541.99999</v>
      </c>
      <c r="F89">
        <v>1684310471</v>
      </c>
      <c r="G89">
        <v>1741056553</v>
      </c>
      <c r="H89">
        <v>1722971063.99999</v>
      </c>
      <c r="I89">
        <v>-18085489.000000302</v>
      </c>
      <c r="J89">
        <v>1659652262.03373</v>
      </c>
      <c r="K89">
        <v>-77768472.990807995</v>
      </c>
      <c r="L89">
        <v>0</v>
      </c>
      <c r="M89">
        <v>64060397.623078197</v>
      </c>
      <c r="N89">
        <v>0</v>
      </c>
      <c r="O89">
        <v>2.12248768362858</v>
      </c>
      <c r="P89">
        <v>9569548.7950727697</v>
      </c>
      <c r="Q89">
        <v>0.44756879555497098</v>
      </c>
      <c r="R89">
        <v>2.7360909293352398</v>
      </c>
      <c r="S89">
        <v>36783.3574777342</v>
      </c>
      <c r="T89">
        <v>10.8849810846443</v>
      </c>
      <c r="U89">
        <v>5.1642561372342799</v>
      </c>
      <c r="V89">
        <v>9.1007693143801194E-2</v>
      </c>
      <c r="W89">
        <v>0</v>
      </c>
      <c r="X89">
        <v>0</v>
      </c>
      <c r="Y89">
        <v>0</v>
      </c>
      <c r="Z89">
        <v>3.4966078729516701</v>
      </c>
      <c r="AA89">
        <v>0</v>
      </c>
      <c r="AB89">
        <v>0.90089463423110905</v>
      </c>
      <c r="AC89">
        <v>0</v>
      </c>
      <c r="AD89">
        <v>0</v>
      </c>
      <c r="AE89">
        <v>21287278.176963702</v>
      </c>
      <c r="AF89">
        <v>0</v>
      </c>
      <c r="AG89">
        <v>-24779479.867503501</v>
      </c>
      <c r="AH89">
        <v>4469579.5223895004</v>
      </c>
      <c r="AI89">
        <v>564069.60275118798</v>
      </c>
      <c r="AJ89">
        <v>-56606695.626608498</v>
      </c>
      <c r="AK89">
        <v>-3622274.0100973402</v>
      </c>
      <c r="AL89">
        <v>-42533.618109505798</v>
      </c>
      <c r="AM89">
        <v>-414223.92942585301</v>
      </c>
      <c r="AN89">
        <v>-17663190.0209723</v>
      </c>
      <c r="AO89">
        <v>0</v>
      </c>
      <c r="AP89">
        <v>0</v>
      </c>
      <c r="AQ89">
        <v>0</v>
      </c>
      <c r="AR89">
        <v>3796379.6261591702</v>
      </c>
      <c r="AS89">
        <v>0</v>
      </c>
      <c r="AT89">
        <v>-5575138.7001102101</v>
      </c>
      <c r="AU89">
        <v>0</v>
      </c>
      <c r="AV89">
        <v>-78586228.844563693</v>
      </c>
      <c r="AW89">
        <v>-77772491.764113694</v>
      </c>
      <c r="AX89">
        <v>59687002.7641133</v>
      </c>
      <c r="AY89">
        <v>0</v>
      </c>
      <c r="AZ89">
        <v>-18085489.000000302</v>
      </c>
      <c r="BA89"/>
      <c r="BB89"/>
    </row>
    <row r="90" spans="1:54" x14ac:dyDescent="0.25">
      <c r="A90" t="str">
        <f t="shared" si="2"/>
        <v>1_1_2016</v>
      </c>
      <c r="B90">
        <v>1</v>
      </c>
      <c r="C90">
        <v>1</v>
      </c>
      <c r="D90" s="162">
        <v>2016</v>
      </c>
      <c r="E90">
        <v>1357920541.99999</v>
      </c>
      <c r="F90">
        <v>1684310471</v>
      </c>
      <c r="G90">
        <v>1722971063.99999</v>
      </c>
      <c r="H90">
        <v>1698078949.99999</v>
      </c>
      <c r="I90">
        <v>-24892114.0000007</v>
      </c>
      <c r="J90">
        <v>1638632858.41607</v>
      </c>
      <c r="K90">
        <v>-21019403.617653199</v>
      </c>
      <c r="L90">
        <v>0</v>
      </c>
      <c r="M90">
        <v>64564961.1953898</v>
      </c>
      <c r="N90">
        <v>0</v>
      </c>
      <c r="O90">
        <v>2.1718309915963601</v>
      </c>
      <c r="P90">
        <v>9643203.3315981403</v>
      </c>
      <c r="Q90">
        <v>0.44732073067715999</v>
      </c>
      <c r="R90">
        <v>2.4334024777688299</v>
      </c>
      <c r="S90">
        <v>37603.8361288671</v>
      </c>
      <c r="T90">
        <v>10.8034312406108</v>
      </c>
      <c r="U90">
        <v>5.67044548332637</v>
      </c>
      <c r="V90">
        <v>0.182015386287602</v>
      </c>
      <c r="W90">
        <v>0</v>
      </c>
      <c r="X90">
        <v>0</v>
      </c>
      <c r="Y90">
        <v>0</v>
      </c>
      <c r="Z90">
        <v>4.4966078729516701</v>
      </c>
      <c r="AA90">
        <v>0</v>
      </c>
      <c r="AB90">
        <v>0.99492762883617902</v>
      </c>
      <c r="AC90">
        <v>0</v>
      </c>
      <c r="AD90">
        <v>0</v>
      </c>
      <c r="AE90">
        <v>27078558.9672332</v>
      </c>
      <c r="AF90">
        <v>0</v>
      </c>
      <c r="AG90">
        <v>-7662114.35662721</v>
      </c>
      <c r="AH90">
        <v>3367002.8527270202</v>
      </c>
      <c r="AI90">
        <v>-152596.82559662199</v>
      </c>
      <c r="AJ90">
        <v>-20943595.364367999</v>
      </c>
      <c r="AK90">
        <v>-2643521.1162513802</v>
      </c>
      <c r="AL90">
        <v>-343072.77100964898</v>
      </c>
      <c r="AM90">
        <v>-6565759.1512884405</v>
      </c>
      <c r="AN90">
        <v>-16979244.2720038</v>
      </c>
      <c r="AO90">
        <v>0</v>
      </c>
      <c r="AP90">
        <v>0</v>
      </c>
      <c r="AQ90">
        <v>0</v>
      </c>
      <c r="AR90">
        <v>3756944.1570180701</v>
      </c>
      <c r="AS90">
        <v>0</v>
      </c>
      <c r="AT90">
        <v>-2008756.5832966401</v>
      </c>
      <c r="AU90">
        <v>0</v>
      </c>
      <c r="AV90">
        <v>-23096154.4634635</v>
      </c>
      <c r="AW90">
        <v>-22763182.187167201</v>
      </c>
      <c r="AX90">
        <v>-2128931.8128334498</v>
      </c>
      <c r="AY90">
        <v>0</v>
      </c>
      <c r="AZ90">
        <v>-24892114.0000007</v>
      </c>
      <c r="BA90"/>
      <c r="BB90"/>
    </row>
    <row r="91" spans="1:54" x14ac:dyDescent="0.25">
      <c r="A91" t="str">
        <f t="shared" si="2"/>
        <v>1_1_2017</v>
      </c>
      <c r="B91">
        <v>1</v>
      </c>
      <c r="C91">
        <v>1</v>
      </c>
      <c r="D91" s="162">
        <v>2017</v>
      </c>
      <c r="E91">
        <v>1357920541.99999</v>
      </c>
      <c r="F91">
        <v>1684310471</v>
      </c>
      <c r="G91">
        <v>1698078949.99999</v>
      </c>
      <c r="H91">
        <v>1666633098</v>
      </c>
      <c r="I91">
        <v>-31445851.999998201</v>
      </c>
      <c r="J91">
        <v>1693759101.30564</v>
      </c>
      <c r="K91">
        <v>55126242.889569201</v>
      </c>
      <c r="L91">
        <v>0</v>
      </c>
      <c r="M91">
        <v>66495613.310067602</v>
      </c>
      <c r="N91">
        <v>0</v>
      </c>
      <c r="O91">
        <v>2.1295453972595402</v>
      </c>
      <c r="P91">
        <v>9739666.0484840199</v>
      </c>
      <c r="Q91">
        <v>0.44626802398001703</v>
      </c>
      <c r="R91">
        <v>2.64736159722076</v>
      </c>
      <c r="S91">
        <v>38453.509365151003</v>
      </c>
      <c r="T91">
        <v>10.609794983468101</v>
      </c>
      <c r="U91">
        <v>5.8225167600417604</v>
      </c>
      <c r="V91">
        <v>0.182015386287602</v>
      </c>
      <c r="W91">
        <v>0</v>
      </c>
      <c r="X91">
        <v>0</v>
      </c>
      <c r="Y91">
        <v>0</v>
      </c>
      <c r="Z91">
        <v>5.4966078729516701</v>
      </c>
      <c r="AA91">
        <v>0</v>
      </c>
      <c r="AB91">
        <v>0.99492762883617902</v>
      </c>
      <c r="AC91">
        <v>0</v>
      </c>
      <c r="AD91">
        <v>0</v>
      </c>
      <c r="AE91">
        <v>34512551.220556296</v>
      </c>
      <c r="AF91">
        <v>0</v>
      </c>
      <c r="AG91">
        <v>6111718.0029884903</v>
      </c>
      <c r="AH91">
        <v>4119662.5505955699</v>
      </c>
      <c r="AI91">
        <v>-757988.05677281297</v>
      </c>
      <c r="AJ91">
        <v>14808840.901087901</v>
      </c>
      <c r="AK91">
        <v>-2674976.0365660698</v>
      </c>
      <c r="AL91">
        <v>-568861.355994944</v>
      </c>
      <c r="AM91">
        <v>-1944410.6428077801</v>
      </c>
      <c r="AN91">
        <v>0</v>
      </c>
      <c r="AO91">
        <v>0</v>
      </c>
      <c r="AP91">
        <v>0</v>
      </c>
      <c r="AQ91">
        <v>0</v>
      </c>
      <c r="AR91">
        <v>3702666.8193412502</v>
      </c>
      <c r="AS91">
        <v>0</v>
      </c>
      <c r="AT91">
        <v>0</v>
      </c>
      <c r="AU91">
        <v>0</v>
      </c>
      <c r="AV91">
        <v>57309203.402427897</v>
      </c>
      <c r="AW91">
        <v>57881738.340092003</v>
      </c>
      <c r="AX91">
        <v>-89327590.340090305</v>
      </c>
      <c r="AY91">
        <v>0</v>
      </c>
      <c r="AZ91">
        <v>-31445851.999998201</v>
      </c>
      <c r="BA91"/>
      <c r="BB91"/>
    </row>
    <row r="92" spans="1:54" x14ac:dyDescent="0.25">
      <c r="A92" t="str">
        <f t="shared" si="2"/>
        <v>1_1_2018</v>
      </c>
      <c r="B92">
        <v>1</v>
      </c>
      <c r="C92">
        <v>1</v>
      </c>
      <c r="D92" s="162">
        <v>2018</v>
      </c>
      <c r="E92">
        <v>1357920541.99999</v>
      </c>
      <c r="F92">
        <v>1684310471</v>
      </c>
      <c r="G92">
        <v>1666633098</v>
      </c>
      <c r="H92">
        <v>1636184632.99999</v>
      </c>
      <c r="I92">
        <v>-30448465.0000006</v>
      </c>
      <c r="J92">
        <v>1701949048.0040801</v>
      </c>
      <c r="K92">
        <v>8189946.6984387897</v>
      </c>
      <c r="L92">
        <v>0</v>
      </c>
      <c r="M92">
        <v>67315268.821722701</v>
      </c>
      <c r="N92">
        <v>0</v>
      </c>
      <c r="O92">
        <v>2.11628653933517</v>
      </c>
      <c r="P92">
        <v>9822983.8105922006</v>
      </c>
      <c r="Q92">
        <v>0.44702194057060202</v>
      </c>
      <c r="R92">
        <v>2.9200642266077401</v>
      </c>
      <c r="S92">
        <v>39392.249431887001</v>
      </c>
      <c r="T92">
        <v>10.4497030009138</v>
      </c>
      <c r="U92">
        <v>6.0631175541013302</v>
      </c>
      <c r="V92">
        <v>9.1007693143801194E-2</v>
      </c>
      <c r="W92">
        <v>0</v>
      </c>
      <c r="X92">
        <v>0</v>
      </c>
      <c r="Y92">
        <v>0</v>
      </c>
      <c r="Z92">
        <v>6.4966078729516701</v>
      </c>
      <c r="AA92">
        <v>0</v>
      </c>
      <c r="AB92">
        <v>1</v>
      </c>
      <c r="AC92">
        <v>0.64384680764332902</v>
      </c>
      <c r="AD92">
        <v>0</v>
      </c>
      <c r="AE92">
        <v>12907421.5227501</v>
      </c>
      <c r="AF92">
        <v>0</v>
      </c>
      <c r="AG92">
        <v>1457531.6585596099</v>
      </c>
      <c r="AH92">
        <v>3594796.0866791201</v>
      </c>
      <c r="AI92">
        <v>527495.52619181795</v>
      </c>
      <c r="AJ92">
        <v>17716162.434973098</v>
      </c>
      <c r="AK92">
        <v>-2824762.9309299001</v>
      </c>
      <c r="AL92">
        <v>-487302.73841011402</v>
      </c>
      <c r="AM92">
        <v>-3021030.5999476798</v>
      </c>
      <c r="AN92">
        <v>16179783.717286499</v>
      </c>
      <c r="AO92">
        <v>0</v>
      </c>
      <c r="AP92">
        <v>0</v>
      </c>
      <c r="AQ92">
        <v>0</v>
      </c>
      <c r="AR92">
        <v>3634099.0340764299</v>
      </c>
      <c r="AS92">
        <v>0</v>
      </c>
      <c r="AT92">
        <v>-93322.357991928104</v>
      </c>
      <c r="AU92">
        <v>-41042204.800437197</v>
      </c>
      <c r="AV92">
        <v>8548666.55279986</v>
      </c>
      <c r="AW92">
        <v>8176326.89755606</v>
      </c>
      <c r="AX92">
        <v>-38624791.8975567</v>
      </c>
      <c r="AY92">
        <v>0</v>
      </c>
      <c r="AZ92">
        <v>-30448465.0000006</v>
      </c>
      <c r="BA92"/>
      <c r="BB92"/>
    </row>
    <row r="93" spans="1:54" x14ac:dyDescent="0.25">
      <c r="A93" t="str">
        <f t="shared" si="2"/>
        <v>1_2_2002</v>
      </c>
      <c r="B93">
        <v>1</v>
      </c>
      <c r="C93">
        <v>2</v>
      </c>
      <c r="D93" s="162">
        <v>2002</v>
      </c>
      <c r="E93">
        <v>47103514.999999903</v>
      </c>
      <c r="F93">
        <v>65733970</v>
      </c>
      <c r="G93">
        <v>0</v>
      </c>
      <c r="H93">
        <v>47103514.999999903</v>
      </c>
      <c r="I93">
        <v>0</v>
      </c>
      <c r="J93">
        <v>40923579.069976397</v>
      </c>
      <c r="K93">
        <v>0</v>
      </c>
      <c r="L93">
        <v>0</v>
      </c>
      <c r="M93">
        <v>2988066.6864974699</v>
      </c>
      <c r="N93">
        <v>0</v>
      </c>
      <c r="O93">
        <v>1.22446132506114</v>
      </c>
      <c r="P93">
        <v>2748238.4134659702</v>
      </c>
      <c r="Q93">
        <v>0.38666408222786403</v>
      </c>
      <c r="R93">
        <v>1.95863721745606</v>
      </c>
      <c r="S93">
        <v>35513.769785103097</v>
      </c>
      <c r="T93">
        <v>7.6754355225931601</v>
      </c>
      <c r="U93">
        <v>3.5501668442365699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0.31724360697922399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47103514.999999903</v>
      </c>
      <c r="AZ93">
        <v>47103514.999999903</v>
      </c>
      <c r="BA93"/>
      <c r="BB93"/>
    </row>
    <row r="94" spans="1:54" x14ac:dyDescent="0.25">
      <c r="A94" t="str">
        <f t="shared" si="2"/>
        <v>1_2_2003</v>
      </c>
      <c r="B94">
        <v>1</v>
      </c>
      <c r="C94">
        <v>2</v>
      </c>
      <c r="D94" s="162">
        <v>2003</v>
      </c>
      <c r="E94">
        <v>47563478.999999903</v>
      </c>
      <c r="F94">
        <v>66035486</v>
      </c>
      <c r="G94">
        <v>47103514.999999903</v>
      </c>
      <c r="H94">
        <v>47597707.999999903</v>
      </c>
      <c r="I94">
        <v>34228.999999988497</v>
      </c>
      <c r="J94">
        <v>44033257.0051006</v>
      </c>
      <c r="K94">
        <v>2735929.10710508</v>
      </c>
      <c r="L94">
        <v>0</v>
      </c>
      <c r="M94">
        <v>3067152.0049922299</v>
      </c>
      <c r="N94">
        <v>0</v>
      </c>
      <c r="O94">
        <v>0.95425670327989498</v>
      </c>
      <c r="P94">
        <v>2800412.0870693899</v>
      </c>
      <c r="Q94">
        <v>0.383466594956062</v>
      </c>
      <c r="R94">
        <v>2.2248293383059701</v>
      </c>
      <c r="S94">
        <v>34792.153953380403</v>
      </c>
      <c r="T94">
        <v>7.72117924132505</v>
      </c>
      <c r="U94">
        <v>3.5583851803607498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0.314175693497945</v>
      </c>
      <c r="AC94">
        <v>0</v>
      </c>
      <c r="AD94">
        <v>0</v>
      </c>
      <c r="AE94">
        <v>693473.45967018697</v>
      </c>
      <c r="AF94">
        <v>0</v>
      </c>
      <c r="AG94">
        <v>1929086.8654708399</v>
      </c>
      <c r="AH94">
        <v>187597.89796113301</v>
      </c>
      <c r="AI94">
        <v>-53978.051059906</v>
      </c>
      <c r="AJ94">
        <v>584218.77311463305</v>
      </c>
      <c r="AK94">
        <v>64115.5759467916</v>
      </c>
      <c r="AL94">
        <v>4185.4147600492597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3408699.93586373</v>
      </c>
      <c r="AW94">
        <v>3577185.3550617602</v>
      </c>
      <c r="AX94">
        <v>-3542956.35506177</v>
      </c>
      <c r="AY94">
        <v>459964</v>
      </c>
      <c r="AZ94">
        <v>494192.99999998801</v>
      </c>
      <c r="BA94"/>
      <c r="BB94"/>
    </row>
    <row r="95" spans="1:54" x14ac:dyDescent="0.25">
      <c r="A95" t="str">
        <f t="shared" si="2"/>
        <v>1_2_2004</v>
      </c>
      <c r="B95">
        <v>1</v>
      </c>
      <c r="C95">
        <v>2</v>
      </c>
      <c r="D95" s="162">
        <v>2004</v>
      </c>
      <c r="E95">
        <v>47563478.999999903</v>
      </c>
      <c r="F95">
        <v>66035486</v>
      </c>
      <c r="G95">
        <v>47597707.999999903</v>
      </c>
      <c r="H95">
        <v>52276659</v>
      </c>
      <c r="I95">
        <v>4678951.0000000298</v>
      </c>
      <c r="J95">
        <v>45983064.1744221</v>
      </c>
      <c r="K95">
        <v>1949807.1693214299</v>
      </c>
      <c r="L95">
        <v>0</v>
      </c>
      <c r="M95">
        <v>2963269.7546655</v>
      </c>
      <c r="N95">
        <v>0</v>
      </c>
      <c r="O95">
        <v>0.88758600432110801</v>
      </c>
      <c r="P95">
        <v>2846929.32774525</v>
      </c>
      <c r="Q95">
        <v>0.380213079512498</v>
      </c>
      <c r="R95">
        <v>2.5316819613867998</v>
      </c>
      <c r="S95">
        <v>33820.029088857598</v>
      </c>
      <c r="T95">
        <v>7.7640478477194597</v>
      </c>
      <c r="U95">
        <v>3.5583851803607498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0.314175693497945</v>
      </c>
      <c r="AC95">
        <v>0</v>
      </c>
      <c r="AD95">
        <v>0</v>
      </c>
      <c r="AE95">
        <v>946826.61306130304</v>
      </c>
      <c r="AF95">
        <v>0</v>
      </c>
      <c r="AG95">
        <v>584588.19611110596</v>
      </c>
      <c r="AH95">
        <v>203831.16969836099</v>
      </c>
      <c r="AI95">
        <v>-60788.505854066701</v>
      </c>
      <c r="AJ95">
        <v>623702.62051699695</v>
      </c>
      <c r="AK95">
        <v>92834.576767792401</v>
      </c>
      <c r="AL95">
        <v>4376.9832941320001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2395371.6535956198</v>
      </c>
      <c r="AW95">
        <v>2443570.9845678001</v>
      </c>
      <c r="AX95">
        <v>2235380.0154322302</v>
      </c>
      <c r="AY95">
        <v>0</v>
      </c>
      <c r="AZ95">
        <v>4678951.0000000298</v>
      </c>
      <c r="BA95"/>
      <c r="BB95"/>
    </row>
    <row r="96" spans="1:54" x14ac:dyDescent="0.25">
      <c r="A96" t="str">
        <f t="shared" si="2"/>
        <v>1_2_2005</v>
      </c>
      <c r="B96">
        <v>1</v>
      </c>
      <c r="C96">
        <v>2</v>
      </c>
      <c r="D96" s="162">
        <v>2005</v>
      </c>
      <c r="E96">
        <v>47563478.999999903</v>
      </c>
      <c r="F96">
        <v>66035486</v>
      </c>
      <c r="G96">
        <v>52276659</v>
      </c>
      <c r="H96">
        <v>58690113</v>
      </c>
      <c r="I96">
        <v>6413453.9999999898</v>
      </c>
      <c r="J96">
        <v>49222655.518775403</v>
      </c>
      <c r="K96">
        <v>3239591.3443533699</v>
      </c>
      <c r="L96">
        <v>0</v>
      </c>
      <c r="M96">
        <v>3111608.7239264101</v>
      </c>
      <c r="N96">
        <v>0</v>
      </c>
      <c r="O96">
        <v>0.84445403853827095</v>
      </c>
      <c r="P96">
        <v>2900400.9844958899</v>
      </c>
      <c r="Q96">
        <v>0.37600376212261699</v>
      </c>
      <c r="R96">
        <v>2.98787226562842</v>
      </c>
      <c r="S96">
        <v>32966.477874573997</v>
      </c>
      <c r="T96">
        <v>7.7825434993937197</v>
      </c>
      <c r="U96">
        <v>3.5583851803607498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0.314175693497945</v>
      </c>
      <c r="AC96">
        <v>0</v>
      </c>
      <c r="AD96">
        <v>0</v>
      </c>
      <c r="AE96">
        <v>2076157.1689295401</v>
      </c>
      <c r="AF96">
        <v>0</v>
      </c>
      <c r="AG96">
        <v>353762.26574223902</v>
      </c>
      <c r="AH96">
        <v>256743.39376755999</v>
      </c>
      <c r="AI96">
        <v>-86756.898699233396</v>
      </c>
      <c r="AJ96">
        <v>911541.59859383502</v>
      </c>
      <c r="AK96">
        <v>88237.492509030097</v>
      </c>
      <c r="AL96">
        <v>2219.7325067516399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3601904.75334972</v>
      </c>
      <c r="AW96">
        <v>3673512.31480233</v>
      </c>
      <c r="AX96">
        <v>2739941.68519765</v>
      </c>
      <c r="AY96">
        <v>0</v>
      </c>
      <c r="AZ96">
        <v>6413453.9999999898</v>
      </c>
      <c r="BA96"/>
      <c r="BB96"/>
    </row>
    <row r="97" spans="1:54" x14ac:dyDescent="0.25">
      <c r="A97" t="str">
        <f t="shared" si="2"/>
        <v>1_2_2006</v>
      </c>
      <c r="B97">
        <v>1</v>
      </c>
      <c r="C97">
        <v>2</v>
      </c>
      <c r="D97" s="162">
        <v>2006</v>
      </c>
      <c r="E97">
        <v>47563478.999999903</v>
      </c>
      <c r="F97">
        <v>66035486</v>
      </c>
      <c r="G97">
        <v>58690113</v>
      </c>
      <c r="H97">
        <v>64424944.999999903</v>
      </c>
      <c r="I97">
        <v>5734831.9999999497</v>
      </c>
      <c r="J97">
        <v>52558764.003511898</v>
      </c>
      <c r="K97">
        <v>3336108.4847364202</v>
      </c>
      <c r="L97">
        <v>0</v>
      </c>
      <c r="M97">
        <v>3372635.91564218</v>
      </c>
      <c r="N97">
        <v>0</v>
      </c>
      <c r="O97">
        <v>0.82515410950917401</v>
      </c>
      <c r="P97">
        <v>2968493.4504525298</v>
      </c>
      <c r="Q97">
        <v>0.375386769583476</v>
      </c>
      <c r="R97">
        <v>3.27363007287587</v>
      </c>
      <c r="S97">
        <v>31633.004303496102</v>
      </c>
      <c r="T97">
        <v>7.8729895351010697</v>
      </c>
      <c r="U97">
        <v>3.6039527806618099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0.314175693497945</v>
      </c>
      <c r="AC97">
        <v>0</v>
      </c>
      <c r="AD97">
        <v>0</v>
      </c>
      <c r="AE97">
        <v>2622980.0333889201</v>
      </c>
      <c r="AF97">
        <v>0</v>
      </c>
      <c r="AG97">
        <v>262317.61242443603</v>
      </c>
      <c r="AH97">
        <v>334190.443451208</v>
      </c>
      <c r="AI97">
        <v>-8052.0275806150803</v>
      </c>
      <c r="AJ97">
        <v>583723.50735011604</v>
      </c>
      <c r="AK97">
        <v>166655.372231721</v>
      </c>
      <c r="AL97">
        <v>12955.852845011799</v>
      </c>
      <c r="AM97">
        <v>-30045.689495368501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3944725.1046154299</v>
      </c>
      <c r="AW97">
        <v>3998724.2225528602</v>
      </c>
      <c r="AX97">
        <v>1736107.77744709</v>
      </c>
      <c r="AY97">
        <v>0</v>
      </c>
      <c r="AZ97">
        <v>5734831.9999999497</v>
      </c>
      <c r="BA97"/>
      <c r="BB97"/>
    </row>
    <row r="98" spans="1:54" x14ac:dyDescent="0.25">
      <c r="A98" t="str">
        <f t="shared" si="2"/>
        <v>1_2_2007</v>
      </c>
      <c r="B98">
        <v>1</v>
      </c>
      <c r="C98">
        <v>2</v>
      </c>
      <c r="D98" s="162">
        <v>2007</v>
      </c>
      <c r="E98">
        <v>49238964.999999903</v>
      </c>
      <c r="F98">
        <v>73818234</v>
      </c>
      <c r="G98">
        <v>64424944.999999903</v>
      </c>
      <c r="H98">
        <v>70014924</v>
      </c>
      <c r="I98">
        <v>3914493.0000000498</v>
      </c>
      <c r="J98">
        <v>57885243.131774597</v>
      </c>
      <c r="K98">
        <v>2351407.2165425201</v>
      </c>
      <c r="L98">
        <v>0</v>
      </c>
      <c r="M98">
        <v>3742531.7688472499</v>
      </c>
      <c r="N98">
        <v>0</v>
      </c>
      <c r="O98">
        <v>0.99802413345686802</v>
      </c>
      <c r="P98">
        <v>2929215.4723490099</v>
      </c>
      <c r="Q98">
        <v>0.37154202438963502</v>
      </c>
      <c r="R98">
        <v>3.4715382637713801</v>
      </c>
      <c r="S98">
        <v>32002.695562030302</v>
      </c>
      <c r="T98">
        <v>7.6807238155797899</v>
      </c>
      <c r="U98">
        <v>3.9632681860798602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0.30348503466715798</v>
      </c>
      <c r="AC98">
        <v>0</v>
      </c>
      <c r="AD98">
        <v>0</v>
      </c>
      <c r="AE98">
        <v>3666355.5711446898</v>
      </c>
      <c r="AF98">
        <v>0</v>
      </c>
      <c r="AG98">
        <v>-857499.94812990399</v>
      </c>
      <c r="AH98">
        <v>106569.45527329</v>
      </c>
      <c r="AI98">
        <v>-162299.95357277899</v>
      </c>
      <c r="AJ98">
        <v>435320.867037674</v>
      </c>
      <c r="AK98">
        <v>-78400.121494224499</v>
      </c>
      <c r="AL98">
        <v>-33436.145336348301</v>
      </c>
      <c r="AM98">
        <v>-178205.09618947899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2898404.6287329099</v>
      </c>
      <c r="AW98">
        <v>2904950.44165305</v>
      </c>
      <c r="AX98">
        <v>1009542.558347</v>
      </c>
      <c r="AY98">
        <v>1675486</v>
      </c>
      <c r="AZ98">
        <v>5589979.0000000503</v>
      </c>
      <c r="BA98"/>
      <c r="BB98"/>
    </row>
    <row r="99" spans="1:54" x14ac:dyDescent="0.25">
      <c r="A99" t="str">
        <f t="shared" si="2"/>
        <v>1_2_2008</v>
      </c>
      <c r="B99">
        <v>1</v>
      </c>
      <c r="C99">
        <v>2</v>
      </c>
      <c r="D99" s="162">
        <v>2008</v>
      </c>
      <c r="E99">
        <v>53725603.999999903</v>
      </c>
      <c r="F99">
        <v>78291320</v>
      </c>
      <c r="G99">
        <v>70014924</v>
      </c>
      <c r="H99">
        <v>83554060.999999896</v>
      </c>
      <c r="I99">
        <v>9052497.9999999292</v>
      </c>
      <c r="J99">
        <v>70572233.172222301</v>
      </c>
      <c r="K99">
        <v>9052381.6165433694</v>
      </c>
      <c r="L99">
        <v>0</v>
      </c>
      <c r="M99">
        <v>3896924.8286649799</v>
      </c>
      <c r="N99">
        <v>0</v>
      </c>
      <c r="O99">
        <v>0.93977045666623504</v>
      </c>
      <c r="P99">
        <v>2895500.65182896</v>
      </c>
      <c r="Q99">
        <v>0.35047201012238199</v>
      </c>
      <c r="R99">
        <v>3.8638884750685998</v>
      </c>
      <c r="S99">
        <v>32021.545966633101</v>
      </c>
      <c r="T99">
        <v>7.6301552176128098</v>
      </c>
      <c r="U99">
        <v>3.9876521555718498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0.27814092141244201</v>
      </c>
      <c r="AC99">
        <v>0</v>
      </c>
      <c r="AD99">
        <v>0</v>
      </c>
      <c r="AE99">
        <v>7587347.5180446897</v>
      </c>
      <c r="AF99">
        <v>0</v>
      </c>
      <c r="AG99">
        <v>-352870.39158880099</v>
      </c>
      <c r="AH99">
        <v>30527.811634964499</v>
      </c>
      <c r="AI99">
        <v>19425.9869630789</v>
      </c>
      <c r="AJ99">
        <v>841994.91413452302</v>
      </c>
      <c r="AK99">
        <v>42487.420000694001</v>
      </c>
      <c r="AL99">
        <v>18157.3599973532</v>
      </c>
      <c r="AM99">
        <v>17459.664284445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8204530.2834709398</v>
      </c>
      <c r="AW99">
        <v>8231244.3643167298</v>
      </c>
      <c r="AX99">
        <v>821253.63568319601</v>
      </c>
      <c r="AY99">
        <v>4486638.9999999898</v>
      </c>
      <c r="AZ99">
        <v>13539136.999999899</v>
      </c>
      <c r="BA99"/>
      <c r="BB99"/>
    </row>
    <row r="100" spans="1:54" x14ac:dyDescent="0.25">
      <c r="A100" t="str">
        <f t="shared" si="2"/>
        <v>1_2_2009</v>
      </c>
      <c r="B100">
        <v>1</v>
      </c>
      <c r="C100">
        <v>2</v>
      </c>
      <c r="D100" s="162">
        <v>2009</v>
      </c>
      <c r="E100">
        <v>53725603.999999903</v>
      </c>
      <c r="F100">
        <v>78291320</v>
      </c>
      <c r="G100">
        <v>83554060.999999896</v>
      </c>
      <c r="H100">
        <v>73672879</v>
      </c>
      <c r="I100">
        <v>-9881181.9999999404</v>
      </c>
      <c r="J100">
        <v>67000082.584458999</v>
      </c>
      <c r="K100">
        <v>-3572150.58776333</v>
      </c>
      <c r="L100">
        <v>0</v>
      </c>
      <c r="M100">
        <v>3862212.9981239801</v>
      </c>
      <c r="N100">
        <v>0</v>
      </c>
      <c r="O100">
        <v>1.13503110809188</v>
      </c>
      <c r="P100">
        <v>2873615.5909563601</v>
      </c>
      <c r="Q100">
        <v>0.35306818515556199</v>
      </c>
      <c r="R100">
        <v>2.8005855881024599</v>
      </c>
      <c r="S100">
        <v>30718.835568126098</v>
      </c>
      <c r="T100">
        <v>7.9748244602331502</v>
      </c>
      <c r="U100">
        <v>4.0581987556621897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0.27814092141244201</v>
      </c>
      <c r="AC100">
        <v>0</v>
      </c>
      <c r="AD100">
        <v>0</v>
      </c>
      <c r="AE100">
        <v>448247.01338715298</v>
      </c>
      <c r="AF100">
        <v>0</v>
      </c>
      <c r="AG100">
        <v>-2575539.0539262602</v>
      </c>
      <c r="AH100">
        <v>-104814.98432473501</v>
      </c>
      <c r="AI100">
        <v>83265.521733964095</v>
      </c>
      <c r="AJ100">
        <v>-2896017.4736665199</v>
      </c>
      <c r="AK100">
        <v>224503.06740348</v>
      </c>
      <c r="AL100">
        <v>58557.665044865702</v>
      </c>
      <c r="AM100">
        <v>-48964.772773186698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-4810763.0171212396</v>
      </c>
      <c r="AW100">
        <v>-4668487.9078504099</v>
      </c>
      <c r="AX100">
        <v>-5212694.0921495296</v>
      </c>
      <c r="AY100">
        <v>0</v>
      </c>
      <c r="AZ100">
        <v>-9881181.9999999404</v>
      </c>
      <c r="BA100"/>
      <c r="BB100"/>
    </row>
    <row r="101" spans="1:54" x14ac:dyDescent="0.25">
      <c r="A101" t="str">
        <f t="shared" si="2"/>
        <v>1_2_2010</v>
      </c>
      <c r="B101">
        <v>1</v>
      </c>
      <c r="C101">
        <v>2</v>
      </c>
      <c r="D101" s="162">
        <v>2010</v>
      </c>
      <c r="E101">
        <v>54891290.999999903</v>
      </c>
      <c r="F101">
        <v>79420623</v>
      </c>
      <c r="G101">
        <v>73672879</v>
      </c>
      <c r="H101">
        <v>70894166.999999896</v>
      </c>
      <c r="I101">
        <v>-3944399.00000002</v>
      </c>
      <c r="J101">
        <v>68493913.665883705</v>
      </c>
      <c r="K101">
        <v>487684.494023179</v>
      </c>
      <c r="L101">
        <v>0</v>
      </c>
      <c r="M101">
        <v>3651703.6604625802</v>
      </c>
      <c r="N101">
        <v>0</v>
      </c>
      <c r="O101">
        <v>1.16794143281466</v>
      </c>
      <c r="P101">
        <v>2852151.6969436901</v>
      </c>
      <c r="Q101">
        <v>0.35513308630724999</v>
      </c>
      <c r="R101">
        <v>3.2660852247490402</v>
      </c>
      <c r="S101">
        <v>29966.431743468998</v>
      </c>
      <c r="T101">
        <v>7.9301054327543499</v>
      </c>
      <c r="U101">
        <v>4.0089942719692999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0.27223424204032598</v>
      </c>
      <c r="AC101">
        <v>0</v>
      </c>
      <c r="AD101">
        <v>0</v>
      </c>
      <c r="AE101">
        <v>-865955.93537137203</v>
      </c>
      <c r="AF101">
        <v>0</v>
      </c>
      <c r="AG101">
        <v>-273583.08117056702</v>
      </c>
      <c r="AH101">
        <v>38935.937534370401</v>
      </c>
      <c r="AI101">
        <v>54420.922181218702</v>
      </c>
      <c r="AJ101">
        <v>1235515.74490337</v>
      </c>
      <c r="AK101">
        <v>136124.24312668099</v>
      </c>
      <c r="AL101">
        <v>6350.7845276410098</v>
      </c>
      <c r="AM101">
        <v>49356.5890273845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381165.20475872798</v>
      </c>
      <c r="AW101">
        <v>393258.37836460402</v>
      </c>
      <c r="AX101">
        <v>-4337657.3783646198</v>
      </c>
      <c r="AY101">
        <v>1165687</v>
      </c>
      <c r="AZ101">
        <v>-2778712.00000002</v>
      </c>
      <c r="BA101"/>
      <c r="BB101"/>
    </row>
    <row r="102" spans="1:54" x14ac:dyDescent="0.25">
      <c r="A102" t="str">
        <f t="shared" si="2"/>
        <v>1_2_2011</v>
      </c>
      <c r="B102">
        <v>1</v>
      </c>
      <c r="C102">
        <v>2</v>
      </c>
      <c r="D102" s="162">
        <v>2011</v>
      </c>
      <c r="E102">
        <v>55360618.999999903</v>
      </c>
      <c r="F102">
        <v>80022377</v>
      </c>
      <c r="G102">
        <v>70894166.999999896</v>
      </c>
      <c r="H102">
        <v>75273404.999999896</v>
      </c>
      <c r="I102">
        <v>3909909.99999998</v>
      </c>
      <c r="J102">
        <v>73288553.466269702</v>
      </c>
      <c r="K102">
        <v>4794639.80038606</v>
      </c>
      <c r="L102">
        <v>0</v>
      </c>
      <c r="M102">
        <v>3875937.0241875299</v>
      </c>
      <c r="N102">
        <v>0</v>
      </c>
      <c r="O102">
        <v>1.1975799237850999</v>
      </c>
      <c r="P102">
        <v>2865273.642831</v>
      </c>
      <c r="Q102">
        <v>0.35320188584372902</v>
      </c>
      <c r="R102">
        <v>3.9927704960379802</v>
      </c>
      <c r="S102">
        <v>29426.8221675165</v>
      </c>
      <c r="T102">
        <v>8.3502916569628596</v>
      </c>
      <c r="U102">
        <v>4.0791861611951896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0.26992633518060899</v>
      </c>
      <c r="AC102">
        <v>0</v>
      </c>
      <c r="AD102">
        <v>0</v>
      </c>
      <c r="AE102">
        <v>3381870.8603427098</v>
      </c>
      <c r="AF102">
        <v>0</v>
      </c>
      <c r="AG102">
        <v>-189316.12991875899</v>
      </c>
      <c r="AH102">
        <v>100930.723753578</v>
      </c>
      <c r="AI102">
        <v>-73725.583589195099</v>
      </c>
      <c r="AJ102">
        <v>1603733.4241670601</v>
      </c>
      <c r="AK102">
        <v>105520.59091725601</v>
      </c>
      <c r="AL102">
        <v>67883.125155435104</v>
      </c>
      <c r="AM102">
        <v>-56461.545478209599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4940435.4653498698</v>
      </c>
      <c r="AW102">
        <v>4976450.5692732902</v>
      </c>
      <c r="AX102">
        <v>-1066540.5692733</v>
      </c>
      <c r="AY102">
        <v>469328</v>
      </c>
      <c r="AZ102">
        <v>4379237.9999999804</v>
      </c>
      <c r="BA102"/>
      <c r="BB102"/>
    </row>
    <row r="103" spans="1:54" x14ac:dyDescent="0.25">
      <c r="A103" t="str">
        <f t="shared" si="2"/>
        <v>1_2_2012</v>
      </c>
      <c r="B103">
        <v>1</v>
      </c>
      <c r="C103">
        <v>2</v>
      </c>
      <c r="D103" s="162">
        <v>2012</v>
      </c>
      <c r="E103">
        <v>57011928.999999903</v>
      </c>
      <c r="F103">
        <v>81673687</v>
      </c>
      <c r="G103">
        <v>75273404.999999896</v>
      </c>
      <c r="H103">
        <v>81673687</v>
      </c>
      <c r="I103">
        <v>4748972.0000000596</v>
      </c>
      <c r="J103">
        <v>78843745.131297097</v>
      </c>
      <c r="K103">
        <v>3836423.93529962</v>
      </c>
      <c r="L103">
        <v>0</v>
      </c>
      <c r="M103">
        <v>4140949.1879227501</v>
      </c>
      <c r="N103">
        <v>0</v>
      </c>
      <c r="O103">
        <v>1.16958096107573</v>
      </c>
      <c r="P103">
        <v>2873847.8133243402</v>
      </c>
      <c r="Q103">
        <v>0.34747122969710198</v>
      </c>
      <c r="R103">
        <v>4.0037531914838302</v>
      </c>
      <c r="S103">
        <v>29075.687025196399</v>
      </c>
      <c r="T103">
        <v>8.3624406793883406</v>
      </c>
      <c r="U103">
        <v>4.4248857901299896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0.34080460599745599</v>
      </c>
      <c r="AC103">
        <v>0</v>
      </c>
      <c r="AD103">
        <v>0</v>
      </c>
      <c r="AE103">
        <v>4073600.0161037799</v>
      </c>
      <c r="AF103">
        <v>0</v>
      </c>
      <c r="AG103">
        <v>229545.79699928701</v>
      </c>
      <c r="AH103">
        <v>158610.86911169399</v>
      </c>
      <c r="AI103">
        <v>-212866.34786692599</v>
      </c>
      <c r="AJ103">
        <v>27603.196556662198</v>
      </c>
      <c r="AK103">
        <v>74830.500093231705</v>
      </c>
      <c r="AL103">
        <v>-1610.3961634965101</v>
      </c>
      <c r="AM103">
        <v>-170433.93246865299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-46562.146382553001</v>
      </c>
      <c r="AU103">
        <v>0</v>
      </c>
      <c r="AV103">
        <v>4105497.7380244602</v>
      </c>
      <c r="AW103">
        <v>4039153.5659042899</v>
      </c>
      <c r="AX103">
        <v>577392.43409576605</v>
      </c>
      <c r="AY103">
        <v>1651310</v>
      </c>
      <c r="AZ103">
        <v>6267856.0000000596</v>
      </c>
      <c r="BA103"/>
      <c r="BB103"/>
    </row>
    <row r="104" spans="1:54" x14ac:dyDescent="0.25">
      <c r="A104" t="str">
        <f t="shared" si="2"/>
        <v>1_2_2013</v>
      </c>
      <c r="B104">
        <v>1</v>
      </c>
      <c r="C104">
        <v>2</v>
      </c>
      <c r="D104" s="162">
        <v>2013</v>
      </c>
      <c r="E104">
        <v>57011928.999999903</v>
      </c>
      <c r="F104">
        <v>81673687</v>
      </c>
      <c r="G104">
        <v>81673687</v>
      </c>
      <c r="H104">
        <v>85768165.999999896</v>
      </c>
      <c r="I104">
        <v>4094478.9999999399</v>
      </c>
      <c r="J104">
        <v>84520812.988937393</v>
      </c>
      <c r="K104">
        <v>5677067.8576403297</v>
      </c>
      <c r="L104">
        <v>0</v>
      </c>
      <c r="M104">
        <v>4862612.5704346197</v>
      </c>
      <c r="N104">
        <v>0</v>
      </c>
      <c r="O104">
        <v>1.2500587038933799</v>
      </c>
      <c r="P104">
        <v>2917601.6226869798</v>
      </c>
      <c r="Q104">
        <v>0.34637836707024799</v>
      </c>
      <c r="R104">
        <v>3.8547261390716998</v>
      </c>
      <c r="S104">
        <v>29719.3196618939</v>
      </c>
      <c r="T104">
        <v>8.19951098392057</v>
      </c>
      <c r="U104">
        <v>4.38035455702612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0.51006788421419602</v>
      </c>
      <c r="AC104">
        <v>0</v>
      </c>
      <c r="AD104">
        <v>0</v>
      </c>
      <c r="AE104">
        <v>7317815.7330658399</v>
      </c>
      <c r="AF104">
        <v>0</v>
      </c>
      <c r="AG104">
        <v>-928315.93422743003</v>
      </c>
      <c r="AH104">
        <v>237456.96511281299</v>
      </c>
      <c r="AI104">
        <v>-49732.827498348001</v>
      </c>
      <c r="AJ104">
        <v>-355006.68709221098</v>
      </c>
      <c r="AK104">
        <v>-122865.511267774</v>
      </c>
      <c r="AL104">
        <v>-24916.727822163</v>
      </c>
      <c r="AM104">
        <v>-5657.7429916910596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-209192.42388803401</v>
      </c>
      <c r="AU104">
        <v>0</v>
      </c>
      <c r="AV104">
        <v>5845465.1588567998</v>
      </c>
      <c r="AW104">
        <v>5637322.0108342404</v>
      </c>
      <c r="AX104">
        <v>-1756120.0108343</v>
      </c>
      <c r="AY104">
        <v>0</v>
      </c>
      <c r="AZ104">
        <v>3881201.9999999399</v>
      </c>
      <c r="BA104"/>
      <c r="BB104"/>
    </row>
    <row r="105" spans="1:54" x14ac:dyDescent="0.25">
      <c r="A105" t="str">
        <f t="shared" si="2"/>
        <v>1_2_2014</v>
      </c>
      <c r="B105">
        <v>1</v>
      </c>
      <c r="C105">
        <v>2</v>
      </c>
      <c r="D105" s="162">
        <v>2014</v>
      </c>
      <c r="E105">
        <v>57011928.999999903</v>
      </c>
      <c r="F105">
        <v>81673687</v>
      </c>
      <c r="G105">
        <v>85768165.999999896</v>
      </c>
      <c r="H105">
        <v>84117985.999999896</v>
      </c>
      <c r="I105">
        <v>-1650179.99999998</v>
      </c>
      <c r="J105">
        <v>85175876.518455505</v>
      </c>
      <c r="K105">
        <v>655063.52951811603</v>
      </c>
      <c r="L105">
        <v>0</v>
      </c>
      <c r="M105">
        <v>4904447.6096593002</v>
      </c>
      <c r="N105">
        <v>0</v>
      </c>
      <c r="O105">
        <v>1.2614354281215301</v>
      </c>
      <c r="P105">
        <v>2945078.2567917299</v>
      </c>
      <c r="Q105">
        <v>0.34415309570934399</v>
      </c>
      <c r="R105">
        <v>3.64570479311794</v>
      </c>
      <c r="S105">
        <v>29682.6149538504</v>
      </c>
      <c r="T105">
        <v>8.2014029165720697</v>
      </c>
      <c r="U105">
        <v>4.4475435079560199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0.23491818703415501</v>
      </c>
      <c r="AB105">
        <v>0.518135739627403</v>
      </c>
      <c r="AC105">
        <v>0</v>
      </c>
      <c r="AD105">
        <v>0</v>
      </c>
      <c r="AE105">
        <v>1612479.8005779099</v>
      </c>
      <c r="AF105">
        <v>0</v>
      </c>
      <c r="AG105">
        <v>54041.148785272999</v>
      </c>
      <c r="AH105">
        <v>200350.212599502</v>
      </c>
      <c r="AI105">
        <v>-74574.174111000393</v>
      </c>
      <c r="AJ105">
        <v>-527911.12530814204</v>
      </c>
      <c r="AK105">
        <v>-15792.282397749101</v>
      </c>
      <c r="AL105">
        <v>-2039.9144132358599</v>
      </c>
      <c r="AM105">
        <v>-56557.585500368601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-404015.30903557601</v>
      </c>
      <c r="AT105">
        <v>-3198.9927473836301</v>
      </c>
      <c r="AU105">
        <v>0</v>
      </c>
      <c r="AV105">
        <v>772284.616016343</v>
      </c>
      <c r="AW105">
        <v>747085.31407284201</v>
      </c>
      <c r="AX105">
        <v>-2360128.3140728199</v>
      </c>
      <c r="AY105">
        <v>0</v>
      </c>
      <c r="AZ105">
        <v>-1613042.99999997</v>
      </c>
      <c r="BA105"/>
      <c r="BB105"/>
    </row>
    <row r="106" spans="1:54" x14ac:dyDescent="0.25">
      <c r="A106" t="str">
        <f t="shared" si="2"/>
        <v>1_2_2015</v>
      </c>
      <c r="B106">
        <v>1</v>
      </c>
      <c r="C106">
        <v>2</v>
      </c>
      <c r="D106" s="162">
        <v>2015</v>
      </c>
      <c r="E106">
        <v>57011928.999999903</v>
      </c>
      <c r="F106">
        <v>81673687</v>
      </c>
      <c r="G106">
        <v>84117985.999999896</v>
      </c>
      <c r="H106">
        <v>82760977</v>
      </c>
      <c r="I106">
        <v>-1357008.99999997</v>
      </c>
      <c r="J106">
        <v>80592338.773476198</v>
      </c>
      <c r="K106">
        <v>-4583537.74497928</v>
      </c>
      <c r="L106">
        <v>0</v>
      </c>
      <c r="M106">
        <v>4977211.7846739898</v>
      </c>
      <c r="N106">
        <v>0</v>
      </c>
      <c r="O106">
        <v>1.2778337219458</v>
      </c>
      <c r="P106">
        <v>2976106.3369197599</v>
      </c>
      <c r="Q106">
        <v>0.34353704348631398</v>
      </c>
      <c r="R106">
        <v>2.6703047462224898</v>
      </c>
      <c r="S106">
        <v>31204.059856400199</v>
      </c>
      <c r="T106">
        <v>7.9518519189203296</v>
      </c>
      <c r="U106">
        <v>4.5844473443443698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1.2089191369055401</v>
      </c>
      <c r="AB106">
        <v>0.67952556034369505</v>
      </c>
      <c r="AC106">
        <v>0</v>
      </c>
      <c r="AD106">
        <v>0</v>
      </c>
      <c r="AE106">
        <v>782706.69840199302</v>
      </c>
      <c r="AF106">
        <v>0</v>
      </c>
      <c r="AG106">
        <v>-421530.20225797303</v>
      </c>
      <c r="AH106">
        <v>218481.44835609701</v>
      </c>
      <c r="AI106">
        <v>-8089.9232157406204</v>
      </c>
      <c r="AJ106">
        <v>-2808912.4454119201</v>
      </c>
      <c r="AK106">
        <v>-306655.66740245302</v>
      </c>
      <c r="AL106">
        <v>-39246.296001239702</v>
      </c>
      <c r="AM106">
        <v>-111565.233758352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-1735430.5249258699</v>
      </c>
      <c r="AT106">
        <v>-110804.61132696801</v>
      </c>
      <c r="AU106">
        <v>0</v>
      </c>
      <c r="AV106">
        <v>-4575731.8021354498</v>
      </c>
      <c r="AW106">
        <v>-4508512.8606082899</v>
      </c>
      <c r="AX106">
        <v>3091648.8606083202</v>
      </c>
      <c r="AY106">
        <v>0</v>
      </c>
      <c r="AZ106">
        <v>-1416863.99999997</v>
      </c>
      <c r="BA106"/>
      <c r="BB106"/>
    </row>
    <row r="107" spans="1:54" x14ac:dyDescent="0.25">
      <c r="A107" t="str">
        <f t="shared" si="2"/>
        <v>1_2_2016</v>
      </c>
      <c r="B107">
        <v>1</v>
      </c>
      <c r="C107">
        <v>2</v>
      </c>
      <c r="D107" s="162">
        <v>2016</v>
      </c>
      <c r="E107">
        <v>57011928.999999903</v>
      </c>
      <c r="F107">
        <v>81673687</v>
      </c>
      <c r="G107">
        <v>82760977</v>
      </c>
      <c r="H107">
        <v>81652157</v>
      </c>
      <c r="I107">
        <v>-1108819.99999999</v>
      </c>
      <c r="J107">
        <v>79811550.0993177</v>
      </c>
      <c r="K107">
        <v>-780788.67415856896</v>
      </c>
      <c r="L107">
        <v>0</v>
      </c>
      <c r="M107">
        <v>5050092.6804625196</v>
      </c>
      <c r="N107">
        <v>0</v>
      </c>
      <c r="O107">
        <v>1.22505851890976</v>
      </c>
      <c r="P107">
        <v>2998380.81170859</v>
      </c>
      <c r="Q107">
        <v>0.34039172880135199</v>
      </c>
      <c r="R107">
        <v>2.3684573009887102</v>
      </c>
      <c r="S107">
        <v>31958.851422673299</v>
      </c>
      <c r="T107">
        <v>7.4829568673250799</v>
      </c>
      <c r="U107">
        <v>5.2694076883453604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2.2089191369055401</v>
      </c>
      <c r="AB107">
        <v>0.77958009454477495</v>
      </c>
      <c r="AC107">
        <v>0</v>
      </c>
      <c r="AD107">
        <v>0</v>
      </c>
      <c r="AE107">
        <v>1944925.4558483399</v>
      </c>
      <c r="AF107">
        <v>0</v>
      </c>
      <c r="AG107">
        <v>744474.71613174898</v>
      </c>
      <c r="AH107">
        <v>179487.72180796799</v>
      </c>
      <c r="AI107">
        <v>-118379.375558404</v>
      </c>
      <c r="AJ107">
        <v>-1010103.19122136</v>
      </c>
      <c r="AK107">
        <v>-106597.938852315</v>
      </c>
      <c r="AL107">
        <v>-49933.858475825597</v>
      </c>
      <c r="AM107">
        <v>-428314.197890907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-1873490.3760804001</v>
      </c>
      <c r="AT107">
        <v>-56259.547963907498</v>
      </c>
      <c r="AU107">
        <v>0</v>
      </c>
      <c r="AV107">
        <v>-782455.73615061305</v>
      </c>
      <c r="AW107">
        <v>-822039.08724031004</v>
      </c>
      <c r="AX107">
        <v>-259598.912759689</v>
      </c>
      <c r="AY107">
        <v>0</v>
      </c>
      <c r="AZ107">
        <v>-1081638</v>
      </c>
      <c r="BA107"/>
      <c r="BB107"/>
    </row>
    <row r="108" spans="1:54" x14ac:dyDescent="0.25">
      <c r="A108" t="str">
        <f t="shared" si="2"/>
        <v>1_2_2017</v>
      </c>
      <c r="B108">
        <v>1</v>
      </c>
      <c r="C108">
        <v>2</v>
      </c>
      <c r="D108" s="162">
        <v>2017</v>
      </c>
      <c r="E108">
        <v>57011928.999999903</v>
      </c>
      <c r="F108">
        <v>81673687</v>
      </c>
      <c r="G108">
        <v>81652157</v>
      </c>
      <c r="H108">
        <v>78504089.999999896</v>
      </c>
      <c r="I108">
        <v>-3148067.00000004</v>
      </c>
      <c r="J108">
        <v>78399405.163737297</v>
      </c>
      <c r="K108">
        <v>-1412144.93558038</v>
      </c>
      <c r="L108">
        <v>0</v>
      </c>
      <c r="M108">
        <v>5041073.9419531897</v>
      </c>
      <c r="N108">
        <v>0</v>
      </c>
      <c r="O108">
        <v>1.25779698339497</v>
      </c>
      <c r="P108">
        <v>3021319.5660561202</v>
      </c>
      <c r="Q108">
        <v>0.33817861116871001</v>
      </c>
      <c r="R108">
        <v>2.5841557617845199</v>
      </c>
      <c r="S108">
        <v>31693.827253182699</v>
      </c>
      <c r="T108">
        <v>7.4049369301291303</v>
      </c>
      <c r="U108">
        <v>5.5099380587525797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3.2089191369055401</v>
      </c>
      <c r="AB108">
        <v>0.80557914467338898</v>
      </c>
      <c r="AC108">
        <v>0</v>
      </c>
      <c r="AD108">
        <v>0</v>
      </c>
      <c r="AE108">
        <v>183029.61229588601</v>
      </c>
      <c r="AF108">
        <v>0</v>
      </c>
      <c r="AG108">
        <v>-271231.09133099701</v>
      </c>
      <c r="AH108">
        <v>185485.68892608699</v>
      </c>
      <c r="AI108">
        <v>-89997.6697845569</v>
      </c>
      <c r="AJ108">
        <v>739990.43857878598</v>
      </c>
      <c r="AK108">
        <v>31951.394057781701</v>
      </c>
      <c r="AL108">
        <v>-36291.106614672397</v>
      </c>
      <c r="AM108">
        <v>-212082.58880387701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-1848389.6139324999</v>
      </c>
      <c r="AT108">
        <v>-87037.441738338093</v>
      </c>
      <c r="AU108">
        <v>0</v>
      </c>
      <c r="AV108">
        <v>-1418920.5734188401</v>
      </c>
      <c r="AW108">
        <v>-1426414.3667677201</v>
      </c>
      <c r="AX108">
        <v>-1736618.6332323099</v>
      </c>
      <c r="AY108">
        <v>0</v>
      </c>
      <c r="AZ108">
        <v>-3163033.00000004</v>
      </c>
      <c r="BA108"/>
      <c r="BB108"/>
    </row>
    <row r="109" spans="1:54" x14ac:dyDescent="0.25">
      <c r="A109" t="str">
        <f t="shared" si="2"/>
        <v>1_2_2018</v>
      </c>
      <c r="B109">
        <v>1</v>
      </c>
      <c r="C109">
        <v>2</v>
      </c>
      <c r="D109" s="162">
        <v>2018</v>
      </c>
      <c r="E109">
        <v>57011928.999999903</v>
      </c>
      <c r="F109">
        <v>81673687</v>
      </c>
      <c r="G109">
        <v>78504089.999999896</v>
      </c>
      <c r="H109">
        <v>76851197</v>
      </c>
      <c r="I109">
        <v>-1652892.9999999399</v>
      </c>
      <c r="J109">
        <v>78005962.710860297</v>
      </c>
      <c r="K109">
        <v>-393442.45287699503</v>
      </c>
      <c r="L109">
        <v>0</v>
      </c>
      <c r="M109">
        <v>5087908.4121240098</v>
      </c>
      <c r="N109">
        <v>0</v>
      </c>
      <c r="O109">
        <v>1.2557276465082501</v>
      </c>
      <c r="P109">
        <v>3045539.4790095701</v>
      </c>
      <c r="Q109">
        <v>0.34064764087298799</v>
      </c>
      <c r="R109">
        <v>2.8674048087374802</v>
      </c>
      <c r="S109">
        <v>31798.715648167199</v>
      </c>
      <c r="T109">
        <v>7.2343779632504601</v>
      </c>
      <c r="U109">
        <v>5.8615759225582398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4.2089191369055401</v>
      </c>
      <c r="AB109">
        <v>0.84038901753350603</v>
      </c>
      <c r="AC109">
        <v>0.54726427516599196</v>
      </c>
      <c r="AD109">
        <v>0</v>
      </c>
      <c r="AE109">
        <v>2235770.3991232701</v>
      </c>
      <c r="AF109">
        <v>0</v>
      </c>
      <c r="AG109">
        <v>150411.50714174399</v>
      </c>
      <c r="AH109">
        <v>164971.57081906</v>
      </c>
      <c r="AI109">
        <v>93423.559331230295</v>
      </c>
      <c r="AJ109">
        <v>888909.83958100004</v>
      </c>
      <c r="AK109">
        <v>-21948.352394865298</v>
      </c>
      <c r="AL109">
        <v>-36907.218405738597</v>
      </c>
      <c r="AM109">
        <v>-259257.07963975301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-1777125.6747965901</v>
      </c>
      <c r="AT109">
        <v>-23417.989606508399</v>
      </c>
      <c r="AU109">
        <v>-1748137.22177104</v>
      </c>
      <c r="AV109">
        <v>-344842.833907653</v>
      </c>
      <c r="AW109">
        <v>-317602.31227827398</v>
      </c>
      <c r="AX109">
        <v>-1317626.6877216599</v>
      </c>
      <c r="AY109">
        <v>0</v>
      </c>
      <c r="AZ109">
        <v>-1635228.9999999399</v>
      </c>
      <c r="BA109"/>
      <c r="BB109"/>
    </row>
    <row r="110" spans="1:54" x14ac:dyDescent="0.25">
      <c r="A110" t="str">
        <f t="shared" si="2"/>
        <v>1_10_2002</v>
      </c>
      <c r="B110">
        <v>1</v>
      </c>
      <c r="C110">
        <v>10</v>
      </c>
      <c r="D110" s="162">
        <v>2002</v>
      </c>
      <c r="E110">
        <v>2028458449</v>
      </c>
      <c r="F110">
        <v>2929500931</v>
      </c>
      <c r="G110">
        <v>0</v>
      </c>
      <c r="H110">
        <v>2028458449</v>
      </c>
      <c r="I110">
        <v>0</v>
      </c>
      <c r="J110">
        <v>2868725058.2023201</v>
      </c>
      <c r="K110">
        <v>0</v>
      </c>
      <c r="L110">
        <v>0</v>
      </c>
      <c r="M110">
        <v>474570591.99999899</v>
      </c>
      <c r="N110">
        <v>0</v>
      </c>
      <c r="O110">
        <v>1.7610024585999999</v>
      </c>
      <c r="P110">
        <v>25697520.3899999</v>
      </c>
      <c r="Q110">
        <v>0.70319922136740198</v>
      </c>
      <c r="R110">
        <v>1.974</v>
      </c>
      <c r="S110">
        <v>42439.074999999903</v>
      </c>
      <c r="T110">
        <v>31.71</v>
      </c>
      <c r="U110">
        <v>3.5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2028458449</v>
      </c>
      <c r="AZ110">
        <v>2028458449</v>
      </c>
      <c r="BA110"/>
      <c r="BB110"/>
    </row>
    <row r="111" spans="1:54" x14ac:dyDescent="0.25">
      <c r="A111" t="str">
        <f t="shared" si="2"/>
        <v>1_10_2003</v>
      </c>
      <c r="B111">
        <v>1</v>
      </c>
      <c r="C111">
        <v>10</v>
      </c>
      <c r="D111" s="162">
        <v>2003</v>
      </c>
      <c r="E111">
        <v>2028458449</v>
      </c>
      <c r="F111">
        <v>2929500931</v>
      </c>
      <c r="G111">
        <v>2028458449</v>
      </c>
      <c r="H111">
        <v>1999850729.99999</v>
      </c>
      <c r="I111">
        <v>-28607719.0000019</v>
      </c>
      <c r="J111">
        <v>2971720869.6845498</v>
      </c>
      <c r="K111">
        <v>102995811.48223101</v>
      </c>
      <c r="L111">
        <v>0</v>
      </c>
      <c r="M111">
        <v>503552796.99999899</v>
      </c>
      <c r="N111">
        <v>0</v>
      </c>
      <c r="O111">
        <v>1.92921531457</v>
      </c>
      <c r="P111">
        <v>26042245.269999899</v>
      </c>
      <c r="Q111">
        <v>0.70198121073034003</v>
      </c>
      <c r="R111">
        <v>2.2467999999999901</v>
      </c>
      <c r="S111">
        <v>41148.635000000002</v>
      </c>
      <c r="T111">
        <v>31.36</v>
      </c>
      <c r="U111">
        <v>3.5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81201777.364868104</v>
      </c>
      <c r="AF111">
        <v>0</v>
      </c>
      <c r="AG111">
        <v>-41094920.521033697</v>
      </c>
      <c r="AH111">
        <v>5896951.5566774504</v>
      </c>
      <c r="AI111">
        <v>-985093.36547678499</v>
      </c>
      <c r="AJ111">
        <v>25680877.3535286</v>
      </c>
      <c r="AK111">
        <v>4453018.9969555195</v>
      </c>
      <c r="AL111">
        <v>-1421224.99046516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73731386.395054102</v>
      </c>
      <c r="AW111">
        <v>72827726.5245011</v>
      </c>
      <c r="AX111">
        <v>-101435445.52450299</v>
      </c>
      <c r="AY111">
        <v>0</v>
      </c>
      <c r="AZ111">
        <v>-28607719.0000019</v>
      </c>
      <c r="BA111"/>
      <c r="BB111"/>
    </row>
    <row r="112" spans="1:54" x14ac:dyDescent="0.25">
      <c r="A112" t="str">
        <f t="shared" si="2"/>
        <v>1_10_2004</v>
      </c>
      <c r="B112">
        <v>1</v>
      </c>
      <c r="C112">
        <v>10</v>
      </c>
      <c r="D112" s="162">
        <v>2004</v>
      </c>
      <c r="E112">
        <v>2028458449</v>
      </c>
      <c r="F112">
        <v>2929500931</v>
      </c>
      <c r="G112">
        <v>1999850729.99999</v>
      </c>
      <c r="H112">
        <v>2115153451.99999</v>
      </c>
      <c r="I112">
        <v>115302722</v>
      </c>
      <c r="J112">
        <v>3109657642.05478</v>
      </c>
      <c r="K112">
        <v>137936772.370231</v>
      </c>
      <c r="L112">
        <v>0</v>
      </c>
      <c r="M112">
        <v>521860484</v>
      </c>
      <c r="N112">
        <v>0</v>
      </c>
      <c r="O112">
        <v>1.9019918870399899</v>
      </c>
      <c r="P112">
        <v>26563773.749999899</v>
      </c>
      <c r="Q112">
        <v>0.69839341816490697</v>
      </c>
      <c r="R112">
        <v>2.5669</v>
      </c>
      <c r="S112">
        <v>39531.589999999997</v>
      </c>
      <c r="T112">
        <v>31</v>
      </c>
      <c r="U112">
        <v>3.5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47852710.975230202</v>
      </c>
      <c r="AF112">
        <v>0</v>
      </c>
      <c r="AG112">
        <v>6472751.5470821401</v>
      </c>
      <c r="AH112">
        <v>8657032.4365650192</v>
      </c>
      <c r="AI112">
        <v>-2859432.9159941101</v>
      </c>
      <c r="AJ112">
        <v>27138290.020596799</v>
      </c>
      <c r="AK112">
        <v>5701787.4496473502</v>
      </c>
      <c r="AL112">
        <v>-1441200.5153258799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91521938.997801602</v>
      </c>
      <c r="AW112">
        <v>92825997.802321494</v>
      </c>
      <c r="AX112">
        <v>22476724.1976787</v>
      </c>
      <c r="AY112">
        <v>0</v>
      </c>
      <c r="AZ112">
        <v>115302722</v>
      </c>
      <c r="BA112"/>
      <c r="BB112"/>
    </row>
    <row r="113" spans="1:54" x14ac:dyDescent="0.25">
      <c r="A113" t="str">
        <f t="shared" si="2"/>
        <v>1_10_2005</v>
      </c>
      <c r="B113">
        <v>1</v>
      </c>
      <c r="C113">
        <v>10</v>
      </c>
      <c r="D113" s="162">
        <v>2005</v>
      </c>
      <c r="E113">
        <v>2028458449</v>
      </c>
      <c r="F113">
        <v>2929500931</v>
      </c>
      <c r="G113">
        <v>2115153451.99999</v>
      </c>
      <c r="H113">
        <v>2507212522.99999</v>
      </c>
      <c r="I113">
        <v>392059070.99999601</v>
      </c>
      <c r="J113">
        <v>3326416182.5572</v>
      </c>
      <c r="K113">
        <v>216758540.502415</v>
      </c>
      <c r="L113">
        <v>0</v>
      </c>
      <c r="M113">
        <v>527998936.99999899</v>
      </c>
      <c r="N113">
        <v>0</v>
      </c>
      <c r="O113">
        <v>1.60869959421</v>
      </c>
      <c r="P113">
        <v>27081157.499999899</v>
      </c>
      <c r="Q113">
        <v>0.69604989521012905</v>
      </c>
      <c r="R113">
        <v>3.0314999999999901</v>
      </c>
      <c r="S113">
        <v>38116.919999999896</v>
      </c>
      <c r="T113">
        <v>30.68</v>
      </c>
      <c r="U113">
        <v>3.5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16441465.0097242</v>
      </c>
      <c r="AF113">
        <v>0</v>
      </c>
      <c r="AG113">
        <v>79447538.232779205</v>
      </c>
      <c r="AH113">
        <v>8906941.2282657791</v>
      </c>
      <c r="AI113">
        <v>-1975940.35481168</v>
      </c>
      <c r="AJ113">
        <v>37453314.278848797</v>
      </c>
      <c r="AK113">
        <v>5480945.9184672404</v>
      </c>
      <c r="AL113">
        <v>-1354982.1614389301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144399282.15183401</v>
      </c>
      <c r="AW113">
        <v>147436672.44707099</v>
      </c>
      <c r="AX113">
        <v>244622398.55292401</v>
      </c>
      <c r="AY113">
        <v>0</v>
      </c>
      <c r="AZ113">
        <v>392059070.99999601</v>
      </c>
      <c r="BA113"/>
      <c r="BB113"/>
    </row>
    <row r="114" spans="1:54" x14ac:dyDescent="0.25">
      <c r="A114" t="str">
        <f t="shared" si="2"/>
        <v>1_10_2006</v>
      </c>
      <c r="B114">
        <v>1</v>
      </c>
      <c r="C114">
        <v>10</v>
      </c>
      <c r="D114" s="162">
        <v>2006</v>
      </c>
      <c r="E114">
        <v>2028458449</v>
      </c>
      <c r="F114">
        <v>2929500931</v>
      </c>
      <c r="G114">
        <v>2507212522.99999</v>
      </c>
      <c r="H114">
        <v>2603647774.99999</v>
      </c>
      <c r="I114">
        <v>96435252.000002801</v>
      </c>
      <c r="J114">
        <v>3449998348.5420499</v>
      </c>
      <c r="K114">
        <v>123582165.984851</v>
      </c>
      <c r="L114">
        <v>0</v>
      </c>
      <c r="M114">
        <v>539962610</v>
      </c>
      <c r="N114">
        <v>0</v>
      </c>
      <c r="O114">
        <v>1.5876467787499999</v>
      </c>
      <c r="P114">
        <v>27655014.75</v>
      </c>
      <c r="Q114">
        <v>0.70081421238459896</v>
      </c>
      <c r="R114">
        <v>3.3499999999999899</v>
      </c>
      <c r="S114">
        <v>36028.75</v>
      </c>
      <c r="T114">
        <v>30.18</v>
      </c>
      <c r="U114">
        <v>3.7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37473752.325089</v>
      </c>
      <c r="AF114">
        <v>0</v>
      </c>
      <c r="AG114">
        <v>7040713.7469410198</v>
      </c>
      <c r="AH114">
        <v>11479028.805366101</v>
      </c>
      <c r="AI114">
        <v>4768372.1693831896</v>
      </c>
      <c r="AJ114">
        <v>27478265.346121602</v>
      </c>
      <c r="AK114">
        <v>10051621.4525289</v>
      </c>
      <c r="AL114">
        <v>-2509138.3604138498</v>
      </c>
      <c r="AM114">
        <v>-3832240.4015222299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91950375.083493903</v>
      </c>
      <c r="AW114">
        <v>93147320.471031904</v>
      </c>
      <c r="AX114">
        <v>3287931.52897088</v>
      </c>
      <c r="AY114">
        <v>0</v>
      </c>
      <c r="AZ114">
        <v>96435252.000002801</v>
      </c>
      <c r="BA114"/>
      <c r="BB114"/>
    </row>
    <row r="115" spans="1:54" x14ac:dyDescent="0.25">
      <c r="A115" t="str">
        <f t="shared" si="2"/>
        <v>1_10_2007</v>
      </c>
      <c r="B115">
        <v>1</v>
      </c>
      <c r="C115">
        <v>10</v>
      </c>
      <c r="D115" s="162">
        <v>2007</v>
      </c>
      <c r="E115">
        <v>2028458449</v>
      </c>
      <c r="F115">
        <v>2929500931</v>
      </c>
      <c r="G115">
        <v>2603647774.99999</v>
      </c>
      <c r="H115">
        <v>2751026060</v>
      </c>
      <c r="I115">
        <v>147378285.00000399</v>
      </c>
      <c r="J115">
        <v>3505977897.2266998</v>
      </c>
      <c r="K115">
        <v>55979548.6846532</v>
      </c>
      <c r="L115">
        <v>0</v>
      </c>
      <c r="M115">
        <v>543107373</v>
      </c>
      <c r="N115">
        <v>0</v>
      </c>
      <c r="O115">
        <v>1.5239354946199899</v>
      </c>
      <c r="P115">
        <v>27714120</v>
      </c>
      <c r="Q115">
        <v>0.69978105660465495</v>
      </c>
      <c r="R115">
        <v>3.4605999999999901</v>
      </c>
      <c r="S115">
        <v>36660.58</v>
      </c>
      <c r="T115">
        <v>30.4</v>
      </c>
      <c r="U115">
        <v>3.6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10030752.2893505</v>
      </c>
      <c r="AF115">
        <v>0</v>
      </c>
      <c r="AG115">
        <v>22560177.272261299</v>
      </c>
      <c r="AH115">
        <v>1211206.1142944701</v>
      </c>
      <c r="AI115">
        <v>-1072566.54359086</v>
      </c>
      <c r="AJ115">
        <v>9387905.4959320202</v>
      </c>
      <c r="AK115">
        <v>-3212442.81229176</v>
      </c>
      <c r="AL115">
        <v>1147311.7581470299</v>
      </c>
      <c r="AM115">
        <v>1992104.1586678999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42044447.732770696</v>
      </c>
      <c r="AW115">
        <v>42246694.825200103</v>
      </c>
      <c r="AX115">
        <v>105131590.174804</v>
      </c>
      <c r="AY115">
        <v>0</v>
      </c>
      <c r="AZ115">
        <v>147378285.00000399</v>
      </c>
      <c r="BA115"/>
      <c r="BB115"/>
    </row>
    <row r="116" spans="1:54" x14ac:dyDescent="0.25">
      <c r="A116" t="str">
        <f t="shared" si="2"/>
        <v>1_10_2008</v>
      </c>
      <c r="B116">
        <v>1</v>
      </c>
      <c r="C116">
        <v>10</v>
      </c>
      <c r="D116" s="162">
        <v>2008</v>
      </c>
      <c r="E116">
        <v>2028458449</v>
      </c>
      <c r="F116">
        <v>2929500931</v>
      </c>
      <c r="G116">
        <v>2751026060</v>
      </c>
      <c r="H116">
        <v>2818659238.99999</v>
      </c>
      <c r="I116">
        <v>67633178.999994695</v>
      </c>
      <c r="J116">
        <v>3611386502.6936302</v>
      </c>
      <c r="K116">
        <v>105408605.46692599</v>
      </c>
      <c r="L116">
        <v>0</v>
      </c>
      <c r="M116">
        <v>558408347</v>
      </c>
      <c r="N116">
        <v>0</v>
      </c>
      <c r="O116">
        <v>1.5489328795199999</v>
      </c>
      <c r="P116">
        <v>27956797.669999901</v>
      </c>
      <c r="Q116">
        <v>0.69861119861852705</v>
      </c>
      <c r="R116">
        <v>3.9195000000000002</v>
      </c>
      <c r="S116">
        <v>36716.94</v>
      </c>
      <c r="T116">
        <v>30.42</v>
      </c>
      <c r="U116">
        <v>3.7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51078172.192987204</v>
      </c>
      <c r="AF116">
        <v>0</v>
      </c>
      <c r="AG116">
        <v>-9367005.5807770006</v>
      </c>
      <c r="AH116">
        <v>5229831.6836532904</v>
      </c>
      <c r="AI116">
        <v>-1283193.6899163499</v>
      </c>
      <c r="AJ116">
        <v>38889838.616813302</v>
      </c>
      <c r="AK116">
        <v>-300095.77864945302</v>
      </c>
      <c r="AL116">
        <v>110182.915319865</v>
      </c>
      <c r="AM116">
        <v>-2103257.0535033699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82254473.3059275</v>
      </c>
      <c r="AW116">
        <v>82710681.324361503</v>
      </c>
      <c r="AX116">
        <v>-15077502.3243667</v>
      </c>
      <c r="AY116">
        <v>0</v>
      </c>
      <c r="AZ116">
        <v>67633178.999994695</v>
      </c>
      <c r="BA116"/>
      <c r="BB116"/>
    </row>
    <row r="117" spans="1:54" x14ac:dyDescent="0.25">
      <c r="A117" t="str">
        <f t="shared" si="2"/>
        <v>1_10_2009</v>
      </c>
      <c r="B117">
        <v>1</v>
      </c>
      <c r="C117">
        <v>10</v>
      </c>
      <c r="D117" s="162">
        <v>2009</v>
      </c>
      <c r="E117">
        <v>2028458449</v>
      </c>
      <c r="F117">
        <v>2929500931</v>
      </c>
      <c r="G117">
        <v>2818659238.99999</v>
      </c>
      <c r="H117">
        <v>2717269399.99999</v>
      </c>
      <c r="I117">
        <v>-101389838.999999</v>
      </c>
      <c r="J117">
        <v>3472474841.8557</v>
      </c>
      <c r="K117">
        <v>-138911660.83793399</v>
      </c>
      <c r="L117">
        <v>0</v>
      </c>
      <c r="M117">
        <v>562176551</v>
      </c>
      <c r="N117">
        <v>0</v>
      </c>
      <c r="O117">
        <v>1.63249305102</v>
      </c>
      <c r="P117">
        <v>27734538</v>
      </c>
      <c r="Q117">
        <v>0.70705174720515196</v>
      </c>
      <c r="R117">
        <v>2.84309999999999</v>
      </c>
      <c r="S117">
        <v>35494.29</v>
      </c>
      <c r="T117">
        <v>30.61</v>
      </c>
      <c r="U117">
        <v>3.9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12580115.627014499</v>
      </c>
      <c r="AF117">
        <v>0</v>
      </c>
      <c r="AG117">
        <v>-31290351.634305201</v>
      </c>
      <c r="AH117">
        <v>-4896849.1895022197</v>
      </c>
      <c r="AI117">
        <v>9504079.9799146894</v>
      </c>
      <c r="AJ117">
        <v>-98028104.886085495</v>
      </c>
      <c r="AK117">
        <v>6787103.57389249</v>
      </c>
      <c r="AL117">
        <v>1072654.0121361299</v>
      </c>
      <c r="AM117">
        <v>-4308282.4909054302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-108579635.00783999</v>
      </c>
      <c r="AW117">
        <v>-108419477.099345</v>
      </c>
      <c r="AX117">
        <v>7029638.0993457697</v>
      </c>
      <c r="AY117">
        <v>0</v>
      </c>
      <c r="AZ117">
        <v>-101389838.999999</v>
      </c>
      <c r="BA117"/>
      <c r="BB117"/>
    </row>
    <row r="118" spans="1:54" x14ac:dyDescent="0.25">
      <c r="A118" t="str">
        <f t="shared" si="2"/>
        <v>1_10_2010</v>
      </c>
      <c r="B118">
        <v>1</v>
      </c>
      <c r="C118">
        <v>10</v>
      </c>
      <c r="D118" s="162">
        <v>2010</v>
      </c>
      <c r="E118">
        <v>2028458449</v>
      </c>
      <c r="F118">
        <v>2929500931</v>
      </c>
      <c r="G118">
        <v>2717269399.99999</v>
      </c>
      <c r="H118">
        <v>2812782058</v>
      </c>
      <c r="I118">
        <v>95512658.000002801</v>
      </c>
      <c r="J118">
        <v>3492459402.4991298</v>
      </c>
      <c r="K118">
        <v>19984560.643433999</v>
      </c>
      <c r="L118">
        <v>0</v>
      </c>
      <c r="M118">
        <v>552453533.99999905</v>
      </c>
      <c r="N118">
        <v>0</v>
      </c>
      <c r="O118">
        <v>1.6339541181999999</v>
      </c>
      <c r="P118">
        <v>27553600.749999899</v>
      </c>
      <c r="Q118">
        <v>0.71198282361478205</v>
      </c>
      <c r="R118">
        <v>3.2889999999999899</v>
      </c>
      <c r="S118">
        <v>35213</v>
      </c>
      <c r="T118">
        <v>30.93</v>
      </c>
      <c r="U118">
        <v>3.9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-31209822.575968899</v>
      </c>
      <c r="AF118">
        <v>0</v>
      </c>
      <c r="AG118">
        <v>-521729.58026579599</v>
      </c>
      <c r="AH118">
        <v>-3871658.2992396201</v>
      </c>
      <c r="AI118">
        <v>5348933.5978822103</v>
      </c>
      <c r="AJ118">
        <v>43097996.489911601</v>
      </c>
      <c r="AK118">
        <v>1535777.0514583299</v>
      </c>
      <c r="AL118">
        <v>1741817.68856386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16121314.372341599</v>
      </c>
      <c r="AW118">
        <v>15638251.5588875</v>
      </c>
      <c r="AX118">
        <v>79874406.441115305</v>
      </c>
      <c r="AY118">
        <v>0</v>
      </c>
      <c r="AZ118">
        <v>95512658.000002801</v>
      </c>
      <c r="BA118"/>
      <c r="BB118"/>
    </row>
    <row r="119" spans="1:54" x14ac:dyDescent="0.25">
      <c r="A119" t="str">
        <f t="shared" si="2"/>
        <v>1_10_2011</v>
      </c>
      <c r="B119">
        <v>1</v>
      </c>
      <c r="C119">
        <v>10</v>
      </c>
      <c r="D119" s="162">
        <v>2011</v>
      </c>
      <c r="E119">
        <v>2028458449</v>
      </c>
      <c r="F119">
        <v>2929500931</v>
      </c>
      <c r="G119">
        <v>2812782058</v>
      </c>
      <c r="H119">
        <v>2875478446.99999</v>
      </c>
      <c r="I119">
        <v>62696388.999994203</v>
      </c>
      <c r="J119">
        <v>3501131687.6968799</v>
      </c>
      <c r="K119">
        <v>8672285.1977500897</v>
      </c>
      <c r="L119">
        <v>0</v>
      </c>
      <c r="M119">
        <v>542784231</v>
      </c>
      <c r="N119">
        <v>0</v>
      </c>
      <c r="O119">
        <v>1.73929841568</v>
      </c>
      <c r="P119">
        <v>27682634.670000002</v>
      </c>
      <c r="Q119">
        <v>0.71184921256512901</v>
      </c>
      <c r="R119">
        <v>4.0655999999999999</v>
      </c>
      <c r="S119">
        <v>34147.68</v>
      </c>
      <c r="T119">
        <v>31.299999999999901</v>
      </c>
      <c r="U119">
        <v>3.9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-32694987.2521003</v>
      </c>
      <c r="AF119">
        <v>0</v>
      </c>
      <c r="AG119">
        <v>-37916112.569449201</v>
      </c>
      <c r="AH119">
        <v>2864270.6987647698</v>
      </c>
      <c r="AI119">
        <v>-149876.16132322501</v>
      </c>
      <c r="AJ119">
        <v>67909704.757130206</v>
      </c>
      <c r="AK119">
        <v>6143147.4423682196</v>
      </c>
      <c r="AL119">
        <v>2084872.8421551301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8241019.7575455997</v>
      </c>
      <c r="AW119">
        <v>6984547.3904822599</v>
      </c>
      <c r="AX119">
        <v>55711841.609512001</v>
      </c>
      <c r="AY119">
        <v>0</v>
      </c>
      <c r="AZ119">
        <v>62696388.999994203</v>
      </c>
      <c r="BA119"/>
      <c r="BB119"/>
    </row>
    <row r="120" spans="1:54" x14ac:dyDescent="0.25">
      <c r="A120" t="str">
        <f t="shared" si="2"/>
        <v>1_10_2012</v>
      </c>
      <c r="B120">
        <v>1</v>
      </c>
      <c r="C120">
        <v>10</v>
      </c>
      <c r="D120" s="162">
        <v>2012</v>
      </c>
      <c r="E120">
        <v>2028458449</v>
      </c>
      <c r="F120">
        <v>2929500931</v>
      </c>
      <c r="G120">
        <v>2875478446.99999</v>
      </c>
      <c r="H120">
        <v>2929500930.99999</v>
      </c>
      <c r="I120">
        <v>54022483.999999501</v>
      </c>
      <c r="J120">
        <v>3527178830.7444901</v>
      </c>
      <c r="K120">
        <v>26047143.047609799</v>
      </c>
      <c r="L120">
        <v>0</v>
      </c>
      <c r="M120">
        <v>542311539</v>
      </c>
      <c r="N120">
        <v>0</v>
      </c>
      <c r="O120">
        <v>1.6964752675200001</v>
      </c>
      <c r="P120">
        <v>27909105.420000002</v>
      </c>
      <c r="Q120">
        <v>0.70702565886186597</v>
      </c>
      <c r="R120">
        <v>4.1093000000000002</v>
      </c>
      <c r="S120">
        <v>33963.31</v>
      </c>
      <c r="T120">
        <v>31.51</v>
      </c>
      <c r="U120">
        <v>4.0999999999999996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-1658358.71290109</v>
      </c>
      <c r="AF120">
        <v>0</v>
      </c>
      <c r="AG120">
        <v>15722548.4908044</v>
      </c>
      <c r="AH120">
        <v>5108297.5528038098</v>
      </c>
      <c r="AI120">
        <v>-5526182.8793954803</v>
      </c>
      <c r="AJ120">
        <v>3542939.3836026001</v>
      </c>
      <c r="AK120">
        <v>1105726.30840537</v>
      </c>
      <c r="AL120">
        <v>1209488.08503877</v>
      </c>
      <c r="AM120">
        <v>-4395129.8811775297</v>
      </c>
      <c r="AN120">
        <v>0</v>
      </c>
      <c r="AO120">
        <v>0</v>
      </c>
      <c r="AP120">
        <v>0</v>
      </c>
      <c r="AQ120">
        <v>0</v>
      </c>
      <c r="AR120">
        <v>6269990.3531798599</v>
      </c>
      <c r="AS120">
        <v>0</v>
      </c>
      <c r="AT120">
        <v>0</v>
      </c>
      <c r="AU120">
        <v>0</v>
      </c>
      <c r="AV120">
        <v>21379318.700360801</v>
      </c>
      <c r="AW120">
        <v>21392511.085064601</v>
      </c>
      <c r="AX120">
        <v>32629972.914934799</v>
      </c>
      <c r="AY120">
        <v>0</v>
      </c>
      <c r="AZ120">
        <v>54022483.999999501</v>
      </c>
      <c r="BA120"/>
      <c r="BB120"/>
    </row>
    <row r="121" spans="1:54" x14ac:dyDescent="0.25">
      <c r="A121" t="str">
        <f t="shared" si="2"/>
        <v>1_10_2013</v>
      </c>
      <c r="B121">
        <v>1</v>
      </c>
      <c r="C121">
        <v>10</v>
      </c>
      <c r="D121" s="162">
        <v>2013</v>
      </c>
      <c r="E121">
        <v>2028458449</v>
      </c>
      <c r="F121">
        <v>2929500931</v>
      </c>
      <c r="G121">
        <v>2929500930.99999</v>
      </c>
      <c r="H121">
        <v>3028731445.99999</v>
      </c>
      <c r="I121">
        <v>99230515.0000038</v>
      </c>
      <c r="J121">
        <v>3518302981.2501502</v>
      </c>
      <c r="K121">
        <v>-8875849.4943351708</v>
      </c>
      <c r="L121">
        <v>0</v>
      </c>
      <c r="M121">
        <v>554417452</v>
      </c>
      <c r="N121">
        <v>0</v>
      </c>
      <c r="O121">
        <v>1.75772764368</v>
      </c>
      <c r="P121">
        <v>28818049.079999998</v>
      </c>
      <c r="Q121">
        <v>0.70818988617793599</v>
      </c>
      <c r="R121">
        <v>3.9420000000000002</v>
      </c>
      <c r="S121">
        <v>33700.32</v>
      </c>
      <c r="T121">
        <v>29.93</v>
      </c>
      <c r="U121">
        <v>4.2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0</v>
      </c>
      <c r="AB121">
        <v>1</v>
      </c>
      <c r="AC121">
        <v>0</v>
      </c>
      <c r="AD121">
        <v>0</v>
      </c>
      <c r="AE121">
        <v>43139104.709113702</v>
      </c>
      <c r="AF121">
        <v>0</v>
      </c>
      <c r="AG121">
        <v>-22683948.951900199</v>
      </c>
      <c r="AH121">
        <v>20524380.123167299</v>
      </c>
      <c r="AI121">
        <v>1360498.0532658601</v>
      </c>
      <c r="AJ121">
        <v>-13947737.5384722</v>
      </c>
      <c r="AK121">
        <v>1617631.06335578</v>
      </c>
      <c r="AL121">
        <v>-9254324.2990899403</v>
      </c>
      <c r="AM121">
        <v>-2239707.4262431399</v>
      </c>
      <c r="AN121">
        <v>0</v>
      </c>
      <c r="AO121">
        <v>0</v>
      </c>
      <c r="AP121">
        <v>0</v>
      </c>
      <c r="AQ121">
        <v>0</v>
      </c>
      <c r="AR121">
        <v>6387786.5598905096</v>
      </c>
      <c r="AS121">
        <v>0</v>
      </c>
      <c r="AT121">
        <v>-31582422.511112999</v>
      </c>
      <c r="AU121">
        <v>0</v>
      </c>
      <c r="AV121">
        <v>-6678740.2180253603</v>
      </c>
      <c r="AW121">
        <v>-7371843.2222452797</v>
      </c>
      <c r="AX121">
        <v>106602358.222249</v>
      </c>
      <c r="AY121">
        <v>0</v>
      </c>
      <c r="AZ121">
        <v>99230515.0000038</v>
      </c>
      <c r="BA121"/>
      <c r="BB121"/>
    </row>
    <row r="122" spans="1:54" x14ac:dyDescent="0.25">
      <c r="A122" t="str">
        <f t="shared" si="2"/>
        <v>1_10_2014</v>
      </c>
      <c r="B122">
        <v>1</v>
      </c>
      <c r="C122">
        <v>10</v>
      </c>
      <c r="D122" s="162">
        <v>2014</v>
      </c>
      <c r="E122">
        <v>2028458449</v>
      </c>
      <c r="F122">
        <v>2929500931</v>
      </c>
      <c r="G122">
        <v>3028731445.99999</v>
      </c>
      <c r="H122">
        <v>3137384053.99999</v>
      </c>
      <c r="I122">
        <v>108652607.999998</v>
      </c>
      <c r="J122">
        <v>3552926955.5208201</v>
      </c>
      <c r="K122">
        <v>34623974.270662703</v>
      </c>
      <c r="L122">
        <v>0</v>
      </c>
      <c r="M122">
        <v>561346638.99999905</v>
      </c>
      <c r="N122">
        <v>0</v>
      </c>
      <c r="O122">
        <v>1.74858594174</v>
      </c>
      <c r="P122">
        <v>29110612.079999998</v>
      </c>
      <c r="Q122">
        <v>0.71033623275977098</v>
      </c>
      <c r="R122">
        <v>3.75239999999999</v>
      </c>
      <c r="S122">
        <v>33580.799999999901</v>
      </c>
      <c r="T122">
        <v>30.2</v>
      </c>
      <c r="U122">
        <v>4.2</v>
      </c>
      <c r="V122">
        <v>0</v>
      </c>
      <c r="W122">
        <v>0</v>
      </c>
      <c r="X122">
        <v>0</v>
      </c>
      <c r="Y122">
        <v>0</v>
      </c>
      <c r="Z122">
        <v>3</v>
      </c>
      <c r="AA122">
        <v>0</v>
      </c>
      <c r="AB122">
        <v>1</v>
      </c>
      <c r="AC122">
        <v>0</v>
      </c>
      <c r="AD122">
        <v>0</v>
      </c>
      <c r="AE122">
        <v>25011905.241103601</v>
      </c>
      <c r="AF122">
        <v>0</v>
      </c>
      <c r="AG122">
        <v>3482401.41378828</v>
      </c>
      <c r="AH122">
        <v>6671824.4706350099</v>
      </c>
      <c r="AI122">
        <v>2593654.82957371</v>
      </c>
      <c r="AJ122">
        <v>-16937472.202499501</v>
      </c>
      <c r="AK122">
        <v>764263.54057657195</v>
      </c>
      <c r="AL122">
        <v>1638033.60245311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6604159.0291191395</v>
      </c>
      <c r="AS122">
        <v>0</v>
      </c>
      <c r="AT122">
        <v>0</v>
      </c>
      <c r="AU122">
        <v>0</v>
      </c>
      <c r="AV122">
        <v>29828769.9247499</v>
      </c>
      <c r="AW122">
        <v>29806051.445230499</v>
      </c>
      <c r="AX122">
        <v>78846556.554767996</v>
      </c>
      <c r="AY122">
        <v>0</v>
      </c>
      <c r="AZ122">
        <v>108652607.999998</v>
      </c>
      <c r="BA122"/>
      <c r="BB122"/>
    </row>
    <row r="123" spans="1:54" x14ac:dyDescent="0.25">
      <c r="A123" t="str">
        <f t="shared" si="2"/>
        <v>1_10_2015</v>
      </c>
      <c r="B123">
        <v>1</v>
      </c>
      <c r="C123">
        <v>10</v>
      </c>
      <c r="D123" s="162">
        <v>2015</v>
      </c>
      <c r="E123">
        <v>2028458449</v>
      </c>
      <c r="F123">
        <v>2929500931</v>
      </c>
      <c r="G123">
        <v>3137384053.99999</v>
      </c>
      <c r="H123">
        <v>3049980992.99999</v>
      </c>
      <c r="I123">
        <v>-87403061.000001401</v>
      </c>
      <c r="J123">
        <v>3392806329.8326201</v>
      </c>
      <c r="K123">
        <v>-160120625.6882</v>
      </c>
      <c r="L123">
        <v>0</v>
      </c>
      <c r="M123">
        <v>562540969</v>
      </c>
      <c r="N123">
        <v>0</v>
      </c>
      <c r="O123">
        <v>1.88406904356</v>
      </c>
      <c r="P123">
        <v>29378317.829999901</v>
      </c>
      <c r="Q123">
        <v>0.71350123486694395</v>
      </c>
      <c r="R123">
        <v>2.7029999999999998</v>
      </c>
      <c r="S123">
        <v>34173.339999999902</v>
      </c>
      <c r="T123">
        <v>30.17</v>
      </c>
      <c r="U123">
        <v>4.0999999999999996</v>
      </c>
      <c r="V123">
        <v>0</v>
      </c>
      <c r="W123">
        <v>0</v>
      </c>
      <c r="X123">
        <v>0</v>
      </c>
      <c r="Y123">
        <v>0</v>
      </c>
      <c r="Z123">
        <v>4</v>
      </c>
      <c r="AA123">
        <v>0</v>
      </c>
      <c r="AB123">
        <v>1</v>
      </c>
      <c r="AC123">
        <v>0</v>
      </c>
      <c r="AD123">
        <v>0</v>
      </c>
      <c r="AE123">
        <v>4418332.0194261102</v>
      </c>
      <c r="AF123">
        <v>0</v>
      </c>
      <c r="AG123">
        <v>-51810118.9046942</v>
      </c>
      <c r="AH123">
        <v>6262737.1316978</v>
      </c>
      <c r="AI123">
        <v>3962611.3643809902</v>
      </c>
      <c r="AJ123">
        <v>-110232109.671599</v>
      </c>
      <c r="AK123">
        <v>-3894670.6667943699</v>
      </c>
      <c r="AL123">
        <v>-188476.30387352101</v>
      </c>
      <c r="AM123">
        <v>2400476.7009284701</v>
      </c>
      <c r="AN123">
        <v>0</v>
      </c>
      <c r="AO123">
        <v>0</v>
      </c>
      <c r="AP123">
        <v>0</v>
      </c>
      <c r="AQ123">
        <v>0</v>
      </c>
      <c r="AR123">
        <v>6841076.4035889702</v>
      </c>
      <c r="AS123">
        <v>0</v>
      </c>
      <c r="AT123">
        <v>0</v>
      </c>
      <c r="AU123">
        <v>0</v>
      </c>
      <c r="AV123">
        <v>-142240141.92693901</v>
      </c>
      <c r="AW123">
        <v>-141393252.39153901</v>
      </c>
      <c r="AX123">
        <v>53990191.391538501</v>
      </c>
      <c r="AY123">
        <v>0</v>
      </c>
      <c r="AZ123">
        <v>-87403061.000001401</v>
      </c>
      <c r="BA123"/>
      <c r="BB123"/>
    </row>
    <row r="124" spans="1:54" x14ac:dyDescent="0.25">
      <c r="A124" t="str">
        <f t="shared" si="2"/>
        <v>1_10_2016</v>
      </c>
      <c r="B124">
        <v>1</v>
      </c>
      <c r="C124">
        <v>10</v>
      </c>
      <c r="D124" s="162">
        <v>2016</v>
      </c>
      <c r="E124">
        <v>2028458449</v>
      </c>
      <c r="F124">
        <v>2929500931</v>
      </c>
      <c r="G124">
        <v>3049980992.99999</v>
      </c>
      <c r="H124">
        <v>3072351667.99999</v>
      </c>
      <c r="I124">
        <v>22370675.000002801</v>
      </c>
      <c r="J124">
        <v>3339007904.6483898</v>
      </c>
      <c r="K124">
        <v>-53798425.184228897</v>
      </c>
      <c r="L124">
        <v>0</v>
      </c>
      <c r="M124">
        <v>562018755.99999905</v>
      </c>
      <c r="N124">
        <v>0</v>
      </c>
      <c r="O124">
        <v>1.8938954432999999</v>
      </c>
      <c r="P124">
        <v>29437697.499999899</v>
      </c>
      <c r="Q124">
        <v>0.71426500750022204</v>
      </c>
      <c r="R124">
        <v>2.4255</v>
      </c>
      <c r="S124">
        <v>35302.049999999901</v>
      </c>
      <c r="T124">
        <v>29.88</v>
      </c>
      <c r="U124">
        <v>4.5</v>
      </c>
      <c r="V124">
        <v>0</v>
      </c>
      <c r="W124">
        <v>0</v>
      </c>
      <c r="X124">
        <v>0</v>
      </c>
      <c r="Y124">
        <v>0</v>
      </c>
      <c r="Z124">
        <v>5</v>
      </c>
      <c r="AA124">
        <v>0</v>
      </c>
      <c r="AB124">
        <v>1</v>
      </c>
      <c r="AC124">
        <v>0</v>
      </c>
      <c r="AD124">
        <v>0</v>
      </c>
      <c r="AE124">
        <v>-1875047.1894322301</v>
      </c>
      <c r="AF124">
        <v>0</v>
      </c>
      <c r="AG124">
        <v>-3588091.5970698502</v>
      </c>
      <c r="AH124">
        <v>1341872.7104687099</v>
      </c>
      <c r="AI124">
        <v>929165.43088684301</v>
      </c>
      <c r="AJ124">
        <v>-33868129.043748103</v>
      </c>
      <c r="AK124">
        <v>-7030170.9479993796</v>
      </c>
      <c r="AL124">
        <v>-1770720.00481606</v>
      </c>
      <c r="AM124">
        <v>-9316583.7392887902</v>
      </c>
      <c r="AN124">
        <v>0</v>
      </c>
      <c r="AO124">
        <v>0</v>
      </c>
      <c r="AP124">
        <v>0</v>
      </c>
      <c r="AQ124">
        <v>0</v>
      </c>
      <c r="AR124">
        <v>6650493.73729211</v>
      </c>
      <c r="AS124">
        <v>0</v>
      </c>
      <c r="AT124">
        <v>0</v>
      </c>
      <c r="AU124">
        <v>0</v>
      </c>
      <c r="AV124">
        <v>-48527210.643706799</v>
      </c>
      <c r="AW124">
        <v>-48362375.660070598</v>
      </c>
      <c r="AX124">
        <v>70733050.660073504</v>
      </c>
      <c r="AY124">
        <v>0</v>
      </c>
      <c r="AZ124">
        <v>22370675.000002801</v>
      </c>
      <c r="BA124"/>
      <c r="BB124"/>
    </row>
    <row r="125" spans="1:54" x14ac:dyDescent="0.25">
      <c r="A125" t="str">
        <f t="shared" si="2"/>
        <v>1_10_2017</v>
      </c>
      <c r="B125">
        <v>1</v>
      </c>
      <c r="C125">
        <v>10</v>
      </c>
      <c r="D125" s="162">
        <v>2017</v>
      </c>
      <c r="E125">
        <v>2028458449</v>
      </c>
      <c r="F125">
        <v>2929500931</v>
      </c>
      <c r="G125">
        <v>3072351667.99999</v>
      </c>
      <c r="H125">
        <v>3093336562</v>
      </c>
      <c r="I125">
        <v>20984894.000001401</v>
      </c>
      <c r="J125">
        <v>3397773845.0843401</v>
      </c>
      <c r="K125">
        <v>58765940.435948297</v>
      </c>
      <c r="L125">
        <v>0</v>
      </c>
      <c r="M125">
        <v>565251751</v>
      </c>
      <c r="N125">
        <v>0</v>
      </c>
      <c r="O125">
        <v>1.89783477048</v>
      </c>
      <c r="P125">
        <v>29668394.669999901</v>
      </c>
      <c r="Q125">
        <v>0.71555075149007497</v>
      </c>
      <c r="R125">
        <v>2.6928000000000001</v>
      </c>
      <c r="S125">
        <v>35945.819999999898</v>
      </c>
      <c r="T125">
        <v>30</v>
      </c>
      <c r="U125">
        <v>4.5</v>
      </c>
      <c r="V125">
        <v>0</v>
      </c>
      <c r="W125">
        <v>0</v>
      </c>
      <c r="X125">
        <v>0</v>
      </c>
      <c r="Y125">
        <v>0</v>
      </c>
      <c r="Z125">
        <v>6</v>
      </c>
      <c r="AA125">
        <v>0</v>
      </c>
      <c r="AB125">
        <v>1</v>
      </c>
      <c r="AC125">
        <v>0</v>
      </c>
      <c r="AD125">
        <v>0</v>
      </c>
      <c r="AE125">
        <v>11691154.9746543</v>
      </c>
      <c r="AF125">
        <v>0</v>
      </c>
      <c r="AG125">
        <v>-1446053.9322704801</v>
      </c>
      <c r="AH125">
        <v>5229122.4524614103</v>
      </c>
      <c r="AI125">
        <v>1575804.91643996</v>
      </c>
      <c r="AJ125">
        <v>33271401.388338599</v>
      </c>
      <c r="AK125">
        <v>-3940428.2026585499</v>
      </c>
      <c r="AL125">
        <v>738388.99480731704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6699273.0688118702</v>
      </c>
      <c r="AS125">
        <v>0</v>
      </c>
      <c r="AT125">
        <v>0</v>
      </c>
      <c r="AU125">
        <v>0</v>
      </c>
      <c r="AV125">
        <v>53818663.660584502</v>
      </c>
      <c r="AW125">
        <v>54072838.482539602</v>
      </c>
      <c r="AX125">
        <v>-33087944.482538201</v>
      </c>
      <c r="AY125">
        <v>0</v>
      </c>
      <c r="AZ125">
        <v>20984894.000001401</v>
      </c>
      <c r="BA125"/>
      <c r="BB125"/>
    </row>
    <row r="126" spans="1:54" x14ac:dyDescent="0.25">
      <c r="A126" t="str">
        <f t="shared" si="2"/>
        <v>1_10_2018</v>
      </c>
      <c r="B126">
        <v>1</v>
      </c>
      <c r="C126">
        <v>10</v>
      </c>
      <c r="D126" s="162">
        <v>2018</v>
      </c>
      <c r="E126">
        <v>2028458449</v>
      </c>
      <c r="F126">
        <v>2929500931</v>
      </c>
      <c r="G126">
        <v>3093336562</v>
      </c>
      <c r="H126">
        <v>3028681761</v>
      </c>
      <c r="I126">
        <v>-64654800.999999002</v>
      </c>
      <c r="J126">
        <v>3386384444.8388</v>
      </c>
      <c r="K126">
        <v>-11389400.245532</v>
      </c>
      <c r="L126">
        <v>0</v>
      </c>
      <c r="M126">
        <v>560645668</v>
      </c>
      <c r="N126">
        <v>0</v>
      </c>
      <c r="O126">
        <v>1.9555512669999999</v>
      </c>
      <c r="P126">
        <v>29807700.839999899</v>
      </c>
      <c r="Q126">
        <v>0.71440492607780803</v>
      </c>
      <c r="R126">
        <v>2.9199999999999902</v>
      </c>
      <c r="S126">
        <v>36801.5</v>
      </c>
      <c r="T126">
        <v>30.01</v>
      </c>
      <c r="U126">
        <v>4.5999999999999996</v>
      </c>
      <c r="V126">
        <v>0</v>
      </c>
      <c r="W126">
        <v>0</v>
      </c>
      <c r="X126">
        <v>0</v>
      </c>
      <c r="Y126">
        <v>0</v>
      </c>
      <c r="Z126">
        <v>7</v>
      </c>
      <c r="AA126">
        <v>0</v>
      </c>
      <c r="AB126">
        <v>1</v>
      </c>
      <c r="AC126">
        <v>0</v>
      </c>
      <c r="AD126">
        <v>0</v>
      </c>
      <c r="AE126">
        <v>-16713601.034459401</v>
      </c>
      <c r="AF126">
        <v>0</v>
      </c>
      <c r="AG126">
        <v>-21040440.6163022</v>
      </c>
      <c r="AH126">
        <v>3158303.2340395101</v>
      </c>
      <c r="AI126">
        <v>-1413227.4762192401</v>
      </c>
      <c r="AJ126">
        <v>26589624.4315897</v>
      </c>
      <c r="AK126">
        <v>-5163683.0747870104</v>
      </c>
      <c r="AL126">
        <v>61945.874080874797</v>
      </c>
      <c r="AM126">
        <v>-2364965.5804737601</v>
      </c>
      <c r="AN126">
        <v>0</v>
      </c>
      <c r="AO126">
        <v>0</v>
      </c>
      <c r="AP126">
        <v>0</v>
      </c>
      <c r="AQ126">
        <v>0</v>
      </c>
      <c r="AR126">
        <v>6745030.7002348397</v>
      </c>
      <c r="AS126">
        <v>0</v>
      </c>
      <c r="AT126">
        <v>0</v>
      </c>
      <c r="AU126">
        <v>0</v>
      </c>
      <c r="AV126">
        <v>-10141013.542296801</v>
      </c>
      <c r="AW126">
        <v>-10368920.889106899</v>
      </c>
      <c r="AX126">
        <v>-54285880.110891998</v>
      </c>
      <c r="AY126">
        <v>0</v>
      </c>
      <c r="AZ126">
        <v>-64654800.999999002</v>
      </c>
      <c r="BA126"/>
      <c r="BB126"/>
    </row>
    <row r="128" spans="1:54" x14ac:dyDescent="0.25">
      <c r="H128" s="163" t="s">
        <v>107</v>
      </c>
      <c r="I128" s="163" t="s">
        <v>108</v>
      </c>
    </row>
    <row r="129" spans="7:9" x14ac:dyDescent="0.25">
      <c r="G129" s="163">
        <v>2002</v>
      </c>
      <c r="H129" s="163">
        <f>H110/SUM(H110,H93,H76)</f>
        <v>0.60290022335716043</v>
      </c>
      <c r="I129" s="163">
        <f>H55/SUM(H55,H38,H21,H4)</f>
        <v>0.28561416962825781</v>
      </c>
    </row>
    <row r="130" spans="7:9" x14ac:dyDescent="0.25">
      <c r="G130" s="163">
        <v>2003</v>
      </c>
      <c r="H130" s="163">
        <f t="shared" ref="H130:H163" si="3">H111/SUM(H111,H94,H77)</f>
        <v>0.60193878498886821</v>
      </c>
      <c r="I130" s="163">
        <f t="shared" ref="I130:I144" si="4">H56/SUM(H56,H39,H22,H5)</f>
        <v>0.2713544127235219</v>
      </c>
    </row>
    <row r="131" spans="7:9" x14ac:dyDescent="0.25">
      <c r="G131" s="163">
        <v>2004</v>
      </c>
      <c r="H131" s="163">
        <f t="shared" si="3"/>
        <v>0.60054328978610882</v>
      </c>
      <c r="I131" s="163">
        <f t="shared" si="4"/>
        <v>0.2473500663992674</v>
      </c>
    </row>
    <row r="132" spans="7:9" x14ac:dyDescent="0.25">
      <c r="G132" s="163">
        <v>2005</v>
      </c>
      <c r="H132" s="163">
        <f t="shared" si="3"/>
        <v>0.63149337905633607</v>
      </c>
      <c r="I132" s="163">
        <f t="shared" si="4"/>
        <v>0.24729533314828617</v>
      </c>
    </row>
    <row r="133" spans="7:9" x14ac:dyDescent="0.25">
      <c r="G133" s="163">
        <v>2006</v>
      </c>
      <c r="H133" s="163">
        <f t="shared" si="3"/>
        <v>0.62975429814593287</v>
      </c>
      <c r="I133" s="163">
        <f t="shared" si="4"/>
        <v>0.23684839758957107</v>
      </c>
    </row>
    <row r="134" spans="7:9" x14ac:dyDescent="0.25">
      <c r="G134" s="163">
        <v>2007</v>
      </c>
      <c r="H134" s="163">
        <f t="shared" si="3"/>
        <v>0.63807705383687585</v>
      </c>
      <c r="I134" s="163">
        <f t="shared" si="4"/>
        <v>0.2256243261009577</v>
      </c>
    </row>
    <row r="135" spans="7:9" x14ac:dyDescent="0.25">
      <c r="G135" s="163">
        <v>2008</v>
      </c>
      <c r="H135" s="163">
        <f t="shared" si="3"/>
        <v>0.63115884979637105</v>
      </c>
      <c r="I135" s="163">
        <f t="shared" si="4"/>
        <v>0.21990460744087353</v>
      </c>
    </row>
    <row r="136" spans="7:9" x14ac:dyDescent="0.25">
      <c r="G136" s="163">
        <v>2009</v>
      </c>
      <c r="H136" s="163">
        <f t="shared" si="3"/>
        <v>0.62709466990741736</v>
      </c>
      <c r="I136" s="163">
        <f t="shared" si="4"/>
        <v>0.22371522170049821</v>
      </c>
    </row>
    <row r="137" spans="7:9" x14ac:dyDescent="0.25">
      <c r="G137" s="163">
        <v>2010</v>
      </c>
      <c r="H137" s="163">
        <f t="shared" si="3"/>
        <v>0.62954789239573272</v>
      </c>
      <c r="I137" s="163">
        <f t="shared" si="4"/>
        <v>0.22426366508902759</v>
      </c>
    </row>
    <row r="138" spans="7:9" x14ac:dyDescent="0.25">
      <c r="G138" s="163">
        <v>2011</v>
      </c>
      <c r="H138" s="163">
        <f t="shared" si="3"/>
        <v>0.62500641859015971</v>
      </c>
      <c r="I138" s="163">
        <f t="shared" si="4"/>
        <v>0.21505041399794084</v>
      </c>
    </row>
    <row r="139" spans="7:9" x14ac:dyDescent="0.25">
      <c r="G139" s="163">
        <v>2012</v>
      </c>
      <c r="H139" s="163">
        <f t="shared" si="3"/>
        <v>0.62389739834609792</v>
      </c>
      <c r="I139" s="163">
        <f t="shared" si="4"/>
        <v>0.21320598369675864</v>
      </c>
    </row>
    <row r="140" spans="7:9" x14ac:dyDescent="0.25">
      <c r="G140" s="163">
        <v>2013</v>
      </c>
      <c r="H140" s="163">
        <f t="shared" si="3"/>
        <v>0.63001142624635675</v>
      </c>
      <c r="I140" s="163">
        <f t="shared" si="4"/>
        <v>0.21404165989066917</v>
      </c>
    </row>
    <row r="141" spans="7:9" x14ac:dyDescent="0.25">
      <c r="G141" s="163">
        <v>2014</v>
      </c>
      <c r="H141" s="163">
        <f t="shared" si="3"/>
        <v>0.63221098455652958</v>
      </c>
      <c r="I141" s="163">
        <f t="shared" si="4"/>
        <v>0.21373675182341023</v>
      </c>
    </row>
    <row r="142" spans="7:9" x14ac:dyDescent="0.25">
      <c r="G142" s="163">
        <v>2015</v>
      </c>
      <c r="H142" s="163">
        <f t="shared" si="3"/>
        <v>0.62812216694929224</v>
      </c>
      <c r="I142" s="163">
        <f t="shared" si="4"/>
        <v>0.21445238969410441</v>
      </c>
    </row>
    <row r="143" spans="7:9" x14ac:dyDescent="0.25">
      <c r="G143" s="163">
        <v>2016</v>
      </c>
      <c r="H143" s="163">
        <f t="shared" si="3"/>
        <v>0.63320264935092796</v>
      </c>
      <c r="I143" s="163">
        <f t="shared" si="4"/>
        <v>0.2235763562716932</v>
      </c>
    </row>
    <row r="144" spans="7:9" x14ac:dyDescent="0.25">
      <c r="G144" s="163">
        <v>2017</v>
      </c>
      <c r="H144" s="163">
        <f t="shared" si="3"/>
        <v>0.63932072835984699</v>
      </c>
      <c r="I144" s="163">
        <f t="shared" si="4"/>
        <v>0.22067017765720323</v>
      </c>
    </row>
    <row r="145" spans="7:9" x14ac:dyDescent="0.25">
      <c r="G145" s="163">
        <v>2018</v>
      </c>
      <c r="H145" s="163">
        <f t="shared" si="3"/>
        <v>0.6387309456701058</v>
      </c>
      <c r="I145" s="163">
        <f>H71/SUM(H71,H54,H37,H20)</f>
        <v>0.22359959060266454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2021-02-17T04:34:12Z</dcterms:modified>
</cp:coreProperties>
</file>