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1/"/>
    </mc:Choice>
  </mc:AlternateContent>
  <xr:revisionPtr revIDLastSave="0" documentId="13_ncr:1_{6E8762F0-EBF8-664E-BCD4-4BD616D46C42}" xr6:coauthVersionLast="46" xr6:coauthVersionMax="46" xr10:uidLastSave="{00000000-0000-0000-0000-000000000000}"/>
  <bookViews>
    <workbookView xWindow="140" yWindow="500" windowWidth="26580" windowHeight="14440" tabRatio="818" activeTab="4" xr2:uid="{00000000-000D-0000-FFFF-FFFF00000000}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FAC_TOTALS_APTA!$A$2:$AZ$71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9" i="26" l="1"/>
  <c r="AC139" i="26" s="1"/>
  <c r="G139" i="26"/>
  <c r="F139" i="26"/>
  <c r="AD138" i="26"/>
  <c r="I138" i="26"/>
  <c r="H138" i="26"/>
  <c r="AC138" i="26" s="1"/>
  <c r="G138" i="26"/>
  <c r="F138" i="26"/>
  <c r="AB137" i="26"/>
  <c r="AA137" i="26"/>
  <c r="Z137" i="26"/>
  <c r="Y137" i="26"/>
  <c r="X137" i="26"/>
  <c r="W137" i="26"/>
  <c r="V137" i="26"/>
  <c r="U137" i="26"/>
  <c r="T137" i="26"/>
  <c r="S137" i="26"/>
  <c r="R137" i="26"/>
  <c r="Q137" i="26"/>
  <c r="P137" i="26"/>
  <c r="O137" i="26"/>
  <c r="N137" i="26"/>
  <c r="M137" i="26"/>
  <c r="AC137" i="26" s="1"/>
  <c r="AD137" i="26" s="1"/>
  <c r="L137" i="26"/>
  <c r="K137" i="26"/>
  <c r="H137" i="26"/>
  <c r="G137" i="26"/>
  <c r="AB136" i="26"/>
  <c r="AA136" i="26"/>
  <c r="Z136" i="26"/>
  <c r="Y136" i="26"/>
  <c r="X136" i="26"/>
  <c r="W136" i="26"/>
  <c r="V136" i="26"/>
  <c r="U136" i="26"/>
  <c r="T136" i="26"/>
  <c r="S136" i="26"/>
  <c r="R136" i="26"/>
  <c r="Q136" i="26"/>
  <c r="P136" i="26"/>
  <c r="O136" i="26"/>
  <c r="N136" i="26"/>
  <c r="M136" i="26"/>
  <c r="AC136" i="26" s="1"/>
  <c r="AD136" i="26" s="1"/>
  <c r="J136" i="26"/>
  <c r="K136" i="26" s="1"/>
  <c r="L136" i="26" s="1"/>
  <c r="I136" i="26"/>
  <c r="H136" i="26"/>
  <c r="G136" i="26"/>
  <c r="F136" i="26"/>
  <c r="AB135" i="26"/>
  <c r="AA135" i="26"/>
  <c r="Z135" i="26"/>
  <c r="Y135" i="26"/>
  <c r="X135" i="26"/>
  <c r="W135" i="26"/>
  <c r="V135" i="26"/>
  <c r="U135" i="26"/>
  <c r="T135" i="26"/>
  <c r="S135" i="26"/>
  <c r="R135" i="26"/>
  <c r="Q135" i="26"/>
  <c r="P135" i="26"/>
  <c r="O135" i="26"/>
  <c r="N135" i="26"/>
  <c r="M135" i="26"/>
  <c r="AC135" i="26" s="1"/>
  <c r="AD135" i="26" s="1"/>
  <c r="K135" i="26"/>
  <c r="L135" i="26" s="1"/>
  <c r="J135" i="26"/>
  <c r="H135" i="26"/>
  <c r="I135" i="26" s="1"/>
  <c r="G135" i="26"/>
  <c r="F135" i="26"/>
  <c r="AB134" i="26"/>
  <c r="AA134" i="26"/>
  <c r="Z134" i="26"/>
  <c r="Y134" i="26"/>
  <c r="X134" i="26"/>
  <c r="W134" i="26"/>
  <c r="V134" i="26"/>
  <c r="U134" i="26"/>
  <c r="T134" i="26"/>
  <c r="S134" i="26"/>
  <c r="R134" i="26"/>
  <c r="Q134" i="26"/>
  <c r="P134" i="26"/>
  <c r="O134" i="26"/>
  <c r="N134" i="26"/>
  <c r="M134" i="26"/>
  <c r="AC134" i="26" s="1"/>
  <c r="AD134" i="26" s="1"/>
  <c r="L134" i="26"/>
  <c r="K134" i="26"/>
  <c r="H134" i="26"/>
  <c r="I134" i="26" s="1"/>
  <c r="G134" i="26"/>
  <c r="F134" i="26"/>
  <c r="AB133" i="26"/>
  <c r="AA133" i="26"/>
  <c r="Z133" i="26"/>
  <c r="Y133" i="26"/>
  <c r="X133" i="26"/>
  <c r="W133" i="26"/>
  <c r="V133" i="26"/>
  <c r="U133" i="26"/>
  <c r="T133" i="26"/>
  <c r="S133" i="26"/>
  <c r="R133" i="26"/>
  <c r="Q133" i="26"/>
  <c r="P133" i="26"/>
  <c r="O133" i="26"/>
  <c r="N133" i="26"/>
  <c r="M133" i="26"/>
  <c r="AC133" i="26" s="1"/>
  <c r="AD133" i="26" s="1"/>
  <c r="L133" i="26"/>
  <c r="K133" i="26"/>
  <c r="J133" i="26"/>
  <c r="H133" i="26"/>
  <c r="I133" i="26" s="1"/>
  <c r="G133" i="26"/>
  <c r="F133" i="26"/>
  <c r="AB132" i="26"/>
  <c r="AA132" i="26"/>
  <c r="Z132" i="26"/>
  <c r="Y132" i="26"/>
  <c r="X132" i="26"/>
  <c r="W132" i="26"/>
  <c r="V132" i="26"/>
  <c r="U132" i="26"/>
  <c r="T132" i="26"/>
  <c r="S132" i="26"/>
  <c r="R132" i="26"/>
  <c r="Q132" i="26"/>
  <c r="P132" i="26"/>
  <c r="O132" i="26"/>
  <c r="N132" i="26"/>
  <c r="M132" i="26"/>
  <c r="AC132" i="26" s="1"/>
  <c r="AD132" i="26" s="1"/>
  <c r="J132" i="26"/>
  <c r="K132" i="26" s="1"/>
  <c r="L132" i="26" s="1"/>
  <c r="H132" i="26"/>
  <c r="I132" i="26" s="1"/>
  <c r="G132" i="26"/>
  <c r="F132" i="26"/>
  <c r="AB131" i="26"/>
  <c r="AA131" i="26"/>
  <c r="Z131" i="26"/>
  <c r="Y131" i="26"/>
  <c r="X131" i="26"/>
  <c r="W131" i="26"/>
  <c r="V131" i="26"/>
  <c r="U131" i="26"/>
  <c r="T131" i="26"/>
  <c r="S131" i="26"/>
  <c r="R131" i="26"/>
  <c r="Q131" i="26"/>
  <c r="P131" i="26"/>
  <c r="O131" i="26"/>
  <c r="N131" i="26"/>
  <c r="M131" i="26"/>
  <c r="AC131" i="26" s="1"/>
  <c r="AD131" i="26" s="1"/>
  <c r="J131" i="26"/>
  <c r="K131" i="26" s="1"/>
  <c r="L131" i="26" s="1"/>
  <c r="I131" i="26"/>
  <c r="H131" i="26"/>
  <c r="G131" i="26"/>
  <c r="F131" i="26"/>
  <c r="AB130" i="26"/>
  <c r="AA130" i="26"/>
  <c r="Z130" i="26"/>
  <c r="Y130" i="26"/>
  <c r="X130" i="26"/>
  <c r="W130" i="26"/>
  <c r="V130" i="26"/>
  <c r="U130" i="26"/>
  <c r="T130" i="26"/>
  <c r="S130" i="26"/>
  <c r="R130" i="26"/>
  <c r="Q130" i="26"/>
  <c r="P130" i="26"/>
  <c r="O130" i="26"/>
  <c r="N130" i="26"/>
  <c r="M130" i="26"/>
  <c r="AC130" i="26" s="1"/>
  <c r="AD130" i="26" s="1"/>
  <c r="J130" i="26"/>
  <c r="K130" i="26" s="1"/>
  <c r="L130" i="26" s="1"/>
  <c r="H130" i="26"/>
  <c r="I130" i="26" s="1"/>
  <c r="G130" i="26"/>
  <c r="F130" i="26"/>
  <c r="AB129" i="26"/>
  <c r="AA129" i="26"/>
  <c r="Z129" i="26"/>
  <c r="Y129" i="26"/>
  <c r="X129" i="26"/>
  <c r="W129" i="26"/>
  <c r="V129" i="26"/>
  <c r="U129" i="26"/>
  <c r="T129" i="26"/>
  <c r="S129" i="26"/>
  <c r="R129" i="26"/>
  <c r="Q129" i="26"/>
  <c r="P129" i="26"/>
  <c r="O129" i="26"/>
  <c r="N129" i="26"/>
  <c r="M129" i="26"/>
  <c r="AC129" i="26" s="1"/>
  <c r="AD129" i="26" s="1"/>
  <c r="K129" i="26"/>
  <c r="L129" i="26" s="1"/>
  <c r="J129" i="26"/>
  <c r="H129" i="26"/>
  <c r="I129" i="26" s="1"/>
  <c r="G129" i="26"/>
  <c r="F129" i="26"/>
  <c r="AB128" i="26"/>
  <c r="AA128" i="26"/>
  <c r="Z128" i="26"/>
  <c r="Y128" i="26"/>
  <c r="X128" i="26"/>
  <c r="W128" i="26"/>
  <c r="V128" i="26"/>
  <c r="U128" i="26"/>
  <c r="T128" i="26"/>
  <c r="S128" i="26"/>
  <c r="R128" i="26"/>
  <c r="Q128" i="26"/>
  <c r="P128" i="26"/>
  <c r="O128" i="26"/>
  <c r="N128" i="26"/>
  <c r="M128" i="26"/>
  <c r="AC128" i="26" s="1"/>
  <c r="AD128" i="26" s="1"/>
  <c r="J128" i="26"/>
  <c r="K128" i="26" s="1"/>
  <c r="L128" i="26" s="1"/>
  <c r="I128" i="26"/>
  <c r="H128" i="26"/>
  <c r="G128" i="26"/>
  <c r="F128" i="26"/>
  <c r="AB127" i="26"/>
  <c r="AA127" i="26"/>
  <c r="Z127" i="26"/>
  <c r="Y127" i="26"/>
  <c r="X127" i="26"/>
  <c r="W127" i="26"/>
  <c r="V127" i="26"/>
  <c r="U127" i="26"/>
  <c r="T127" i="26"/>
  <c r="S127" i="26"/>
  <c r="R127" i="26"/>
  <c r="Q127" i="26"/>
  <c r="P127" i="26"/>
  <c r="O127" i="26"/>
  <c r="N127" i="26"/>
  <c r="M127" i="26"/>
  <c r="AC127" i="26" s="1"/>
  <c r="AD127" i="26" s="1"/>
  <c r="J127" i="26"/>
  <c r="K127" i="26" s="1"/>
  <c r="L127" i="26" s="1"/>
  <c r="I127" i="26"/>
  <c r="H127" i="26"/>
  <c r="G127" i="26"/>
  <c r="F127" i="26"/>
  <c r="AB126" i="26"/>
  <c r="AA126" i="26"/>
  <c r="Z126" i="26"/>
  <c r="Y126" i="26"/>
  <c r="X126" i="26"/>
  <c r="W126" i="26"/>
  <c r="V126" i="26"/>
  <c r="U126" i="26"/>
  <c r="T126" i="26"/>
  <c r="S126" i="26"/>
  <c r="R126" i="26"/>
  <c r="Q126" i="26"/>
  <c r="P126" i="26"/>
  <c r="O126" i="26"/>
  <c r="N126" i="26"/>
  <c r="M126" i="26"/>
  <c r="AC126" i="26" s="1"/>
  <c r="AD126" i="26" s="1"/>
  <c r="K126" i="26"/>
  <c r="L126" i="26" s="1"/>
  <c r="J126" i="26"/>
  <c r="H126" i="26"/>
  <c r="I126" i="26" s="1"/>
  <c r="G126" i="26"/>
  <c r="F126" i="26"/>
  <c r="AB125" i="26"/>
  <c r="AA125" i="26"/>
  <c r="Z125" i="26"/>
  <c r="Y125" i="26"/>
  <c r="X125" i="26"/>
  <c r="W125" i="26"/>
  <c r="V125" i="26"/>
  <c r="U125" i="26"/>
  <c r="T125" i="26"/>
  <c r="S125" i="26"/>
  <c r="R125" i="26"/>
  <c r="Q125" i="26"/>
  <c r="P125" i="26"/>
  <c r="O125" i="26"/>
  <c r="N125" i="26"/>
  <c r="M125" i="26"/>
  <c r="AC125" i="26" s="1"/>
  <c r="AD125" i="26" s="1"/>
  <c r="L125" i="26"/>
  <c r="K125" i="26"/>
  <c r="J125" i="26"/>
  <c r="H125" i="26"/>
  <c r="I125" i="26" s="1"/>
  <c r="G125" i="26"/>
  <c r="F125" i="26"/>
  <c r="AB124" i="26"/>
  <c r="AB138" i="26" s="1"/>
  <c r="AA124" i="26"/>
  <c r="AA138" i="26" s="1"/>
  <c r="Z124" i="26"/>
  <c r="Z138" i="26" s="1"/>
  <c r="Y124" i="26"/>
  <c r="Y138" i="26" s="1"/>
  <c r="X124" i="26"/>
  <c r="X138" i="26" s="1"/>
  <c r="W124" i="26"/>
  <c r="W138" i="26" s="1"/>
  <c r="V124" i="26"/>
  <c r="V138" i="26" s="1"/>
  <c r="U124" i="26"/>
  <c r="U138" i="26" s="1"/>
  <c r="T124" i="26"/>
  <c r="T138" i="26" s="1"/>
  <c r="S124" i="26"/>
  <c r="S138" i="26" s="1"/>
  <c r="R124" i="26"/>
  <c r="R138" i="26" s="1"/>
  <c r="Q124" i="26"/>
  <c r="Q138" i="26" s="1"/>
  <c r="P124" i="26"/>
  <c r="P138" i="26" s="1"/>
  <c r="O124" i="26"/>
  <c r="O138" i="26" s="1"/>
  <c r="N124" i="26"/>
  <c r="N138" i="26" s="1"/>
  <c r="M124" i="26"/>
  <c r="M138" i="26" s="1"/>
  <c r="K124" i="26"/>
  <c r="L124" i="26" s="1"/>
  <c r="J124" i="26"/>
  <c r="H124" i="26"/>
  <c r="I124" i="26" s="1"/>
  <c r="G124" i="26"/>
  <c r="F124" i="26"/>
  <c r="AB122" i="26"/>
  <c r="Z122" i="26"/>
  <c r="W122" i="26"/>
  <c r="T122" i="26"/>
  <c r="O122" i="26"/>
  <c r="H122" i="26"/>
  <c r="G122" i="26"/>
  <c r="H120" i="26"/>
  <c r="AA122" i="26" s="1"/>
  <c r="G120" i="26"/>
  <c r="Y122" i="26" s="1"/>
  <c r="H140" i="25"/>
  <c r="AC140" i="25" s="1"/>
  <c r="G140" i="25"/>
  <c r="F140" i="25"/>
  <c r="H139" i="25"/>
  <c r="AC139" i="25" s="1"/>
  <c r="G139" i="25"/>
  <c r="F139" i="25"/>
  <c r="AB138" i="25"/>
  <c r="AA138" i="25"/>
  <c r="Z138" i="25"/>
  <c r="Y138" i="25"/>
  <c r="X138" i="25"/>
  <c r="W138" i="25"/>
  <c r="V138" i="25"/>
  <c r="U138" i="25"/>
  <c r="T138" i="25"/>
  <c r="S138" i="25"/>
  <c r="R138" i="25"/>
  <c r="Q138" i="25"/>
  <c r="P138" i="25"/>
  <c r="O138" i="25"/>
  <c r="N138" i="25"/>
  <c r="M138" i="25"/>
  <c r="AC138" i="25" s="1"/>
  <c r="AD138" i="25" s="1"/>
  <c r="K138" i="25"/>
  <c r="L138" i="25" s="1"/>
  <c r="H138" i="25"/>
  <c r="G138" i="25"/>
  <c r="AB137" i="25"/>
  <c r="AA137" i="25"/>
  <c r="Z137" i="25"/>
  <c r="Y137" i="25"/>
  <c r="X137" i="25"/>
  <c r="W137" i="25"/>
  <c r="V137" i="25"/>
  <c r="U137" i="25"/>
  <c r="T137" i="25"/>
  <c r="S137" i="25"/>
  <c r="R137" i="25"/>
  <c r="Q137" i="25"/>
  <c r="P137" i="25"/>
  <c r="O137" i="25"/>
  <c r="N137" i="25"/>
  <c r="M137" i="25"/>
  <c r="AC137" i="25" s="1"/>
  <c r="AD137" i="25" s="1"/>
  <c r="K137" i="25"/>
  <c r="L137" i="25" s="1"/>
  <c r="J137" i="25"/>
  <c r="I137" i="25"/>
  <c r="H137" i="25"/>
  <c r="G137" i="25"/>
  <c r="F137" i="25"/>
  <c r="AB136" i="25"/>
  <c r="AA136" i="25"/>
  <c r="Z136" i="25"/>
  <c r="Y136" i="25"/>
  <c r="X136" i="25"/>
  <c r="W136" i="25"/>
  <c r="V136" i="25"/>
  <c r="U136" i="25"/>
  <c r="T136" i="25"/>
  <c r="S136" i="25"/>
  <c r="R136" i="25"/>
  <c r="Q136" i="25"/>
  <c r="P136" i="25"/>
  <c r="O136" i="25"/>
  <c r="N136" i="25"/>
  <c r="M136" i="25"/>
  <c r="AC136" i="25" s="1"/>
  <c r="AD136" i="25" s="1"/>
  <c r="J136" i="25"/>
  <c r="K136" i="25" s="1"/>
  <c r="L136" i="25" s="1"/>
  <c r="H136" i="25"/>
  <c r="I136" i="25" s="1"/>
  <c r="G136" i="25"/>
  <c r="F136" i="25"/>
  <c r="AB135" i="25"/>
  <c r="AA135" i="25"/>
  <c r="Z135" i="25"/>
  <c r="Y135" i="25"/>
  <c r="X135" i="25"/>
  <c r="W135" i="25"/>
  <c r="V135" i="25"/>
  <c r="U135" i="25"/>
  <c r="T135" i="25"/>
  <c r="S135" i="25"/>
  <c r="R135" i="25"/>
  <c r="Q135" i="25"/>
  <c r="P135" i="25"/>
  <c r="O135" i="25"/>
  <c r="N135" i="25"/>
  <c r="M135" i="25"/>
  <c r="AC135" i="25" s="1"/>
  <c r="AD135" i="25" s="1"/>
  <c r="K135" i="25"/>
  <c r="L135" i="25" s="1"/>
  <c r="J135" i="25"/>
  <c r="H135" i="25"/>
  <c r="I135" i="25" s="1"/>
  <c r="G135" i="25"/>
  <c r="F135" i="25"/>
  <c r="AB134" i="25"/>
  <c r="AA134" i="25"/>
  <c r="Z134" i="25"/>
  <c r="Y134" i="25"/>
  <c r="X134" i="25"/>
  <c r="W134" i="25"/>
  <c r="V134" i="25"/>
  <c r="U134" i="25"/>
  <c r="T134" i="25"/>
  <c r="S134" i="25"/>
  <c r="R134" i="25"/>
  <c r="Q134" i="25"/>
  <c r="P134" i="25"/>
  <c r="O134" i="25"/>
  <c r="N134" i="25"/>
  <c r="M134" i="25"/>
  <c r="AC134" i="25" s="1"/>
  <c r="AD134" i="25" s="1"/>
  <c r="L134" i="25"/>
  <c r="K134" i="25"/>
  <c r="J134" i="25"/>
  <c r="H134" i="25"/>
  <c r="I134" i="25" s="1"/>
  <c r="G134" i="25"/>
  <c r="F134" i="25"/>
  <c r="AB133" i="25"/>
  <c r="AA133" i="25"/>
  <c r="Z133" i="25"/>
  <c r="Y133" i="25"/>
  <c r="X133" i="25"/>
  <c r="W133" i="25"/>
  <c r="V133" i="25"/>
  <c r="U133" i="25"/>
  <c r="T133" i="25"/>
  <c r="S133" i="25"/>
  <c r="R133" i="25"/>
  <c r="Q133" i="25"/>
  <c r="P133" i="25"/>
  <c r="O133" i="25"/>
  <c r="N133" i="25"/>
  <c r="M133" i="25"/>
  <c r="AC133" i="25" s="1"/>
  <c r="AD133" i="25" s="1"/>
  <c r="J133" i="25"/>
  <c r="K133" i="25" s="1"/>
  <c r="L133" i="25" s="1"/>
  <c r="I133" i="25"/>
  <c r="H133" i="25"/>
  <c r="G133" i="25"/>
  <c r="F133" i="25"/>
  <c r="AB132" i="25"/>
  <c r="AA132" i="25"/>
  <c r="Z132" i="25"/>
  <c r="Y132" i="25"/>
  <c r="X132" i="25"/>
  <c r="W132" i="25"/>
  <c r="V132" i="25"/>
  <c r="U132" i="25"/>
  <c r="T132" i="25"/>
  <c r="S132" i="25"/>
  <c r="R132" i="25"/>
  <c r="Q132" i="25"/>
  <c r="P132" i="25"/>
  <c r="O132" i="25"/>
  <c r="N132" i="25"/>
  <c r="M132" i="25"/>
  <c r="AC132" i="25" s="1"/>
  <c r="AD132" i="25" s="1"/>
  <c r="J132" i="25"/>
  <c r="K132" i="25" s="1"/>
  <c r="L132" i="25" s="1"/>
  <c r="H132" i="25"/>
  <c r="I132" i="25" s="1"/>
  <c r="G132" i="25"/>
  <c r="F132" i="25"/>
  <c r="AB131" i="25"/>
  <c r="AA131" i="25"/>
  <c r="Z131" i="25"/>
  <c r="Y131" i="25"/>
  <c r="X131" i="25"/>
  <c r="W131" i="25"/>
  <c r="V131" i="25"/>
  <c r="U131" i="25"/>
  <c r="T131" i="25"/>
  <c r="S131" i="25"/>
  <c r="R131" i="25"/>
  <c r="Q131" i="25"/>
  <c r="P131" i="25"/>
  <c r="O131" i="25"/>
  <c r="N131" i="25"/>
  <c r="M131" i="25"/>
  <c r="AC131" i="25" s="1"/>
  <c r="AD131" i="25" s="1"/>
  <c r="K131" i="25"/>
  <c r="L131" i="25" s="1"/>
  <c r="J131" i="25"/>
  <c r="H131" i="25"/>
  <c r="G131" i="25"/>
  <c r="I131" i="25" s="1"/>
  <c r="F131" i="25"/>
  <c r="AB130" i="25"/>
  <c r="AA130" i="25"/>
  <c r="Z130" i="25"/>
  <c r="Y130" i="25"/>
  <c r="X130" i="25"/>
  <c r="W130" i="25"/>
  <c r="V130" i="25"/>
  <c r="U130" i="25"/>
  <c r="T130" i="25"/>
  <c r="S130" i="25"/>
  <c r="R130" i="25"/>
  <c r="Q130" i="25"/>
  <c r="P130" i="25"/>
  <c r="O130" i="25"/>
  <c r="N130" i="25"/>
  <c r="M130" i="25"/>
  <c r="AC130" i="25" s="1"/>
  <c r="AD130" i="25" s="1"/>
  <c r="J130" i="25"/>
  <c r="K130" i="25" s="1"/>
  <c r="L130" i="25" s="1"/>
  <c r="H130" i="25"/>
  <c r="I130" i="25" s="1"/>
  <c r="G130" i="25"/>
  <c r="F130" i="25"/>
  <c r="AB129" i="25"/>
  <c r="AA129" i="25"/>
  <c r="Z129" i="25"/>
  <c r="Y129" i="25"/>
  <c r="X129" i="25"/>
  <c r="W129" i="25"/>
  <c r="V129" i="25"/>
  <c r="U129" i="25"/>
  <c r="T129" i="25"/>
  <c r="S129" i="25"/>
  <c r="R129" i="25"/>
  <c r="Q129" i="25"/>
  <c r="P129" i="25"/>
  <c r="O129" i="25"/>
  <c r="N129" i="25"/>
  <c r="M129" i="25"/>
  <c r="AC129" i="25" s="1"/>
  <c r="AD129" i="25" s="1"/>
  <c r="K129" i="25"/>
  <c r="L129" i="25" s="1"/>
  <c r="J129" i="25"/>
  <c r="I129" i="25"/>
  <c r="H129" i="25"/>
  <c r="G129" i="25"/>
  <c r="F129" i="25"/>
  <c r="AB128" i="25"/>
  <c r="AA128" i="25"/>
  <c r="Z128" i="25"/>
  <c r="Y128" i="25"/>
  <c r="X128" i="25"/>
  <c r="W128" i="25"/>
  <c r="V128" i="25"/>
  <c r="U128" i="25"/>
  <c r="T128" i="25"/>
  <c r="S128" i="25"/>
  <c r="R128" i="25"/>
  <c r="Q128" i="25"/>
  <c r="P128" i="25"/>
  <c r="O128" i="25"/>
  <c r="N128" i="25"/>
  <c r="M128" i="25"/>
  <c r="AC128" i="25" s="1"/>
  <c r="AD128" i="25" s="1"/>
  <c r="J128" i="25"/>
  <c r="K128" i="25" s="1"/>
  <c r="L128" i="25" s="1"/>
  <c r="H128" i="25"/>
  <c r="I128" i="25" s="1"/>
  <c r="G128" i="25"/>
  <c r="F128" i="25"/>
  <c r="AB127" i="25"/>
  <c r="AA127" i="25"/>
  <c r="Z127" i="25"/>
  <c r="Y127" i="25"/>
  <c r="X127" i="25"/>
  <c r="W127" i="25"/>
  <c r="V127" i="25"/>
  <c r="U127" i="25"/>
  <c r="T127" i="25"/>
  <c r="S127" i="25"/>
  <c r="R127" i="25"/>
  <c r="Q127" i="25"/>
  <c r="P127" i="25"/>
  <c r="O127" i="25"/>
  <c r="N127" i="25"/>
  <c r="M127" i="25"/>
  <c r="AC127" i="25" s="1"/>
  <c r="AD127" i="25" s="1"/>
  <c r="K127" i="25"/>
  <c r="L127" i="25" s="1"/>
  <c r="J127" i="25"/>
  <c r="H127" i="25"/>
  <c r="I127" i="25" s="1"/>
  <c r="G127" i="25"/>
  <c r="F127" i="25"/>
  <c r="AB126" i="25"/>
  <c r="AA126" i="25"/>
  <c r="Z126" i="25"/>
  <c r="Y126" i="25"/>
  <c r="X126" i="25"/>
  <c r="W126" i="25"/>
  <c r="V126" i="25"/>
  <c r="U126" i="25"/>
  <c r="T126" i="25"/>
  <c r="S126" i="25"/>
  <c r="R126" i="25"/>
  <c r="Q126" i="25"/>
  <c r="P126" i="25"/>
  <c r="O126" i="25"/>
  <c r="N126" i="25"/>
  <c r="M126" i="25"/>
  <c r="AC126" i="25" s="1"/>
  <c r="AD126" i="25" s="1"/>
  <c r="J126" i="25"/>
  <c r="K126" i="25" s="1"/>
  <c r="L126" i="25" s="1"/>
  <c r="H126" i="25"/>
  <c r="I126" i="25" s="1"/>
  <c r="G126" i="25"/>
  <c r="F126" i="25"/>
  <c r="AB125" i="25"/>
  <c r="AB139" i="25" s="1"/>
  <c r="AA125" i="25"/>
  <c r="AA139" i="25" s="1"/>
  <c r="Z125" i="25"/>
  <c r="Z139" i="25" s="1"/>
  <c r="Y125" i="25"/>
  <c r="Y139" i="25" s="1"/>
  <c r="X125" i="25"/>
  <c r="X139" i="25" s="1"/>
  <c r="W125" i="25"/>
  <c r="W139" i="25" s="1"/>
  <c r="V125" i="25"/>
  <c r="V139" i="25" s="1"/>
  <c r="U125" i="25"/>
  <c r="U139" i="25" s="1"/>
  <c r="T125" i="25"/>
  <c r="T139" i="25" s="1"/>
  <c r="S125" i="25"/>
  <c r="S139" i="25" s="1"/>
  <c r="R125" i="25"/>
  <c r="R139" i="25" s="1"/>
  <c r="Q125" i="25"/>
  <c r="Q139" i="25" s="1"/>
  <c r="P125" i="25"/>
  <c r="P139" i="25" s="1"/>
  <c r="O125" i="25"/>
  <c r="O139" i="25" s="1"/>
  <c r="N125" i="25"/>
  <c r="N139" i="25" s="1"/>
  <c r="M125" i="25"/>
  <c r="M139" i="25" s="1"/>
  <c r="J125" i="25"/>
  <c r="K125" i="25" s="1"/>
  <c r="L125" i="25" s="1"/>
  <c r="I125" i="25"/>
  <c r="H125" i="25"/>
  <c r="G125" i="25"/>
  <c r="F125" i="25"/>
  <c r="AB123" i="25"/>
  <c r="X123" i="25"/>
  <c r="T123" i="25"/>
  <c r="P123" i="25"/>
  <c r="H123" i="25"/>
  <c r="H121" i="25"/>
  <c r="G121" i="25"/>
  <c r="AA123" i="25" s="1"/>
  <c r="I136" i="20"/>
  <c r="I135" i="20"/>
  <c r="I134" i="20"/>
  <c r="I127" i="20"/>
  <c r="I126" i="20"/>
  <c r="N124" i="20"/>
  <c r="O124" i="20"/>
  <c r="P124" i="20"/>
  <c r="Q124" i="20"/>
  <c r="R124" i="20"/>
  <c r="S124" i="20"/>
  <c r="T124" i="20"/>
  <c r="U124" i="20"/>
  <c r="V124" i="20"/>
  <c r="W124" i="20"/>
  <c r="X124" i="20"/>
  <c r="Y124" i="20"/>
  <c r="Z124" i="20"/>
  <c r="AA124" i="20"/>
  <c r="AB124" i="20"/>
  <c r="N125" i="20"/>
  <c r="O125" i="20"/>
  <c r="P125" i="20"/>
  <c r="Q125" i="20"/>
  <c r="R125" i="20"/>
  <c r="S125" i="20"/>
  <c r="T125" i="20"/>
  <c r="U125" i="20"/>
  <c r="V125" i="20"/>
  <c r="W125" i="20"/>
  <c r="X125" i="20"/>
  <c r="Y125" i="20"/>
  <c r="Z125" i="20"/>
  <c r="AA125" i="20"/>
  <c r="AB125" i="20"/>
  <c r="N126" i="20"/>
  <c r="O126" i="20"/>
  <c r="P126" i="20"/>
  <c r="Q126" i="20"/>
  <c r="R126" i="20"/>
  <c r="S126" i="20"/>
  <c r="T126" i="20"/>
  <c r="U126" i="20"/>
  <c r="V126" i="20"/>
  <c r="W126" i="20"/>
  <c r="X126" i="20"/>
  <c r="Y126" i="20"/>
  <c r="Z126" i="20"/>
  <c r="AA126" i="20"/>
  <c r="AB126" i="20"/>
  <c r="N127" i="20"/>
  <c r="O127" i="20"/>
  <c r="P127" i="20"/>
  <c r="Q127" i="20"/>
  <c r="R127" i="20"/>
  <c r="S127" i="20"/>
  <c r="T127" i="20"/>
  <c r="U127" i="20"/>
  <c r="V127" i="20"/>
  <c r="W127" i="20"/>
  <c r="X127" i="20"/>
  <c r="Y127" i="20"/>
  <c r="Z127" i="20"/>
  <c r="AA127" i="20"/>
  <c r="AB127" i="20"/>
  <c r="N128" i="20"/>
  <c r="O128" i="20"/>
  <c r="P128" i="20"/>
  <c r="Q128" i="20"/>
  <c r="R128" i="20"/>
  <c r="S128" i="20"/>
  <c r="T128" i="20"/>
  <c r="U128" i="20"/>
  <c r="V128" i="20"/>
  <c r="W128" i="20"/>
  <c r="X128" i="20"/>
  <c r="Y128" i="20"/>
  <c r="Z128" i="20"/>
  <c r="AA128" i="20"/>
  <c r="AB128" i="20"/>
  <c r="N129" i="20"/>
  <c r="O129" i="20"/>
  <c r="P129" i="20"/>
  <c r="Q129" i="20"/>
  <c r="R129" i="20"/>
  <c r="S129" i="20"/>
  <c r="T129" i="20"/>
  <c r="U129" i="20"/>
  <c r="V129" i="20"/>
  <c r="W129" i="20"/>
  <c r="X129" i="20"/>
  <c r="Y129" i="20"/>
  <c r="Z129" i="20"/>
  <c r="AA129" i="20"/>
  <c r="AB129" i="20"/>
  <c r="N130" i="20"/>
  <c r="O130" i="20"/>
  <c r="P130" i="20"/>
  <c r="Q130" i="20"/>
  <c r="R130" i="20"/>
  <c r="S130" i="20"/>
  <c r="T130" i="20"/>
  <c r="U130" i="20"/>
  <c r="V130" i="20"/>
  <c r="W130" i="20"/>
  <c r="X130" i="20"/>
  <c r="Y130" i="20"/>
  <c r="Z130" i="20"/>
  <c r="AA130" i="20"/>
  <c r="AB130" i="20"/>
  <c r="N131" i="20"/>
  <c r="O131" i="20"/>
  <c r="P131" i="20"/>
  <c r="Q131" i="20"/>
  <c r="R131" i="20"/>
  <c r="S131" i="20"/>
  <c r="T131" i="20"/>
  <c r="U131" i="20"/>
  <c r="V131" i="20"/>
  <c r="W131" i="20"/>
  <c r="X131" i="20"/>
  <c r="Y131" i="20"/>
  <c r="Z131" i="20"/>
  <c r="AA131" i="20"/>
  <c r="AB131" i="20"/>
  <c r="N132" i="20"/>
  <c r="O132" i="20"/>
  <c r="P132" i="20"/>
  <c r="Q132" i="20"/>
  <c r="R132" i="20"/>
  <c r="S132" i="20"/>
  <c r="T132" i="20"/>
  <c r="U132" i="20"/>
  <c r="V132" i="20"/>
  <c r="W132" i="20"/>
  <c r="X132" i="20"/>
  <c r="Y132" i="20"/>
  <c r="Z132" i="20"/>
  <c r="AA132" i="20"/>
  <c r="AB132" i="20"/>
  <c r="N133" i="20"/>
  <c r="O133" i="20"/>
  <c r="P133" i="20"/>
  <c r="Q133" i="20"/>
  <c r="R133" i="20"/>
  <c r="S133" i="20"/>
  <c r="T133" i="20"/>
  <c r="U133" i="20"/>
  <c r="V133" i="20"/>
  <c r="W133" i="20"/>
  <c r="X133" i="20"/>
  <c r="Y133" i="20"/>
  <c r="Z133" i="20"/>
  <c r="AA133" i="20"/>
  <c r="AB133" i="20"/>
  <c r="N134" i="20"/>
  <c r="O134" i="20"/>
  <c r="P134" i="20"/>
  <c r="Q134" i="20"/>
  <c r="R134" i="20"/>
  <c r="S134" i="20"/>
  <c r="T134" i="20"/>
  <c r="U134" i="20"/>
  <c r="V134" i="20"/>
  <c r="W134" i="20"/>
  <c r="X134" i="20"/>
  <c r="Y134" i="20"/>
  <c r="Z134" i="20"/>
  <c r="AA134" i="20"/>
  <c r="AB134" i="20"/>
  <c r="N135" i="20"/>
  <c r="O135" i="20"/>
  <c r="P135" i="20"/>
  <c r="Q135" i="20"/>
  <c r="R135" i="20"/>
  <c r="S135" i="20"/>
  <c r="T135" i="20"/>
  <c r="U135" i="20"/>
  <c r="V135" i="20"/>
  <c r="W135" i="20"/>
  <c r="X135" i="20"/>
  <c r="Y135" i="20"/>
  <c r="Z135" i="20"/>
  <c r="AA135" i="20"/>
  <c r="AB135" i="20"/>
  <c r="N136" i="20"/>
  <c r="O136" i="20"/>
  <c r="P136" i="20"/>
  <c r="Q136" i="20"/>
  <c r="R136" i="20"/>
  <c r="S136" i="20"/>
  <c r="T136" i="20"/>
  <c r="U136" i="20"/>
  <c r="V136" i="20"/>
  <c r="W136" i="20"/>
  <c r="X136" i="20"/>
  <c r="Y136" i="20"/>
  <c r="Z136" i="20"/>
  <c r="AA136" i="20"/>
  <c r="AB136" i="20"/>
  <c r="N137" i="20"/>
  <c r="O137" i="20"/>
  <c r="P137" i="20"/>
  <c r="Q137" i="20"/>
  <c r="R137" i="20"/>
  <c r="S137" i="20"/>
  <c r="T137" i="20"/>
  <c r="U137" i="20"/>
  <c r="V137" i="20"/>
  <c r="W137" i="20"/>
  <c r="X137" i="20"/>
  <c r="Y137" i="20"/>
  <c r="Z137" i="20"/>
  <c r="AA137" i="20"/>
  <c r="AB137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24" i="20"/>
  <c r="G125" i="20"/>
  <c r="H125" i="20"/>
  <c r="G126" i="20"/>
  <c r="H126" i="20"/>
  <c r="G127" i="20"/>
  <c r="H127" i="20"/>
  <c r="G128" i="20"/>
  <c r="H128" i="20"/>
  <c r="G129" i="20"/>
  <c r="H129" i="20"/>
  <c r="G130" i="20"/>
  <c r="H130" i="20"/>
  <c r="G131" i="20"/>
  <c r="H131" i="20"/>
  <c r="G132" i="20"/>
  <c r="H132" i="20"/>
  <c r="G133" i="20"/>
  <c r="H133" i="20"/>
  <c r="G134" i="20"/>
  <c r="H134" i="20"/>
  <c r="G135" i="20"/>
  <c r="H135" i="20"/>
  <c r="G136" i="20"/>
  <c r="H136" i="20"/>
  <c r="G137" i="20"/>
  <c r="H137" i="20"/>
  <c r="G138" i="20"/>
  <c r="H138" i="20"/>
  <c r="G139" i="20"/>
  <c r="H139" i="20"/>
  <c r="H124" i="20"/>
  <c r="G124" i="20"/>
  <c r="I137" i="19"/>
  <c r="I136" i="19"/>
  <c r="I135" i="19"/>
  <c r="I127" i="19"/>
  <c r="N125" i="19"/>
  <c r="O125" i="19"/>
  <c r="P125" i="19"/>
  <c r="Q125" i="19"/>
  <c r="R125" i="19"/>
  <c r="S125" i="19"/>
  <c r="T125" i="19"/>
  <c r="U125" i="19"/>
  <c r="V125" i="19"/>
  <c r="W125" i="19"/>
  <c r="X125" i="19"/>
  <c r="Y125" i="19"/>
  <c r="Z125" i="19"/>
  <c r="AA125" i="19"/>
  <c r="AB125" i="19"/>
  <c r="N126" i="19"/>
  <c r="O126" i="19"/>
  <c r="P126" i="19"/>
  <c r="Q126" i="19"/>
  <c r="R126" i="19"/>
  <c r="S126" i="19"/>
  <c r="T126" i="19"/>
  <c r="U126" i="19"/>
  <c r="V126" i="19"/>
  <c r="W126" i="19"/>
  <c r="X126" i="19"/>
  <c r="Y126" i="19"/>
  <c r="Z126" i="19"/>
  <c r="AA126" i="19"/>
  <c r="AB126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N128" i="19"/>
  <c r="O128" i="19"/>
  <c r="P128" i="19"/>
  <c r="Q128" i="19"/>
  <c r="R128" i="19"/>
  <c r="S128" i="19"/>
  <c r="T128" i="19"/>
  <c r="U128" i="19"/>
  <c r="V128" i="19"/>
  <c r="W128" i="19"/>
  <c r="X128" i="19"/>
  <c r="Y128" i="19"/>
  <c r="Z128" i="19"/>
  <c r="AA128" i="19"/>
  <c r="AB128" i="19"/>
  <c r="N129" i="19"/>
  <c r="O129" i="19"/>
  <c r="P129" i="19"/>
  <c r="Q129" i="19"/>
  <c r="R129" i="19"/>
  <c r="S129" i="19"/>
  <c r="T129" i="19"/>
  <c r="U129" i="19"/>
  <c r="V129" i="19"/>
  <c r="W129" i="19"/>
  <c r="X129" i="19"/>
  <c r="Y129" i="19"/>
  <c r="Z129" i="19"/>
  <c r="AA129" i="19"/>
  <c r="AB129" i="19"/>
  <c r="N130" i="19"/>
  <c r="O130" i="19"/>
  <c r="P130" i="19"/>
  <c r="Q130" i="19"/>
  <c r="R130" i="19"/>
  <c r="S130" i="19"/>
  <c r="T130" i="19"/>
  <c r="U130" i="19"/>
  <c r="V130" i="19"/>
  <c r="W130" i="19"/>
  <c r="X130" i="19"/>
  <c r="Y130" i="19"/>
  <c r="Z130" i="19"/>
  <c r="AA130" i="19"/>
  <c r="AB130" i="19"/>
  <c r="N131" i="19"/>
  <c r="O131" i="19"/>
  <c r="P131" i="19"/>
  <c r="Q131" i="19"/>
  <c r="R131" i="19"/>
  <c r="S131" i="19"/>
  <c r="T131" i="19"/>
  <c r="U131" i="19"/>
  <c r="V131" i="19"/>
  <c r="W131" i="19"/>
  <c r="X131" i="19"/>
  <c r="Y131" i="19"/>
  <c r="Z131" i="19"/>
  <c r="AA131" i="19"/>
  <c r="AB131" i="19"/>
  <c r="N132" i="19"/>
  <c r="O132" i="19"/>
  <c r="P132" i="19"/>
  <c r="Q132" i="19"/>
  <c r="R132" i="19"/>
  <c r="S132" i="19"/>
  <c r="T132" i="19"/>
  <c r="U132" i="19"/>
  <c r="V132" i="19"/>
  <c r="W132" i="19"/>
  <c r="X132" i="19"/>
  <c r="Y132" i="19"/>
  <c r="Z132" i="19"/>
  <c r="AA132" i="19"/>
  <c r="AB132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N134" i="19"/>
  <c r="O134" i="19"/>
  <c r="P134" i="19"/>
  <c r="Q134" i="19"/>
  <c r="R134" i="19"/>
  <c r="S134" i="19"/>
  <c r="T134" i="19"/>
  <c r="U134" i="19"/>
  <c r="V134" i="19"/>
  <c r="W134" i="19"/>
  <c r="X134" i="19"/>
  <c r="Y134" i="19"/>
  <c r="Z134" i="19"/>
  <c r="AA134" i="19"/>
  <c r="AB134" i="19"/>
  <c r="N135" i="19"/>
  <c r="O135" i="19"/>
  <c r="P135" i="19"/>
  <c r="Q135" i="19"/>
  <c r="R135" i="19"/>
  <c r="S135" i="19"/>
  <c r="T135" i="19"/>
  <c r="U135" i="19"/>
  <c r="V135" i="19"/>
  <c r="W135" i="19"/>
  <c r="X135" i="19"/>
  <c r="Y135" i="19"/>
  <c r="Z135" i="19"/>
  <c r="AA135" i="19"/>
  <c r="AB135" i="19"/>
  <c r="N136" i="19"/>
  <c r="O136" i="19"/>
  <c r="P136" i="19"/>
  <c r="Q136" i="19"/>
  <c r="R136" i="19"/>
  <c r="S136" i="19"/>
  <c r="T136" i="19"/>
  <c r="U136" i="19"/>
  <c r="V136" i="19"/>
  <c r="W136" i="19"/>
  <c r="X136" i="19"/>
  <c r="Y136" i="19"/>
  <c r="Z136" i="19"/>
  <c r="AA136" i="19"/>
  <c r="AB136" i="19"/>
  <c r="N137" i="19"/>
  <c r="O137" i="19"/>
  <c r="P137" i="19"/>
  <c r="Q137" i="19"/>
  <c r="R137" i="19"/>
  <c r="S137" i="19"/>
  <c r="T137" i="19"/>
  <c r="U137" i="19"/>
  <c r="V137" i="19"/>
  <c r="W137" i="19"/>
  <c r="X137" i="19"/>
  <c r="Y137" i="19"/>
  <c r="Z137" i="19"/>
  <c r="AA137" i="19"/>
  <c r="AB137" i="19"/>
  <c r="N138" i="19"/>
  <c r="O138" i="19"/>
  <c r="P138" i="19"/>
  <c r="Q138" i="19"/>
  <c r="R138" i="19"/>
  <c r="S138" i="19"/>
  <c r="T138" i="19"/>
  <c r="U138" i="19"/>
  <c r="V138" i="19"/>
  <c r="W138" i="19"/>
  <c r="X138" i="19"/>
  <c r="Y138" i="19"/>
  <c r="Z138" i="19"/>
  <c r="AA138" i="19"/>
  <c r="AB138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25" i="19"/>
  <c r="G139" i="19"/>
  <c r="H139" i="19"/>
  <c r="G140" i="19"/>
  <c r="H140" i="19"/>
  <c r="G126" i="19"/>
  <c r="H126" i="19"/>
  <c r="G127" i="19"/>
  <c r="H127" i="19"/>
  <c r="G128" i="19"/>
  <c r="H128" i="19"/>
  <c r="G129" i="19"/>
  <c r="H129" i="19"/>
  <c r="G130" i="19"/>
  <c r="H130" i="19"/>
  <c r="G131" i="19"/>
  <c r="H131" i="19"/>
  <c r="G132" i="19"/>
  <c r="H132" i="19"/>
  <c r="G133" i="19"/>
  <c r="H133" i="19"/>
  <c r="G134" i="19"/>
  <c r="H134" i="19"/>
  <c r="G135" i="19"/>
  <c r="H135" i="19"/>
  <c r="G136" i="19"/>
  <c r="H136" i="19"/>
  <c r="G137" i="19"/>
  <c r="H137" i="19"/>
  <c r="G138" i="19"/>
  <c r="H138" i="19"/>
  <c r="H125" i="19"/>
  <c r="G125" i="19"/>
  <c r="AC124" i="26" l="1"/>
  <c r="AD124" i="26" s="1"/>
  <c r="M122" i="26"/>
  <c r="U122" i="26"/>
  <c r="N122" i="26"/>
  <c r="V122" i="26"/>
  <c r="P122" i="26"/>
  <c r="X122" i="26"/>
  <c r="I139" i="26"/>
  <c r="AD139" i="26" s="1"/>
  <c r="AD140" i="26" s="1"/>
  <c r="Q122" i="26"/>
  <c r="R122" i="26"/>
  <c r="S122" i="26"/>
  <c r="M123" i="25"/>
  <c r="U123" i="25"/>
  <c r="N123" i="25"/>
  <c r="V123" i="25"/>
  <c r="O123" i="25"/>
  <c r="W123" i="25"/>
  <c r="Q123" i="25"/>
  <c r="Y123" i="25"/>
  <c r="I140" i="25"/>
  <c r="AD140" i="25" s="1"/>
  <c r="R123" i="25"/>
  <c r="Z123" i="25"/>
  <c r="G123" i="25"/>
  <c r="S123" i="25"/>
  <c r="I139" i="25"/>
  <c r="AD139" i="25" s="1"/>
  <c r="AC125" i="25"/>
  <c r="AD125" i="25" s="1"/>
  <c r="S32" i="22"/>
  <c r="S33" i="22" s="1"/>
  <c r="S31" i="22"/>
  <c r="S28" i="22"/>
  <c r="S27" i="22"/>
  <c r="S26" i="22"/>
  <c r="S23" i="22"/>
  <c r="S22" i="22"/>
  <c r="S21" i="22"/>
  <c r="S18" i="22"/>
  <c r="S19" i="22" s="1"/>
  <c r="S15" i="22"/>
  <c r="S14" i="22"/>
  <c r="S16" i="22" s="1"/>
  <c r="S11" i="22"/>
  <c r="S12" i="22" s="1"/>
  <c r="S8" i="22"/>
  <c r="S7" i="22"/>
  <c r="S6" i="22"/>
  <c r="S9" i="22" s="1"/>
  <c r="N28" i="22"/>
  <c r="N27" i="22"/>
  <c r="N26" i="22"/>
  <c r="N23" i="22"/>
  <c r="N22" i="22"/>
  <c r="N21" i="22"/>
  <c r="N18" i="22"/>
  <c r="N15" i="22"/>
  <c r="N14" i="22"/>
  <c r="N11" i="22"/>
  <c r="S44" i="20"/>
  <c r="T44" i="20"/>
  <c r="U44" i="20"/>
  <c r="V44" i="20"/>
  <c r="W44" i="20"/>
  <c r="X44" i="20"/>
  <c r="Y44" i="20"/>
  <c r="Z44" i="20"/>
  <c r="AA44" i="20"/>
  <c r="AB44" i="20"/>
  <c r="S16" i="20"/>
  <c r="T16" i="20"/>
  <c r="U16" i="20"/>
  <c r="V16" i="20"/>
  <c r="W16" i="20"/>
  <c r="X16" i="20"/>
  <c r="Y16" i="20"/>
  <c r="Z16" i="20"/>
  <c r="AA16" i="20"/>
  <c r="AB16" i="20"/>
  <c r="N8" i="22"/>
  <c r="N7" i="22"/>
  <c r="N6" i="22"/>
  <c r="S33" i="21"/>
  <c r="S32" i="21"/>
  <c r="S31" i="21"/>
  <c r="S28" i="21"/>
  <c r="S27" i="21"/>
  <c r="S26" i="21"/>
  <c r="S23" i="21"/>
  <c r="S22" i="21"/>
  <c r="S21" i="21"/>
  <c r="S18" i="21"/>
  <c r="S19" i="21" s="1"/>
  <c r="S15" i="21"/>
  <c r="S14" i="21"/>
  <c r="S16" i="21" s="1"/>
  <c r="S11" i="21"/>
  <c r="S12" i="21" s="1"/>
  <c r="S8" i="21"/>
  <c r="S7" i="21"/>
  <c r="S6" i="21"/>
  <c r="S9" i="21" s="1"/>
  <c r="Q28" i="21"/>
  <c r="Q27" i="21"/>
  <c r="Q26" i="21"/>
  <c r="Q23" i="21"/>
  <c r="Q22" i="21"/>
  <c r="Q21" i="21"/>
  <c r="Q18" i="21"/>
  <c r="Q15" i="21"/>
  <c r="Q14" i="21"/>
  <c r="Q11" i="21"/>
  <c r="Q8" i="21"/>
  <c r="Q7" i="21"/>
  <c r="Q6" i="21"/>
  <c r="F139" i="20"/>
  <c r="F138" i="20"/>
  <c r="L137" i="20"/>
  <c r="K137" i="20"/>
  <c r="K136" i="20"/>
  <c r="L136" i="20" s="1"/>
  <c r="J136" i="20"/>
  <c r="F136" i="20"/>
  <c r="J135" i="20"/>
  <c r="K135" i="20" s="1"/>
  <c r="L135" i="20" s="1"/>
  <c r="F135" i="20"/>
  <c r="K134" i="20"/>
  <c r="L134" i="20" s="1"/>
  <c r="F134" i="20"/>
  <c r="J133" i="20"/>
  <c r="K133" i="20" s="1"/>
  <c r="L133" i="20" s="1"/>
  <c r="F133" i="20"/>
  <c r="K132" i="20"/>
  <c r="L132" i="20" s="1"/>
  <c r="J132" i="20"/>
  <c r="F132" i="20"/>
  <c r="J131" i="20"/>
  <c r="K131" i="20" s="1"/>
  <c r="L131" i="20" s="1"/>
  <c r="F131" i="20"/>
  <c r="J130" i="20"/>
  <c r="K130" i="20" s="1"/>
  <c r="L130" i="20" s="1"/>
  <c r="F130" i="20"/>
  <c r="K129" i="20"/>
  <c r="L129" i="20" s="1"/>
  <c r="J129" i="20"/>
  <c r="F129" i="20"/>
  <c r="J128" i="20"/>
  <c r="K128" i="20" s="1"/>
  <c r="L128" i="20" s="1"/>
  <c r="F128" i="20"/>
  <c r="K127" i="20"/>
  <c r="L127" i="20" s="1"/>
  <c r="J127" i="20"/>
  <c r="F127" i="20"/>
  <c r="J126" i="20"/>
  <c r="K126" i="20" s="1"/>
  <c r="L126" i="20" s="1"/>
  <c r="F126" i="20"/>
  <c r="J125" i="20"/>
  <c r="K125" i="20" s="1"/>
  <c r="L125" i="20" s="1"/>
  <c r="F125" i="20"/>
  <c r="K124" i="20"/>
  <c r="L124" i="20" s="1"/>
  <c r="J124" i="20"/>
  <c r="F124" i="20"/>
  <c r="G122" i="20"/>
  <c r="H120" i="20"/>
  <c r="W122" i="20" s="1"/>
  <c r="G120" i="20"/>
  <c r="Y122" i="20" s="1"/>
  <c r="F140" i="19"/>
  <c r="F139" i="19"/>
  <c r="L138" i="19"/>
  <c r="K138" i="19"/>
  <c r="J137" i="19"/>
  <c r="K137" i="19" s="1"/>
  <c r="L137" i="19" s="1"/>
  <c r="F137" i="19"/>
  <c r="J136" i="19"/>
  <c r="K136" i="19" s="1"/>
  <c r="L136" i="19" s="1"/>
  <c r="F136" i="19"/>
  <c r="J135" i="19"/>
  <c r="K135" i="19" s="1"/>
  <c r="L135" i="19" s="1"/>
  <c r="F135" i="19"/>
  <c r="K134" i="19"/>
  <c r="L134" i="19" s="1"/>
  <c r="J134" i="19"/>
  <c r="F134" i="19"/>
  <c r="J133" i="19"/>
  <c r="K133" i="19" s="1"/>
  <c r="L133" i="19" s="1"/>
  <c r="F133" i="19"/>
  <c r="K132" i="19"/>
  <c r="L132" i="19" s="1"/>
  <c r="J132" i="19"/>
  <c r="F132" i="19"/>
  <c r="J131" i="19"/>
  <c r="K131" i="19" s="1"/>
  <c r="L131" i="19" s="1"/>
  <c r="F131" i="19"/>
  <c r="J130" i="19"/>
  <c r="K130" i="19" s="1"/>
  <c r="L130" i="19" s="1"/>
  <c r="F130" i="19"/>
  <c r="J129" i="19"/>
  <c r="K129" i="19" s="1"/>
  <c r="L129" i="19" s="1"/>
  <c r="F129" i="19"/>
  <c r="J128" i="19"/>
  <c r="K128" i="19" s="1"/>
  <c r="L128" i="19" s="1"/>
  <c r="F128" i="19"/>
  <c r="J127" i="19"/>
  <c r="K127" i="19" s="1"/>
  <c r="L127" i="19" s="1"/>
  <c r="F127" i="19"/>
  <c r="K126" i="19"/>
  <c r="L126" i="19" s="1"/>
  <c r="J126" i="19"/>
  <c r="F126" i="19"/>
  <c r="L125" i="19"/>
  <c r="K125" i="19"/>
  <c r="J125" i="19"/>
  <c r="F125" i="19"/>
  <c r="AB123" i="19"/>
  <c r="AA123" i="19"/>
  <c r="W123" i="19"/>
  <c r="V123" i="19"/>
  <c r="U123" i="19"/>
  <c r="T123" i="19"/>
  <c r="S123" i="19"/>
  <c r="O123" i="19"/>
  <c r="N123" i="19"/>
  <c r="M123" i="19"/>
  <c r="H123" i="19"/>
  <c r="G123" i="19"/>
  <c r="H121" i="19"/>
  <c r="Z123" i="19" s="1"/>
  <c r="G121" i="19"/>
  <c r="Y123" i="19" s="1"/>
  <c r="V31" i="22"/>
  <c r="W31" i="22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J71" i="20"/>
  <c r="K71" i="20" s="1"/>
  <c r="L71" i="20" s="1"/>
  <c r="F71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J100" i="26"/>
  <c r="K100" i="26" s="1"/>
  <c r="L100" i="26" s="1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K43" i="26"/>
  <c r="L43" i="26" s="1"/>
  <c r="J43" i="26"/>
  <c r="F43" i="26"/>
  <c r="F16" i="26"/>
  <c r="J16" i="26"/>
  <c r="K16" i="26" s="1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D141" i="25" l="1"/>
  <c r="S29" i="22"/>
  <c r="S24" i="22"/>
  <c r="S29" i="21"/>
  <c r="S24" i="21"/>
  <c r="R122" i="20"/>
  <c r="S122" i="20"/>
  <c r="AA122" i="20"/>
  <c r="H122" i="20"/>
  <c r="T122" i="20"/>
  <c r="AB122" i="20"/>
  <c r="Z122" i="20"/>
  <c r="M122" i="20"/>
  <c r="U122" i="20"/>
  <c r="N122" i="20"/>
  <c r="V122" i="20"/>
  <c r="O122" i="20"/>
  <c r="P122" i="20"/>
  <c r="X122" i="20"/>
  <c r="Q122" i="20"/>
  <c r="P123" i="19"/>
  <c r="X123" i="19"/>
  <c r="Q123" i="19"/>
  <c r="R123" i="19"/>
  <c r="AC44" i="26"/>
  <c r="AC100" i="20"/>
  <c r="AC44" i="19"/>
  <c r="AC72" i="25"/>
  <c r="AC100" i="26"/>
  <c r="AC72" i="19"/>
  <c r="AC16" i="26"/>
  <c r="AC100" i="25"/>
  <c r="AC100" i="19"/>
  <c r="AC72" i="26"/>
  <c r="AC44" i="25"/>
  <c r="AC16" i="19"/>
  <c r="AC72" i="20"/>
  <c r="AC16" i="25"/>
  <c r="J15" i="20"/>
  <c r="K15" i="20" s="1"/>
  <c r="L15" i="20" s="1"/>
  <c r="F15" i="20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AC128" i="19" l="1"/>
  <c r="F111" i="25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W71" i="26" s="1"/>
  <c r="U67" i="26"/>
  <c r="P67" i="26"/>
  <c r="AB67" i="26"/>
  <c r="AB71" i="26" s="1"/>
  <c r="O67" i="26"/>
  <c r="Y67" i="26"/>
  <c r="Y71" i="26" s="1"/>
  <c r="N67" i="26"/>
  <c r="X67" i="26"/>
  <c r="X71" i="26" s="1"/>
  <c r="M67" i="26"/>
  <c r="T67" i="26"/>
  <c r="H67" i="26"/>
  <c r="R67" i="26"/>
  <c r="AA67" i="26"/>
  <c r="AA71" i="26" s="1"/>
  <c r="S67" i="26"/>
  <c r="G67" i="26"/>
  <c r="Z67" i="26"/>
  <c r="Z71" i="26" s="1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AA43" i="26" s="1"/>
  <c r="X11" i="26"/>
  <c r="X15" i="26" s="1"/>
  <c r="Y11" i="26"/>
  <c r="Y15" i="26" s="1"/>
  <c r="Y39" i="26"/>
  <c r="Y43" i="26" s="1"/>
  <c r="R67" i="20"/>
  <c r="Z67" i="25"/>
  <c r="Z71" i="25" s="1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Z15" i="26" s="1"/>
  <c r="O39" i="26"/>
  <c r="W95" i="26"/>
  <c r="W99" i="26" s="1"/>
  <c r="P39" i="26"/>
  <c r="G95" i="26"/>
  <c r="AA95" i="26"/>
  <c r="AA99" i="26" s="1"/>
  <c r="V39" i="26"/>
  <c r="AB95" i="26"/>
  <c r="AB99" i="26" s="1"/>
  <c r="W39" i="26"/>
  <c r="W43" i="26" s="1"/>
  <c r="M95" i="26"/>
  <c r="X39" i="26"/>
  <c r="X43" i="26" s="1"/>
  <c r="O95" i="26"/>
  <c r="U95" i="26"/>
  <c r="S95" i="26"/>
  <c r="W11" i="26"/>
  <c r="W15" i="26" s="1"/>
  <c r="O11" i="26"/>
  <c r="V11" i="26"/>
  <c r="N11" i="26"/>
  <c r="U11" i="26"/>
  <c r="M11" i="26"/>
  <c r="AB11" i="26"/>
  <c r="AB15" i="26" s="1"/>
  <c r="T11" i="26"/>
  <c r="AA11" i="26"/>
  <c r="AA15" i="26" s="1"/>
  <c r="S11" i="26"/>
  <c r="G11" i="26"/>
  <c r="P11" i="26"/>
  <c r="Q11" i="26"/>
  <c r="AB39" i="26"/>
  <c r="AB43" i="26" s="1"/>
  <c r="T39" i="26"/>
  <c r="Z39" i="26"/>
  <c r="Z43" i="26" s="1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Z43" i="25" s="1"/>
  <c r="R39" i="25"/>
  <c r="X39" i="25"/>
  <c r="X43" i="25" s="1"/>
  <c r="P39" i="25"/>
  <c r="S39" i="25"/>
  <c r="Q39" i="25"/>
  <c r="AB39" i="25"/>
  <c r="AB43" i="25" s="1"/>
  <c r="O39" i="25"/>
  <c r="AA39" i="25"/>
  <c r="AA43" i="25" s="1"/>
  <c r="M39" i="25"/>
  <c r="Y39" i="25"/>
  <c r="Y43" i="25" s="1"/>
  <c r="W39" i="25"/>
  <c r="W43" i="25" s="1"/>
  <c r="G39" i="25"/>
  <c r="U39" i="25"/>
  <c r="Q11" i="25"/>
  <c r="Y11" i="25"/>
  <c r="Y15" i="25" s="1"/>
  <c r="R11" i="25"/>
  <c r="W67" i="25"/>
  <c r="W71" i="25" s="1"/>
  <c r="O67" i="25"/>
  <c r="V67" i="25"/>
  <c r="N67" i="25"/>
  <c r="U67" i="25"/>
  <c r="M67" i="25"/>
  <c r="Y67" i="25"/>
  <c r="Y71" i="25" s="1"/>
  <c r="G67" i="25"/>
  <c r="X67" i="25"/>
  <c r="X71" i="25" s="1"/>
  <c r="S67" i="25"/>
  <c r="R67" i="25"/>
  <c r="AB67" i="25"/>
  <c r="AB71" i="25" s="1"/>
  <c r="Q67" i="25"/>
  <c r="AA67" i="25"/>
  <c r="AA71" i="25" s="1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AA139" i="19" l="1"/>
  <c r="Z138" i="20"/>
  <c r="X139" i="19"/>
  <c r="T138" i="20"/>
  <c r="AB139" i="19"/>
  <c r="W139" i="19"/>
  <c r="U139" i="19"/>
  <c r="Z139" i="19"/>
  <c r="V139" i="19"/>
  <c r="W138" i="20"/>
  <c r="S111" i="19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A138" i="20" l="1"/>
  <c r="AB138" i="20"/>
  <c r="U138" i="20"/>
  <c r="T139" i="19"/>
  <c r="S138" i="20"/>
  <c r="V138" i="20"/>
  <c r="S139" i="19"/>
  <c r="X138" i="20"/>
  <c r="Y138" i="20"/>
  <c r="Y139" i="19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O16" i="20" l="1"/>
  <c r="R44" i="20"/>
  <c r="P16" i="20"/>
  <c r="N44" i="20"/>
  <c r="Q16" i="20"/>
  <c r="O44" i="20"/>
  <c r="R16" i="20"/>
  <c r="P44" i="20"/>
  <c r="M44" i="20"/>
  <c r="N16" i="20"/>
  <c r="M16" i="20"/>
  <c r="Q44" i="20"/>
  <c r="H100" i="19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P7" i="21" s="1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11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21" i="21" s="1"/>
  <c r="AA25" i="25"/>
  <c r="P26" i="25"/>
  <c r="AB102" i="25"/>
  <c r="N21" i="25"/>
  <c r="M101" i="25"/>
  <c r="T53" i="25"/>
  <c r="M107" i="25"/>
  <c r="M104" i="25"/>
  <c r="H13" i="25"/>
  <c r="I13" i="25" s="1"/>
  <c r="C6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8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5" i="21" s="1"/>
  <c r="T54" i="25"/>
  <c r="AA24" i="25"/>
  <c r="AB97" i="25"/>
  <c r="Q107" i="25"/>
  <c r="Z73" i="25"/>
  <c r="G107" i="25"/>
  <c r="T46" i="25"/>
  <c r="H22" i="25"/>
  <c r="I22" i="25" s="1"/>
  <c r="C23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14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22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8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P28" i="21" s="1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R11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W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V8" i="21" s="1"/>
  <c r="H27" i="19"/>
  <c r="H13" i="19"/>
  <c r="G28" i="19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O26" i="21" s="1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O27" i="21" s="1"/>
  <c r="M18" i="19"/>
  <c r="Q19" i="19"/>
  <c r="M22" i="19"/>
  <c r="Q23" i="19"/>
  <c r="M25" i="19"/>
  <c r="H24" i="19"/>
  <c r="P17" i="19"/>
  <c r="P21" i="19"/>
  <c r="P24" i="19"/>
  <c r="H53" i="19"/>
  <c r="O28" i="21" s="1"/>
  <c r="H25" i="19"/>
  <c r="P18" i="19"/>
  <c r="N24" i="19"/>
  <c r="I132" i="19" l="1"/>
  <c r="I125" i="19"/>
  <c r="I133" i="19"/>
  <c r="AC132" i="19"/>
  <c r="AC137" i="19"/>
  <c r="Q139" i="19"/>
  <c r="AC44" i="20"/>
  <c r="I126" i="19"/>
  <c r="O7" i="21"/>
  <c r="AC135" i="19"/>
  <c r="P27" i="21"/>
  <c r="AD16" i="19"/>
  <c r="T8" i="21" s="1"/>
  <c r="AD128" i="19"/>
  <c r="AC136" i="19"/>
  <c r="N27" i="21"/>
  <c r="N26" i="21"/>
  <c r="AC125" i="19"/>
  <c r="AC130" i="19"/>
  <c r="N7" i="21"/>
  <c r="AC16" i="20"/>
  <c r="N28" i="21"/>
  <c r="AC134" i="19"/>
  <c r="AC126" i="19"/>
  <c r="I129" i="19"/>
  <c r="O139" i="19"/>
  <c r="AC131" i="19"/>
  <c r="P26" i="21"/>
  <c r="P139" i="19"/>
  <c r="I100" i="19"/>
  <c r="R8" i="21" s="1"/>
  <c r="I100" i="25"/>
  <c r="F8" i="21" s="1"/>
  <c r="I72" i="25"/>
  <c r="E8" i="21" s="1"/>
  <c r="I44" i="19"/>
  <c r="I16" i="19"/>
  <c r="I72" i="19"/>
  <c r="AC43" i="19"/>
  <c r="AD43" i="19" s="1"/>
  <c r="U7" i="21" s="1"/>
  <c r="I44" i="25"/>
  <c r="AD44" i="19"/>
  <c r="U8" i="21" s="1"/>
  <c r="AC71" i="19"/>
  <c r="AD71" i="19" s="1"/>
  <c r="V7" i="21" s="1"/>
  <c r="AC99" i="19"/>
  <c r="AD99" i="19" s="1"/>
  <c r="W7" i="21" s="1"/>
  <c r="AC15" i="19"/>
  <c r="AD15" i="19" s="1"/>
  <c r="T7" i="21" s="1"/>
  <c r="I99" i="19"/>
  <c r="R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I103" i="19"/>
  <c r="R18" i="21" s="1"/>
  <c r="I15" i="19"/>
  <c r="I71" i="19"/>
  <c r="I43" i="25"/>
  <c r="I71" i="25"/>
  <c r="E7" i="21" s="1"/>
  <c r="AC84" i="19"/>
  <c r="I69" i="19"/>
  <c r="I106" i="19"/>
  <c r="R23" i="21" s="1"/>
  <c r="I51" i="25"/>
  <c r="I76" i="19"/>
  <c r="P21" i="21" s="1"/>
  <c r="AC51" i="25"/>
  <c r="AD51" i="25" s="1"/>
  <c r="H26" i="21" s="1"/>
  <c r="I52" i="25"/>
  <c r="I77" i="19"/>
  <c r="P22" i="21" s="1"/>
  <c r="I77" i="25"/>
  <c r="E22" i="21" s="1"/>
  <c r="I55" i="25"/>
  <c r="AD55" i="25" s="1"/>
  <c r="H31" i="21" s="1"/>
  <c r="D47" i="21" s="1"/>
  <c r="I74" i="25"/>
  <c r="E15" i="21" s="1"/>
  <c r="I42" i="25"/>
  <c r="D11" i="21" s="1"/>
  <c r="V27" i="25"/>
  <c r="I69" i="25"/>
  <c r="E6" i="21" s="1"/>
  <c r="I73" i="25"/>
  <c r="E14" i="21" s="1"/>
  <c r="I102" i="25"/>
  <c r="F15" i="21" s="1"/>
  <c r="I105" i="25"/>
  <c r="F22" i="21" s="1"/>
  <c r="I81" i="19"/>
  <c r="I78" i="25"/>
  <c r="E23" i="21" s="1"/>
  <c r="I104" i="25"/>
  <c r="F21" i="21" s="1"/>
  <c r="I80" i="25"/>
  <c r="AC74" i="19"/>
  <c r="AD74" i="19" s="1"/>
  <c r="I108" i="19"/>
  <c r="I81" i="25"/>
  <c r="I107" i="19"/>
  <c r="I107" i="25"/>
  <c r="I76" i="25"/>
  <c r="E21" i="21" s="1"/>
  <c r="AC50" i="19"/>
  <c r="AD50" i="19" s="1"/>
  <c r="I74" i="19"/>
  <c r="P15" i="21" s="1"/>
  <c r="I70" i="25"/>
  <c r="E11" i="21" s="1"/>
  <c r="I109" i="25"/>
  <c r="S27" i="25"/>
  <c r="AC108" i="19"/>
  <c r="AD108" i="19" s="1"/>
  <c r="I75" i="25"/>
  <c r="E18" i="21" s="1"/>
  <c r="AA83" i="25"/>
  <c r="I79" i="19"/>
  <c r="AC13" i="25"/>
  <c r="AC103" i="19"/>
  <c r="AD103" i="19" s="1"/>
  <c r="I84" i="25"/>
  <c r="AD84" i="25" s="1"/>
  <c r="I32" i="21" s="1"/>
  <c r="E48" i="21" s="1"/>
  <c r="R83" i="25"/>
  <c r="I101" i="25"/>
  <c r="F14" i="21" s="1"/>
  <c r="I97" i="25"/>
  <c r="F6" i="21" s="1"/>
  <c r="AC82" i="19"/>
  <c r="AD82" i="19" s="1"/>
  <c r="V30" i="21" s="1"/>
  <c r="P46" i="21" s="1"/>
  <c r="W111" i="25"/>
  <c r="AC53" i="25"/>
  <c r="AD53" i="25" s="1"/>
  <c r="H28" i="21" s="1"/>
  <c r="O111" i="25"/>
  <c r="I102" i="19"/>
  <c r="R15" i="21" s="1"/>
  <c r="I79" i="25"/>
  <c r="AB111" i="25"/>
  <c r="AA111" i="25"/>
  <c r="I112" i="25"/>
  <c r="AD112" i="25" s="1"/>
  <c r="J32" i="21" s="1"/>
  <c r="F48" i="21" s="1"/>
  <c r="P111" i="25"/>
  <c r="V55" i="25"/>
  <c r="Y83" i="25"/>
  <c r="I109" i="19"/>
  <c r="I83" i="25"/>
  <c r="AD83" i="25" s="1"/>
  <c r="I31" i="21" s="1"/>
  <c r="E47" i="21" s="1"/>
  <c r="I111" i="25"/>
  <c r="AD111" i="25" s="1"/>
  <c r="J31" i="21" s="1"/>
  <c r="F47" i="21" s="1"/>
  <c r="Z83" i="25"/>
  <c r="AC18" i="25"/>
  <c r="AD18" i="25" s="1"/>
  <c r="G15" i="21" s="1"/>
  <c r="AC19" i="25"/>
  <c r="AD19" i="25" s="1"/>
  <c r="G18" i="21" s="1"/>
  <c r="C43" i="21" s="1"/>
  <c r="AC21" i="25"/>
  <c r="AD21" i="25" s="1"/>
  <c r="G22" i="21" s="1"/>
  <c r="AC109" i="19"/>
  <c r="AD109" i="19" s="1"/>
  <c r="W28" i="21" s="1"/>
  <c r="AC69" i="19"/>
  <c r="AD69" i="19" s="1"/>
  <c r="AC78" i="25"/>
  <c r="AD78" i="25" s="1"/>
  <c r="I23" i="21" s="1"/>
  <c r="AC70" i="25"/>
  <c r="AD70" i="25" s="1"/>
  <c r="I11" i="21" s="1"/>
  <c r="E41" i="21" s="1"/>
  <c r="W83" i="25"/>
  <c r="AC54" i="25"/>
  <c r="AD54" i="25" s="1"/>
  <c r="H30" i="21" s="1"/>
  <c r="D46" i="21" s="1"/>
  <c r="AC54" i="19"/>
  <c r="AD54" i="19" s="1"/>
  <c r="U30" i="21" s="1"/>
  <c r="O46" i="21" s="1"/>
  <c r="AC47" i="19"/>
  <c r="AD47" i="19" s="1"/>
  <c r="AC76" i="19"/>
  <c r="AD76" i="19" s="1"/>
  <c r="V111" i="25"/>
  <c r="O55" i="25"/>
  <c r="AC20" i="25"/>
  <c r="AD20" i="25" s="1"/>
  <c r="G21" i="21" s="1"/>
  <c r="X83" i="25"/>
  <c r="I73" i="19"/>
  <c r="P14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6" i="21" s="1"/>
  <c r="AC76" i="25"/>
  <c r="AD76" i="25" s="1"/>
  <c r="I21" i="21" s="1"/>
  <c r="I78" i="19"/>
  <c r="P23" i="21" s="1"/>
  <c r="AC70" i="19"/>
  <c r="AD70" i="19" s="1"/>
  <c r="AC74" i="25"/>
  <c r="AD74" i="25" s="1"/>
  <c r="I15" i="21" s="1"/>
  <c r="W55" i="25"/>
  <c r="AC80" i="19"/>
  <c r="AD80" i="19" s="1"/>
  <c r="AC24" i="25"/>
  <c r="AD24" i="25" s="1"/>
  <c r="G27" i="21" s="1"/>
  <c r="AC52" i="25"/>
  <c r="AD52" i="25" s="1"/>
  <c r="H27" i="21" s="1"/>
  <c r="I104" i="19"/>
  <c r="R21" i="21" s="1"/>
  <c r="AC98" i="19"/>
  <c r="AD98" i="19" s="1"/>
  <c r="M27" i="25"/>
  <c r="AC75" i="25"/>
  <c r="AD75" i="25" s="1"/>
  <c r="I18" i="21" s="1"/>
  <c r="E43" i="21" s="1"/>
  <c r="AC48" i="19"/>
  <c r="AD48" i="19" s="1"/>
  <c r="Q55" i="25"/>
  <c r="AC47" i="25"/>
  <c r="AD47" i="25" s="1"/>
  <c r="H18" i="21" s="1"/>
  <c r="D43" i="21" s="1"/>
  <c r="AC48" i="25"/>
  <c r="AD48" i="25" s="1"/>
  <c r="H21" i="21" s="1"/>
  <c r="AC107" i="19"/>
  <c r="AD107" i="19" s="1"/>
  <c r="AC77" i="19"/>
  <c r="AD77" i="19" s="1"/>
  <c r="I75" i="19"/>
  <c r="P18" i="21" s="1"/>
  <c r="Q83" i="25"/>
  <c r="P83" i="25"/>
  <c r="Z55" i="25"/>
  <c r="AC79" i="25"/>
  <c r="AD79" i="25" s="1"/>
  <c r="I26" i="21" s="1"/>
  <c r="I48" i="25"/>
  <c r="W27" i="25"/>
  <c r="Z27" i="25"/>
  <c r="AC55" i="25"/>
  <c r="AC104" i="25"/>
  <c r="AD104" i="25" s="1"/>
  <c r="J21" i="21" s="1"/>
  <c r="I27" i="25"/>
  <c r="AD27" i="25" s="1"/>
  <c r="G31" i="21" s="1"/>
  <c r="C47" i="21" s="1"/>
  <c r="AC27" i="25"/>
  <c r="Z111" i="25"/>
  <c r="AC80" i="25"/>
  <c r="AD80" i="25" s="1"/>
  <c r="I27" i="21" s="1"/>
  <c r="AC49" i="19"/>
  <c r="AD49" i="19" s="1"/>
  <c r="AC102" i="19"/>
  <c r="AD102" i="19" s="1"/>
  <c r="AC73" i="19"/>
  <c r="AD73" i="19" s="1"/>
  <c r="I101" i="19"/>
  <c r="R14" i="21" s="1"/>
  <c r="AC17" i="25"/>
  <c r="AD17" i="25" s="1"/>
  <c r="G14" i="21" s="1"/>
  <c r="AC45" i="25"/>
  <c r="AD45" i="25" s="1"/>
  <c r="H14" i="21" s="1"/>
  <c r="AC41" i="19"/>
  <c r="AD41" i="19" s="1"/>
  <c r="AC81" i="19"/>
  <c r="AD81" i="19" s="1"/>
  <c r="V28" i="21" s="1"/>
  <c r="N111" i="25"/>
  <c r="R55" i="25"/>
  <c r="AA55" i="25"/>
  <c r="AC46" i="25"/>
  <c r="AD46" i="25" s="1"/>
  <c r="H15" i="21" s="1"/>
  <c r="AC105" i="25"/>
  <c r="AD105" i="25" s="1"/>
  <c r="J22" i="21" s="1"/>
  <c r="I46" i="25"/>
  <c r="AC112" i="25"/>
  <c r="AC42" i="19"/>
  <c r="AD42" i="19" s="1"/>
  <c r="P27" i="25"/>
  <c r="I41" i="25"/>
  <c r="X27" i="25"/>
  <c r="AC107" i="25"/>
  <c r="AD107" i="25" s="1"/>
  <c r="J26" i="21" s="1"/>
  <c r="I106" i="25"/>
  <c r="F23" i="21" s="1"/>
  <c r="AB27" i="25"/>
  <c r="I28" i="25"/>
  <c r="AD28" i="25" s="1"/>
  <c r="Y55" i="25"/>
  <c r="Y27" i="25"/>
  <c r="Q27" i="25"/>
  <c r="X55" i="25"/>
  <c r="I70" i="19"/>
  <c r="P11" i="21" s="1"/>
  <c r="AC104" i="19"/>
  <c r="AD104" i="19" s="1"/>
  <c r="AC78" i="19"/>
  <c r="AD78" i="19" s="1"/>
  <c r="N55" i="25"/>
  <c r="AC22" i="25"/>
  <c r="AD22" i="25" s="1"/>
  <c r="G23" i="21" s="1"/>
  <c r="AB55" i="25"/>
  <c r="U55" i="25"/>
  <c r="U83" i="25"/>
  <c r="AC42" i="25"/>
  <c r="AD42" i="25" s="1"/>
  <c r="H11" i="21" s="1"/>
  <c r="D41" i="21" s="1"/>
  <c r="U111" i="25"/>
  <c r="S83" i="25"/>
  <c r="AC73" i="25"/>
  <c r="AD73" i="25" s="1"/>
  <c r="I14" i="21" s="1"/>
  <c r="AC53" i="19"/>
  <c r="AD53" i="19" s="1"/>
  <c r="U28" i="21" s="1"/>
  <c r="AC105" i="19"/>
  <c r="AD105" i="19" s="1"/>
  <c r="I97" i="19"/>
  <c r="N83" i="25"/>
  <c r="T83" i="25"/>
  <c r="AC25" i="25"/>
  <c r="AD25" i="25" s="1"/>
  <c r="G28" i="21" s="1"/>
  <c r="AB83" i="25"/>
  <c r="AC81" i="25"/>
  <c r="AD81" i="25" s="1"/>
  <c r="I28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6" i="21" s="1"/>
  <c r="Q111" i="25"/>
  <c r="AC108" i="25"/>
  <c r="AD108" i="25" s="1"/>
  <c r="J27" i="21" s="1"/>
  <c r="I49" i="25"/>
  <c r="AC111" i="25"/>
  <c r="AC106" i="25"/>
  <c r="AD106" i="25" s="1"/>
  <c r="J23" i="21" s="1"/>
  <c r="AC109" i="25"/>
  <c r="AD109" i="25" s="1"/>
  <c r="J28" i="21" s="1"/>
  <c r="AC110" i="25"/>
  <c r="AD110" i="25" s="1"/>
  <c r="J30" i="21" s="1"/>
  <c r="F46" i="21" s="1"/>
  <c r="AC84" i="25"/>
  <c r="AC26" i="25"/>
  <c r="AD26" i="25" s="1"/>
  <c r="G30" i="21" s="1"/>
  <c r="C46" i="21" s="1"/>
  <c r="AC77" i="25"/>
  <c r="AD77" i="25" s="1"/>
  <c r="I22" i="21" s="1"/>
  <c r="R27" i="25"/>
  <c r="AC82" i="25"/>
  <c r="AD82" i="25" s="1"/>
  <c r="I30" i="21" s="1"/>
  <c r="E46" i="21" s="1"/>
  <c r="AC41" i="25"/>
  <c r="AD41" i="25" s="1"/>
  <c r="H6" i="21" s="1"/>
  <c r="M55" i="25"/>
  <c r="I80" i="19"/>
  <c r="AC101" i="19"/>
  <c r="AD101" i="19" s="1"/>
  <c r="AC23" i="25"/>
  <c r="AD23" i="25" s="1"/>
  <c r="G26" i="21" s="1"/>
  <c r="X111" i="25"/>
  <c r="AC110" i="19"/>
  <c r="AD110" i="19" s="1"/>
  <c r="W30" i="21" s="1"/>
  <c r="R46" i="21" s="1"/>
  <c r="I105" i="19"/>
  <c r="R22" i="21" s="1"/>
  <c r="AC79" i="19"/>
  <c r="AD79" i="19" s="1"/>
  <c r="V26" i="21" s="1"/>
  <c r="S55" i="25"/>
  <c r="V83" i="25"/>
  <c r="AC14" i="25"/>
  <c r="AD14" i="25" s="1"/>
  <c r="G11" i="21" s="1"/>
  <c r="C41" i="21" s="1"/>
  <c r="AC49" i="25"/>
  <c r="AD49" i="25" s="1"/>
  <c r="H22" i="21" s="1"/>
  <c r="T111" i="25"/>
  <c r="O83" i="25"/>
  <c r="AC50" i="25"/>
  <c r="AD50" i="25" s="1"/>
  <c r="H23" i="21" s="1"/>
  <c r="AC102" i="25"/>
  <c r="AD102" i="25" s="1"/>
  <c r="J15" i="21" s="1"/>
  <c r="I47" i="25"/>
  <c r="T27" i="25"/>
  <c r="AA27" i="25"/>
  <c r="N27" i="25"/>
  <c r="U27" i="25"/>
  <c r="Y111" i="25"/>
  <c r="I108" i="25"/>
  <c r="I45" i="25"/>
  <c r="I98" i="25"/>
  <c r="F11" i="21" s="1"/>
  <c r="AC101" i="25"/>
  <c r="AD101" i="25" s="1"/>
  <c r="J14" i="21" s="1"/>
  <c r="T55" i="25"/>
  <c r="AC103" i="25"/>
  <c r="AD103" i="25" s="1"/>
  <c r="J18" i="21" s="1"/>
  <c r="F43" i="21" s="1"/>
  <c r="R111" i="25"/>
  <c r="AC98" i="25"/>
  <c r="AD98" i="25" s="1"/>
  <c r="J11" i="21" s="1"/>
  <c r="F41" i="21" s="1"/>
  <c r="AC83" i="19"/>
  <c r="AC28" i="19"/>
  <c r="AC112" i="19"/>
  <c r="AC56" i="19"/>
  <c r="AC55" i="19"/>
  <c r="AC27" i="19"/>
  <c r="I24" i="19"/>
  <c r="P55" i="19"/>
  <c r="I41" i="19"/>
  <c r="O6" i="21" s="1"/>
  <c r="I83" i="19"/>
  <c r="I48" i="19"/>
  <c r="O21" i="21" s="1"/>
  <c r="I46" i="19"/>
  <c r="O15" i="21" s="1"/>
  <c r="I25" i="19"/>
  <c r="I50" i="19"/>
  <c r="O23" i="21" s="1"/>
  <c r="I19" i="19"/>
  <c r="N18" i="21" s="1"/>
  <c r="I55" i="19"/>
  <c r="I13" i="19"/>
  <c r="N6" i="21" s="1"/>
  <c r="I45" i="19"/>
  <c r="O14" i="21" s="1"/>
  <c r="R27" i="19"/>
  <c r="M27" i="19"/>
  <c r="AC13" i="19"/>
  <c r="AD13" i="19" s="1"/>
  <c r="I42" i="19"/>
  <c r="O11" i="21" s="1"/>
  <c r="I23" i="19"/>
  <c r="AC22" i="19"/>
  <c r="AD22" i="19" s="1"/>
  <c r="T23" i="21" s="1"/>
  <c r="AC24" i="19"/>
  <c r="AD24" i="19" s="1"/>
  <c r="T27" i="21" s="1"/>
  <c r="AC25" i="19"/>
  <c r="AD25" i="19" s="1"/>
  <c r="T28" i="21" s="1"/>
  <c r="R55" i="19"/>
  <c r="AC23" i="19"/>
  <c r="AD23" i="19" s="1"/>
  <c r="T26" i="21" s="1"/>
  <c r="M111" i="19"/>
  <c r="AC21" i="19"/>
  <c r="AD21" i="19" s="1"/>
  <c r="T22" i="21" s="1"/>
  <c r="N27" i="19"/>
  <c r="O83" i="19"/>
  <c r="I47" i="19"/>
  <c r="O18" i="21" s="1"/>
  <c r="P6" i="21"/>
  <c r="Q27" i="19"/>
  <c r="AC14" i="19"/>
  <c r="AD14" i="19" s="1"/>
  <c r="T11" i="21" s="1"/>
  <c r="I49" i="19"/>
  <c r="O22" i="21" s="1"/>
  <c r="AC20" i="19"/>
  <c r="AD20" i="19" s="1"/>
  <c r="T21" i="21" s="1"/>
  <c r="R83" i="19"/>
  <c r="M83" i="19"/>
  <c r="AC17" i="19"/>
  <c r="AD17" i="19" s="1"/>
  <c r="T14" i="21" s="1"/>
  <c r="M55" i="19"/>
  <c r="Q83" i="19"/>
  <c r="P27" i="19"/>
  <c r="AC26" i="19"/>
  <c r="AD26" i="19" s="1"/>
  <c r="T30" i="21" s="1"/>
  <c r="N46" i="21" s="1"/>
  <c r="O55" i="19"/>
  <c r="N83" i="19"/>
  <c r="AC19" i="19"/>
  <c r="AD19" i="19" s="1"/>
  <c r="T18" i="21" s="1"/>
  <c r="N55" i="19"/>
  <c r="AC18" i="19"/>
  <c r="AD18" i="19" s="1"/>
  <c r="T15" i="21" s="1"/>
  <c r="P83" i="19"/>
  <c r="O27" i="19"/>
  <c r="I53" i="19"/>
  <c r="I51" i="19"/>
  <c r="I20" i="19"/>
  <c r="N21" i="21" s="1"/>
  <c r="I52" i="19"/>
  <c r="Q55" i="19"/>
  <c r="I21" i="19"/>
  <c r="N22" i="21" s="1"/>
  <c r="I84" i="19"/>
  <c r="I18" i="19"/>
  <c r="N15" i="21" s="1"/>
  <c r="I56" i="19"/>
  <c r="AD56" i="19" s="1"/>
  <c r="U32" i="21" s="1"/>
  <c r="I17" i="19"/>
  <c r="N14" i="21" s="1"/>
  <c r="I27" i="19"/>
  <c r="AD27" i="19" s="1"/>
  <c r="I28" i="19"/>
  <c r="I22" i="19"/>
  <c r="N23" i="21" s="1"/>
  <c r="I14" i="19"/>
  <c r="N11" i="21" s="1"/>
  <c r="AC129" i="19" l="1"/>
  <c r="AC133" i="19"/>
  <c r="AD133" i="19" s="1"/>
  <c r="AC138" i="19"/>
  <c r="AD137" i="19"/>
  <c r="I134" i="19"/>
  <c r="AD125" i="19"/>
  <c r="I128" i="19"/>
  <c r="AD134" i="19"/>
  <c r="I131" i="19"/>
  <c r="AD135" i="19"/>
  <c r="I130" i="19"/>
  <c r="AD126" i="19"/>
  <c r="AD130" i="19"/>
  <c r="AD136" i="19"/>
  <c r="AD129" i="19"/>
  <c r="AD132" i="19"/>
  <c r="R139" i="19"/>
  <c r="AD131" i="19"/>
  <c r="AC127" i="19"/>
  <c r="AD127" i="19" s="1"/>
  <c r="AC127" i="20"/>
  <c r="AC140" i="19"/>
  <c r="I140" i="19"/>
  <c r="AD140" i="19" s="1"/>
  <c r="M139" i="19"/>
  <c r="AD28" i="19"/>
  <c r="T32" i="21" s="1"/>
  <c r="N48" i="21" s="1"/>
  <c r="I139" i="19"/>
  <c r="AD139" i="19" s="1"/>
  <c r="AC139" i="19"/>
  <c r="AD138" i="19"/>
  <c r="N139" i="19"/>
  <c r="T16" i="21"/>
  <c r="N43" i="21"/>
  <c r="T19" i="21"/>
  <c r="T24" i="21"/>
  <c r="N41" i="21"/>
  <c r="T12" i="21"/>
  <c r="T29" i="21"/>
  <c r="F40" i="21"/>
  <c r="O48" i="21"/>
  <c r="C42" i="21"/>
  <c r="E42" i="21"/>
  <c r="N42" i="21"/>
  <c r="C45" i="21"/>
  <c r="D45" i="21"/>
  <c r="D42" i="21"/>
  <c r="N44" i="21"/>
  <c r="C44" i="21"/>
  <c r="F45" i="21"/>
  <c r="F44" i="21"/>
  <c r="E44" i="21"/>
  <c r="N45" i="21"/>
  <c r="F42" i="21"/>
  <c r="D44" i="21"/>
  <c r="E40" i="21"/>
  <c r="E45" i="21"/>
  <c r="D40" i="21"/>
  <c r="D8" i="22"/>
  <c r="D8" i="21"/>
  <c r="D7" i="22"/>
  <c r="D7" i="21"/>
  <c r="D11" i="22"/>
  <c r="AD85" i="25"/>
  <c r="I33" i="21" s="1"/>
  <c r="E49" i="21" s="1"/>
  <c r="AD113" i="25"/>
  <c r="J33" i="21" s="1"/>
  <c r="F49" i="21" s="1"/>
  <c r="AD13" i="25"/>
  <c r="G6" i="21" s="1"/>
  <c r="C40" i="21" s="1"/>
  <c r="D22" i="22"/>
  <c r="D22" i="21"/>
  <c r="D15" i="22"/>
  <c r="D15" i="21"/>
  <c r="D23" i="21"/>
  <c r="D23" i="22"/>
  <c r="H32" i="21"/>
  <c r="D48" i="21" s="1"/>
  <c r="AD57" i="25"/>
  <c r="H33" i="21" s="1"/>
  <c r="D49" i="21" s="1"/>
  <c r="D21" i="22"/>
  <c r="D21" i="21"/>
  <c r="D18" i="22"/>
  <c r="D18" i="21"/>
  <c r="AD29" i="25"/>
  <c r="G33" i="21" s="1"/>
  <c r="C49" i="21" s="1"/>
  <c r="G32" i="21"/>
  <c r="C48" i="21" s="1"/>
  <c r="D14" i="22"/>
  <c r="D14" i="21"/>
  <c r="D6" i="22"/>
  <c r="D6" i="21"/>
  <c r="AD83" i="19"/>
  <c r="AD84" i="19"/>
  <c r="V32" i="21" s="1"/>
  <c r="AD55" i="19"/>
  <c r="W26" i="21"/>
  <c r="W15" i="21"/>
  <c r="W21" i="21"/>
  <c r="W14" i="21"/>
  <c r="W22" i="21"/>
  <c r="W11" i="21"/>
  <c r="R41" i="21" s="1"/>
  <c r="W23" i="21"/>
  <c r="W27" i="21"/>
  <c r="W18" i="21"/>
  <c r="R43" i="21" s="1"/>
  <c r="V27" i="21"/>
  <c r="P45" i="21" s="1"/>
  <c r="V22" i="21"/>
  <c r="V21" i="21"/>
  <c r="V14" i="21"/>
  <c r="V23" i="21"/>
  <c r="V15" i="21"/>
  <c r="V11" i="21"/>
  <c r="V18" i="21"/>
  <c r="U21" i="21"/>
  <c r="U26" i="21"/>
  <c r="U22" i="21"/>
  <c r="U15" i="21"/>
  <c r="U14" i="21"/>
  <c r="U23" i="21"/>
  <c r="U18" i="21"/>
  <c r="U11" i="21"/>
  <c r="U27" i="21"/>
  <c r="V6" i="21"/>
  <c r="V9" i="21" s="1"/>
  <c r="U6" i="21"/>
  <c r="U9" i="21" s="1"/>
  <c r="T6" i="21"/>
  <c r="T9" i="21" s="1"/>
  <c r="U16" i="21" l="1"/>
  <c r="AD141" i="19"/>
  <c r="V29" i="21"/>
  <c r="U29" i="21"/>
  <c r="O43" i="21"/>
  <c r="U19" i="21"/>
  <c r="T31" i="21"/>
  <c r="P41" i="21"/>
  <c r="V12" i="21"/>
  <c r="V24" i="21"/>
  <c r="V16" i="21"/>
  <c r="U24" i="21"/>
  <c r="O41" i="21"/>
  <c r="U12" i="21"/>
  <c r="P43" i="21"/>
  <c r="V19" i="21"/>
  <c r="W24" i="21"/>
  <c r="N40" i="21"/>
  <c r="O40" i="21"/>
  <c r="P40" i="21"/>
  <c r="P48" i="21"/>
  <c r="R45" i="21"/>
  <c r="O45" i="21"/>
  <c r="P42" i="21"/>
  <c r="P44" i="21"/>
  <c r="R42" i="21"/>
  <c r="O42" i="21"/>
  <c r="R44" i="21"/>
  <c r="O44" i="21"/>
  <c r="AD85" i="19"/>
  <c r="AD57" i="19"/>
  <c r="AD29" i="19"/>
  <c r="A76" i="1"/>
  <c r="U31" i="21" l="1"/>
  <c r="U33" i="21" s="1"/>
  <c r="O49" i="21" s="1"/>
  <c r="V31" i="21"/>
  <c r="P47" i="21" s="1"/>
  <c r="T33" i="21"/>
  <c r="N49" i="21" s="1"/>
  <c r="N47" i="21"/>
  <c r="O47" i="21"/>
  <c r="R99" i="20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8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8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O70" i="26"/>
  <c r="S75" i="26"/>
  <c r="AA75" i="26"/>
  <c r="V82" i="26"/>
  <c r="AA70" i="26"/>
  <c r="G75" i="26"/>
  <c r="Y69" i="26"/>
  <c r="V69" i="26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8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8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R6" i="21"/>
  <c r="P54" i="20"/>
  <c r="P110" i="20"/>
  <c r="O26" i="20"/>
  <c r="H28" i="20"/>
  <c r="H111" i="20"/>
  <c r="H111" i="19"/>
  <c r="R110" i="20"/>
  <c r="M26" i="20"/>
  <c r="N54" i="20"/>
  <c r="Q26" i="20"/>
  <c r="I124" i="20" l="1"/>
  <c r="I130" i="20"/>
  <c r="P8" i="22"/>
  <c r="I125" i="20"/>
  <c r="AC138" i="20"/>
  <c r="P138" i="20"/>
  <c r="I128" i="20"/>
  <c r="I132" i="20"/>
  <c r="AC132" i="20"/>
  <c r="AD132" i="20" s="1"/>
  <c r="P7" i="22"/>
  <c r="I131" i="20"/>
  <c r="AD16" i="20"/>
  <c r="T8" i="22" s="1"/>
  <c r="AD127" i="20"/>
  <c r="O7" i="22"/>
  <c r="AC126" i="20"/>
  <c r="O8" i="22"/>
  <c r="V33" i="21"/>
  <c r="P49" i="21" s="1"/>
  <c r="P26" i="22"/>
  <c r="P28" i="22"/>
  <c r="P27" i="22"/>
  <c r="O26" i="22"/>
  <c r="O28" i="22"/>
  <c r="O27" i="22"/>
  <c r="I109" i="20"/>
  <c r="V83" i="26"/>
  <c r="U83" i="26"/>
  <c r="T83" i="26"/>
  <c r="S83" i="26"/>
  <c r="AC99" i="20"/>
  <c r="AD99" i="20" s="1"/>
  <c r="W7" i="22" s="1"/>
  <c r="I72" i="20"/>
  <c r="Q8" i="22" s="1"/>
  <c r="I43" i="26"/>
  <c r="I72" i="26"/>
  <c r="E8" i="22" s="1"/>
  <c r="I75" i="26"/>
  <c r="E18" i="22" s="1"/>
  <c r="I100" i="26"/>
  <c r="F8" i="22" s="1"/>
  <c r="I44" i="20"/>
  <c r="I16" i="20"/>
  <c r="I100" i="20"/>
  <c r="R8" i="22" s="1"/>
  <c r="AC43" i="26"/>
  <c r="AD43" i="26" s="1"/>
  <c r="H7" i="22" s="1"/>
  <c r="I71" i="20"/>
  <c r="Q7" i="22" s="1"/>
  <c r="I44" i="26"/>
  <c r="I99" i="20"/>
  <c r="R7" i="22" s="1"/>
  <c r="AC43" i="20"/>
  <c r="AD43" i="20" s="1"/>
  <c r="U7" i="22" s="1"/>
  <c r="I43" i="20"/>
  <c r="I45" i="26"/>
  <c r="AD44" i="26"/>
  <c r="H8" i="22" s="1"/>
  <c r="AD44" i="20"/>
  <c r="U8" i="22" s="1"/>
  <c r="AD100" i="20"/>
  <c r="W8" i="22" s="1"/>
  <c r="AD71" i="20"/>
  <c r="V7" i="22" s="1"/>
  <c r="AD72" i="20"/>
  <c r="V8" i="22" s="1"/>
  <c r="I15" i="20"/>
  <c r="AC56" i="20"/>
  <c r="AC15" i="20"/>
  <c r="AD15" i="20" s="1"/>
  <c r="T7" i="22" s="1"/>
  <c r="AC99" i="26"/>
  <c r="AD99" i="26" s="1"/>
  <c r="J7" i="22" s="1"/>
  <c r="AC15" i="26"/>
  <c r="AD15" i="26" s="1"/>
  <c r="G7" i="22" s="1"/>
  <c r="I81" i="26"/>
  <c r="I80" i="26"/>
  <c r="I71" i="26"/>
  <c r="E7" i="22" s="1"/>
  <c r="I21" i="20"/>
  <c r="O22" i="22" s="1"/>
  <c r="I15" i="26"/>
  <c r="C7" i="22" s="1"/>
  <c r="AD71" i="26"/>
  <c r="I7" i="22" s="1"/>
  <c r="I99" i="26"/>
  <c r="F7" i="22" s="1"/>
  <c r="AD82" i="26"/>
  <c r="I30" i="22" s="1"/>
  <c r="E46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P18" i="22" s="1"/>
  <c r="AD70" i="26"/>
  <c r="I11" i="22" s="1"/>
  <c r="E41" i="22" s="1"/>
  <c r="AD79" i="26"/>
  <c r="I26" i="22" s="1"/>
  <c r="E45" i="22" s="1"/>
  <c r="AD78" i="26"/>
  <c r="I23" i="22" s="1"/>
  <c r="AD80" i="26"/>
  <c r="I27" i="22" s="1"/>
  <c r="AD76" i="26"/>
  <c r="I21" i="22" s="1"/>
  <c r="E44" i="22" s="1"/>
  <c r="I104" i="20"/>
  <c r="R21" i="22" s="1"/>
  <c r="AD74" i="26"/>
  <c r="I15" i="22" s="1"/>
  <c r="AD73" i="26"/>
  <c r="I14" i="22" s="1"/>
  <c r="E42" i="22" s="1"/>
  <c r="AD81" i="26"/>
  <c r="I28" i="22" s="1"/>
  <c r="AD77" i="26"/>
  <c r="I22" i="22" s="1"/>
  <c r="I83" i="26"/>
  <c r="AD83" i="26" s="1"/>
  <c r="I31" i="22" s="1"/>
  <c r="E47" i="22" s="1"/>
  <c r="AC83" i="26"/>
  <c r="I23" i="20"/>
  <c r="I78" i="26"/>
  <c r="E23" i="22" s="1"/>
  <c r="I84" i="26"/>
  <c r="AD84" i="26" s="1"/>
  <c r="AC84" i="26"/>
  <c r="AC69" i="26"/>
  <c r="AD69" i="26" s="1"/>
  <c r="I6" i="22" s="1"/>
  <c r="E40" i="22" s="1"/>
  <c r="M83" i="26"/>
  <c r="I77" i="26"/>
  <c r="E22" i="22" s="1"/>
  <c r="I76" i="26"/>
  <c r="E21" i="22" s="1"/>
  <c r="I70" i="26"/>
  <c r="E11" i="22" s="1"/>
  <c r="I74" i="26"/>
  <c r="E15" i="22" s="1"/>
  <c r="I73" i="26"/>
  <c r="E14" i="22" s="1"/>
  <c r="I79" i="26"/>
  <c r="AC23" i="20"/>
  <c r="AD23" i="20" s="1"/>
  <c r="T26" i="22" s="1"/>
  <c r="I17" i="20"/>
  <c r="O14" i="22" s="1"/>
  <c r="I52" i="20"/>
  <c r="I14" i="20"/>
  <c r="O11" i="22" s="1"/>
  <c r="I106" i="20"/>
  <c r="R23" i="22" s="1"/>
  <c r="I22" i="20"/>
  <c r="O23" i="22" s="1"/>
  <c r="I18" i="20"/>
  <c r="O15" i="22" s="1"/>
  <c r="I19" i="20"/>
  <c r="O18" i="22" s="1"/>
  <c r="I46" i="20"/>
  <c r="P15" i="22" s="1"/>
  <c r="I28" i="26"/>
  <c r="AD28" i="26" s="1"/>
  <c r="G32" i="22" s="1"/>
  <c r="C48" i="22" s="1"/>
  <c r="I42" i="26"/>
  <c r="AC55" i="26"/>
  <c r="I48" i="20"/>
  <c r="P21" i="22" s="1"/>
  <c r="I14" i="26"/>
  <c r="C11" i="22" s="1"/>
  <c r="I80" i="20"/>
  <c r="I107" i="20"/>
  <c r="I75" i="20"/>
  <c r="Q18" i="22" s="1"/>
  <c r="I76" i="20"/>
  <c r="Q21" i="22" s="1"/>
  <c r="I49" i="26"/>
  <c r="I42" i="20"/>
  <c r="P11" i="22" s="1"/>
  <c r="I103" i="20"/>
  <c r="R18" i="22" s="1"/>
  <c r="I23" i="26"/>
  <c r="I45" i="20"/>
  <c r="P14" i="22" s="1"/>
  <c r="AC111" i="26"/>
  <c r="I51" i="26"/>
  <c r="Z27" i="26"/>
  <c r="I53" i="26"/>
  <c r="W27" i="26"/>
  <c r="I97" i="26"/>
  <c r="F6" i="22" s="1"/>
  <c r="I105" i="26"/>
  <c r="F22" i="22" s="1"/>
  <c r="I20" i="20"/>
  <c r="O21" i="22" s="1"/>
  <c r="I102" i="20"/>
  <c r="R15" i="22" s="1"/>
  <c r="I13" i="26"/>
  <c r="C6" i="22" s="1"/>
  <c r="O27" i="26"/>
  <c r="AC21" i="20"/>
  <c r="AD21" i="20" s="1"/>
  <c r="I102" i="26"/>
  <c r="F15" i="22" s="1"/>
  <c r="I13" i="20"/>
  <c r="O6" i="22" s="1"/>
  <c r="AC19" i="20"/>
  <c r="AD19" i="20" s="1"/>
  <c r="AC23" i="26"/>
  <c r="AD23" i="26" s="1"/>
  <c r="G26" i="22" s="1"/>
  <c r="AC78" i="20"/>
  <c r="AD78" i="20" s="1"/>
  <c r="V23" i="22" s="1"/>
  <c r="Y55" i="26"/>
  <c r="I101" i="26"/>
  <c r="F14" i="22" s="1"/>
  <c r="I41" i="20"/>
  <c r="P6" i="22" s="1"/>
  <c r="I97" i="20"/>
  <c r="R6" i="22" s="1"/>
  <c r="I69" i="20"/>
  <c r="Q6" i="22" s="1"/>
  <c r="U111" i="26"/>
  <c r="I79" i="20"/>
  <c r="AC56" i="26"/>
  <c r="I19" i="26"/>
  <c r="C18" i="22" s="1"/>
  <c r="I53" i="20"/>
  <c r="AC26" i="26"/>
  <c r="AD26" i="26" s="1"/>
  <c r="G30" i="22" s="1"/>
  <c r="C46" i="22" s="1"/>
  <c r="AC80" i="20"/>
  <c r="AD80" i="20" s="1"/>
  <c r="V27" i="22" s="1"/>
  <c r="I98" i="20"/>
  <c r="R11" i="22" s="1"/>
  <c r="AC108" i="20"/>
  <c r="AD108" i="20" s="1"/>
  <c r="I22" i="26"/>
  <c r="C23" i="22" s="1"/>
  <c r="AC107" i="20"/>
  <c r="AD107" i="20" s="1"/>
  <c r="AA27" i="26"/>
  <c r="AC51" i="20"/>
  <c r="AD51" i="20" s="1"/>
  <c r="AC101" i="26"/>
  <c r="AD101" i="26" s="1"/>
  <c r="J14" i="22" s="1"/>
  <c r="AC46" i="26"/>
  <c r="AD46" i="26" s="1"/>
  <c r="H15" i="22" s="1"/>
  <c r="W55" i="26"/>
  <c r="I47" i="26"/>
  <c r="Q55" i="26"/>
  <c r="I108" i="26"/>
  <c r="AC27" i="26"/>
  <c r="I18" i="26"/>
  <c r="C15" i="22" s="1"/>
  <c r="I17" i="26"/>
  <c r="C14" i="22" s="1"/>
  <c r="I25" i="20"/>
  <c r="I78" i="20"/>
  <c r="Q23" i="22" s="1"/>
  <c r="I101" i="20"/>
  <c r="R14" i="22" s="1"/>
  <c r="N83" i="20"/>
  <c r="Y27" i="26"/>
  <c r="AC84" i="20"/>
  <c r="I84" i="20"/>
  <c r="AD84" i="20" s="1"/>
  <c r="S55" i="26"/>
  <c r="AC53" i="26"/>
  <c r="AD53" i="26" s="1"/>
  <c r="H28" i="22" s="1"/>
  <c r="Y111" i="26"/>
  <c r="P111" i="26"/>
  <c r="N27" i="26"/>
  <c r="N111" i="26"/>
  <c r="W111" i="26"/>
  <c r="I25" i="26"/>
  <c r="AC79" i="20"/>
  <c r="AD79" i="20" s="1"/>
  <c r="V26" i="22" s="1"/>
  <c r="Q45" i="22" s="1"/>
  <c r="AC69" i="20"/>
  <c r="AD69" i="20" s="1"/>
  <c r="V6" i="22" s="1"/>
  <c r="Q40" i="22" s="1"/>
  <c r="M83" i="20"/>
  <c r="T27" i="26"/>
  <c r="I70" i="20"/>
  <c r="Q11" i="22" s="1"/>
  <c r="Q83" i="20"/>
  <c r="T111" i="26"/>
  <c r="Q111" i="26"/>
  <c r="AC103" i="20"/>
  <c r="AD103" i="20" s="1"/>
  <c r="Q27" i="26"/>
  <c r="AC106" i="26"/>
  <c r="AD106" i="26" s="1"/>
  <c r="J23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28" i="22" s="1"/>
  <c r="AC52" i="20"/>
  <c r="AD52" i="20" s="1"/>
  <c r="AC109" i="20"/>
  <c r="AD109" i="20" s="1"/>
  <c r="W28" i="22" s="1"/>
  <c r="AC45" i="20"/>
  <c r="AD45" i="20" s="1"/>
  <c r="I49" i="20"/>
  <c r="P22" i="22" s="1"/>
  <c r="AC20" i="20"/>
  <c r="AD20" i="20" s="1"/>
  <c r="AB27" i="26"/>
  <c r="U55" i="26"/>
  <c r="I18" i="22"/>
  <c r="E43" i="22" s="1"/>
  <c r="M111" i="26"/>
  <c r="AC97" i="26"/>
  <c r="AD97" i="26" s="1"/>
  <c r="J6" i="22" s="1"/>
  <c r="AC47" i="26"/>
  <c r="AD47" i="26" s="1"/>
  <c r="H18" i="22" s="1"/>
  <c r="D43" i="22" s="1"/>
  <c r="AC42" i="26"/>
  <c r="AD42" i="26" s="1"/>
  <c r="H11" i="22" s="1"/>
  <c r="D41" i="22" s="1"/>
  <c r="AC83" i="20"/>
  <c r="I83" i="20"/>
  <c r="AD83" i="20" s="1"/>
  <c r="Q47" i="22" s="1"/>
  <c r="P83" i="20"/>
  <c r="N55" i="26"/>
  <c r="M55" i="26"/>
  <c r="AC41" i="26"/>
  <c r="AD41" i="26" s="1"/>
  <c r="H6" i="22" s="1"/>
  <c r="I74" i="20"/>
  <c r="Q15" i="22" s="1"/>
  <c r="X111" i="26"/>
  <c r="I27" i="26"/>
  <c r="AD27" i="26" s="1"/>
  <c r="G31" i="22" s="1"/>
  <c r="C47" i="22" s="1"/>
  <c r="AC74" i="20"/>
  <c r="AD74" i="20" s="1"/>
  <c r="V15" i="22" s="1"/>
  <c r="V55" i="26"/>
  <c r="I20" i="26"/>
  <c r="C21" i="22" s="1"/>
  <c r="P27" i="26"/>
  <c r="V27" i="26"/>
  <c r="O55" i="26"/>
  <c r="AC103" i="26"/>
  <c r="AD103" i="26" s="1"/>
  <c r="J18" i="22" s="1"/>
  <c r="F43" i="22" s="1"/>
  <c r="X55" i="26"/>
  <c r="I52" i="26"/>
  <c r="R55" i="26"/>
  <c r="P55" i="26"/>
  <c r="I24" i="26"/>
  <c r="S111" i="26"/>
  <c r="AC45" i="26"/>
  <c r="AD45" i="26" s="1"/>
  <c r="H14" i="22" s="1"/>
  <c r="Z111" i="26"/>
  <c r="AC49" i="26"/>
  <c r="AD49" i="26" s="1"/>
  <c r="H22" i="22" s="1"/>
  <c r="AC77" i="20"/>
  <c r="AD77" i="20" s="1"/>
  <c r="V22" i="22" s="1"/>
  <c r="AC51" i="26"/>
  <c r="AD51" i="26" s="1"/>
  <c r="H2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U28" i="22" s="1"/>
  <c r="AC14" i="26"/>
  <c r="AD14" i="26" s="1"/>
  <c r="G11" i="22" s="1"/>
  <c r="C41" i="22" s="1"/>
  <c r="AC22" i="26"/>
  <c r="AD22" i="26" s="1"/>
  <c r="G23" i="22" s="1"/>
  <c r="AC24" i="20"/>
  <c r="AD24" i="20" s="1"/>
  <c r="AC106" i="20"/>
  <c r="AD106" i="20" s="1"/>
  <c r="AC19" i="26"/>
  <c r="AD19" i="26" s="1"/>
  <c r="G18" i="22" s="1"/>
  <c r="C43" i="22" s="1"/>
  <c r="I105" i="20"/>
  <c r="R22" i="22" s="1"/>
  <c r="AC102" i="20"/>
  <c r="AD102" i="20" s="1"/>
  <c r="AC50" i="20"/>
  <c r="AD50" i="20" s="1"/>
  <c r="R111" i="26"/>
  <c r="AC54" i="26"/>
  <c r="AD54" i="26" s="1"/>
  <c r="H30" i="22" s="1"/>
  <c r="D46" i="22" s="1"/>
  <c r="AC70" i="20"/>
  <c r="AD70" i="20" s="1"/>
  <c r="V11" i="22" s="1"/>
  <c r="Q41" i="22" s="1"/>
  <c r="R27" i="26"/>
  <c r="AC110" i="26"/>
  <c r="AD110" i="26" s="1"/>
  <c r="J30" i="22" s="1"/>
  <c r="F46" i="22" s="1"/>
  <c r="X27" i="26"/>
  <c r="AC102" i="26"/>
  <c r="AD102" i="26" s="1"/>
  <c r="J15" i="22" s="1"/>
  <c r="AC108" i="26"/>
  <c r="AD108" i="26" s="1"/>
  <c r="J27" i="22" s="1"/>
  <c r="AC109" i="26"/>
  <c r="AD109" i="26" s="1"/>
  <c r="J28" i="22" s="1"/>
  <c r="AC21" i="26"/>
  <c r="AD21" i="26" s="1"/>
  <c r="G22" i="22" s="1"/>
  <c r="AC20" i="26"/>
  <c r="AD20" i="26" s="1"/>
  <c r="G21" i="22" s="1"/>
  <c r="I41" i="26"/>
  <c r="Z55" i="26"/>
  <c r="I48" i="26"/>
  <c r="AC112" i="26"/>
  <c r="I112" i="26"/>
  <c r="AD112" i="26" s="1"/>
  <c r="AC50" i="26"/>
  <c r="AD50" i="26" s="1"/>
  <c r="H23" i="22" s="1"/>
  <c r="AC52" i="26"/>
  <c r="AD52" i="26" s="1"/>
  <c r="H27" i="22" s="1"/>
  <c r="AC24" i="26"/>
  <c r="AD24" i="26" s="1"/>
  <c r="G27" i="22" s="1"/>
  <c r="S27" i="26"/>
  <c r="AC28" i="26"/>
  <c r="I46" i="26"/>
  <c r="U27" i="26"/>
  <c r="AB55" i="26"/>
  <c r="I98" i="26"/>
  <c r="F11" i="22" s="1"/>
  <c r="I111" i="26"/>
  <c r="AD111" i="26" s="1"/>
  <c r="J31" i="22" s="1"/>
  <c r="F47" i="22" s="1"/>
  <c r="I55" i="26"/>
  <c r="AD55" i="26" s="1"/>
  <c r="H31" i="22" s="1"/>
  <c r="D47" i="22" s="1"/>
  <c r="AC76" i="20"/>
  <c r="AD76" i="20" s="1"/>
  <c r="V21" i="22" s="1"/>
  <c r="Q44" i="22" s="1"/>
  <c r="AC48" i="26"/>
  <c r="AD48" i="26" s="1"/>
  <c r="H21" i="22" s="1"/>
  <c r="I103" i="26"/>
  <c r="F18" i="22" s="1"/>
  <c r="AA111" i="26"/>
  <c r="AC98" i="20"/>
  <c r="AD98" i="20" s="1"/>
  <c r="AC47" i="20"/>
  <c r="AD47" i="20" s="1"/>
  <c r="M27" i="26"/>
  <c r="AC13" i="26"/>
  <c r="AD13" i="26" s="1"/>
  <c r="G6" i="22" s="1"/>
  <c r="C40" i="22" s="1"/>
  <c r="AC49" i="20"/>
  <c r="AD49" i="20" s="1"/>
  <c r="AC25" i="20"/>
  <c r="AD25" i="20" s="1"/>
  <c r="T28" i="22" s="1"/>
  <c r="I50" i="20"/>
  <c r="P23" i="22" s="1"/>
  <c r="AC42" i="20"/>
  <c r="AD42" i="20" s="1"/>
  <c r="AC14" i="20"/>
  <c r="AD14" i="20" s="1"/>
  <c r="AC18" i="26"/>
  <c r="AD18" i="26" s="1"/>
  <c r="G15" i="22" s="1"/>
  <c r="AC41" i="20"/>
  <c r="AD41" i="20" s="1"/>
  <c r="AC82" i="20"/>
  <c r="AD82" i="20" s="1"/>
  <c r="V30" i="22" s="1"/>
  <c r="Q46" i="22" s="1"/>
  <c r="I106" i="26"/>
  <c r="F23" i="22" s="1"/>
  <c r="I50" i="26"/>
  <c r="O83" i="20"/>
  <c r="AC73" i="20"/>
  <c r="AD73" i="20" s="1"/>
  <c r="V14" i="22" s="1"/>
  <c r="Q42" i="22" s="1"/>
  <c r="V111" i="26"/>
  <c r="T55" i="26"/>
  <c r="I21" i="26"/>
  <c r="C22" i="22" s="1"/>
  <c r="I77" i="20"/>
  <c r="Q22" i="22" s="1"/>
  <c r="I56" i="26"/>
  <c r="AD56" i="26" s="1"/>
  <c r="I107" i="26"/>
  <c r="I104" i="26"/>
  <c r="F21" i="22" s="1"/>
  <c r="AC104" i="26"/>
  <c r="AD104" i="26" s="1"/>
  <c r="J21" i="22" s="1"/>
  <c r="O111" i="26"/>
  <c r="AC105" i="26"/>
  <c r="AD105" i="26" s="1"/>
  <c r="J22" i="22" s="1"/>
  <c r="R83" i="20"/>
  <c r="AC75" i="20"/>
  <c r="AD75" i="20" s="1"/>
  <c r="V18" i="22" s="1"/>
  <c r="Q43" i="22" s="1"/>
  <c r="AC107" i="26"/>
  <c r="AD107" i="26" s="1"/>
  <c r="J26" i="22" s="1"/>
  <c r="AA55" i="26"/>
  <c r="AC17" i="26"/>
  <c r="AD17" i="26" s="1"/>
  <c r="G14" i="22" s="1"/>
  <c r="AC81" i="20"/>
  <c r="AD81" i="20" s="1"/>
  <c r="V28" i="22" s="1"/>
  <c r="AC98" i="26"/>
  <c r="AD98" i="26" s="1"/>
  <c r="J11" i="22" s="1"/>
  <c r="F41" i="22" s="1"/>
  <c r="I73" i="20"/>
  <c r="Q14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W32" i="22" s="1"/>
  <c r="R48" i="22" s="1"/>
  <c r="P27" i="20"/>
  <c r="N27" i="20"/>
  <c r="AC110" i="20"/>
  <c r="N111" i="20"/>
  <c r="AC54" i="20"/>
  <c r="R55" i="20"/>
  <c r="R27" i="20"/>
  <c r="I28" i="20"/>
  <c r="AD28" i="20" s="1"/>
  <c r="T32" i="22" s="1"/>
  <c r="O55" i="20"/>
  <c r="Q27" i="20"/>
  <c r="P55" i="20"/>
  <c r="I112" i="19"/>
  <c r="AD112" i="19" s="1"/>
  <c r="W32" i="21" s="1"/>
  <c r="O111" i="20"/>
  <c r="M55" i="20"/>
  <c r="M27" i="20"/>
  <c r="N55" i="20"/>
  <c r="O27" i="20"/>
  <c r="I56" i="20"/>
  <c r="AD56" i="20" s="1"/>
  <c r="U32" i="22" s="1"/>
  <c r="Q55" i="20"/>
  <c r="Q111" i="20"/>
  <c r="M111" i="20"/>
  <c r="AC135" i="20" l="1"/>
  <c r="AD135" i="20" s="1"/>
  <c r="I138" i="20"/>
  <c r="AD138" i="20" s="1"/>
  <c r="AC133" i="20"/>
  <c r="AD133" i="20" s="1"/>
  <c r="AC136" i="20"/>
  <c r="AD136" i="20" s="1"/>
  <c r="N138" i="20"/>
  <c r="AC125" i="20"/>
  <c r="AD125" i="20" s="1"/>
  <c r="O138" i="20"/>
  <c r="I133" i="20"/>
  <c r="AC137" i="20"/>
  <c r="AD137" i="20" s="1"/>
  <c r="AC134" i="20"/>
  <c r="AD134" i="20" s="1"/>
  <c r="AC124" i="20"/>
  <c r="AD124" i="20" s="1"/>
  <c r="AC131" i="20"/>
  <c r="AD131" i="20" s="1"/>
  <c r="R138" i="20"/>
  <c r="Q138" i="20"/>
  <c r="AC139" i="20"/>
  <c r="M138" i="20"/>
  <c r="AC128" i="20"/>
  <c r="AD128" i="20" s="1"/>
  <c r="AC129" i="20"/>
  <c r="AD129" i="20" s="1"/>
  <c r="I129" i="20"/>
  <c r="AD126" i="20"/>
  <c r="AC130" i="20"/>
  <c r="AD130" i="20" s="1"/>
  <c r="I139" i="20"/>
  <c r="AD139" i="20" s="1"/>
  <c r="AD140" i="20" s="1"/>
  <c r="F42" i="22"/>
  <c r="R48" i="21"/>
  <c r="P48" i="22"/>
  <c r="O48" i="22"/>
  <c r="D42" i="22"/>
  <c r="F45" i="22"/>
  <c r="C44" i="22"/>
  <c r="F44" i="22"/>
  <c r="C45" i="22"/>
  <c r="D45" i="22"/>
  <c r="C42" i="22"/>
  <c r="D44" i="22"/>
  <c r="D40" i="22"/>
  <c r="F40" i="22"/>
  <c r="AD85" i="26"/>
  <c r="I33" i="22" s="1"/>
  <c r="E49" i="22" s="1"/>
  <c r="I32" i="22"/>
  <c r="E48" i="22" s="1"/>
  <c r="J32" i="22"/>
  <c r="F48" i="22" s="1"/>
  <c r="AD113" i="26"/>
  <c r="J33" i="22" s="1"/>
  <c r="F49" i="22" s="1"/>
  <c r="V32" i="22"/>
  <c r="Q48" i="22" s="1"/>
  <c r="AD85" i="20"/>
  <c r="V33" i="22" s="1"/>
  <c r="Q49" i="22" s="1"/>
  <c r="H32" i="22"/>
  <c r="D48" i="22" s="1"/>
  <c r="AD57" i="26"/>
  <c r="H33" i="22" s="1"/>
  <c r="D49" i="22" s="1"/>
  <c r="AD29" i="26"/>
  <c r="G33" i="22" s="1"/>
  <c r="C49" i="22" s="1"/>
  <c r="AD55" i="20"/>
  <c r="AD27" i="20"/>
  <c r="AD111" i="20"/>
  <c r="AD111" i="19"/>
  <c r="W15" i="22"/>
  <c r="W14" i="22"/>
  <c r="W23" i="22"/>
  <c r="W22" i="22"/>
  <c r="W11" i="22"/>
  <c r="R41" i="22" s="1"/>
  <c r="W18" i="22"/>
  <c r="R43" i="22" s="1"/>
  <c r="W27" i="22"/>
  <c r="W26" i="22"/>
  <c r="W21" i="22"/>
  <c r="U11" i="22"/>
  <c r="U23" i="22"/>
  <c r="U18" i="22"/>
  <c r="U14" i="22"/>
  <c r="U21" i="22"/>
  <c r="U26" i="22"/>
  <c r="U22" i="22"/>
  <c r="U15" i="22"/>
  <c r="U27" i="22"/>
  <c r="T18" i="22"/>
  <c r="T22" i="22"/>
  <c r="T27" i="22"/>
  <c r="O45" i="22" s="1"/>
  <c r="T21" i="22"/>
  <c r="T23" i="22"/>
  <c r="T15" i="22"/>
  <c r="T11" i="22"/>
  <c r="T14" i="22"/>
  <c r="AD110" i="20"/>
  <c r="W30" i="22" s="1"/>
  <c r="R46" i="22" s="1"/>
  <c r="T6" i="22"/>
  <c r="T9" i="22" s="1"/>
  <c r="AD54" i="20"/>
  <c r="U30" i="22" s="1"/>
  <c r="P46" i="22" s="1"/>
  <c r="AD26" i="20"/>
  <c r="T30" i="22" s="1"/>
  <c r="O46" i="22" s="1"/>
  <c r="T16" i="22" l="1"/>
  <c r="P43" i="22"/>
  <c r="U19" i="22"/>
  <c r="O43" i="22"/>
  <c r="T19" i="22"/>
  <c r="U29" i="22"/>
  <c r="T24" i="22"/>
  <c r="U24" i="22"/>
  <c r="U16" i="22"/>
  <c r="T29" i="22"/>
  <c r="P41" i="22"/>
  <c r="U12" i="22"/>
  <c r="O41" i="22"/>
  <c r="T12" i="22"/>
  <c r="O40" i="22"/>
  <c r="R44" i="22"/>
  <c r="P45" i="22"/>
  <c r="P44" i="22"/>
  <c r="O44" i="22"/>
  <c r="R45" i="22"/>
  <c r="P42" i="22"/>
  <c r="O42" i="22"/>
  <c r="R42" i="22"/>
  <c r="AD113" i="20"/>
  <c r="W33" i="22" s="1"/>
  <c r="R49" i="22" s="1"/>
  <c r="R47" i="22"/>
  <c r="AD57" i="20"/>
  <c r="AD113" i="19"/>
  <c r="W31" i="21"/>
  <c r="AD29" i="20"/>
  <c r="W6" i="21"/>
  <c r="R40" i="21" s="1"/>
  <c r="U6" i="22"/>
  <c r="U9" i="22" s="1"/>
  <c r="W6" i="22"/>
  <c r="R40" i="22" s="1"/>
  <c r="R47" i="21" l="1"/>
  <c r="W33" i="21"/>
  <c r="R49" i="21" s="1"/>
  <c r="P40" i="22"/>
  <c r="T31" i="22"/>
  <c r="O47" i="22" s="1"/>
  <c r="T33" i="22" l="1"/>
  <c r="O49" i="22" s="1"/>
  <c r="U31" i="22"/>
  <c r="U33" i="22" s="1"/>
  <c r="P49" i="22" s="1"/>
  <c r="P47" i="22" l="1"/>
</calcChain>
</file>

<file path=xl/sharedStrings.xml><?xml version="1.0" encoding="utf-8"?>
<sst xmlns="http://schemas.openxmlformats.org/spreadsheetml/2006/main" count="1448" uniqueCount="115">
  <si>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</si>
  <si>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</si>
  <si>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</si>
  <si>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</si>
  <si>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</si>
  <si>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</si>
  <si>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</si>
  <si>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</si>
  <si>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</si>
  <si>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</si>
  <si>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</si>
  <si>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</si>
  <si>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</si>
  <si>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</si>
  <si>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</si>
  <si>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</si>
  <si>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</si>
  <si>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</si>
  <si>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</si>
  <si>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</si>
  <si>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</si>
  <si>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</si>
  <si>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</si>
  <si>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</si>
  <si>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</si>
  <si>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</si>
  <si>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</si>
  <si>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</si>
  <si>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</si>
  <si>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</si>
  <si>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</si>
  <si>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</si>
  <si>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</si>
  <si>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</si>
  <si>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</si>
  <si>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</si>
  <si>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</si>
  <si>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</si>
  <si>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</si>
  <si>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</si>
  <si>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</si>
  <si>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</si>
  <si>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</si>
  <si>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</si>
  <si>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</si>
  <si>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</si>
  <si>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</si>
  <si>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</si>
  <si>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</si>
  <si>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</si>
  <si>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</si>
  <si>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</si>
  <si>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</si>
  <si>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</si>
  <si>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</si>
  <si>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</si>
  <si>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</si>
  <si>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</si>
  <si>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</si>
  <si>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</si>
  <si>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</si>
  <si>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</si>
  <si>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</si>
  <si>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</si>
  <si>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</si>
  <si>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</si>
  <si>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</si>
  <si>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</si>
  <si>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</si>
  <si>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</si>
  <si>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</si>
  <si>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</si>
  <si>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</si>
  <si>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</si>
  <si>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</si>
  <si>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</si>
  <si>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</si>
  <si>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MAINTENANCE_WMATA</t>
  </si>
  <si>
    <t>RESTRUCTURE</t>
  </si>
  <si>
    <t>MAINTENANCE_WMATA_FAC</t>
  </si>
  <si>
    <t>Network Restructure</t>
  </si>
  <si>
    <t>Major Maintenance Event</t>
  </si>
  <si>
    <t>GAS_PRICE_2018</t>
  </si>
  <si>
    <t>GAS_PRICE_2018_log_FAC</t>
  </si>
  <si>
    <t>YEARS_SINCE_TNC_RAIL_MID_FAC</t>
  </si>
  <si>
    <t>RESTRUCTURE_FAC</t>
  </si>
  <si>
    <t>Years Since Ride-Hail Start</t>
  </si>
  <si>
    <t>VRM_ADJ_BUS</t>
  </si>
  <si>
    <t>FARE_per_UPT_cleaned_2018_BUS</t>
  </si>
  <si>
    <t>YEARS_SINCE_TNC_BUS_HINY</t>
  </si>
  <si>
    <t>YEARS_SINCE_TNC_BUS_MIDLOW</t>
  </si>
  <si>
    <t>VRM_ADJ_RAIL</t>
  </si>
  <si>
    <t>FARE_per_UPT_cleaned_2018_RAIL</t>
  </si>
  <si>
    <t>YEARS_SINCE_TNC_RAIL_HINY</t>
  </si>
  <si>
    <t>VRM_ADJ_BUS_log_FAC</t>
  </si>
  <si>
    <t>VRM_ADJ_RAIL_log_FAC</t>
  </si>
  <si>
    <t>FARE_per_UPT_cleaned_2018_BUS_log_FAC</t>
  </si>
  <si>
    <t>FARE_per_UPT_cleaned_2018_RAIL_log_FAC</t>
  </si>
  <si>
    <t>YEARS_SINCE_TNC_BUS_HINY_FAC</t>
  </si>
  <si>
    <t>YEARS_SINCE_TNC_BUS_MIDLOW_FAC</t>
  </si>
  <si>
    <t>YEARS_SINCE_TNC_RAIL_HINY_FAC</t>
  </si>
  <si>
    <t>Service</t>
  </si>
  <si>
    <t>Fares</t>
  </si>
  <si>
    <t>Land Use</t>
  </si>
  <si>
    <t>Income &amp; Household Characteristics</t>
  </si>
  <si>
    <t>Gas Price</t>
  </si>
  <si>
    <t>New Competing Modes</t>
  </si>
  <si>
    <t>Change in Average Values</t>
  </si>
  <si>
    <t>Fare</t>
  </si>
  <si>
    <t>Household &amp; Income Characteristics</t>
  </si>
  <si>
    <t>Subtotal</t>
  </si>
  <si>
    <t>Total</t>
  </si>
  <si>
    <t>-</t>
  </si>
  <si>
    <t>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</si>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</sst>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  <numFmt numFmtId="171" formatCode="_(* #,##0.000_);_(* \(#,##0.000\);_(* &quot;-&quot;??_);_(@_)"/>
    <numFmt numFmtId="172" formatCode="0.0000%;[Red]\-0.0000%"/>
    <numFmt numFmtId="173" formatCode="0.000%;[Red]\-0.000%"/>
    <numFmt numFmtId="174" formatCode="_(* #,##0.0000_);_(* \(#,##0.000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242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0" fillId="5" borderId="0" xfId="0" applyFill="1"/>
    <xf numFmtId="0" fontId="4" fillId="5" borderId="2" xfId="0" applyFont="1" applyFill="1" applyBorder="1" applyAlignment="1">
      <alignment horizontal="center" vertical="center"/>
    </xf>
    <xf numFmtId="167" fontId="4" fillId="5" borderId="0" xfId="0" applyNumberFormat="1" applyFont="1" applyFill="1"/>
    <xf numFmtId="167" fontId="4" fillId="5" borderId="2" xfId="0" applyNumberFormat="1" applyFont="1" applyFill="1" applyBorder="1"/>
    <xf numFmtId="167" fontId="4" fillId="5" borderId="5" xfId="0" applyNumberFormat="1" applyFont="1" applyFill="1" applyBorder="1"/>
    <xf numFmtId="167" fontId="4" fillId="5" borderId="0" xfId="0" applyNumberFormat="1" applyFont="1" applyFill="1" applyBorder="1"/>
    <xf numFmtId="167" fontId="4" fillId="5" borderId="3" xfId="0" applyNumberFormat="1" applyFont="1" applyFill="1" applyBorder="1"/>
    <xf numFmtId="167" fontId="4" fillId="5" borderId="6" xfId="0" applyNumberFormat="1" applyFont="1" applyFill="1" applyBorder="1"/>
    <xf numFmtId="171" fontId="7" fillId="0" borderId="0" xfId="1" applyNumberFormat="1" applyFont="1" applyFill="1" applyBorder="1" applyAlignment="1">
      <alignment vertical="center"/>
    </xf>
    <xf numFmtId="2" fontId="4" fillId="0" borderId="0" xfId="0" applyNumberFormat="1" applyFont="1" applyFill="1"/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2" fontId="4" fillId="0" borderId="2" xfId="0" applyNumberFormat="1" applyFont="1" applyBorder="1"/>
    <xf numFmtId="2" fontId="4" fillId="0" borderId="2" xfId="0" applyNumberFormat="1" applyFont="1" applyBorder="1" applyAlignment="1">
      <alignment horizontal="right"/>
    </xf>
    <xf numFmtId="0" fontId="4" fillId="5" borderId="0" xfId="0" applyFont="1" applyFill="1" applyBorder="1" applyAlignment="1">
      <alignment horizontal="center" vertical="center"/>
    </xf>
    <xf numFmtId="167" fontId="4" fillId="0" borderId="0" xfId="0" applyNumberFormat="1" applyFont="1" applyFill="1" applyBorder="1"/>
    <xf numFmtId="0" fontId="0" fillId="0" borderId="0" xfId="0" applyAlignment="1"/>
    <xf numFmtId="0" fontId="0" fillId="0" borderId="0" xfId="0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7" fontId="10" fillId="0" borderId="0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vertical="center" wrapText="1"/>
    </xf>
    <xf numFmtId="2" fontId="12" fillId="0" borderId="3" xfId="0" applyNumberFormat="1" applyFont="1" applyBorder="1"/>
    <xf numFmtId="167" fontId="12" fillId="0" borderId="3" xfId="0" applyNumberFormat="1" applyFont="1" applyBorder="1"/>
    <xf numFmtId="0" fontId="4" fillId="0" borderId="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2" fontId="12" fillId="0" borderId="2" xfId="0" applyNumberFormat="1" applyFont="1" applyFill="1" applyBorder="1"/>
    <xf numFmtId="167" fontId="12" fillId="0" borderId="2" xfId="0" applyNumberFormat="1" applyFont="1" applyFill="1" applyBorder="1"/>
    <xf numFmtId="0" fontId="12" fillId="0" borderId="2" xfId="0" applyFont="1" applyFill="1" applyBorder="1" applyAlignment="1">
      <alignment vertical="center" wrapText="1"/>
    </xf>
    <xf numFmtId="167" fontId="12" fillId="0" borderId="2" xfId="0" applyNumberFormat="1" applyFont="1" applyBorder="1"/>
    <xf numFmtId="2" fontId="4" fillId="0" borderId="2" xfId="0" applyNumberFormat="1" applyFont="1" applyFill="1" applyBorder="1"/>
    <xf numFmtId="167" fontId="4" fillId="0" borderId="2" xfId="0" applyNumberFormat="1" applyFont="1" applyFill="1" applyBorder="1"/>
    <xf numFmtId="2" fontId="4" fillId="0" borderId="5" xfId="0" applyNumberFormat="1" applyFont="1" applyFill="1" applyBorder="1"/>
    <xf numFmtId="167" fontId="4" fillId="0" borderId="5" xfId="0" applyNumberFormat="1" applyFont="1" applyFill="1" applyBorder="1"/>
    <xf numFmtId="0" fontId="12" fillId="0" borderId="7" xfId="0" applyFont="1" applyFill="1" applyBorder="1" applyAlignment="1">
      <alignment vertical="center" wrapText="1"/>
    </xf>
    <xf numFmtId="2" fontId="4" fillId="0" borderId="7" xfId="0" applyNumberFormat="1" applyFont="1" applyBorder="1"/>
    <xf numFmtId="2" fontId="4" fillId="0" borderId="7" xfId="0" applyNumberFormat="1" applyFont="1" applyBorder="1" applyAlignment="1">
      <alignment horizontal="right"/>
    </xf>
    <xf numFmtId="167" fontId="4" fillId="0" borderId="7" xfId="0" applyNumberFormat="1" applyFont="1" applyBorder="1" applyAlignment="1">
      <alignment horizontal="center"/>
    </xf>
    <xf numFmtId="167" fontId="4" fillId="0" borderId="7" xfId="0" applyNumberFormat="1" applyFont="1" applyBorder="1"/>
    <xf numFmtId="172" fontId="4" fillId="0" borderId="5" xfId="2" applyNumberFormat="1" applyFont="1" applyFill="1" applyBorder="1" applyAlignment="1">
      <alignment vertical="center"/>
    </xf>
    <xf numFmtId="170" fontId="0" fillId="0" borderId="0" xfId="0" applyNumberFormat="1"/>
    <xf numFmtId="164" fontId="0" fillId="0" borderId="0" xfId="0" applyNumberFormat="1"/>
    <xf numFmtId="167" fontId="0" fillId="0" borderId="0" xfId="0" applyNumberFormat="1"/>
    <xf numFmtId="170" fontId="0" fillId="0" borderId="0" xfId="0" applyNumberFormat="1" applyFill="1"/>
    <xf numFmtId="164" fontId="0" fillId="0" borderId="0" xfId="0" applyNumberFormat="1" applyFill="1"/>
    <xf numFmtId="167" fontId="0" fillId="0" borderId="0" xfId="0" applyNumberFormat="1" applyFill="1"/>
    <xf numFmtId="165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vertical="center"/>
    </xf>
    <xf numFmtId="172" fontId="7" fillId="0" borderId="0" xfId="2" applyNumberFormat="1" applyFont="1" applyFill="1" applyBorder="1" applyAlignment="1">
      <alignment vertical="center"/>
    </xf>
    <xf numFmtId="173" fontId="4" fillId="0" borderId="0" xfId="2" applyNumberFormat="1" applyFont="1" applyFill="1" applyBorder="1" applyAlignment="1">
      <alignment vertical="center"/>
    </xf>
    <xf numFmtId="173" fontId="0" fillId="0" borderId="0" xfId="0" applyNumberFormat="1"/>
    <xf numFmtId="172" fontId="0" fillId="0" borderId="0" xfId="0" applyNumberFormat="1"/>
    <xf numFmtId="167" fontId="4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167" fontId="4" fillId="0" borderId="2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0" fillId="0" borderId="0" xfId="2" applyNumberFormat="1" applyFont="1"/>
    <xf numFmtId="171" fontId="7" fillId="0" borderId="0" xfId="1" applyNumberFormat="1" applyFont="1" applyFill="1" applyBorder="1" applyAlignment="1">
      <alignment horizontal="right" vertical="center"/>
    </xf>
    <xf numFmtId="43" fontId="4" fillId="0" borderId="0" xfId="1" applyFont="1" applyFill="1" applyBorder="1" applyAlignment="1">
      <alignment horizontal="right" vertical="center"/>
    </xf>
    <xf numFmtId="174" fontId="4" fillId="0" borderId="0" xfId="1" applyNumberFormat="1" applyFont="1" applyFill="1" applyBorder="1" applyAlignment="1">
      <alignment horizontal="right" vertical="center"/>
    </xf>
    <xf numFmtId="171" fontId="0" fillId="0" borderId="0" xfId="0" applyNumberFormat="1"/>
    <xf numFmtId="174" fontId="0" fillId="0" borderId="0" xfId="0" applyNumberFormat="1" applyFill="1"/>
    <xf numFmtId="43" fontId="0" fillId="0" borderId="0" xfId="0" applyNumberFormat="1" applyFill="1"/>
    <xf numFmtId="43" fontId="4" fillId="0" borderId="2" xfId="1" applyFont="1" applyFill="1" applyBorder="1" applyAlignment="1">
      <alignment horizontal="right" vertical="center"/>
    </xf>
    <xf numFmtId="43" fontId="0" fillId="0" borderId="0" xfId="0" applyNumberFormat="1"/>
    <xf numFmtId="43" fontId="4" fillId="0" borderId="0" xfId="1" applyNumberFormat="1" applyFont="1" applyFill="1" applyBorder="1" applyAlignment="1">
      <alignment horizontal="right" vertical="center"/>
    </xf>
    <xf numFmtId="43" fontId="7" fillId="0" borderId="2" xfId="1" applyFont="1" applyFill="1" applyBorder="1" applyAlignment="1">
      <alignment vertical="center" wrapText="1"/>
    </xf>
    <xf numFmtId="43" fontId="4" fillId="0" borderId="0" xfId="1" applyFont="1" applyFill="1" applyBorder="1" applyAlignment="1">
      <alignment vertical="center" wrapText="1"/>
    </xf>
    <xf numFmtId="43" fontId="4" fillId="0" borderId="2" xfId="1" applyFont="1" applyFill="1" applyBorder="1" applyAlignment="1">
      <alignment vertical="center" wrapText="1"/>
    </xf>
    <xf numFmtId="173" fontId="4" fillId="0" borderId="2" xfId="0" applyNumberFormat="1" applyFont="1" applyBorder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50"/>
  <sheetViews>
    <sheetView showGridLines="0" zoomScale="87" workbookViewId="0">
      <selection activeCell="G33" sqref="G33"/>
    </sheetView>
  </sheetViews>
  <sheetFormatPr baseColWidth="10" defaultColWidth="8.83203125" defaultRowHeight="16" x14ac:dyDescent="0.2"/>
  <cols>
    <col min="1" max="1" width="4" customWidth="1"/>
    <col min="2" max="2" width="32.5" bestFit="1" customWidth="1"/>
    <col min="3" max="9" width="8" customWidth="1"/>
    <col min="10" max="10" width="8" style="168" customWidth="1"/>
    <col min="11" max="11" width="8" style="159" customWidth="1"/>
    <col min="12" max="12" width="2.5" style="184" customWidth="1"/>
    <col min="13" max="13" width="32.5" bestFit="1" customWidth="1"/>
    <col min="14" max="14" width="8.33203125" bestFit="1" customWidth="1"/>
    <col min="15" max="16" width="8" bestFit="1" customWidth="1"/>
    <col min="17" max="17" width="8" customWidth="1"/>
    <col min="18" max="19" width="7.33203125" customWidth="1"/>
    <col min="20" max="20" width="8.33203125" bestFit="1" customWidth="1"/>
    <col min="21" max="22" width="8" bestFit="1" customWidth="1"/>
    <col min="23" max="23" width="7.33203125" style="168" hidden="1" customWidth="1"/>
    <col min="27" max="27" width="24.5" customWidth="1"/>
    <col min="32" max="32" width="14.1640625" customWidth="1"/>
    <col min="33" max="33" width="13.1640625" customWidth="1"/>
  </cols>
  <sheetData>
    <row r="1" spans="2:35" x14ac:dyDescent="0.2">
      <c r="B1" s="68" t="s">
        <v>70</v>
      </c>
      <c r="M1" s="68" t="s">
        <v>59</v>
      </c>
    </row>
    <row r="2" spans="2:35" ht="17" thickBot="1" x14ac:dyDescent="0.25"/>
    <row r="3" spans="2:35" ht="17" thickTop="1" x14ac:dyDescent="0.2">
      <c r="B3" s="61"/>
      <c r="C3" s="240" t="s">
        <v>60</v>
      </c>
      <c r="D3" s="240"/>
      <c r="E3" s="240"/>
      <c r="F3" s="240"/>
      <c r="G3" s="240" t="s">
        <v>55</v>
      </c>
      <c r="H3" s="240"/>
      <c r="I3" s="240"/>
      <c r="J3" s="240"/>
      <c r="K3" s="28"/>
      <c r="L3" s="62"/>
      <c r="M3" s="61"/>
      <c r="N3" s="240" t="s">
        <v>107</v>
      </c>
      <c r="O3" s="240"/>
      <c r="P3" s="240"/>
      <c r="Q3" s="240"/>
      <c r="R3" s="240"/>
      <c r="S3" s="216"/>
      <c r="T3" s="240" t="s">
        <v>55</v>
      </c>
      <c r="U3" s="240"/>
      <c r="V3" s="240"/>
      <c r="W3" s="240"/>
      <c r="AA3" t="s">
        <v>31</v>
      </c>
      <c r="AB3" t="s">
        <v>21</v>
      </c>
      <c r="AC3" t="s">
        <v>87</v>
      </c>
      <c r="AD3" s="209"/>
      <c r="AE3">
        <v>12</v>
      </c>
      <c r="AF3" s="210">
        <v>76855403.744125754</v>
      </c>
      <c r="AG3" s="210">
        <v>81052167.337436184</v>
      </c>
      <c r="AH3" s="211">
        <v>5.4605966384389859E-2</v>
      </c>
      <c r="AI3" s="220">
        <v>3.1406622944546589E-2</v>
      </c>
    </row>
    <row r="4" spans="2:35" ht="17" thickBot="1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169" t="s">
        <v>27</v>
      </c>
      <c r="K4" s="28"/>
      <c r="L4" s="23"/>
      <c r="M4" s="9" t="s">
        <v>18</v>
      </c>
      <c r="N4" s="189" t="s">
        <v>56</v>
      </c>
      <c r="O4" s="189" t="s">
        <v>57</v>
      </c>
      <c r="P4" s="189" t="s">
        <v>58</v>
      </c>
      <c r="Q4" s="189" t="s">
        <v>113</v>
      </c>
      <c r="R4" s="189" t="s">
        <v>27</v>
      </c>
      <c r="S4" s="189" t="s">
        <v>114</v>
      </c>
      <c r="T4" s="189" t="s">
        <v>56</v>
      </c>
      <c r="U4" s="189" t="s">
        <v>57</v>
      </c>
      <c r="V4" s="189" t="s">
        <v>58</v>
      </c>
      <c r="W4" s="169" t="s">
        <v>27</v>
      </c>
      <c r="AA4" t="s">
        <v>52</v>
      </c>
      <c r="AB4" t="s">
        <v>21</v>
      </c>
      <c r="AC4" t="s">
        <v>88</v>
      </c>
      <c r="AD4" s="209"/>
      <c r="AE4">
        <v>14</v>
      </c>
      <c r="AF4" s="210">
        <v>2.8539856994252508</v>
      </c>
      <c r="AG4" s="210">
        <v>3.0170562545867003</v>
      </c>
      <c r="AH4" s="211">
        <v>5.7137831907948744E-2</v>
      </c>
      <c r="AI4" s="211">
        <v>-5.9436998722959345E-3</v>
      </c>
    </row>
    <row r="5" spans="2:35" ht="17" thickTop="1" x14ac:dyDescent="0.2">
      <c r="B5" s="25"/>
      <c r="C5" s="28"/>
      <c r="D5" s="28"/>
      <c r="E5" s="28"/>
      <c r="F5" s="28"/>
      <c r="G5" s="28"/>
      <c r="H5" s="28"/>
      <c r="I5" s="28"/>
      <c r="J5" s="182"/>
      <c r="K5" s="28"/>
      <c r="M5" s="186" t="s">
        <v>101</v>
      </c>
      <c r="N5" s="28"/>
      <c r="O5" s="28"/>
      <c r="P5" s="28"/>
      <c r="Q5" s="28"/>
      <c r="R5" s="28"/>
      <c r="S5" s="28"/>
      <c r="T5" s="28"/>
      <c r="U5" s="28"/>
      <c r="V5" s="28"/>
      <c r="W5" s="182"/>
      <c r="AA5" t="s">
        <v>80</v>
      </c>
      <c r="AC5" t="s">
        <v>78</v>
      </c>
      <c r="AD5" s="209"/>
      <c r="AE5">
        <v>23</v>
      </c>
      <c r="AF5" s="210">
        <v>1.81254270699816E-2</v>
      </c>
      <c r="AG5" s="210">
        <v>7.9461653569423002E-2</v>
      </c>
      <c r="AH5" s="230">
        <v>2.0445408833147133E-2</v>
      </c>
      <c r="AI5" s="220">
        <v>1.2937739844473401E-3</v>
      </c>
    </row>
    <row r="6" spans="2:35" x14ac:dyDescent="0.2">
      <c r="B6" s="25" t="s">
        <v>31</v>
      </c>
      <c r="C6" s="63">
        <f>'FAC 2002-2012 BUS'!I13</f>
        <v>-8.3201366750120909E-2</v>
      </c>
      <c r="D6" s="63">
        <f>'FAC 2002-2012 BUS'!I41</f>
        <v>-0.15797851612432678</v>
      </c>
      <c r="E6" s="63">
        <f>'FAC 2002-2012 BUS'!I69</f>
        <v>-0.20562671932512044</v>
      </c>
      <c r="F6" s="63">
        <f>'FAC 2002-2012 BUS'!I97</f>
        <v>-0.10218846172042284</v>
      </c>
      <c r="G6" s="63">
        <f>'FAC 2002-2012 BUS'!AD13</f>
        <v>-4.0821409147028705E-2</v>
      </c>
      <c r="H6" s="63">
        <f>'FAC 2002-2012 BUS'!AD41</f>
        <v>-1.2780939052339178E-2</v>
      </c>
      <c r="I6" s="63">
        <f>'FAC 2002-2012 BUS'!AD69</f>
        <v>8.8016453776118206E-2</v>
      </c>
      <c r="J6" s="170">
        <f>'FAC 2002-2012 BUS'!AD97</f>
        <v>-2.4527473980202572</v>
      </c>
      <c r="K6" s="158"/>
      <c r="L6" s="186"/>
      <c r="M6" s="25" t="s">
        <v>31</v>
      </c>
      <c r="N6" s="63">
        <f>'FAC 2012-2018 BUS'!I13</f>
        <v>4.2113135218866837E-2</v>
      </c>
      <c r="O6" s="63">
        <f>'FAC 2012-2018 BUS'!I41</f>
        <v>0.11904455749969589</v>
      </c>
      <c r="P6" s="63">
        <f>'FAC 2012-2018 BUS'!I69</f>
        <v>9.0429722385817701E-2</v>
      </c>
      <c r="Q6" s="63">
        <f>AH3</f>
        <v>5.4605966384389859E-2</v>
      </c>
      <c r="R6" s="63">
        <f>'FAC 2012-2018 BUS'!I97</f>
        <v>1.1857276845904874E-2</v>
      </c>
      <c r="S6" s="63">
        <f>AI3</f>
        <v>3.1406622944546589E-2</v>
      </c>
      <c r="T6" s="63">
        <f>'FAC 2012-2018 BUS'!AD13</f>
        <v>2.4519580700399762E-2</v>
      </c>
      <c r="U6" s="63">
        <f>'FAC 2012-2018 BUS'!AD41</f>
        <v>4.7435170974474514E-2</v>
      </c>
      <c r="V6" s="63">
        <f>'FAC 2012-2018 BUS'!AD69</f>
        <v>3.9959221342387122E-2</v>
      </c>
      <c r="W6" s="170">
        <f>'FAC 2012-2018 BUS'!AD97</f>
        <v>0.28456660133986111</v>
      </c>
      <c r="AA6" t="s">
        <v>81</v>
      </c>
      <c r="AC6" t="s">
        <v>77</v>
      </c>
      <c r="AD6" s="209"/>
      <c r="AE6">
        <v>22</v>
      </c>
      <c r="AF6" s="210">
        <v>0</v>
      </c>
      <c r="AG6" s="210">
        <v>0</v>
      </c>
      <c r="AH6" s="211" t="s">
        <v>112</v>
      </c>
      <c r="AI6" s="221">
        <v>0</v>
      </c>
    </row>
    <row r="7" spans="2:35" s="159" customFormat="1" x14ac:dyDescent="0.2">
      <c r="B7" s="115" t="s">
        <v>80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>
        <f>'FAC 2002-2012 BUS'!AD15</f>
        <v>0</v>
      </c>
      <c r="H7" s="158">
        <f>'FAC 2002-2012 BUS'!AD43</f>
        <v>0</v>
      </c>
      <c r="I7" s="158">
        <f>'FAC 2002-2012 BUS'!AD71</f>
        <v>2.4269804156334574E-3</v>
      </c>
      <c r="J7" s="170">
        <f>'FAC 2002-2012 BUS'!AD99</f>
        <v>0</v>
      </c>
      <c r="K7" s="158"/>
      <c r="L7" s="187"/>
      <c r="M7" s="115" t="s">
        <v>80</v>
      </c>
      <c r="N7" s="177">
        <f>'FAC 2012-2018 BUS'!H15-'FAC 2012-2018 BUS'!G15</f>
        <v>3.2146127591773301E-2</v>
      </c>
      <c r="O7" s="177">
        <f>'FAC 2012-2018 BUS'!H43-'FAC 2012-2018 BUS'!G43</f>
        <v>2.9190098907668102E-2</v>
      </c>
      <c r="P7" s="177">
        <f>'FAC 2012-2018 BUS'!H71-'FAC 2012-2018 BUS'!G71</f>
        <v>0</v>
      </c>
      <c r="Q7" s="177">
        <f>AH5</f>
        <v>2.0445408833147133E-2</v>
      </c>
      <c r="R7" s="158" t="str">
        <f>'FAC 2012-2018 BUS'!I99</f>
        <v>-</v>
      </c>
      <c r="S7" s="158">
        <f>AI5</f>
        <v>1.2937739844473401E-3</v>
      </c>
      <c r="T7" s="158">
        <f>'FAC 2012-2018 BUS'!AD15</f>
        <v>1.3856422105643106E-3</v>
      </c>
      <c r="U7" s="158">
        <f>'FAC 2012-2018 BUS'!AD43</f>
        <v>1.466221850821585E-3</v>
      </c>
      <c r="V7" s="158">
        <f>'FAC 2012-2018 BUS'!AD71</f>
        <v>0</v>
      </c>
      <c r="W7" s="170">
        <f>'FAC 2012-2018 BUS'!AD99</f>
        <v>0</v>
      </c>
      <c r="AA7" s="159" t="s">
        <v>48</v>
      </c>
      <c r="AB7" s="159" t="s">
        <v>21</v>
      </c>
      <c r="AC7" s="159" t="s">
        <v>8</v>
      </c>
      <c r="AD7" s="212"/>
      <c r="AE7" s="159">
        <v>16</v>
      </c>
      <c r="AF7" s="213">
        <v>13266956.316323653</v>
      </c>
      <c r="AG7" s="213">
        <v>14140117.347534725</v>
      </c>
      <c r="AH7" s="214">
        <v>6.5814721206003846E-2</v>
      </c>
      <c r="AI7" s="214">
        <v>1.4702859613720224E-2</v>
      </c>
    </row>
    <row r="8" spans="2:35" s="159" customFormat="1" x14ac:dyDescent="0.2">
      <c r="B8" s="115" t="s">
        <v>81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70">
        <f>'FAC 2002-2012 BUS'!AD100</f>
        <v>0</v>
      </c>
      <c r="K8" s="158"/>
      <c r="L8" s="187"/>
      <c r="M8" s="127" t="s">
        <v>81</v>
      </c>
      <c r="N8" s="177">
        <v>0</v>
      </c>
      <c r="O8" s="177">
        <v>0</v>
      </c>
      <c r="P8" s="177">
        <v>0</v>
      </c>
      <c r="Q8" s="177" t="str">
        <f>AH6</f>
        <v>-</v>
      </c>
      <c r="R8" s="158" t="str">
        <f>'FAC 2012-2018 BUS'!I100</f>
        <v>-</v>
      </c>
      <c r="S8" s="158">
        <f>AI6</f>
        <v>0</v>
      </c>
      <c r="T8" s="158">
        <f>'FAC 2012-2018 BUS'!AD16</f>
        <v>0</v>
      </c>
      <c r="U8" s="158">
        <f>'FAC 2012-2018 BUS'!AD44</f>
        <v>0</v>
      </c>
      <c r="V8" s="158">
        <f>'FAC 2012-2018 BUS'!AD72</f>
        <v>0</v>
      </c>
      <c r="W8" s="170">
        <f>'FAC 2012-2018 BUS'!AD100</f>
        <v>0</v>
      </c>
      <c r="AA8" s="159" t="s">
        <v>73</v>
      </c>
      <c r="AC8" s="159" t="s">
        <v>72</v>
      </c>
      <c r="AD8" s="212"/>
      <c r="AE8" s="159">
        <v>17</v>
      </c>
      <c r="AF8" s="213">
        <v>1.0891506546938019</v>
      </c>
      <c r="AG8" s="213">
        <v>1.0804827953122351</v>
      </c>
      <c r="AH8" s="214">
        <v>-7.958365855276206E-3</v>
      </c>
      <c r="AI8" s="214">
        <v>-7.367497163719833E-4</v>
      </c>
    </row>
    <row r="9" spans="2:35" s="159" customFormat="1" x14ac:dyDescent="0.2">
      <c r="B9" s="115"/>
      <c r="C9" s="158"/>
      <c r="D9" s="158"/>
      <c r="E9" s="158"/>
      <c r="F9" s="158"/>
      <c r="G9" s="158"/>
      <c r="H9" s="158"/>
      <c r="I9" s="158"/>
      <c r="J9" s="170"/>
      <c r="K9" s="158"/>
      <c r="L9" s="187"/>
      <c r="M9" s="194" t="s">
        <v>110</v>
      </c>
      <c r="N9" s="201"/>
      <c r="O9" s="201"/>
      <c r="P9" s="201"/>
      <c r="Q9" s="201"/>
      <c r="R9" s="202"/>
      <c r="S9" s="202">
        <f>SUM(S6:S8)</f>
        <v>3.270039692899393E-2</v>
      </c>
      <c r="T9" s="202">
        <f>SUM(T6:T8)</f>
        <v>2.5905222910964074E-2</v>
      </c>
      <c r="U9" s="202">
        <f t="shared" ref="U9:V9" si="0">SUM(U6:U8)</f>
        <v>4.8901392825296097E-2</v>
      </c>
      <c r="V9" s="202">
        <f t="shared" si="0"/>
        <v>3.9959221342387122E-2</v>
      </c>
      <c r="W9" s="170"/>
      <c r="AA9" s="159" t="s">
        <v>49</v>
      </c>
      <c r="AB9" s="159" t="s">
        <v>21</v>
      </c>
      <c r="AC9" s="159" t="s">
        <v>82</v>
      </c>
      <c r="AD9" s="212"/>
      <c r="AE9" s="159">
        <v>18</v>
      </c>
      <c r="AF9" s="213">
        <v>12.16261468520273</v>
      </c>
      <c r="AG9" s="213">
        <v>8.7305360080156493</v>
      </c>
      <c r="AH9" s="214">
        <v>-0.28218263638349195</v>
      </c>
      <c r="AI9" s="214">
        <v>-3.5724696384547748E-2</v>
      </c>
    </row>
    <row r="10" spans="2:35" s="159" customFormat="1" x14ac:dyDescent="0.2">
      <c r="B10" s="115"/>
      <c r="C10" s="158"/>
      <c r="D10" s="158"/>
      <c r="E10" s="158"/>
      <c r="F10" s="158"/>
      <c r="G10" s="158"/>
      <c r="H10" s="158"/>
      <c r="I10" s="158"/>
      <c r="J10" s="170"/>
      <c r="K10" s="158"/>
      <c r="M10" s="187" t="s">
        <v>108</v>
      </c>
      <c r="N10" s="177"/>
      <c r="O10" s="177"/>
      <c r="P10" s="177"/>
      <c r="Q10" s="177"/>
      <c r="R10" s="158"/>
      <c r="S10" s="158"/>
      <c r="T10" s="158"/>
      <c r="U10" s="158"/>
      <c r="V10" s="158"/>
      <c r="W10" s="170"/>
      <c r="AA10" s="159" t="s">
        <v>46</v>
      </c>
      <c r="AB10" s="159" t="s">
        <v>21</v>
      </c>
      <c r="AC10" s="159" t="s">
        <v>14</v>
      </c>
      <c r="AD10" s="212"/>
      <c r="AE10" s="159">
        <v>19</v>
      </c>
      <c r="AF10" s="213">
        <v>87688.164403891002</v>
      </c>
      <c r="AG10" s="213">
        <v>96719.683390136895</v>
      </c>
      <c r="AH10" s="214">
        <v>0.10299587233513963</v>
      </c>
      <c r="AI10" s="214">
        <v>-7.1460141471446584E-3</v>
      </c>
    </row>
    <row r="11" spans="2:35" s="159" customFormat="1" x14ac:dyDescent="0.2">
      <c r="B11" s="25" t="s">
        <v>52</v>
      </c>
      <c r="C11" s="158">
        <f>'FAC 2002-2012 BUS'!I14</f>
        <v>0.13503017608498125</v>
      </c>
      <c r="D11" s="158">
        <f>'FAC 2002-2012 BUS'!I42</f>
        <v>7.3913495755720593E-2</v>
      </c>
      <c r="E11" s="158">
        <f>'FAC 2002-2012 BUS'!I70</f>
        <v>-8.3097923331791668E-2</v>
      </c>
      <c r="F11" s="158">
        <f>'FAC 2002-2012 BUS'!I98</f>
        <v>0.39766368036003485</v>
      </c>
      <c r="G11" s="158">
        <f>'FAC 2002-2012 BUS'!AD14</f>
        <v>-3.8850873476224644E-2</v>
      </c>
      <c r="H11" s="158">
        <f>'FAC 2002-2012 BUS'!AD42</f>
        <v>-4.5013929675434772E-2</v>
      </c>
      <c r="I11" s="158">
        <f>'FAC 2002-2012 BUS'!AD70</f>
        <v>2.1973450194730095E-2</v>
      </c>
      <c r="J11" s="170">
        <f>'FAC 2002-2012 BUS'!AD98</f>
        <v>-5.5958417877107669</v>
      </c>
      <c r="K11" s="158"/>
      <c r="L11" s="186"/>
      <c r="M11" s="8" t="s">
        <v>52</v>
      </c>
      <c r="N11" s="158">
        <f>'FAC 2012-2018 BUS'!I14</f>
        <v>-3.75439131738875E-4</v>
      </c>
      <c r="O11" s="158">
        <f>'FAC 2012-2018 BUS'!I42</f>
        <v>1.6103107567393415E-2</v>
      </c>
      <c r="P11" s="158">
        <f>'FAC 2012-2018 BUS'!I70</f>
        <v>0.17806302158701182</v>
      </c>
      <c r="Q11" s="158">
        <f>AH4</f>
        <v>5.7137831907948744E-2</v>
      </c>
      <c r="R11" s="158">
        <f>'FAC 2012-2018 BUS'!I98</f>
        <v>0.25866623497692309</v>
      </c>
      <c r="S11" s="158">
        <f>AI4</f>
        <v>-5.9436998722959345E-3</v>
      </c>
      <c r="T11" s="158">
        <f>'FAC 2012-2018 BUS'!AD14</f>
        <v>-2.7768672208557687E-3</v>
      </c>
      <c r="U11" s="158">
        <f>'FAC 2012-2018 BUS'!AD42</f>
        <v>-3.4598407401346615E-3</v>
      </c>
      <c r="V11" s="158">
        <f>'FAC 2012-2018 BUS'!AD70</f>
        <v>-4.0285064048607329E-2</v>
      </c>
      <c r="W11" s="170">
        <f>'FAC 2012-2018 BUS'!AD98</f>
        <v>-4.0715826673876307</v>
      </c>
      <c r="AA11" s="159" t="s">
        <v>62</v>
      </c>
      <c r="AC11" s="159" t="s">
        <v>9</v>
      </c>
      <c r="AD11" s="212"/>
      <c r="AE11" s="159">
        <v>20</v>
      </c>
      <c r="AF11" s="213">
        <v>25.546794991440848</v>
      </c>
      <c r="AG11" s="213">
        <v>23.275151784072548</v>
      </c>
      <c r="AH11" s="214">
        <v>-8.8920868865522418E-2</v>
      </c>
      <c r="AI11" s="214">
        <v>-1.6124029078461929E-3</v>
      </c>
    </row>
    <row r="12" spans="2:35" s="159" customFormat="1" x14ac:dyDescent="0.2">
      <c r="B12" s="25"/>
      <c r="C12" s="158"/>
      <c r="D12" s="158"/>
      <c r="E12" s="158"/>
      <c r="F12" s="158"/>
      <c r="G12" s="158"/>
      <c r="H12" s="158"/>
      <c r="I12" s="158"/>
      <c r="J12" s="170"/>
      <c r="K12" s="158"/>
      <c r="L12" s="186"/>
      <c r="M12" s="197" t="s">
        <v>110</v>
      </c>
      <c r="N12" s="202"/>
      <c r="O12" s="202"/>
      <c r="P12" s="202"/>
      <c r="Q12" s="202"/>
      <c r="R12" s="202"/>
      <c r="S12" s="202">
        <f>SUM(S11)</f>
        <v>-5.9436998722959345E-3</v>
      </c>
      <c r="T12" s="202">
        <f>SUM(T11)</f>
        <v>-2.7768672208557687E-3</v>
      </c>
      <c r="U12" s="202">
        <f t="shared" ref="U12:V12" si="1">SUM(U11)</f>
        <v>-3.4598407401346615E-3</v>
      </c>
      <c r="V12" s="202">
        <f t="shared" si="1"/>
        <v>-4.0285064048607329E-2</v>
      </c>
      <c r="W12" s="170"/>
      <c r="AA12" s="159" t="s">
        <v>47</v>
      </c>
      <c r="AC12" s="159" t="s">
        <v>28</v>
      </c>
      <c r="AD12" s="212"/>
      <c r="AE12" s="159">
        <v>21</v>
      </c>
      <c r="AF12" s="213">
        <v>12.90897837390389</v>
      </c>
      <c r="AG12" s="213">
        <v>16.714660851022401</v>
      </c>
      <c r="AH12" s="214">
        <v>0.29480895907393245</v>
      </c>
      <c r="AI12" s="214">
        <v>-8.4904844051451999E-3</v>
      </c>
    </row>
    <row r="13" spans="2:35" s="159" customFormat="1" x14ac:dyDescent="0.2">
      <c r="B13" s="25"/>
      <c r="C13" s="158"/>
      <c r="D13" s="158"/>
      <c r="E13" s="158"/>
      <c r="F13" s="158"/>
      <c r="G13" s="158"/>
      <c r="H13" s="158"/>
      <c r="I13" s="158"/>
      <c r="J13" s="170"/>
      <c r="K13" s="158"/>
      <c r="M13" s="186" t="s">
        <v>103</v>
      </c>
      <c r="N13" s="158"/>
      <c r="O13" s="158"/>
      <c r="P13" s="158"/>
      <c r="Q13" s="158"/>
      <c r="R13" s="158"/>
      <c r="S13" s="158"/>
      <c r="T13" s="158"/>
      <c r="U13" s="158"/>
      <c r="V13" s="158"/>
      <c r="W13" s="170"/>
      <c r="AA13" s="159" t="s">
        <v>63</v>
      </c>
      <c r="AC13" s="159" t="s">
        <v>89</v>
      </c>
      <c r="AD13" s="212"/>
      <c r="AE13" s="159">
        <v>24</v>
      </c>
      <c r="AF13" s="213">
        <v>0.50499774940706799</v>
      </c>
      <c r="AG13" s="213">
        <v>13.305149260721841</v>
      </c>
      <c r="AH13" s="231">
        <v>4.2667171704382572</v>
      </c>
      <c r="AI13" s="214">
        <v>-0.10576776453298745</v>
      </c>
    </row>
    <row r="14" spans="2:35" s="159" customFormat="1" x14ac:dyDescent="0.2">
      <c r="B14" s="25" t="s">
        <v>48</v>
      </c>
      <c r="C14" s="158">
        <f>'FAC 2002-2012 BUS'!I17</f>
        <v>5.5631822363825911E-2</v>
      </c>
      <c r="D14" s="158">
        <f>'FAC 2002-2012 BUS'!I45</f>
        <v>5.7883484469767321E-2</v>
      </c>
      <c r="E14" s="158">
        <f>'FAC 2002-2012 BUS'!I73</f>
        <v>-2.750761277613889E-2</v>
      </c>
      <c r="F14" s="158">
        <f>'FAC 2002-2012 BUS'!I101</f>
        <v>8.606219574635432E-2</v>
      </c>
      <c r="G14" s="158">
        <f>'FAC 2002-2012 BUS'!AD17</f>
        <v>2.8269535913834316E-2</v>
      </c>
      <c r="H14" s="158">
        <f>'FAC 2002-2012 BUS'!AD45</f>
        <v>3.9054337112657218E-2</v>
      </c>
      <c r="I14" s="158">
        <f>'FAC 2002-2012 BUS'!AD73</f>
        <v>5.9015013387577434E-2</v>
      </c>
      <c r="J14" s="170">
        <f>'FAC 2002-2012 BUS'!AD101</f>
        <v>0.96709969240596305</v>
      </c>
      <c r="K14" s="158"/>
      <c r="L14" s="186"/>
      <c r="M14" s="25" t="s">
        <v>48</v>
      </c>
      <c r="N14" s="158">
        <f>'FAC 2012-2018 BUS'!I17</f>
        <v>6.2897263194922726E-2</v>
      </c>
      <c r="O14" s="158">
        <f>'FAC 2012-2018 BUS'!I45</f>
        <v>7.9321462308145962E-2</v>
      </c>
      <c r="P14" s="158">
        <f>'FAC 2012-2018 BUS'!I73</f>
        <v>5.7606229465552161E-2</v>
      </c>
      <c r="Q14" s="158">
        <f>AH7</f>
        <v>6.5814721206003846E-2</v>
      </c>
      <c r="R14" s="158">
        <f>'FAC 2012-2018 BUS'!I101</f>
        <v>6.8027813555046501E-2</v>
      </c>
      <c r="S14" s="158">
        <f>AI7</f>
        <v>1.4702859613720224E-2</v>
      </c>
      <c r="T14" s="158">
        <f>'FAC 2012-2018 BUS'!AD17</f>
        <v>1.4324503049144515E-2</v>
      </c>
      <c r="U14" s="158">
        <f>'FAC 2012-2018 BUS'!AD45</f>
        <v>1.6889046059034171E-2</v>
      </c>
      <c r="V14" s="158">
        <f>'FAC 2012-2018 BUS'!AD73</f>
        <v>1.1143755431582254E-2</v>
      </c>
      <c r="W14" s="170">
        <f>'FAC 2012-2018 BUS'!AD101</f>
        <v>0.73573287679619326</v>
      </c>
      <c r="AA14" s="159" t="s">
        <v>64</v>
      </c>
      <c r="AC14" s="159" t="s">
        <v>43</v>
      </c>
      <c r="AD14" s="212"/>
      <c r="AE14" s="159">
        <v>28</v>
      </c>
      <c r="AF14" s="213">
        <v>0.33379515007498312</v>
      </c>
      <c r="AG14" s="213">
        <v>2.4008109513650302</v>
      </c>
      <c r="AH14" s="232">
        <v>0.68900526709668242</v>
      </c>
      <c r="AI14" s="214">
        <v>-7.7826355542861591E-3</v>
      </c>
    </row>
    <row r="15" spans="2:35" x14ac:dyDescent="0.2">
      <c r="B15" s="25" t="s">
        <v>73</v>
      </c>
      <c r="C15" s="63">
        <f>'FAC 2002-2012 BUS'!I18</f>
        <v>-2.1567179625815891E-2</v>
      </c>
      <c r="D15" s="63">
        <f>'FAC 2002-2012 BUS'!I46</f>
        <v>-7.4883853247743382E-2</v>
      </c>
      <c r="E15" s="63">
        <f>'FAC 2002-2012 BUS'!I74</f>
        <v>-0.15821754182039416</v>
      </c>
      <c r="F15" s="63">
        <f>'FAC 2002-2012 BUS'!I102</f>
        <v>5.4414700389220361E-3</v>
      </c>
      <c r="G15" s="63">
        <f>'FAC 2002-2012 BUS'!AD18</f>
        <v>-5.9324402613985631E-3</v>
      </c>
      <c r="H15" s="63">
        <f>'FAC 2002-2012 BUS'!AD46</f>
        <v>-1.4203129071841816E-2</v>
      </c>
      <c r="I15" s="63">
        <f>'FAC 2002-2012 BUS'!AD74</f>
        <v>-2.1722152135906347E-2</v>
      </c>
      <c r="J15" s="170">
        <f>'FAC 2002-2012 BUS'!AD102</f>
        <v>8.8694809888602733E-2</v>
      </c>
      <c r="K15" s="158"/>
      <c r="L15" s="186"/>
      <c r="M15" s="8" t="s">
        <v>73</v>
      </c>
      <c r="N15" s="63">
        <f>'FAC 2012-2018 BUS'!I18</f>
        <v>-1.5913233680072691E-3</v>
      </c>
      <c r="O15" s="63">
        <f>'FAC 2012-2018 BUS'!I46</f>
        <v>-1.1956612095927355E-2</v>
      </c>
      <c r="P15" s="63">
        <f>'FAC 2012-2018 BUS'!I74</f>
        <v>-1.8881680373021292E-2</v>
      </c>
      <c r="Q15" s="63">
        <f>AH8</f>
        <v>-7.958365855276206E-3</v>
      </c>
      <c r="R15" s="63">
        <f>'FAC 2012-2018 BUS'!I102</f>
        <v>1.0437057161151397E-2</v>
      </c>
      <c r="S15" s="63">
        <f>AI8</f>
        <v>-7.367497163719833E-4</v>
      </c>
      <c r="T15" s="63">
        <f>'FAC 2012-2018 BUS'!AD18</f>
        <v>-3.1519906911586126E-4</v>
      </c>
      <c r="U15" s="63">
        <f>'FAC 2012-2018 BUS'!AD46</f>
        <v>-1.7162141807964303E-3</v>
      </c>
      <c r="V15" s="63">
        <f>'FAC 2012-2018 BUS'!AD74</f>
        <v>-1.265280341930586E-3</v>
      </c>
      <c r="W15" s="170">
        <f>'FAC 2012-2018 BUS'!AD102</f>
        <v>0.15260470046202429</v>
      </c>
      <c r="AA15" t="s">
        <v>65</v>
      </c>
      <c r="AC15" t="s">
        <v>44</v>
      </c>
      <c r="AD15" s="209"/>
      <c r="AE15">
        <v>29</v>
      </c>
      <c r="AF15" s="210">
        <v>0</v>
      </c>
      <c r="AG15" s="210">
        <v>1.0138051384042357</v>
      </c>
      <c r="AH15" s="234">
        <v>0.33793504613474523</v>
      </c>
      <c r="AI15" s="211">
        <v>-1.6273242016194317E-2</v>
      </c>
    </row>
    <row r="16" spans="2:35" x14ac:dyDescent="0.2">
      <c r="B16" s="25"/>
      <c r="C16" s="63"/>
      <c r="D16" s="63"/>
      <c r="E16" s="63"/>
      <c r="F16" s="63"/>
      <c r="G16" s="63"/>
      <c r="H16" s="63"/>
      <c r="I16" s="63"/>
      <c r="J16" s="170"/>
      <c r="K16" s="158"/>
      <c r="L16" s="186"/>
      <c r="M16" s="197" t="s">
        <v>110</v>
      </c>
      <c r="N16" s="65"/>
      <c r="O16" s="65"/>
      <c r="P16" s="65"/>
      <c r="Q16" s="65"/>
      <c r="R16" s="65"/>
      <c r="S16" s="65">
        <f>SUM(S14:S15)</f>
        <v>1.3966109897348242E-2</v>
      </c>
      <c r="T16" s="65">
        <f>SUM(T14:T15)</f>
        <v>1.4009303980028654E-2</v>
      </c>
      <c r="U16" s="65">
        <f t="shared" ref="U16:V16" si="2">SUM(U14:U15)</f>
        <v>1.5172831878237741E-2</v>
      </c>
      <c r="V16" s="65">
        <f t="shared" si="2"/>
        <v>9.8784750896516692E-3</v>
      </c>
      <c r="W16" s="170"/>
      <c r="AA16" t="s">
        <v>53</v>
      </c>
      <c r="AC16" t="s">
        <v>45</v>
      </c>
      <c r="AD16" s="215"/>
      <c r="AF16" s="210">
        <v>0</v>
      </c>
      <c r="AG16" s="210">
        <v>0</v>
      </c>
      <c r="AH16" s="211"/>
      <c r="AI16" s="211">
        <v>0</v>
      </c>
    </row>
    <row r="17" spans="2:35" x14ac:dyDescent="0.2">
      <c r="B17" s="25"/>
      <c r="C17" s="63"/>
      <c r="D17" s="63"/>
      <c r="E17" s="63"/>
      <c r="F17" s="63"/>
      <c r="G17" s="63"/>
      <c r="H17" s="63"/>
      <c r="I17" s="63"/>
      <c r="J17" s="170"/>
      <c r="K17" s="158"/>
      <c r="M17" s="186" t="s">
        <v>105</v>
      </c>
      <c r="N17" s="63"/>
      <c r="O17" s="63"/>
      <c r="P17" s="63"/>
      <c r="Q17" s="63"/>
      <c r="R17" s="63"/>
      <c r="S17" s="63"/>
      <c r="T17" s="63"/>
      <c r="U17" s="63"/>
      <c r="V17" s="63"/>
      <c r="W17" s="170"/>
      <c r="AA17" t="s">
        <v>66</v>
      </c>
      <c r="AC17" t="s">
        <v>6</v>
      </c>
      <c r="AD17" s="209"/>
      <c r="AE17">
        <v>10</v>
      </c>
      <c r="AF17" s="210">
        <v>3855499581.3229594</v>
      </c>
      <c r="AG17" s="210">
        <v>3313223229.2956343</v>
      </c>
      <c r="AH17" s="226">
        <v>-0.14065008712599847</v>
      </c>
      <c r="AI17" s="211">
        <v>-0.14065008712599847</v>
      </c>
    </row>
    <row r="18" spans="2:35" x14ac:dyDescent="0.2">
      <c r="B18" s="25" t="s">
        <v>49</v>
      </c>
      <c r="C18" s="63">
        <f>'FAC 2002-2012 BUS'!I19</f>
        <v>1.0712225107968747</v>
      </c>
      <c r="D18" s="63">
        <f>'FAC 2002-2012 BUS'!I47</f>
        <v>1.0678012135282486</v>
      </c>
      <c r="E18" s="63">
        <f>'FAC 2002-2012 BUS'!I75</f>
        <v>1.0679576257475252</v>
      </c>
      <c r="F18" s="63">
        <f>'FAC 2002-2012 BUS'!I103</f>
        <v>1.0817122593718338</v>
      </c>
      <c r="G18" s="63">
        <f>'FAC 2002-2012 BUS'!AD19</f>
        <v>8.2934031911208017E-2</v>
      </c>
      <c r="H18" s="63">
        <f>'FAC 2002-2012 BUS'!AD47</f>
        <v>8.6311911059994556E-2</v>
      </c>
      <c r="I18" s="63">
        <f>'FAC 2002-2012 BUS'!AD75</f>
        <v>0.12744237872346506</v>
      </c>
      <c r="J18" s="170">
        <f>'FAC 2002-2012 BUS'!AD103</f>
        <v>4.1485223908903945</v>
      </c>
      <c r="K18" s="158"/>
      <c r="L18" s="186"/>
      <c r="M18" s="8" t="s">
        <v>49</v>
      </c>
      <c r="N18" s="63">
        <f>'FAC 2012-2018 BUS'!I19</f>
        <v>-0.26427344258628593</v>
      </c>
      <c r="O18" s="63">
        <f>'FAC 2012-2018 BUS'!I47</f>
        <v>-0.28803125696077803</v>
      </c>
      <c r="P18" s="63">
        <f>'FAC 2012-2018 BUS'!I75</f>
        <v>-0.29484374808660729</v>
      </c>
      <c r="Q18" s="63">
        <f>AH9</f>
        <v>-0.28218263638349195</v>
      </c>
      <c r="R18" s="63">
        <f>'FAC 2012-2018 BUS'!I103</f>
        <v>-0.28941668897379358</v>
      </c>
      <c r="S18" s="63">
        <f>AI9</f>
        <v>-3.5724696384547748E-2</v>
      </c>
      <c r="T18" s="63">
        <f>'FAC 2012-2018 BUS'!AD19</f>
        <v>-3.4423209193421858E-2</v>
      </c>
      <c r="U18" s="63">
        <f>'FAC 2012-2018 BUS'!AD47</f>
        <v>-3.8134357891569028E-2</v>
      </c>
      <c r="V18" s="63">
        <f>'FAC 2012-2018 BUS'!AD75</f>
        <v>-3.9252172801194904E-2</v>
      </c>
      <c r="W18" s="170">
        <f>'FAC 2012-2018 BUS'!AD103</f>
        <v>-1.9442617720478454</v>
      </c>
      <c r="AA18" t="s">
        <v>50</v>
      </c>
      <c r="AC18" t="s">
        <v>4</v>
      </c>
      <c r="AE18">
        <v>8</v>
      </c>
      <c r="AF18" s="210">
        <v>3810829868.9999881</v>
      </c>
      <c r="AG18" s="210">
        <v>3249387717</v>
      </c>
      <c r="AH18" s="226">
        <v>-0.14732805485943079</v>
      </c>
      <c r="AI18" s="211">
        <v>-0.14732805485943079</v>
      </c>
    </row>
    <row r="19" spans="2:35" x14ac:dyDescent="0.2">
      <c r="B19" s="25"/>
      <c r="C19" s="63"/>
      <c r="D19" s="63"/>
      <c r="E19" s="63"/>
      <c r="F19" s="63"/>
      <c r="G19" s="63"/>
      <c r="H19" s="63"/>
      <c r="I19" s="63"/>
      <c r="J19" s="170"/>
      <c r="K19" s="158"/>
      <c r="L19" s="186"/>
      <c r="M19" s="197" t="s">
        <v>110</v>
      </c>
      <c r="N19" s="65"/>
      <c r="O19" s="65"/>
      <c r="P19" s="65"/>
      <c r="Q19" s="65"/>
      <c r="R19" s="65"/>
      <c r="S19" s="65">
        <f>SUM(S18)</f>
        <v>-3.5724696384547748E-2</v>
      </c>
      <c r="T19" s="65">
        <f>SUM(T18)</f>
        <v>-3.4423209193421858E-2</v>
      </c>
      <c r="U19" s="65">
        <f t="shared" ref="U19:V19" si="3">SUM(U18)</f>
        <v>-3.8134357891569028E-2</v>
      </c>
      <c r="V19" s="65">
        <f t="shared" si="3"/>
        <v>-3.9252172801194904E-2</v>
      </c>
      <c r="W19" s="170"/>
      <c r="AA19" t="s">
        <v>67</v>
      </c>
      <c r="AI19" s="211">
        <v>-6.6779677334323218E-3</v>
      </c>
    </row>
    <row r="20" spans="2:35" x14ac:dyDescent="0.2">
      <c r="B20" s="25"/>
      <c r="C20" s="63"/>
      <c r="D20" s="63"/>
      <c r="E20" s="63"/>
      <c r="F20" s="63"/>
      <c r="G20" s="63"/>
      <c r="H20" s="63"/>
      <c r="I20" s="63"/>
      <c r="J20" s="170"/>
      <c r="K20" s="158"/>
      <c r="M20" s="186" t="s">
        <v>109</v>
      </c>
      <c r="N20" s="63"/>
      <c r="O20" s="63"/>
      <c r="P20" s="63"/>
      <c r="Q20" s="63"/>
      <c r="R20" s="63"/>
      <c r="S20" s="63"/>
      <c r="T20" s="63"/>
      <c r="U20" s="63"/>
      <c r="V20" s="63"/>
      <c r="W20" s="170"/>
    </row>
    <row r="21" spans="2:35" x14ac:dyDescent="0.2">
      <c r="B21" s="25" t="s">
        <v>46</v>
      </c>
      <c r="C21" s="63">
        <f>'FAC 2002-2012 BUS'!I20</f>
        <v>-0.16494461462244669</v>
      </c>
      <c r="D21" s="63">
        <f>'FAC 2002-2012 BUS'!I48</f>
        <v>-0.19154572575705331</v>
      </c>
      <c r="E21" s="63">
        <f>'FAC 2002-2012 BUS'!I76</f>
        <v>-0.24217564677153114</v>
      </c>
      <c r="F21" s="63">
        <f>'FAC 2002-2012 BUS'!I104</f>
        <v>-0.19971606355699134</v>
      </c>
      <c r="G21" s="63">
        <f>'FAC 2002-2012 BUS'!AD20</f>
        <v>1.6440420385959595E-2</v>
      </c>
      <c r="H21" s="63">
        <f>'FAC 2002-2012 BUS'!AD48</f>
        <v>1.8591551525724663E-2</v>
      </c>
      <c r="I21" s="63">
        <f>'FAC 2002-2012 BUS'!AD76</f>
        <v>2.7469772008322853E-2</v>
      </c>
      <c r="J21" s="170">
        <f>'FAC 2002-2012 BUS'!AD104</f>
        <v>0.84408010387635757</v>
      </c>
      <c r="K21" s="158"/>
      <c r="L21" s="186"/>
      <c r="M21" s="25" t="s">
        <v>46</v>
      </c>
      <c r="N21" s="63">
        <f>'FAC 2012-2018 BUS'!I20</f>
        <v>0.12479563574969244</v>
      </c>
      <c r="O21" s="63">
        <f>'FAC 2012-2018 BUS'!I48</f>
        <v>9.5252733490610808E-2</v>
      </c>
      <c r="P21" s="63">
        <f>'FAC 2012-2018 BUS'!I76</f>
        <v>8.3969333643664212E-2</v>
      </c>
      <c r="Q21" s="63">
        <f>AH10</f>
        <v>0.10299587233513963</v>
      </c>
      <c r="R21" s="63">
        <f>'FAC 2012-2018 BUS'!I104</f>
        <v>8.3566354398319831E-2</v>
      </c>
      <c r="S21" s="63">
        <f>AI10</f>
        <v>-7.1460141471446584E-3</v>
      </c>
      <c r="T21" s="63">
        <f>'FAC 2012-2018 BUS'!AD20</f>
        <v>-7.7196599552118899E-3</v>
      </c>
      <c r="U21" s="63">
        <f>'FAC 2012-2018 BUS'!AD48</f>
        <v>-6.0692837330197352E-3</v>
      </c>
      <c r="V21" s="63">
        <f>'FAC 2012-2018 BUS'!AD76</f>
        <v>-5.6364259133669199E-3</v>
      </c>
      <c r="W21" s="170">
        <f>'FAC 2012-2018 BUS'!AD104</f>
        <v>-0.2808322019209733</v>
      </c>
    </row>
    <row r="22" spans="2:35" x14ac:dyDescent="0.2">
      <c r="B22" s="25" t="s">
        <v>62</v>
      </c>
      <c r="C22" s="63">
        <f>'FAC 2002-2012 BUS'!I21</f>
        <v>4.1594878753359321E-3</v>
      </c>
      <c r="D22" s="63">
        <f>'FAC 2002-2012 BUS'!I49</f>
        <v>5.6459716000271554E-2</v>
      </c>
      <c r="E22" s="63">
        <f>'FAC 2002-2012 BUS'!I77</f>
        <v>9.6355141719019821E-2</v>
      </c>
      <c r="F22" s="63">
        <f>'FAC 2002-2012 BUS'!I105</f>
        <v>-6.3071586250362799E-3</v>
      </c>
      <c r="G22" s="63">
        <f>'FAC 2002-2012 BUS'!AD21</f>
        <v>2.6179720215067595E-4</v>
      </c>
      <c r="H22" s="63">
        <f>'FAC 2002-2012 BUS'!AD49</f>
        <v>1.6399193962715797E-3</v>
      </c>
      <c r="I22" s="63">
        <f>'FAC 2002-2012 BUS'!AD77</f>
        <v>3.1672656047716436E-3</v>
      </c>
      <c r="J22" s="170">
        <f>'FAC 2002-2012 BUS'!AD105</f>
        <v>-3.1454249395106805E-2</v>
      </c>
      <c r="K22" s="158"/>
      <c r="L22" s="186"/>
      <c r="M22" s="25" t="s">
        <v>62</v>
      </c>
      <c r="N22" s="63">
        <f>'FAC 2012-2018 BUS'!I21</f>
        <v>-8.6621117669988812E-2</v>
      </c>
      <c r="O22" s="63">
        <f>'FAC 2012-2018 BUS'!I49</f>
        <v>-0.12807270872960053</v>
      </c>
      <c r="P22" s="63">
        <f>'FAC 2012-2018 BUS'!I77</f>
        <v>-4.7947899022480867E-2</v>
      </c>
      <c r="Q22" s="63">
        <f>AH11</f>
        <v>-8.8920868865522418E-2</v>
      </c>
      <c r="R22" s="63">
        <f>'FAC 2012-2018 BUS'!I105</f>
        <v>-4.7603935258648034E-2</v>
      </c>
      <c r="S22" s="63">
        <f>AI11</f>
        <v>-1.6124029078461929E-3</v>
      </c>
      <c r="T22" s="63">
        <f>'FAC 2012-2018 BUS'!AD21</f>
        <v>-1.613256340161782E-3</v>
      </c>
      <c r="U22" s="63">
        <f>'FAC 2012-2018 BUS'!AD49</f>
        <v>-1.9334964657306136E-3</v>
      </c>
      <c r="V22" s="63">
        <f>'FAC 2012-2018 BUS'!AD77</f>
        <v>-6.1436277768337107E-4</v>
      </c>
      <c r="W22" s="170">
        <f>'FAC 2012-2018 BUS'!AD105</f>
        <v>-0.15499274628062504</v>
      </c>
    </row>
    <row r="23" spans="2:35" x14ac:dyDescent="0.2">
      <c r="B23" s="25" t="s">
        <v>47</v>
      </c>
      <c r="C23" s="63">
        <f>'FAC 2002-2012 BUS'!I22</f>
        <v>0.26457677383977884</v>
      </c>
      <c r="D23" s="63">
        <f>'FAC 2002-2012 BUS'!I50</f>
        <v>0.25044805039857976</v>
      </c>
      <c r="E23" s="63">
        <f>'FAC 2002-2012 BUS'!I78</f>
        <v>0.14893276125478505</v>
      </c>
      <c r="F23" s="63">
        <f>'FAC 2002-2012 BUS'!I106</f>
        <v>0.17142857142857126</v>
      </c>
      <c r="G23" s="63">
        <f>'FAC 2002-2012 BUS'!AD22</f>
        <v>-9.0828103983616338E-3</v>
      </c>
      <c r="H23" s="63">
        <f>'FAC 2002-2012 BUS'!AD50</f>
        <v>-7.285292048926988E-3</v>
      </c>
      <c r="I23" s="63">
        <f>'FAC 2002-2012 BUS'!AD78</f>
        <v>-7.0024364367792351E-3</v>
      </c>
      <c r="J23" s="170">
        <f>'FAC 2002-2012 BUS'!AD106</f>
        <v>-0.23707305905710374</v>
      </c>
      <c r="K23" s="158"/>
      <c r="L23" s="186"/>
      <c r="M23" s="8" t="s">
        <v>47</v>
      </c>
      <c r="N23" s="63">
        <f>'FAC 2012-2018 BUS'!I22</f>
        <v>0.22686091383672236</v>
      </c>
      <c r="O23" s="63">
        <f>'FAC 2012-2018 BUS'!I50</f>
        <v>0.32541950976214018</v>
      </c>
      <c r="P23" s="63">
        <f>'FAC 2012-2018 BUS'!I78</f>
        <v>0.35081042185348199</v>
      </c>
      <c r="Q23" s="63">
        <f>AH12</f>
        <v>0.29480895907393245</v>
      </c>
      <c r="R23" s="63">
        <f>'FAC 2012-2018 BUS'!I106</f>
        <v>0.12195121951219523</v>
      </c>
      <c r="S23" s="63">
        <f>AI12</f>
        <v>-8.4904844051451999E-3</v>
      </c>
      <c r="T23" s="63">
        <f>'FAC 2012-2018 BUS'!AD22</f>
        <v>-8.0392574176778413E-3</v>
      </c>
      <c r="U23" s="63">
        <f>'FAC 2012-2018 BUS'!AD50</f>
        <v>-9.54284847653151E-3</v>
      </c>
      <c r="V23" s="63">
        <f>'FAC 2012-2018 BUS'!AD78</f>
        <v>-9.0440419481457087E-3</v>
      </c>
      <c r="W23" s="170">
        <f>'FAC 2012-2018 BUS'!AD106</f>
        <v>-0.18964706122318903</v>
      </c>
    </row>
    <row r="24" spans="2:35" x14ac:dyDescent="0.2">
      <c r="B24" s="25"/>
      <c r="C24" s="63"/>
      <c r="D24" s="63"/>
      <c r="E24" s="63"/>
      <c r="F24" s="63"/>
      <c r="G24" s="63"/>
      <c r="H24" s="63"/>
      <c r="I24" s="63"/>
      <c r="J24" s="170"/>
      <c r="K24" s="158"/>
      <c r="L24" s="186"/>
      <c r="M24" s="197" t="s">
        <v>110</v>
      </c>
      <c r="N24" s="65"/>
      <c r="O24" s="65"/>
      <c r="P24" s="65"/>
      <c r="Q24" s="65"/>
      <c r="R24" s="65"/>
      <c r="S24" s="65">
        <f>SUM(S21:S23)</f>
        <v>-1.7248901460136051E-2</v>
      </c>
      <c r="T24" s="65">
        <f>SUM(T21:T23)</f>
        <v>-1.7372173713051511E-2</v>
      </c>
      <c r="U24" s="65">
        <f t="shared" ref="U24:W24" si="4">SUM(U21:U23)</f>
        <v>-1.7545628675281859E-2</v>
      </c>
      <c r="V24" s="65">
        <f t="shared" si="4"/>
        <v>-1.5294830639196001E-2</v>
      </c>
      <c r="W24" s="63">
        <f t="shared" si="4"/>
        <v>-0.62547200942478742</v>
      </c>
    </row>
    <row r="25" spans="2:35" x14ac:dyDescent="0.2">
      <c r="B25" s="25"/>
      <c r="C25" s="63"/>
      <c r="D25" s="63"/>
      <c r="E25" s="63"/>
      <c r="F25" s="63"/>
      <c r="G25" s="63"/>
      <c r="H25" s="63"/>
      <c r="I25" s="63"/>
      <c r="J25" s="170"/>
      <c r="K25" s="158"/>
      <c r="M25" s="186" t="s">
        <v>106</v>
      </c>
      <c r="N25" s="63"/>
      <c r="O25" s="63"/>
      <c r="P25" s="63"/>
      <c r="Q25" s="63"/>
      <c r="R25" s="63"/>
      <c r="S25" s="63"/>
      <c r="T25" s="63"/>
      <c r="U25" s="63"/>
      <c r="V25" s="63"/>
      <c r="W25" s="170"/>
    </row>
    <row r="26" spans="2:35" x14ac:dyDescent="0.2">
      <c r="B26" s="25" t="s">
        <v>86</v>
      </c>
      <c r="C26" s="108"/>
      <c r="D26" s="108"/>
      <c r="E26" s="108"/>
      <c r="F26" s="108"/>
      <c r="G26" s="63">
        <f>'FAC 2002-2012 BUS'!AD23</f>
        <v>-1.0589655681197255E-2</v>
      </c>
      <c r="H26" s="63">
        <f>'FAC 2002-2012 BUS'!AD51</f>
        <v>0</v>
      </c>
      <c r="I26" s="63">
        <f>'FAC 2002-2012 BUS'!AD79</f>
        <v>0</v>
      </c>
      <c r="J26" s="170">
        <f>'FAC 2002-2012 BUS'!AD107</f>
        <v>-0.92722735893688901</v>
      </c>
      <c r="K26" s="158"/>
      <c r="L26" s="6"/>
      <c r="M26" s="25" t="s">
        <v>86</v>
      </c>
      <c r="N26" s="178">
        <f>'FAC 2012-2018 BUS'!H23-'FAC 2012-2018 BUS'!G23</f>
        <v>5.6783520364663014</v>
      </c>
      <c r="O26" s="179">
        <f>'FAC 2012-2018 BUS'!H51-'FAC 2012-2018 BUS'!G51</f>
        <v>3.85967537363417</v>
      </c>
      <c r="P26" s="179">
        <f>'FAC 2012-2018 BUS'!H79-'FAC 2012-2018 BUS'!G79</f>
        <v>3.2621241012143001</v>
      </c>
      <c r="Q26" s="179">
        <f>AH13</f>
        <v>4.2667171704382572</v>
      </c>
      <c r="R26" s="63"/>
      <c r="S26" s="63">
        <f>AI13</f>
        <v>-0.10576776453298745</v>
      </c>
      <c r="T26" s="63">
        <f>'FAC 2012-2018 BUS'!AD23</f>
        <v>-0.10221918874569647</v>
      </c>
      <c r="U26" s="63">
        <f>'FAC 2012-2018 BUS'!AD51</f>
        <v>-0.11802397267859815</v>
      </c>
      <c r="V26" s="63">
        <f>'FAC 2012-2018 BUS'!AD79</f>
        <v>-9.7838982975594638E-2</v>
      </c>
      <c r="W26" s="170">
        <f>'FAC 2012-2018 BUS'!AD107</f>
        <v>-5.8156639365656408</v>
      </c>
    </row>
    <row r="27" spans="2:35" x14ac:dyDescent="0.2">
      <c r="B27" s="25" t="s">
        <v>64</v>
      </c>
      <c r="C27" s="108"/>
      <c r="D27" s="63"/>
      <c r="E27" s="63"/>
      <c r="F27" s="108"/>
      <c r="G27" s="63">
        <f>'FAC 2002-2012 BUS'!AD24</f>
        <v>-2.4755563500267292E-3</v>
      </c>
      <c r="H27" s="63">
        <f>'FAC 2002-2012 BUS'!AD52</f>
        <v>-7.9432913033514099E-4</v>
      </c>
      <c r="I27" s="63">
        <f>'FAC 2002-2012 BUS'!AD80</f>
        <v>-7.1029559151803226E-4</v>
      </c>
      <c r="J27" s="170">
        <f>'FAC 2002-2012 BUS'!AD108</f>
        <v>0</v>
      </c>
      <c r="K27" s="158"/>
      <c r="L27" s="6"/>
      <c r="M27" s="25" t="s">
        <v>64</v>
      </c>
      <c r="N27" s="178">
        <f>'FAC 2012-2018 BUS'!H24-'FAC 2012-2018 BUS'!G24</f>
        <v>0.79421312772556396</v>
      </c>
      <c r="O27" s="179">
        <f>'FAC 2012-2018 BUS'!H52-'FAC 2012-2018 BUS'!G52</f>
        <v>0.73543118460430634</v>
      </c>
      <c r="P27" s="179">
        <f>'FAC 2012-2018 BUS'!H80-'FAC 2012-2018 BUS'!G80</f>
        <v>0.5373714889601765</v>
      </c>
      <c r="Q27" s="179">
        <f>AH14</f>
        <v>0.68900526709668242</v>
      </c>
      <c r="R27" s="108"/>
      <c r="S27" s="108">
        <f>AI14</f>
        <v>-7.7826355542861591E-3</v>
      </c>
      <c r="T27" s="63">
        <f>'FAC 2012-2018 BUS'!AD24</f>
        <v>-8.1799682863212542E-3</v>
      </c>
      <c r="U27" s="63">
        <f>'FAC 2012-2018 BUS'!AD52</f>
        <v>-7.5670180717606114E-3</v>
      </c>
      <c r="V27" s="63">
        <f>'FAC 2012-2018 BUS'!AD80</f>
        <v>-5.1009819614650058E-3</v>
      </c>
      <c r="W27" s="170">
        <f>'FAC 2012-2018 BUS'!AD108</f>
        <v>-0.55921244210054999</v>
      </c>
    </row>
    <row r="28" spans="2:35" x14ac:dyDescent="0.2">
      <c r="B28" s="8" t="s">
        <v>65</v>
      </c>
      <c r="C28" s="109"/>
      <c r="D28" s="109"/>
      <c r="E28" s="109"/>
      <c r="F28" s="109"/>
      <c r="G28" s="64">
        <f>'FAC 2002-2012 BUS'!AD25</f>
        <v>0</v>
      </c>
      <c r="H28" s="64">
        <f>'FAC 2002-2012 BUS'!AD53</f>
        <v>0</v>
      </c>
      <c r="I28" s="64">
        <f>'FAC 2002-2012 BUS'!AD81</f>
        <v>0</v>
      </c>
      <c r="J28" s="171">
        <f>'FAC 2002-2012 BUS'!AD109</f>
        <v>0</v>
      </c>
      <c r="K28" s="183"/>
      <c r="L28" s="6"/>
      <c r="M28" s="8" t="s">
        <v>65</v>
      </c>
      <c r="N28" s="180">
        <f>'FAC 2012-2018 BUS'!H25-'FAC 2012-2018 BUS'!G25</f>
        <v>0.535820345896039</v>
      </c>
      <c r="O28" s="181">
        <f>'FAC 2012-2018 BUS'!H53-'FAC 2012-2018 BUS'!G53</f>
        <v>0.41079761662414999</v>
      </c>
      <c r="P28" s="181">
        <f>'FAC 2012-2018 BUS'!H81-'FAC 2012-2018 BUS'!G81</f>
        <v>6.7187175884046699E-2</v>
      </c>
      <c r="Q28" s="181">
        <f>AH15</f>
        <v>0.33793504613474523</v>
      </c>
      <c r="R28" s="109"/>
      <c r="S28" s="109">
        <f>AI15</f>
        <v>-1.6273242016194317E-2</v>
      </c>
      <c r="T28" s="64">
        <f>'FAC 2012-2018 BUS'!AD25</f>
        <v>-1.9044351861816074E-2</v>
      </c>
      <c r="U28" s="64">
        <f>'FAC 2012-2018 BUS'!AD53</f>
        <v>-1.3166868579572734E-2</v>
      </c>
      <c r="V28" s="64">
        <f>'FAC 2012-2018 BUS'!AD81</f>
        <v>-2.5160336010863829E-3</v>
      </c>
      <c r="W28" s="171">
        <f>'FAC 2012-2018 BUS'!AD109</f>
        <v>0</v>
      </c>
    </row>
    <row r="29" spans="2:35" ht="17" thickBot="1" x14ac:dyDescent="0.25">
      <c r="B29" s="8"/>
      <c r="C29" s="109"/>
      <c r="D29" s="109"/>
      <c r="E29" s="109"/>
      <c r="F29" s="109"/>
      <c r="G29" s="64"/>
      <c r="H29" s="64"/>
      <c r="I29" s="64"/>
      <c r="J29" s="171"/>
      <c r="K29" s="183"/>
      <c r="L29" s="23"/>
      <c r="M29" s="203" t="s">
        <v>110</v>
      </c>
      <c r="N29" s="204"/>
      <c r="O29" s="205"/>
      <c r="P29" s="205"/>
      <c r="Q29" s="205"/>
      <c r="R29" s="206"/>
      <c r="S29" s="207">
        <f>SUM(S26:S28)</f>
        <v>-0.12982364210346792</v>
      </c>
      <c r="T29" s="207">
        <f>SUM(T26:T28)</f>
        <v>-0.1294435088938338</v>
      </c>
      <c r="U29" s="207">
        <f t="shared" ref="U29:V29" si="5">SUM(U26:U28)</f>
        <v>-0.13875785932993148</v>
      </c>
      <c r="V29" s="207">
        <f t="shared" si="5"/>
        <v>-0.10545599853814602</v>
      </c>
      <c r="W29" s="171"/>
    </row>
    <row r="30" spans="2:35" ht="17" hidden="1" thickTop="1" x14ac:dyDescent="0.2">
      <c r="B30" s="41" t="s">
        <v>53</v>
      </c>
      <c r="C30" s="65"/>
      <c r="D30" s="65"/>
      <c r="E30" s="65"/>
      <c r="F30" s="65"/>
      <c r="G30" s="65">
        <f>'FAC 2002-2012 BUS'!AD26</f>
        <v>0.13747823851466651</v>
      </c>
      <c r="H30" s="65">
        <f>'FAC 2002-2012 BUS'!AD54</f>
        <v>0.20455094104988761</v>
      </c>
      <c r="I30" s="65">
        <f>'FAC 2002-2012 BUS'!AD82</f>
        <v>1.6204595660936241</v>
      </c>
      <c r="J30" s="172">
        <f>'FAC 2002-2012 BUS'!AD110</f>
        <v>0</v>
      </c>
      <c r="K30" s="183"/>
      <c r="L30" s="7"/>
      <c r="M30" s="8" t="s">
        <v>53</v>
      </c>
      <c r="N30" s="64"/>
      <c r="O30" s="64"/>
      <c r="P30" s="64"/>
      <c r="Q30" s="64"/>
      <c r="R30" s="64"/>
      <c r="S30" s="64"/>
      <c r="T30" s="64">
        <f>'FAC 2012-2018 BUS'!AD26</f>
        <v>0</v>
      </c>
      <c r="U30" s="64">
        <f>'FAC 2012-2018 BUS'!AD54</f>
        <v>0</v>
      </c>
      <c r="V30" s="64">
        <f>'FAC 2012-2018 BUS'!AD82</f>
        <v>0</v>
      </c>
      <c r="W30" s="172">
        <f>'FAC 2012-2018 BUS'!AD110</f>
        <v>0</v>
      </c>
    </row>
    <row r="31" spans="2:35" ht="17" thickTop="1" x14ac:dyDescent="0.2">
      <c r="B31" s="25" t="s">
        <v>66</v>
      </c>
      <c r="C31" s="69"/>
      <c r="D31" s="69"/>
      <c r="E31" s="69"/>
      <c r="F31" s="69"/>
      <c r="G31" s="69">
        <f>'FAC 2002-2012 BUS'!AD27</f>
        <v>0.30528665000402166</v>
      </c>
      <c r="H31" s="69">
        <f>'FAC 2002-2012 BUS'!AD55</f>
        <v>0.3322542195446323</v>
      </c>
      <c r="I31" s="69">
        <f>'FAC 2002-2012 BUS'!AD83</f>
        <v>1.9231034171202688</v>
      </c>
      <c r="J31" s="173">
        <f>'FAC 2002-2012 BUS'!AD111</f>
        <v>-6.2070979821381211E-2</v>
      </c>
      <c r="K31" s="183"/>
      <c r="M31" s="6" t="s">
        <v>66</v>
      </c>
      <c r="N31" s="69"/>
      <c r="O31" s="69"/>
      <c r="P31" s="69"/>
      <c r="Q31" s="69"/>
      <c r="R31" s="69"/>
      <c r="S31" s="69">
        <f>AI17</f>
        <v>-0.14065008712599847</v>
      </c>
      <c r="T31" s="69">
        <f>SUM(T29,T24,T19,T16,T12,T9)</f>
        <v>-0.14410123213017023</v>
      </c>
      <c r="U31" s="69">
        <f t="shared" ref="U31:V31" si="6">SUM(U29,U24,U19,U16,U12,U9)</f>
        <v>-0.13382346193338321</v>
      </c>
      <c r="V31" s="69">
        <f t="shared" si="6"/>
        <v>-0.15045036959510544</v>
      </c>
      <c r="W31" s="173">
        <f>'FAC 2012-2018 BUS'!AD111</f>
        <v>-0.21016586323025321</v>
      </c>
    </row>
    <row r="32" spans="2:35" ht="17" thickBot="1" x14ac:dyDescent="0.25">
      <c r="B32" s="9" t="s">
        <v>50</v>
      </c>
      <c r="C32" s="66"/>
      <c r="D32" s="66"/>
      <c r="E32" s="66"/>
      <c r="F32" s="66"/>
      <c r="G32" s="66">
        <f>'FAC 2002-2012 BUS'!AD28</f>
        <v>0.14578176527415976</v>
      </c>
      <c r="H32" s="66">
        <f>'FAC 2002-2012 BUS'!AD56</f>
        <v>0.38727309934186782</v>
      </c>
      <c r="I32" s="66">
        <f>'FAC 2002-2012 BUS'!AD84</f>
        <v>2.3049493041550506</v>
      </c>
      <c r="J32" s="174">
        <f>'FAC 2002-2012 BUS'!AD112</f>
        <v>-0.14017116941854424</v>
      </c>
      <c r="K32" s="183"/>
      <c r="M32" s="23" t="s">
        <v>50</v>
      </c>
      <c r="N32" s="66"/>
      <c r="O32" s="66"/>
      <c r="P32" s="66"/>
      <c r="Q32" s="66"/>
      <c r="R32" s="66"/>
      <c r="S32" s="66">
        <f>AI18</f>
        <v>-0.14732805485943079</v>
      </c>
      <c r="T32" s="66">
        <f>'FAC 2012-2018 BUS'!AD28</f>
        <v>-0.14351131184823507</v>
      </c>
      <c r="U32" s="66">
        <f>'FAC 2012-2018 BUS'!AD56</f>
        <v>-0.15780496085898432</v>
      </c>
      <c r="V32" s="66">
        <f>'FAC 2012-2018 BUS'!AD84</f>
        <v>-0.14612239671512528</v>
      </c>
      <c r="W32" s="174">
        <f>'FAC 2012-2018 BUS'!AD112</f>
        <v>-9.3789934893261595E-2</v>
      </c>
    </row>
    <row r="33" spans="2:23" ht="18" thickTop="1" thickBot="1" x14ac:dyDescent="0.25">
      <c r="B33" s="57" t="s">
        <v>67</v>
      </c>
      <c r="C33" s="67"/>
      <c r="D33" s="67"/>
      <c r="E33" s="67"/>
      <c r="F33" s="67"/>
      <c r="G33" s="67">
        <f>'FAC 2002-2012 BUS'!AD29</f>
        <v>-0.15950488472986191</v>
      </c>
      <c r="H33" s="67">
        <f>'FAC 2002-2012 BUS'!AD57</f>
        <v>5.501887979723552E-2</v>
      </c>
      <c r="I33" s="67">
        <f>'FAC 2002-2012 BUS'!AD85</f>
        <v>0.38184588703478184</v>
      </c>
      <c r="J33" s="175">
        <f>'FAC 2002-2012 BUS'!AD113</f>
        <v>-7.8100189597163028E-2</v>
      </c>
      <c r="K33" s="183"/>
      <c r="M33" s="58" t="s">
        <v>67</v>
      </c>
      <c r="N33" s="67"/>
      <c r="O33" s="67"/>
      <c r="P33" s="67"/>
      <c r="Q33" s="67"/>
      <c r="R33" s="67"/>
      <c r="S33" s="67">
        <f>S32-S31</f>
        <v>-6.6779677334323218E-3</v>
      </c>
      <c r="T33" s="67">
        <f>T32-T31</f>
        <v>5.8992028193516344E-4</v>
      </c>
      <c r="U33" s="67">
        <f t="shared" ref="U33:W33" si="7">U32-U31</f>
        <v>-2.3981498925601114E-2</v>
      </c>
      <c r="V33" s="67">
        <f t="shared" si="7"/>
        <v>4.3279728799801576E-3</v>
      </c>
      <c r="W33" s="67">
        <f t="shared" si="7"/>
        <v>0.11637592833699162</v>
      </c>
    </row>
    <row r="34" spans="2:23" ht="17" thickTop="1" x14ac:dyDescent="0.2"/>
    <row r="36" spans="2:23" x14ac:dyDescent="0.2">
      <c r="B36" s="68" t="s">
        <v>70</v>
      </c>
      <c r="M36" s="68" t="s">
        <v>59</v>
      </c>
    </row>
    <row r="37" spans="2:23" ht="17" thickBot="1" x14ac:dyDescent="0.25"/>
    <row r="38" spans="2:23" ht="17" thickTop="1" x14ac:dyDescent="0.2">
      <c r="B38" s="61"/>
      <c r="C38" s="240" t="s">
        <v>55</v>
      </c>
      <c r="D38" s="240"/>
      <c r="E38" s="240"/>
      <c r="F38" s="240"/>
      <c r="G38" s="240"/>
      <c r="H38" s="240"/>
      <c r="I38" s="240"/>
      <c r="J38" s="240"/>
      <c r="K38" s="28"/>
      <c r="M38" s="61"/>
      <c r="N38" s="240" t="s">
        <v>55</v>
      </c>
      <c r="O38" s="240"/>
      <c r="P38" s="240"/>
      <c r="Q38" s="240"/>
      <c r="R38" s="240"/>
      <c r="S38" s="28"/>
    </row>
    <row r="39" spans="2:23" x14ac:dyDescent="0.2">
      <c r="B39" s="8" t="s">
        <v>18</v>
      </c>
      <c r="C39" s="27" t="s">
        <v>56</v>
      </c>
      <c r="D39" s="27" t="s">
        <v>57</v>
      </c>
      <c r="E39" s="27" t="s">
        <v>58</v>
      </c>
      <c r="F39" s="169" t="s">
        <v>27</v>
      </c>
      <c r="G39" s="27"/>
      <c r="H39" s="27"/>
      <c r="I39" s="27"/>
      <c r="J39" s="169"/>
      <c r="K39" s="28"/>
      <c r="M39" s="8" t="s">
        <v>18</v>
      </c>
      <c r="N39" s="27" t="s">
        <v>56</v>
      </c>
      <c r="O39" s="27" t="s">
        <v>57</v>
      </c>
      <c r="P39" s="27" t="s">
        <v>58</v>
      </c>
      <c r="Q39" s="27"/>
      <c r="R39" s="169" t="s">
        <v>27</v>
      </c>
      <c r="S39" s="182"/>
    </row>
    <row r="40" spans="2:23" x14ac:dyDescent="0.2">
      <c r="B40" s="25" t="s">
        <v>31</v>
      </c>
      <c r="C40" s="63">
        <f>SUM(G6:G8)</f>
        <v>-4.0821409147028705E-2</v>
      </c>
      <c r="D40" s="63">
        <f>SUM(H6:H8)</f>
        <v>-1.2780939052339178E-2</v>
      </c>
      <c r="E40" s="63">
        <f>SUM(I6:I8)</f>
        <v>9.0443434191751659E-2</v>
      </c>
      <c r="F40" s="170">
        <f>SUM(J6:J8)</f>
        <v>-2.4527473980202572</v>
      </c>
      <c r="G40" s="63"/>
      <c r="H40" s="63"/>
      <c r="I40" s="63"/>
      <c r="J40" s="170"/>
      <c r="K40" s="158"/>
      <c r="M40" s="25" t="s">
        <v>101</v>
      </c>
      <c r="N40" s="63">
        <f>SUM(T6:T8)</f>
        <v>2.5905222910964074E-2</v>
      </c>
      <c r="O40" s="63">
        <f>SUM(U6:U8)</f>
        <v>4.8901392825296097E-2</v>
      </c>
      <c r="P40" s="63">
        <f>SUM(V6:V8)</f>
        <v>3.9959221342387122E-2</v>
      </c>
      <c r="Q40" s="63"/>
      <c r="R40" s="170">
        <f>SUM(W6:W8)</f>
        <v>0.28456660133986111</v>
      </c>
      <c r="S40" s="170"/>
    </row>
    <row r="41" spans="2:23" s="159" customFormat="1" x14ac:dyDescent="0.2">
      <c r="B41" s="115" t="s">
        <v>80</v>
      </c>
      <c r="C41" s="158">
        <f>SUM(G11)</f>
        <v>-3.8850873476224644E-2</v>
      </c>
      <c r="D41" s="158">
        <f>SUM(H11)</f>
        <v>-4.5013929675434772E-2</v>
      </c>
      <c r="E41" s="158">
        <f>SUM(I11)</f>
        <v>2.1973450194730095E-2</v>
      </c>
      <c r="F41" s="170">
        <f>SUM(J11)</f>
        <v>-5.5958417877107669</v>
      </c>
      <c r="G41" s="158"/>
      <c r="H41" s="158"/>
      <c r="I41" s="158"/>
      <c r="J41" s="170"/>
      <c r="K41" s="158"/>
      <c r="L41" s="185"/>
      <c r="M41" s="115" t="s">
        <v>102</v>
      </c>
      <c r="N41" s="158">
        <f>SUM(T11)</f>
        <v>-2.7768672208557687E-3</v>
      </c>
      <c r="O41" s="158">
        <f>SUM(U11)</f>
        <v>-3.4598407401346615E-3</v>
      </c>
      <c r="P41" s="158">
        <f>SUM(V11)</f>
        <v>-4.0285064048607329E-2</v>
      </c>
      <c r="Q41" s="158"/>
      <c r="R41" s="170">
        <f>SUM(W11)</f>
        <v>-4.0715826673876307</v>
      </c>
      <c r="S41" s="170"/>
    </row>
    <row r="42" spans="2:23" s="159" customFormat="1" x14ac:dyDescent="0.2">
      <c r="B42" s="115" t="s">
        <v>81</v>
      </c>
      <c r="C42" s="158">
        <f>SUM(G14:G15)</f>
        <v>2.2337095652435753E-2</v>
      </c>
      <c r="D42" s="158">
        <f>SUM(H14:H15)</f>
        <v>2.4851208040815403E-2</v>
      </c>
      <c r="E42" s="158">
        <f>SUM(I14:I15)</f>
        <v>3.7292861251671083E-2</v>
      </c>
      <c r="F42" s="170">
        <f>SUM(J14:J15)</f>
        <v>1.0557945022945658</v>
      </c>
      <c r="G42" s="158"/>
      <c r="H42" s="158"/>
      <c r="I42" s="158"/>
      <c r="J42" s="170"/>
      <c r="K42" s="158"/>
      <c r="L42" s="185"/>
      <c r="M42" s="115" t="s">
        <v>103</v>
      </c>
      <c r="N42" s="158">
        <f>SUM(T14:T15)</f>
        <v>1.4009303980028654E-2</v>
      </c>
      <c r="O42" s="158">
        <f>SUM(U14:U15)</f>
        <v>1.5172831878237741E-2</v>
      </c>
      <c r="P42" s="158">
        <f>SUM(V14:V15)</f>
        <v>9.8784750896516692E-3</v>
      </c>
      <c r="Q42" s="158"/>
      <c r="R42" s="170">
        <f>SUM(W14:W15)</f>
        <v>0.8883375772582176</v>
      </c>
      <c r="S42" s="170"/>
    </row>
    <row r="43" spans="2:23" s="159" customFormat="1" x14ac:dyDescent="0.2">
      <c r="B43" s="25" t="s">
        <v>48</v>
      </c>
      <c r="C43" s="158">
        <f>G18</f>
        <v>8.2934031911208017E-2</v>
      </c>
      <c r="D43" s="158">
        <f>H18</f>
        <v>8.6311911059994556E-2</v>
      </c>
      <c r="E43" s="158">
        <f>I18</f>
        <v>0.12744237872346506</v>
      </c>
      <c r="F43" s="170">
        <f>J18</f>
        <v>4.1485223908903945</v>
      </c>
      <c r="G43" s="158"/>
      <c r="H43" s="158"/>
      <c r="I43" s="158"/>
      <c r="J43" s="170"/>
      <c r="K43" s="158"/>
      <c r="L43" s="185"/>
      <c r="M43" s="25" t="s">
        <v>105</v>
      </c>
      <c r="N43" s="158">
        <f>T18</f>
        <v>-3.4423209193421858E-2</v>
      </c>
      <c r="O43" s="158">
        <f>U18</f>
        <v>-3.8134357891569028E-2</v>
      </c>
      <c r="P43" s="158">
        <f>V18</f>
        <v>-3.9252172801194904E-2</v>
      </c>
      <c r="Q43" s="158"/>
      <c r="R43" s="170">
        <f>W18</f>
        <v>-1.9442617720478454</v>
      </c>
      <c r="S43" s="170"/>
    </row>
    <row r="44" spans="2:23" s="159" customFormat="1" x14ac:dyDescent="0.2">
      <c r="B44" s="25" t="s">
        <v>52</v>
      </c>
      <c r="C44" s="158">
        <f>SUM(G21:G23)</f>
        <v>7.6194071897486369E-3</v>
      </c>
      <c r="D44" s="158">
        <f>SUM(H21:H23)</f>
        <v>1.2946178873069253E-2</v>
      </c>
      <c r="E44" s="158">
        <f>SUM(I21:I23)</f>
        <v>2.3634601176315263E-2</v>
      </c>
      <c r="F44" s="170">
        <f>SUM(J21:J23)</f>
        <v>0.57555279542414706</v>
      </c>
      <c r="G44" s="158"/>
      <c r="H44" s="158"/>
      <c r="I44" s="158"/>
      <c r="J44" s="170"/>
      <c r="K44" s="158"/>
      <c r="L44" s="185"/>
      <c r="M44" s="25" t="s">
        <v>104</v>
      </c>
      <c r="N44" s="158">
        <f>SUM(T21:T23)</f>
        <v>-1.7372173713051511E-2</v>
      </c>
      <c r="O44" s="158">
        <f>SUM(U21:U23)</f>
        <v>-1.7545628675281859E-2</v>
      </c>
      <c r="P44" s="158">
        <f>SUM(V21:V23)</f>
        <v>-1.5294830639196001E-2</v>
      </c>
      <c r="Q44" s="158"/>
      <c r="R44" s="170">
        <f>SUM(W21:W23)</f>
        <v>-0.62547200942478742</v>
      </c>
      <c r="S44" s="170"/>
    </row>
    <row r="45" spans="2:23" x14ac:dyDescent="0.2">
      <c r="B45" s="25" t="s">
        <v>73</v>
      </c>
      <c r="C45" s="63">
        <f>SUM(G26:G28)</f>
        <v>-1.3065212031223985E-2</v>
      </c>
      <c r="D45" s="63">
        <f>SUM(H26:H28)</f>
        <v>-7.9432913033514099E-4</v>
      </c>
      <c r="E45" s="63">
        <f>SUM(I26:I28)</f>
        <v>-7.1029559151803226E-4</v>
      </c>
      <c r="F45" s="170">
        <f>SUM(J26:J28)</f>
        <v>-0.92722735893688901</v>
      </c>
      <c r="G45" s="63"/>
      <c r="H45" s="63"/>
      <c r="I45" s="63"/>
      <c r="J45" s="170"/>
      <c r="K45" s="158"/>
      <c r="M45" s="25" t="s">
        <v>106</v>
      </c>
      <c r="N45" s="63">
        <f>SUM(T26:T28)</f>
        <v>-0.1294435088938338</v>
      </c>
      <c r="O45" s="63">
        <f>SUM(U26:U28)</f>
        <v>-0.13875785932993148</v>
      </c>
      <c r="P45" s="63">
        <f>SUM(V26:V28)</f>
        <v>-0.10545599853814602</v>
      </c>
      <c r="Q45" s="63"/>
      <c r="R45" s="170">
        <f>SUM(W26:W28)</f>
        <v>-6.3748763786661904</v>
      </c>
      <c r="S45" s="170"/>
    </row>
    <row r="46" spans="2:23" x14ac:dyDescent="0.2">
      <c r="B46" s="41" t="s">
        <v>53</v>
      </c>
      <c r="C46" s="65">
        <f t="shared" ref="C46:F49" si="8">G30</f>
        <v>0.13747823851466651</v>
      </c>
      <c r="D46" s="65">
        <f t="shared" si="8"/>
        <v>0.20455094104988761</v>
      </c>
      <c r="E46" s="65">
        <f t="shared" si="8"/>
        <v>1.6204595660936241</v>
      </c>
      <c r="F46" s="172">
        <f t="shared" si="8"/>
        <v>0</v>
      </c>
      <c r="G46" s="65"/>
      <c r="H46" s="65"/>
      <c r="I46" s="65"/>
      <c r="J46" s="172"/>
      <c r="K46" s="183"/>
      <c r="M46" s="41" t="s">
        <v>53</v>
      </c>
      <c r="N46" s="65">
        <f t="shared" ref="N46:P49" si="9">T30</f>
        <v>0</v>
      </c>
      <c r="O46" s="65">
        <f t="shared" si="9"/>
        <v>0</v>
      </c>
      <c r="P46" s="65">
        <f t="shared" si="9"/>
        <v>0</v>
      </c>
      <c r="Q46" s="65"/>
      <c r="R46" s="172">
        <f t="shared" ref="R46:R49" si="10">W30</f>
        <v>0</v>
      </c>
      <c r="S46" s="173"/>
    </row>
    <row r="47" spans="2:23" x14ac:dyDescent="0.2">
      <c r="B47" s="25" t="s">
        <v>66</v>
      </c>
      <c r="C47" s="69">
        <f t="shared" si="8"/>
        <v>0.30528665000402166</v>
      </c>
      <c r="D47" s="69">
        <f t="shared" si="8"/>
        <v>0.3322542195446323</v>
      </c>
      <c r="E47" s="69">
        <f t="shared" si="8"/>
        <v>1.9231034171202688</v>
      </c>
      <c r="F47" s="173">
        <f t="shared" si="8"/>
        <v>-6.2070979821381211E-2</v>
      </c>
      <c r="G47" s="69"/>
      <c r="H47" s="69"/>
      <c r="I47" s="69"/>
      <c r="J47" s="173"/>
      <c r="K47" s="183"/>
      <c r="M47" s="25" t="s">
        <v>66</v>
      </c>
      <c r="N47" s="69">
        <f t="shared" si="9"/>
        <v>-0.14410123213017023</v>
      </c>
      <c r="O47" s="69">
        <f t="shared" si="9"/>
        <v>-0.13382346193338321</v>
      </c>
      <c r="P47" s="69">
        <f t="shared" si="9"/>
        <v>-0.15045036959510544</v>
      </c>
      <c r="Q47" s="69"/>
      <c r="R47" s="173">
        <f t="shared" si="10"/>
        <v>-0.21016586323025321</v>
      </c>
      <c r="S47" s="173"/>
    </row>
    <row r="48" spans="2:23" ht="17" thickBot="1" x14ac:dyDescent="0.25">
      <c r="B48" s="9" t="s">
        <v>50</v>
      </c>
      <c r="C48" s="66">
        <f t="shared" si="8"/>
        <v>0.14578176527415976</v>
      </c>
      <c r="D48" s="66">
        <f t="shared" si="8"/>
        <v>0.38727309934186782</v>
      </c>
      <c r="E48" s="66">
        <f t="shared" si="8"/>
        <v>2.3049493041550506</v>
      </c>
      <c r="F48" s="174">
        <f t="shared" si="8"/>
        <v>-0.14017116941854424</v>
      </c>
      <c r="G48" s="66"/>
      <c r="H48" s="66"/>
      <c r="I48" s="66"/>
      <c r="J48" s="174"/>
      <c r="K48" s="183"/>
      <c r="M48" s="9" t="s">
        <v>50</v>
      </c>
      <c r="N48" s="66">
        <f t="shared" si="9"/>
        <v>-0.14351131184823507</v>
      </c>
      <c r="O48" s="66">
        <f t="shared" si="9"/>
        <v>-0.15780496085898432</v>
      </c>
      <c r="P48" s="66">
        <f t="shared" si="9"/>
        <v>-0.14612239671512528</v>
      </c>
      <c r="Q48" s="66"/>
      <c r="R48" s="174">
        <f t="shared" si="10"/>
        <v>-9.3789934893261595E-2</v>
      </c>
      <c r="S48" s="173"/>
    </row>
    <row r="49" spans="2:19" ht="18" thickTop="1" thickBot="1" x14ac:dyDescent="0.25">
      <c r="B49" s="57" t="s">
        <v>67</v>
      </c>
      <c r="C49" s="67">
        <f t="shared" si="8"/>
        <v>-0.15950488472986191</v>
      </c>
      <c r="D49" s="67">
        <f t="shared" si="8"/>
        <v>5.501887979723552E-2</v>
      </c>
      <c r="E49" s="67">
        <f t="shared" si="8"/>
        <v>0.38184588703478184</v>
      </c>
      <c r="F49" s="175">
        <f t="shared" si="8"/>
        <v>-7.8100189597163028E-2</v>
      </c>
      <c r="G49" s="67"/>
      <c r="H49" s="67"/>
      <c r="I49" s="67"/>
      <c r="J49" s="175"/>
      <c r="K49" s="183"/>
      <c r="M49" s="57" t="s">
        <v>67</v>
      </c>
      <c r="N49" s="67">
        <f t="shared" si="9"/>
        <v>5.8992028193516344E-4</v>
      </c>
      <c r="O49" s="67">
        <f t="shared" si="9"/>
        <v>-2.3981498925601114E-2</v>
      </c>
      <c r="P49" s="67">
        <f t="shared" si="9"/>
        <v>4.3279728799801576E-3</v>
      </c>
      <c r="Q49" s="67"/>
      <c r="R49" s="175">
        <f t="shared" si="10"/>
        <v>0.11637592833699162</v>
      </c>
      <c r="S49" s="173"/>
    </row>
    <row r="50" spans="2:19" ht="17" thickTop="1" x14ac:dyDescent="0.2"/>
  </sheetData>
  <mergeCells count="7">
    <mergeCell ref="C3:F3"/>
    <mergeCell ref="G3:J3"/>
    <mergeCell ref="N3:R3"/>
    <mergeCell ref="T3:W3"/>
    <mergeCell ref="C38:F38"/>
    <mergeCell ref="G38:J38"/>
    <mergeCell ref="N38:R3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50"/>
  <sheetViews>
    <sheetView showGridLines="0" topLeftCell="A11" workbookViewId="0">
      <selection activeCell="C6" sqref="C6"/>
    </sheetView>
  </sheetViews>
  <sheetFormatPr baseColWidth="10" defaultColWidth="8.83203125" defaultRowHeight="16" x14ac:dyDescent="0.2"/>
  <cols>
    <col min="1" max="1" width="4" customWidth="1"/>
    <col min="2" max="2" width="32.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style="168" customWidth="1"/>
    <col min="11" max="11" width="8" style="159" customWidth="1"/>
    <col min="12" max="12" width="2.5" style="184" customWidth="1"/>
    <col min="13" max="13" width="32.5" bestFit="1" customWidth="1"/>
    <col min="14" max="14" width="7.1640625" customWidth="1"/>
    <col min="15" max="15" width="8.83203125" customWidth="1"/>
    <col min="16" max="16" width="10" customWidth="1"/>
    <col min="17" max="17" width="8" hidden="1" customWidth="1"/>
    <col min="18" max="18" width="7.33203125" hidden="1" customWidth="1"/>
    <col min="19" max="19" width="7.33203125" customWidth="1"/>
    <col min="20" max="20" width="8.33203125" bestFit="1" customWidth="1"/>
    <col min="21" max="21" width="8" bestFit="1" customWidth="1"/>
    <col min="22" max="22" width="8" hidden="1" customWidth="1"/>
    <col min="23" max="23" width="7.33203125" style="168" hidden="1" customWidth="1"/>
    <col min="24" max="24" width="21.5" bestFit="1" customWidth="1"/>
    <col min="25" max="25" width="39.1640625" customWidth="1"/>
    <col min="27" max="29" width="0" hidden="1" customWidth="1"/>
    <col min="32" max="32" width="11.33203125" customWidth="1"/>
  </cols>
  <sheetData>
    <row r="1" spans="2:33" x14ac:dyDescent="0.2">
      <c r="B1" s="68" t="s">
        <v>71</v>
      </c>
      <c r="M1" s="68" t="s">
        <v>61</v>
      </c>
      <c r="N1" s="68"/>
    </row>
    <row r="2" spans="2:33" ht="17" thickBot="1" x14ac:dyDescent="0.25"/>
    <row r="3" spans="2:33" ht="17" thickTop="1" x14ac:dyDescent="0.2">
      <c r="B3" s="61"/>
      <c r="C3" s="240" t="s">
        <v>60</v>
      </c>
      <c r="D3" s="240"/>
      <c r="E3" s="240"/>
      <c r="F3" s="240"/>
      <c r="G3" s="240" t="s">
        <v>55</v>
      </c>
      <c r="H3" s="240"/>
      <c r="I3" s="240"/>
      <c r="J3" s="240"/>
      <c r="K3" s="28"/>
      <c r="L3" s="62"/>
      <c r="M3" s="61"/>
      <c r="N3" s="61"/>
      <c r="O3" s="240" t="s">
        <v>60</v>
      </c>
      <c r="P3" s="240"/>
      <c r="Q3" s="240"/>
      <c r="R3" s="240"/>
      <c r="S3" s="216"/>
      <c r="T3" s="240" t="s">
        <v>55</v>
      </c>
      <c r="U3" s="240"/>
      <c r="V3" s="240"/>
      <c r="W3" s="240"/>
    </row>
    <row r="4" spans="2:33" ht="17" thickBot="1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169" t="s">
        <v>27</v>
      </c>
      <c r="K4" s="28"/>
      <c r="L4" s="23"/>
      <c r="M4" s="9" t="s">
        <v>18</v>
      </c>
      <c r="N4" s="9" t="s">
        <v>114</v>
      </c>
      <c r="O4" s="189" t="s">
        <v>56</v>
      </c>
      <c r="P4" s="189" t="s">
        <v>57</v>
      </c>
      <c r="Q4" s="189" t="s">
        <v>58</v>
      </c>
      <c r="R4" s="189" t="s">
        <v>27</v>
      </c>
      <c r="S4" s="189" t="s">
        <v>114</v>
      </c>
      <c r="T4" s="189" t="s">
        <v>56</v>
      </c>
      <c r="U4" s="189" t="s">
        <v>57</v>
      </c>
      <c r="V4" s="27" t="s">
        <v>58</v>
      </c>
      <c r="W4" s="169" t="s">
        <v>27</v>
      </c>
      <c r="Y4" t="s">
        <v>31</v>
      </c>
      <c r="Z4" t="s">
        <v>21</v>
      </c>
      <c r="AA4" t="s">
        <v>91</v>
      </c>
      <c r="AB4" s="209"/>
      <c r="AC4">
        <v>13</v>
      </c>
      <c r="AD4" s="210">
        <v>64369463.714897253</v>
      </c>
      <c r="AE4" s="210">
        <v>72403177.233846709</v>
      </c>
      <c r="AF4" s="211">
        <v>0.12480628321733533</v>
      </c>
      <c r="AG4" s="211">
        <v>0.10311500442001376</v>
      </c>
    </row>
    <row r="5" spans="2:33" ht="17" thickTop="1" x14ac:dyDescent="0.2">
      <c r="B5" s="25"/>
      <c r="C5" s="28"/>
      <c r="D5" s="28"/>
      <c r="E5" s="28"/>
      <c r="F5" s="28"/>
      <c r="G5" s="28"/>
      <c r="H5" s="28"/>
      <c r="I5" s="28"/>
      <c r="J5" s="182"/>
      <c r="K5" s="28"/>
      <c r="M5" s="186" t="s">
        <v>101</v>
      </c>
      <c r="N5" s="186"/>
      <c r="O5" s="28"/>
      <c r="P5" s="28"/>
      <c r="Q5" s="28"/>
      <c r="R5" s="28"/>
      <c r="S5" s="28"/>
      <c r="T5" s="188"/>
      <c r="U5" s="188"/>
      <c r="V5" s="28"/>
      <c r="W5" s="182"/>
      <c r="Y5" t="s">
        <v>52</v>
      </c>
      <c r="Z5" t="s">
        <v>21</v>
      </c>
      <c r="AA5" t="s">
        <v>92</v>
      </c>
      <c r="AB5" s="209"/>
      <c r="AC5">
        <v>15</v>
      </c>
      <c r="AD5" s="210">
        <v>3.04715725186932</v>
      </c>
      <c r="AE5" s="210">
        <v>3.3720141858434198</v>
      </c>
      <c r="AF5" s="211">
        <v>0.10660983570008153</v>
      </c>
      <c r="AG5" s="211">
        <v>-2.6026156615141398E-2</v>
      </c>
    </row>
    <row r="6" spans="2:33" x14ac:dyDescent="0.2">
      <c r="B6" s="25" t="s">
        <v>31</v>
      </c>
      <c r="C6" s="63">
        <f>'FAC 2002-2012 RAIL'!I13</f>
        <v>0.20620096807639721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0.24638361933259556</v>
      </c>
      <c r="H6" s="63">
        <f>'FAC 2002-2012 RAIL'!AD41</f>
        <v>0.60187556607853188</v>
      </c>
      <c r="I6" s="63" t="e">
        <f>'FAC 2002-2012 RAIL'!AD69</f>
        <v>#N/A</v>
      </c>
      <c r="J6" s="170">
        <f>'FAC 2002-2012 RAIL'!AD97</f>
        <v>9.362556812891927E-2</v>
      </c>
      <c r="K6" s="158"/>
      <c r="L6" s="186"/>
      <c r="M6" s="25" t="s">
        <v>31</v>
      </c>
      <c r="N6" s="222">
        <f>AF4</f>
        <v>0.12480628321733533</v>
      </c>
      <c r="O6" s="63">
        <f>'FAC 2012-2018 RAIL'!I13</f>
        <v>0.11766443769046075</v>
      </c>
      <c r="P6" s="63">
        <f>'FAC 2012-2018 RAIL'!I41</f>
        <v>0.22868168171758918</v>
      </c>
      <c r="Q6" s="63" t="str">
        <f>'FAC 2012-2018 RAIL'!I69</f>
        <v>-</v>
      </c>
      <c r="R6" s="63">
        <f>'FAC 2012-2018 RAIL'!I97</f>
        <v>3.3807373956687981E-2</v>
      </c>
      <c r="S6" s="63">
        <f>AG4</f>
        <v>0.10311500442001376</v>
      </c>
      <c r="T6" s="63">
        <f>'FAC 2012-2018 RAIL'!AD13</f>
        <v>9.961358301090717E-2</v>
      </c>
      <c r="U6" s="63">
        <f>'FAC 2012-2018 RAIL'!AD41</f>
        <v>0.17853956170995575</v>
      </c>
      <c r="V6" s="63" t="e">
        <f>'FAC 2012-2018 RAIL'!AD69</f>
        <v>#N/A</v>
      </c>
      <c r="W6" s="170">
        <f>'FAC 2012-2018 RAIL'!AD97</f>
        <v>2.6168842911592348E-2</v>
      </c>
      <c r="Y6" t="s">
        <v>80</v>
      </c>
      <c r="AA6" t="s">
        <v>78</v>
      </c>
      <c r="AB6" s="209"/>
      <c r="AC6">
        <v>23</v>
      </c>
      <c r="AD6" s="210">
        <v>0</v>
      </c>
      <c r="AE6" s="210">
        <v>0</v>
      </c>
      <c r="AF6" s="234">
        <v>0</v>
      </c>
      <c r="AG6" s="211">
        <v>0</v>
      </c>
    </row>
    <row r="7" spans="2:33" s="159" customFormat="1" x14ac:dyDescent="0.2">
      <c r="B7" s="115" t="s">
        <v>80</v>
      </c>
      <c r="C7" s="158" t="str">
        <f>'FAC 2002-2012 RAIL'!I15</f>
        <v>-</v>
      </c>
      <c r="D7" s="158" t="str">
        <f>'FAC 2002-2012 BUS'!I43</f>
        <v>-</v>
      </c>
      <c r="E7" s="158" t="str">
        <f>'FAC 2002-2012 RAIL'!I71</f>
        <v>-</v>
      </c>
      <c r="F7" s="158" t="str">
        <f>'FAC 2002-2012 RAIL'!I99</f>
        <v>-</v>
      </c>
      <c r="G7" s="158">
        <f>'FAC 2002-2012 RAIL'!AD15</f>
        <v>0</v>
      </c>
      <c r="H7" s="158">
        <f>'FAC 2002-2012 RAIL'!AD43</f>
        <v>0</v>
      </c>
      <c r="I7" s="158" t="e">
        <f>'FAC 2002-2012 RAIL'!AD71</f>
        <v>#N/A</v>
      </c>
      <c r="J7" s="170">
        <f>'FAC 2002-2012 RAIL'!AD99</f>
        <v>0</v>
      </c>
      <c r="K7" s="158"/>
      <c r="L7" s="187"/>
      <c r="M7" s="115" t="s">
        <v>80</v>
      </c>
      <c r="N7" s="223">
        <f>AF6</f>
        <v>0</v>
      </c>
      <c r="O7" s="177">
        <f>'FAC 2012-2018 RAIL'!H15-'FAC 2012-2018 RAIL'!G15</f>
        <v>0</v>
      </c>
      <c r="P7" s="177">
        <f>'FAC 2012-2018 RAIL'!H43-'FAC 2012-2018 RAIL'!G43</f>
        <v>0</v>
      </c>
      <c r="Q7" s="158" t="str">
        <f>'FAC 2012-2018 RAIL'!I71</f>
        <v>-</v>
      </c>
      <c r="R7" s="158" t="str">
        <f>'FAC 2012-2018 RAIL'!I99</f>
        <v>-</v>
      </c>
      <c r="S7" s="158">
        <f>AG6</f>
        <v>0</v>
      </c>
      <c r="T7" s="158">
        <f>'FAC 2012-2018 RAIL'!AD15</f>
        <v>0</v>
      </c>
      <c r="U7" s="158">
        <f>'FAC 2012-2018 RAIL'!AD43</f>
        <v>0</v>
      </c>
      <c r="V7" s="158" t="e">
        <f>'FAC 2012-2018 RAIL'!AD71</f>
        <v>#N/A</v>
      </c>
      <c r="W7" s="170">
        <f>'FAC 2012-2018 RAIL'!AD99</f>
        <v>0</v>
      </c>
      <c r="X7" s="160"/>
      <c r="Y7" s="159" t="s">
        <v>81</v>
      </c>
      <c r="AA7" s="159" t="s">
        <v>77</v>
      </c>
      <c r="AB7" s="212"/>
      <c r="AC7" s="159">
        <v>22</v>
      </c>
      <c r="AD7" s="213">
        <v>0</v>
      </c>
      <c r="AE7" s="213">
        <v>9.1007693143801194E-2</v>
      </c>
      <c r="AF7" s="232">
        <v>4.5503846571900597E-2</v>
      </c>
      <c r="AG7" s="214">
        <v>-1.0454595808265228E-2</v>
      </c>
    </row>
    <row r="8" spans="2:33" s="159" customFormat="1" x14ac:dyDescent="0.2">
      <c r="B8" s="115" t="s">
        <v>81</v>
      </c>
      <c r="C8" s="158" t="str">
        <f>'FAC 2002-2012 RAIL'!I16</f>
        <v>-</v>
      </c>
      <c r="D8" s="158" t="str">
        <f>'FAC 2002-2012 BUS'!I44</f>
        <v>-</v>
      </c>
      <c r="E8" s="158" t="str">
        <f>'FAC 2002-2012 RAIL'!I72</f>
        <v>-</v>
      </c>
      <c r="F8" s="158" t="str">
        <f>'FAC 2002-2012 RAIL'!I100</f>
        <v>-</v>
      </c>
      <c r="G8" s="158">
        <f>'FAC 2002-2012 RAIL'!AD16</f>
        <v>0</v>
      </c>
      <c r="H8" s="158">
        <f>'FAC 2002-2012 RAIL'!AD44</f>
        <v>0</v>
      </c>
      <c r="I8" s="158" t="e">
        <f>'FAC 2002-2012 RAIL'!AD72</f>
        <v>#N/A</v>
      </c>
      <c r="J8" s="170">
        <f>'FAC 2002-2012 RAIL'!AD100</f>
        <v>0</v>
      </c>
      <c r="K8" s="158"/>
      <c r="L8" s="187"/>
      <c r="M8" s="127" t="s">
        <v>81</v>
      </c>
      <c r="N8" s="236">
        <f>AF7</f>
        <v>4.5503846571900597E-2</v>
      </c>
      <c r="O8" s="199">
        <f>'FAC 2012-2018 RAIL'!H16-'FAC 2012-2018 RAIL'!G16</f>
        <v>9.1007693143801194E-2</v>
      </c>
      <c r="P8" s="199">
        <f>'FAC 2012-2018 RAIL'!H44-'FAC 2012-2018 RAIL'!G44</f>
        <v>0</v>
      </c>
      <c r="Q8" s="200" t="str">
        <f>'FAC 2012-2018 RAIL'!I72</f>
        <v>-</v>
      </c>
      <c r="R8" s="200" t="str">
        <f>'FAC 2012-2018 RAIL'!I100</f>
        <v>-</v>
      </c>
      <c r="S8" s="200">
        <f>AG7</f>
        <v>-1.0454595808265228E-2</v>
      </c>
      <c r="T8" s="200">
        <f>'FAC 2012-2018 RAIL'!AD16</f>
        <v>-1.0961548297403893E-2</v>
      </c>
      <c r="U8" s="200">
        <f>'FAC 2012-2018 RAIL'!AD44</f>
        <v>0</v>
      </c>
      <c r="V8" s="158" t="e">
        <f>'FAC 2012-2018 RAIL'!AD72</f>
        <v>#N/A</v>
      </c>
      <c r="W8" s="170">
        <f>'FAC 2012-2018 RAIL'!AD100</f>
        <v>0</v>
      </c>
      <c r="X8" s="160"/>
      <c r="Y8" s="159" t="s">
        <v>48</v>
      </c>
      <c r="Z8" s="159" t="s">
        <v>21</v>
      </c>
      <c r="AA8" s="159" t="s">
        <v>8</v>
      </c>
      <c r="AB8" s="212"/>
      <c r="AC8" s="159">
        <v>16</v>
      </c>
      <c r="AD8" s="213">
        <v>12139216.957008699</v>
      </c>
      <c r="AE8" s="213">
        <v>12868523.289601771</v>
      </c>
      <c r="AF8" s="214">
        <v>6.0078531850606742E-2</v>
      </c>
      <c r="AG8" s="214">
        <v>1.4434509160719741E-2</v>
      </c>
    </row>
    <row r="9" spans="2:33" s="159" customFormat="1" x14ac:dyDescent="0.2">
      <c r="B9" s="115"/>
      <c r="C9" s="158"/>
      <c r="D9" s="158"/>
      <c r="E9" s="158"/>
      <c r="F9" s="158"/>
      <c r="G9" s="158"/>
      <c r="H9" s="158"/>
      <c r="I9" s="158"/>
      <c r="J9" s="170"/>
      <c r="K9" s="158"/>
      <c r="L9" s="187"/>
      <c r="M9" s="194" t="s">
        <v>110</v>
      </c>
      <c r="N9" s="194"/>
      <c r="O9" s="195"/>
      <c r="P9" s="195"/>
      <c r="Q9" s="196"/>
      <c r="R9" s="196"/>
      <c r="S9" s="196">
        <f>SUM(S6:S8)</f>
        <v>9.2660408611748526E-2</v>
      </c>
      <c r="T9" s="196">
        <f>SUM(T6:T8)</f>
        <v>8.8652034713503275E-2</v>
      </c>
      <c r="U9" s="196">
        <f>SUM(U6:U8)</f>
        <v>0.17853956170995575</v>
      </c>
      <c r="V9" s="158"/>
      <c r="W9" s="170"/>
      <c r="X9" s="160"/>
      <c r="Y9" s="159" t="s">
        <v>73</v>
      </c>
      <c r="AA9" s="159" t="s">
        <v>72</v>
      </c>
      <c r="AB9" s="212"/>
      <c r="AC9" s="159">
        <v>17</v>
      </c>
      <c r="AD9" s="213">
        <v>0.79414675936784396</v>
      </c>
      <c r="AE9" s="213">
        <v>0.78766958144359001</v>
      </c>
      <c r="AF9" s="214">
        <v>-8.1561472710786065E-3</v>
      </c>
      <c r="AG9" s="214">
        <v>-7.3874326553913255E-5</v>
      </c>
    </row>
    <row r="10" spans="2:33" s="159" customFormat="1" x14ac:dyDescent="0.2">
      <c r="B10" s="115"/>
      <c r="C10" s="158"/>
      <c r="D10" s="158"/>
      <c r="E10" s="158"/>
      <c r="F10" s="158"/>
      <c r="G10" s="158"/>
      <c r="H10" s="158"/>
      <c r="I10" s="158"/>
      <c r="J10" s="170"/>
      <c r="K10" s="158"/>
      <c r="M10" s="187" t="s">
        <v>108</v>
      </c>
      <c r="N10" s="187"/>
      <c r="O10" s="177"/>
      <c r="P10" s="177"/>
      <c r="Q10" s="158"/>
      <c r="R10" s="158"/>
      <c r="S10" s="158"/>
      <c r="T10" s="158"/>
      <c r="U10" s="158"/>
      <c r="V10" s="158"/>
      <c r="W10" s="170"/>
      <c r="X10" s="160"/>
      <c r="Y10" s="159" t="s">
        <v>49</v>
      </c>
      <c r="Z10" s="159" t="s">
        <v>21</v>
      </c>
      <c r="AA10" s="159" t="s">
        <v>82</v>
      </c>
      <c r="AB10" s="212"/>
      <c r="AC10" s="159">
        <v>18</v>
      </c>
      <c r="AD10" s="213">
        <v>8.0888216358709801</v>
      </c>
      <c r="AE10" s="213">
        <v>5.7874690353452198</v>
      </c>
      <c r="AF10" s="214">
        <v>-0.28451024192696983</v>
      </c>
      <c r="AG10" s="214">
        <v>-3.7325835650446053E-2</v>
      </c>
    </row>
    <row r="11" spans="2:33" s="159" customFormat="1" x14ac:dyDescent="0.2">
      <c r="B11" s="25" t="s">
        <v>52</v>
      </c>
      <c r="C11" s="158">
        <f>'FAC 2002-2012 RAIL'!I14</f>
        <v>0.14188021826970187</v>
      </c>
      <c r="D11" s="158">
        <f>'FAC 2002-2012 BUS'!I42</f>
        <v>7.3913495755720593E-2</v>
      </c>
      <c r="E11" s="158" t="str">
        <f>'FAC 2002-2012 RAIL'!I70</f>
        <v>-</v>
      </c>
      <c r="F11" s="158">
        <f>'FAC 2002-2012 RAIL'!I98</f>
        <v>-3.6642306071110853E-2</v>
      </c>
      <c r="G11" s="158">
        <f>'FAC 2002-2012 RAIL'!AD14</f>
        <v>-4.3776486604992955E-2</v>
      </c>
      <c r="H11" s="158">
        <f>'FAC 2002-2012 RAIL'!AD42</f>
        <v>-2.1735827808838235E-2</v>
      </c>
      <c r="I11" s="158" t="e">
        <f>'FAC 2002-2012 RAIL'!AD70</f>
        <v>#N/A</v>
      </c>
      <c r="J11" s="170">
        <f>'FAC 2002-2012 RAIL'!AD98</f>
        <v>5.4156170187579008E-3</v>
      </c>
      <c r="K11" s="158"/>
      <c r="L11" s="186"/>
      <c r="M11" s="8" t="s">
        <v>52</v>
      </c>
      <c r="N11" s="224">
        <f>AF5</f>
        <v>0.10660983570008153</v>
      </c>
      <c r="O11" s="200">
        <f>'FAC 2012-2018 RAIL'!I14</f>
        <v>0.1271374429428298</v>
      </c>
      <c r="P11" s="200">
        <f>'FAC 2012-2018 RAIL'!I42</f>
        <v>7.3656025790028279E-2</v>
      </c>
      <c r="Q11" s="200" t="str">
        <f>'FAC 2012-2018 RAIL'!I70</f>
        <v>-</v>
      </c>
      <c r="R11" s="200">
        <f>'FAC 2012-2018 RAIL'!I98</f>
        <v>0.15271428027284539</v>
      </c>
      <c r="S11" s="200">
        <f>AG5</f>
        <v>-2.6026156615141398E-2</v>
      </c>
      <c r="T11" s="200">
        <f>'FAC 2012-2018 RAIL'!AD14</f>
        <v>-2.6838605755918184E-2</v>
      </c>
      <c r="U11" s="200">
        <f>'FAC 2012-2018 RAIL'!AD42</f>
        <v>-8.525087876512143E-3</v>
      </c>
      <c r="V11" s="158" t="e">
        <f>'FAC 2012-2018 RAIL'!AD70</f>
        <v>#N/A</v>
      </c>
      <c r="W11" s="170">
        <f>'FAC 2012-2018 RAIL'!AD98</f>
        <v>-3.8686818513041829E-2</v>
      </c>
      <c r="X11" s="160"/>
      <c r="Y11" s="159" t="s">
        <v>46</v>
      </c>
      <c r="Z11" s="159" t="s">
        <v>21</v>
      </c>
      <c r="AA11" s="159" t="s">
        <v>14</v>
      </c>
      <c r="AB11" s="212"/>
      <c r="AC11" s="159">
        <v>19</v>
      </c>
      <c r="AD11" s="213">
        <v>64407.7500811918</v>
      </c>
      <c r="AE11" s="213">
        <v>71190.9650800542</v>
      </c>
      <c r="AF11" s="214">
        <v>0.1053167513274651</v>
      </c>
      <c r="AG11" s="214">
        <v>-7.8577648255322204E-3</v>
      </c>
    </row>
    <row r="12" spans="2:33" s="159" customFormat="1" x14ac:dyDescent="0.2">
      <c r="B12" s="25"/>
      <c r="C12" s="158"/>
      <c r="D12" s="158"/>
      <c r="E12" s="158"/>
      <c r="F12" s="158"/>
      <c r="G12" s="158"/>
      <c r="H12" s="158"/>
      <c r="I12" s="158"/>
      <c r="J12" s="170"/>
      <c r="K12" s="158"/>
      <c r="L12" s="186"/>
      <c r="M12" s="197" t="s">
        <v>110</v>
      </c>
      <c r="N12" s="197"/>
      <c r="O12" s="196"/>
      <c r="P12" s="196"/>
      <c r="Q12" s="196"/>
      <c r="R12" s="196"/>
      <c r="S12" s="196">
        <f>S11</f>
        <v>-2.6026156615141398E-2</v>
      </c>
      <c r="T12" s="196">
        <f>T11</f>
        <v>-2.6838605755918184E-2</v>
      </c>
      <c r="U12" s="196">
        <f>U11</f>
        <v>-8.525087876512143E-3</v>
      </c>
      <c r="V12" s="158"/>
      <c r="W12" s="170"/>
      <c r="X12" s="160"/>
      <c r="Y12" s="159" t="s">
        <v>62</v>
      </c>
      <c r="AA12" s="159" t="s">
        <v>9</v>
      </c>
      <c r="AB12" s="212"/>
      <c r="AC12" s="159">
        <v>20</v>
      </c>
      <c r="AD12" s="213">
        <v>19.606754123915341</v>
      </c>
      <c r="AE12" s="213">
        <v>17.684080964164259</v>
      </c>
      <c r="AF12" s="214">
        <v>-9.8061777467077005E-2</v>
      </c>
      <c r="AG12" s="214">
        <v>-1.6229697707932449E-3</v>
      </c>
    </row>
    <row r="13" spans="2:33" s="159" customFormat="1" x14ac:dyDescent="0.2">
      <c r="B13" s="25"/>
      <c r="C13" s="158"/>
      <c r="D13" s="158"/>
      <c r="E13" s="158"/>
      <c r="F13" s="158"/>
      <c r="G13" s="158"/>
      <c r="H13" s="158"/>
      <c r="I13" s="158"/>
      <c r="J13" s="170"/>
      <c r="K13" s="158"/>
      <c r="M13" s="186" t="s">
        <v>103</v>
      </c>
      <c r="N13" s="186"/>
      <c r="O13" s="158"/>
      <c r="P13" s="158"/>
      <c r="Q13" s="158"/>
      <c r="R13" s="158"/>
      <c r="S13" s="158"/>
      <c r="T13" s="158"/>
      <c r="U13" s="158"/>
      <c r="V13" s="158"/>
      <c r="W13" s="170"/>
      <c r="X13" s="160"/>
      <c r="Y13" s="159" t="s">
        <v>47</v>
      </c>
      <c r="AA13" s="159" t="s">
        <v>28</v>
      </c>
      <c r="AB13" s="212"/>
      <c r="AC13" s="159">
        <v>21</v>
      </c>
      <c r="AD13" s="213">
        <v>9.3107758338347697</v>
      </c>
      <c r="AE13" s="213">
        <v>11.92469347665957</v>
      </c>
      <c r="AF13" s="214">
        <v>0.28074112076954849</v>
      </c>
      <c r="AG13" s="214">
        <v>-9.1157303223423167E-3</v>
      </c>
    </row>
    <row r="14" spans="2:33" s="159" customFormat="1" x14ac:dyDescent="0.2">
      <c r="B14" s="25" t="s">
        <v>48</v>
      </c>
      <c r="C14" s="158">
        <f>'FAC 2002-2012 RAIL'!I17</f>
        <v>9.5749972457961574E-2</v>
      </c>
      <c r="D14" s="158">
        <f>'FAC 2002-2012 BUS'!I45</f>
        <v>5.7883484469767321E-2</v>
      </c>
      <c r="E14" s="158" t="str">
        <f>'FAC 2002-2012 RAIL'!I73</f>
        <v>-</v>
      </c>
      <c r="F14" s="158">
        <f>'FAC 2002-2012 RAIL'!I101</f>
        <v>8.606219574635432E-2</v>
      </c>
      <c r="G14" s="158">
        <f>'FAC 2002-2012 RAIL'!AD17</f>
        <v>3.8574191502811953E-2</v>
      </c>
      <c r="H14" s="158">
        <f>'FAC 2002-2012 RAIL'!AD45</f>
        <v>3.2087191484793588E-2</v>
      </c>
      <c r="I14" s="158" t="e">
        <f>'FAC 2002-2012 RAIL'!AD73</f>
        <v>#N/A</v>
      </c>
      <c r="J14" s="170">
        <f>'FAC 2002-2012 RAIL'!AD101</f>
        <v>1.9884283356401137E-2</v>
      </c>
      <c r="K14" s="158"/>
      <c r="L14" s="186"/>
      <c r="M14" s="25" t="s">
        <v>48</v>
      </c>
      <c r="N14" s="222">
        <f>AF8</f>
        <v>6.0078531850606742E-2</v>
      </c>
      <c r="O14" s="158">
        <f>'FAC 2012-2018 RAIL'!I17</f>
        <v>6.0182671436025181E-2</v>
      </c>
      <c r="P14" s="158">
        <f>'FAC 2012-2018 RAIL'!I45</f>
        <v>5.974278279079237E-2</v>
      </c>
      <c r="Q14" s="158" t="str">
        <f>'FAC 2012-2018 RAIL'!I73</f>
        <v>-</v>
      </c>
      <c r="R14" s="158">
        <f>'FAC 2012-2018 RAIL'!I101</f>
        <v>6.8027813555046501E-2</v>
      </c>
      <c r="S14" s="158">
        <f>AG8</f>
        <v>1.4434509160719741E-2</v>
      </c>
      <c r="T14" s="158">
        <f>'FAC 2012-2018 RAIL'!AD17</f>
        <v>1.4406151101045029E-2</v>
      </c>
      <c r="U14" s="158">
        <f>'FAC 2012-2018 RAIL'!AD45</f>
        <v>1.5045373677342612E-2</v>
      </c>
      <c r="V14" s="158" t="e">
        <f>'FAC 2012-2018 RAIL'!AD73</f>
        <v>#N/A</v>
      </c>
      <c r="W14" s="170">
        <f>'FAC 2012-2018 RAIL'!AD101</f>
        <v>1.7209600360189953E-2</v>
      </c>
      <c r="X14" s="160"/>
      <c r="Y14" s="159" t="s">
        <v>63</v>
      </c>
      <c r="AA14" s="159" t="s">
        <v>93</v>
      </c>
      <c r="AB14" s="212"/>
      <c r="AC14" s="159">
        <v>26</v>
      </c>
      <c r="AD14" s="213">
        <v>0.619991742491807</v>
      </c>
      <c r="AE14" s="213">
        <v>10.70552700985721</v>
      </c>
      <c r="AF14" s="232">
        <v>5.0427676336827014</v>
      </c>
      <c r="AG14" s="214">
        <v>7.9180102570712597E-3</v>
      </c>
    </row>
    <row r="15" spans="2:33" x14ac:dyDescent="0.2">
      <c r="B15" s="25" t="s">
        <v>73</v>
      </c>
      <c r="C15" s="63">
        <f>'FAC 2002-2012 RAIL'!I18</f>
        <v>7.2608749087408331E-3</v>
      </c>
      <c r="D15" s="63">
        <f>'FAC 2002-2012 BUS'!I46</f>
        <v>-7.4883853247743382E-2</v>
      </c>
      <c r="E15" s="63" t="str">
        <f>'FAC 2002-2012 RAIL'!I74</f>
        <v>-</v>
      </c>
      <c r="F15" s="63">
        <f>'FAC 2002-2012 RAIL'!I102</f>
        <v>5.4414700389220361E-3</v>
      </c>
      <c r="G15" s="63">
        <f>'FAC 2002-2012 RAIL'!AD18</f>
        <v>-2.4384354224428403E-3</v>
      </c>
      <c r="H15" s="63">
        <f>'FAC 2002-2012 RAIL'!AD46</f>
        <v>-1.2251004157949587E-2</v>
      </c>
      <c r="I15" s="63" t="e">
        <f>'FAC 2002-2012 RAIL'!AD74</f>
        <v>#N/A</v>
      </c>
      <c r="J15" s="170">
        <f>'FAC 2002-2012 RAIL'!AD102</f>
        <v>2.8265188425222448E-3</v>
      </c>
      <c r="K15" s="158"/>
      <c r="L15" s="186"/>
      <c r="M15" s="8" t="s">
        <v>73</v>
      </c>
      <c r="N15" s="224">
        <f>AF9</f>
        <v>-8.1561472710786065E-3</v>
      </c>
      <c r="O15" s="64">
        <f>'FAC 2012-2018 RAIL'!I18</f>
        <v>7.7553140221353623E-4</v>
      </c>
      <c r="P15" s="64">
        <f>'FAC 2012-2018 RAIL'!I46</f>
        <v>-1.963785269376761E-2</v>
      </c>
      <c r="Q15" s="64" t="str">
        <f>'FAC 2012-2018 RAIL'!I74</f>
        <v>-</v>
      </c>
      <c r="R15" s="64">
        <f>'FAC 2012-2018 RAIL'!I102</f>
        <v>1.0437057161151397E-2</v>
      </c>
      <c r="S15" s="239">
        <f>AG9</f>
        <v>-7.3874326553913255E-5</v>
      </c>
      <c r="T15" s="64">
        <f>'FAC 2012-2018 RAIL'!AD18</f>
        <v>6.8334988598233671E-5</v>
      </c>
      <c r="U15" s="64">
        <f>'FAC 2012-2018 RAIL'!AD46</f>
        <v>-3.1372230025972429E-3</v>
      </c>
      <c r="V15" s="63" t="e">
        <f>'FAC 2012-2018 RAIL'!AD74</f>
        <v>#N/A</v>
      </c>
      <c r="W15" s="170">
        <f>'FAC 2012-2018 RAIL'!AD102</f>
        <v>3.589699578142657E-3</v>
      </c>
      <c r="X15" s="70"/>
      <c r="Y15" t="s">
        <v>64</v>
      </c>
      <c r="AA15" t="s">
        <v>43</v>
      </c>
      <c r="AB15" s="209"/>
      <c r="AC15">
        <v>28</v>
      </c>
      <c r="AD15" s="210">
        <v>0.70544384863732401</v>
      </c>
      <c r="AE15" s="210">
        <v>1.840389017533506</v>
      </c>
      <c r="AF15" s="234">
        <v>0.56747258444809101</v>
      </c>
      <c r="AG15" s="211">
        <v>-7.0463037373631491E-3</v>
      </c>
    </row>
    <row r="16" spans="2:33" x14ac:dyDescent="0.2">
      <c r="B16" s="25"/>
      <c r="C16" s="63"/>
      <c r="D16" s="63"/>
      <c r="E16" s="63"/>
      <c r="F16" s="63"/>
      <c r="G16" s="63"/>
      <c r="H16" s="63"/>
      <c r="I16" s="63"/>
      <c r="J16" s="170"/>
      <c r="K16" s="158"/>
      <c r="L16" s="186"/>
      <c r="M16" s="197" t="s">
        <v>110</v>
      </c>
      <c r="N16" s="197"/>
      <c r="O16" s="198"/>
      <c r="P16" s="198"/>
      <c r="Q16" s="198"/>
      <c r="R16" s="198"/>
      <c r="S16" s="198">
        <f>SUM(S14:S15)</f>
        <v>1.4360634834165827E-2</v>
      </c>
      <c r="T16" s="198">
        <f>SUM(T14:T15)</f>
        <v>1.4474486089643263E-2</v>
      </c>
      <c r="U16" s="198">
        <f>SUM(U14:U15)</f>
        <v>1.1908150674745368E-2</v>
      </c>
      <c r="V16" s="63"/>
      <c r="W16" s="170"/>
      <c r="X16" s="70"/>
      <c r="Y16" t="s">
        <v>65</v>
      </c>
      <c r="AA16" t="s">
        <v>44</v>
      </c>
      <c r="AB16" s="209"/>
      <c r="AC16">
        <v>29</v>
      </c>
      <c r="AD16" s="210">
        <v>0</v>
      </c>
      <c r="AE16" s="210">
        <v>1.191111082809321</v>
      </c>
      <c r="AF16" s="234">
        <v>0.59555554140466049</v>
      </c>
      <c r="AG16" s="211">
        <v>-2.4077030302666981E-2</v>
      </c>
    </row>
    <row r="17" spans="2:33" x14ac:dyDescent="0.2">
      <c r="B17" s="25"/>
      <c r="C17" s="63"/>
      <c r="D17" s="63"/>
      <c r="E17" s="63"/>
      <c r="F17" s="63"/>
      <c r="G17" s="63"/>
      <c r="H17" s="63"/>
      <c r="I17" s="63"/>
      <c r="J17" s="170"/>
      <c r="K17" s="158"/>
      <c r="M17" s="186" t="s">
        <v>105</v>
      </c>
      <c r="N17" s="186"/>
      <c r="O17" s="63"/>
      <c r="P17" s="63"/>
      <c r="Q17" s="63"/>
      <c r="R17" s="63"/>
      <c r="S17" s="63"/>
      <c r="T17" s="63"/>
      <c r="U17" s="63"/>
      <c r="V17" s="63"/>
      <c r="W17" s="170"/>
      <c r="X17" s="70"/>
      <c r="Y17" t="s">
        <v>53</v>
      </c>
      <c r="AA17" t="s">
        <v>45</v>
      </c>
      <c r="AB17" s="215"/>
      <c r="AD17" s="210">
        <v>0</v>
      </c>
      <c r="AE17" s="210">
        <v>0</v>
      </c>
      <c r="AF17" s="211"/>
      <c r="AG17" s="221">
        <v>0</v>
      </c>
    </row>
    <row r="18" spans="2:33" x14ac:dyDescent="0.2">
      <c r="B18" s="25" t="s">
        <v>49</v>
      </c>
      <c r="C18" s="63">
        <f>'FAC 2002-2012 RAIL'!I19</f>
        <v>1.0881796349382373</v>
      </c>
      <c r="D18" s="63">
        <f>'FAC 2002-2012 BUS'!I47</f>
        <v>1.0678012135282486</v>
      </c>
      <c r="E18" s="63" t="str">
        <f>'FAC 2002-2012 RAIL'!I75</f>
        <v>-</v>
      </c>
      <c r="F18" s="63">
        <f>'FAC 2002-2012 RAIL'!I103</f>
        <v>1.0817122593718338</v>
      </c>
      <c r="G18" s="63">
        <f>'FAC 2002-2012 RAIL'!AD19</f>
        <v>0.10674400794747715</v>
      </c>
      <c r="H18" s="63">
        <f>'FAC 2002-2012 RAIL'!AD47</f>
        <v>9.6554046896823148E-2</v>
      </c>
      <c r="I18" s="63" t="e">
        <f>'FAC 2002-2012 RAIL'!AD75</f>
        <v>#N/A</v>
      </c>
      <c r="J18" s="170">
        <f>'FAC 2002-2012 RAIL'!AD103</f>
        <v>8.9439242124311799E-2</v>
      </c>
      <c r="K18" s="158"/>
      <c r="L18" s="186"/>
      <c r="M18" s="8" t="s">
        <v>49</v>
      </c>
      <c r="N18" s="224">
        <f>AF10</f>
        <v>-0.28451024192696983</v>
      </c>
      <c r="O18" s="64">
        <f>'FAC 2012-2018 RAIL'!I19</f>
        <v>-0.28518597268060852</v>
      </c>
      <c r="P18" s="64">
        <f>'FAC 2012-2018 RAIL'!I47</f>
        <v>-0.28382078724618098</v>
      </c>
      <c r="Q18" s="64" t="str">
        <f>'FAC 2012-2018 RAIL'!I75</f>
        <v>-</v>
      </c>
      <c r="R18" s="64">
        <f>'FAC 2012-2018 RAIL'!I103</f>
        <v>-0.28941668897379358</v>
      </c>
      <c r="S18" s="64">
        <f>AG10</f>
        <v>-3.7325835650446053E-2</v>
      </c>
      <c r="T18" s="64">
        <f>'FAC 2012-2018 RAIL'!AD19</f>
        <v>-3.7249218951742429E-2</v>
      </c>
      <c r="U18" s="64">
        <f>'FAC 2012-2018 RAIL'!AD47</f>
        <v>-3.8976245557036632E-2</v>
      </c>
      <c r="V18" s="63" t="e">
        <f>'FAC 2012-2018 RAIL'!AD75</f>
        <v>#N/A</v>
      </c>
      <c r="W18" s="170">
        <f>'FAC 2012-2018 RAIL'!AD103</f>
        <v>-4.5874647812729361E-2</v>
      </c>
      <c r="X18" s="70"/>
      <c r="Y18" t="s">
        <v>66</v>
      </c>
      <c r="AA18" t="s">
        <v>6</v>
      </c>
      <c r="AB18" s="209"/>
      <c r="AC18">
        <v>10</v>
      </c>
      <c r="AD18" s="210">
        <v>1777226737.8617871</v>
      </c>
      <c r="AE18" s="210">
        <v>1779955010.7149403</v>
      </c>
      <c r="AF18">
        <v>1.5351293085066331E-3</v>
      </c>
      <c r="AG18" s="211">
        <v>1.5351293085066331E-3</v>
      </c>
    </row>
    <row r="19" spans="2:33" x14ac:dyDescent="0.2">
      <c r="B19" s="25"/>
      <c r="C19" s="63"/>
      <c r="D19" s="63"/>
      <c r="E19" s="63"/>
      <c r="F19" s="63"/>
      <c r="G19" s="63"/>
      <c r="H19" s="63"/>
      <c r="I19" s="63"/>
      <c r="J19" s="170"/>
      <c r="K19" s="158"/>
      <c r="L19" s="186"/>
      <c r="M19" s="197" t="s">
        <v>110</v>
      </c>
      <c r="N19" s="197"/>
      <c r="O19" s="198"/>
      <c r="P19" s="198"/>
      <c r="Q19" s="198"/>
      <c r="R19" s="198"/>
      <c r="S19" s="198">
        <f>S18</f>
        <v>-3.7325835650446053E-2</v>
      </c>
      <c r="T19" s="198">
        <f>T18</f>
        <v>-3.7249218951742429E-2</v>
      </c>
      <c r="U19" s="198">
        <f>U18</f>
        <v>-3.8976245557036632E-2</v>
      </c>
      <c r="V19" s="63"/>
      <c r="W19" s="170"/>
      <c r="X19" s="70"/>
      <c r="Y19" t="s">
        <v>50</v>
      </c>
      <c r="AA19" t="s">
        <v>4</v>
      </c>
      <c r="AC19">
        <v>8</v>
      </c>
      <c r="AD19" s="210">
        <v>1765984158</v>
      </c>
      <c r="AE19" s="210">
        <v>1713035829.99999</v>
      </c>
      <c r="AF19">
        <v>-2.9982334643349651E-2</v>
      </c>
      <c r="AG19" s="211">
        <v>-2.9982334643349651E-2</v>
      </c>
    </row>
    <row r="20" spans="2:33" x14ac:dyDescent="0.2">
      <c r="B20" s="25"/>
      <c r="C20" s="63"/>
      <c r="D20" s="63"/>
      <c r="E20" s="63"/>
      <c r="F20" s="63"/>
      <c r="G20" s="63"/>
      <c r="H20" s="63"/>
      <c r="I20" s="63"/>
      <c r="J20" s="170"/>
      <c r="K20" s="158"/>
      <c r="M20" s="186" t="s">
        <v>109</v>
      </c>
      <c r="N20" s="186"/>
      <c r="O20" s="63"/>
      <c r="P20" s="63"/>
      <c r="Q20" s="63"/>
      <c r="R20" s="63"/>
      <c r="S20" s="63"/>
      <c r="T20" s="63"/>
      <c r="U20" s="63"/>
      <c r="V20" s="63"/>
      <c r="W20" s="170"/>
      <c r="X20" s="70"/>
      <c r="AG20" s="211">
        <v>-3.1517463951856284E-2</v>
      </c>
    </row>
    <row r="21" spans="2:33" x14ac:dyDescent="0.2">
      <c r="B21" s="25" t="s">
        <v>46</v>
      </c>
      <c r="C21" s="63">
        <f>'FAC 2002-2012 RAIL'!I20</f>
        <v>-0.19118814742885837</v>
      </c>
      <c r="D21" s="63">
        <f>'FAC 2002-2012 BUS'!I48</f>
        <v>-0.19154572575705331</v>
      </c>
      <c r="E21" s="63" t="str">
        <f>'FAC 2002-2012 RAIL'!I76</f>
        <v>-</v>
      </c>
      <c r="F21" s="63">
        <f>'FAC 2002-2012 RAIL'!I104</f>
        <v>-0.19971606355699134</v>
      </c>
      <c r="G21" s="63">
        <f>'FAC 2002-2012 RAIL'!AD20</f>
        <v>2.1281881824807867E-2</v>
      </c>
      <c r="H21" s="63">
        <f>'FAC 2002-2012 RAIL'!AD48</f>
        <v>2.2405389224012025E-2</v>
      </c>
      <c r="I21" s="63" t="e">
        <f>'FAC 2002-2012 RAIL'!AD76</f>
        <v>#N/A</v>
      </c>
      <c r="J21" s="170">
        <f>'FAC 2002-2012 RAIL'!AD104</f>
        <v>1.8493603815802957E-2</v>
      </c>
      <c r="K21" s="158"/>
      <c r="L21" s="186"/>
      <c r="M21" s="25" t="s">
        <v>46</v>
      </c>
      <c r="N21" s="222">
        <f>AF11</f>
        <v>0.1053167513274651</v>
      </c>
      <c r="O21" s="63">
        <f>'FAC 2012-2018 RAIL'!I20</f>
        <v>0.11491506650650107</v>
      </c>
      <c r="P21" s="63">
        <f>'FAC 2012-2018 RAIL'!I48</f>
        <v>9.3653113703249025E-2</v>
      </c>
      <c r="Q21" s="63" t="str">
        <f>'FAC 2012-2018 RAIL'!I76</f>
        <v>-</v>
      </c>
      <c r="R21" s="63">
        <f>'FAC 2012-2018 RAIL'!I104</f>
        <v>8.3566354398319831E-2</v>
      </c>
      <c r="S21" s="63">
        <f>AG11</f>
        <v>-7.8577648255322204E-3</v>
      </c>
      <c r="T21" s="63">
        <f>'FAC 2012-2018 RAIL'!AD20</f>
        <v>-7.9034713883515753E-3</v>
      </c>
      <c r="U21" s="63">
        <f>'FAC 2012-2018 RAIL'!AD48</f>
        <v>-6.8731940289612596E-3</v>
      </c>
      <c r="V21" s="63" t="e">
        <f>'FAC 2012-2018 RAIL'!AD76</f>
        <v>#N/A</v>
      </c>
      <c r="W21" s="170">
        <f>'FAC 2012-2018 RAIL'!AD104</f>
        <v>-7.031979534556994E-3</v>
      </c>
      <c r="X21" s="70"/>
    </row>
    <row r="22" spans="2:33" x14ac:dyDescent="0.2">
      <c r="B22" s="25" t="s">
        <v>62</v>
      </c>
      <c r="C22" s="63">
        <f>'FAC 2002-2012 RAIL'!I21</f>
        <v>1.4420347053799576E-2</v>
      </c>
      <c r="D22" s="63">
        <f>'FAC 2002-2012 BUS'!I49</f>
        <v>5.6459716000271554E-2</v>
      </c>
      <c r="E22" s="63" t="str">
        <f>'FAC 2002-2012 RAIL'!I77</f>
        <v>-</v>
      </c>
      <c r="F22" s="63">
        <f>'FAC 2002-2012 RAIL'!I105</f>
        <v>-6.3071586250393885E-3</v>
      </c>
      <c r="G22" s="63">
        <f>'FAC 2002-2012 RAIL'!AD21</f>
        <v>9.4987451317025073E-4</v>
      </c>
      <c r="H22" s="63">
        <f>'FAC 2002-2012 RAIL'!AD49</f>
        <v>3.4122229727908166E-3</v>
      </c>
      <c r="I22" s="63" t="e">
        <f>'FAC 2002-2012 RAIL'!AD77</f>
        <v>#N/A</v>
      </c>
      <c r="J22" s="170">
        <f>'FAC 2002-2012 RAIL'!AD105</f>
        <v>3.134551102338324E-4</v>
      </c>
      <c r="K22" s="158"/>
      <c r="L22" s="186"/>
      <c r="M22" s="25" t="s">
        <v>62</v>
      </c>
      <c r="N22" s="222">
        <f>AF12</f>
        <v>-9.8061777467077005E-2</v>
      </c>
      <c r="O22" s="63">
        <f>'FAC 2012-2018 RAIL'!I21</f>
        <v>-7.0667759977819267E-2</v>
      </c>
      <c r="P22" s="63">
        <f>'FAC 2012-2018 RAIL'!I49</f>
        <v>-0.13489634897121816</v>
      </c>
      <c r="Q22" s="63" t="str">
        <f>'FAC 2012-2018 RAIL'!I77</f>
        <v>-</v>
      </c>
      <c r="R22" s="63">
        <f>'FAC 2012-2018 RAIL'!I105</f>
        <v>-4.7603935258648034E-2</v>
      </c>
      <c r="S22" s="63">
        <f>AG12</f>
        <v>-1.6229697707932449E-3</v>
      </c>
      <c r="T22" s="63">
        <f>'FAC 2012-2018 RAIL'!AD21</f>
        <v>-1.586832982429637E-3</v>
      </c>
      <c r="U22" s="63">
        <f>'FAC 2012-2018 RAIL'!AD49</f>
        <v>-2.4013968567522855E-3</v>
      </c>
      <c r="V22" s="63" t="e">
        <f>'FAC 2012-2018 RAIL'!AD77</f>
        <v>#N/A</v>
      </c>
      <c r="W22" s="170">
        <f>'FAC 2012-2018 RAIL'!AD105</f>
        <v>-3.4967125527626815E-3</v>
      </c>
      <c r="X22" s="70"/>
    </row>
    <row r="23" spans="2:33" x14ac:dyDescent="0.2">
      <c r="B23" s="25" t="s">
        <v>47</v>
      </c>
      <c r="C23" s="63">
        <f>'FAC 2002-2012 RAIL'!I22</f>
        <v>0.25197020974141826</v>
      </c>
      <c r="D23" s="63">
        <f>'FAC 2002-2012 BUS'!I50</f>
        <v>0.25044805039857976</v>
      </c>
      <c r="E23" s="63" t="str">
        <f>'FAC 2002-2012 RAIL'!I78</f>
        <v>-</v>
      </c>
      <c r="F23" s="63">
        <f>'FAC 2002-2012 RAIL'!I106</f>
        <v>0.17142857142857126</v>
      </c>
      <c r="G23" s="63">
        <f>'FAC 2002-2012 RAIL'!AD22</f>
        <v>-1.1026396539525359E-2</v>
      </c>
      <c r="H23" s="63">
        <f>'FAC 2002-2012 RAIL'!AD50</f>
        <v>-1.0196927848845357E-2</v>
      </c>
      <c r="I23" s="63" t="e">
        <f>'FAC 2002-2012 RAIL'!AD78</f>
        <v>#N/A</v>
      </c>
      <c r="J23" s="170">
        <f>'FAC 2002-2012 RAIL'!AD106</f>
        <v>-6.196189272430418E-3</v>
      </c>
      <c r="K23" s="158"/>
      <c r="L23" s="186"/>
      <c r="M23" s="8" t="s">
        <v>47</v>
      </c>
      <c r="N23" s="224">
        <f>AF13</f>
        <v>0.28074112076954849</v>
      </c>
      <c r="O23" s="64">
        <f>'FAC 2012-2018 RAIL'!I22</f>
        <v>0.24094433150687622</v>
      </c>
      <c r="P23" s="64">
        <f>'FAC 2012-2018 RAIL'!I50</f>
        <v>0.32468411628451199</v>
      </c>
      <c r="Q23" s="64" t="str">
        <f>'FAC 2012-2018 RAIL'!I78</f>
        <v>-</v>
      </c>
      <c r="R23" s="64">
        <f>'FAC 2012-2018 RAIL'!I106</f>
        <v>0.12195121951219523</v>
      </c>
      <c r="S23" s="64">
        <f>AG13</f>
        <v>-9.1157303223423167E-3</v>
      </c>
      <c r="T23" s="64">
        <f>'FAC 2012-2018 RAIL'!AD22</f>
        <v>-8.9068751277938379E-3</v>
      </c>
      <c r="U23" s="64">
        <f>'FAC 2012-2018 RAIL'!AD50</f>
        <v>-1.3614706236967526E-2</v>
      </c>
      <c r="V23" s="63" t="e">
        <f>'FAC 2012-2018 RAIL'!AD78</f>
        <v>#N/A</v>
      </c>
      <c r="W23" s="170">
        <f>'FAC 2012-2018 RAIL'!AD106</f>
        <v>-4.5907872108517872E-3</v>
      </c>
      <c r="X23" s="70"/>
    </row>
    <row r="24" spans="2:33" x14ac:dyDescent="0.2">
      <c r="B24" s="25"/>
      <c r="C24" s="63"/>
      <c r="D24" s="63"/>
      <c r="E24" s="63"/>
      <c r="F24" s="63"/>
      <c r="G24" s="63"/>
      <c r="H24" s="63"/>
      <c r="I24" s="63"/>
      <c r="J24" s="170"/>
      <c r="K24" s="158"/>
      <c r="L24" s="186"/>
      <c r="M24" s="197" t="s">
        <v>110</v>
      </c>
      <c r="N24" s="197"/>
      <c r="O24" s="198"/>
      <c r="P24" s="198"/>
      <c r="Q24" s="198"/>
      <c r="R24" s="198"/>
      <c r="S24" s="198">
        <f>SUM(S21:S23)</f>
        <v>-1.8596464918667781E-2</v>
      </c>
      <c r="T24" s="198">
        <f>SUM(T21:T23)</f>
        <v>-1.8397179498575049E-2</v>
      </c>
      <c r="U24" s="198">
        <f>SUM(U21:U23)</f>
        <v>-2.288929712268107E-2</v>
      </c>
      <c r="V24" s="63"/>
      <c r="W24" s="170"/>
      <c r="X24" s="70"/>
    </row>
    <row r="25" spans="2:33" x14ac:dyDescent="0.2">
      <c r="B25" s="25"/>
      <c r="C25" s="63"/>
      <c r="D25" s="63"/>
      <c r="E25" s="63"/>
      <c r="F25" s="63"/>
      <c r="G25" s="63"/>
      <c r="H25" s="63"/>
      <c r="I25" s="63"/>
      <c r="J25" s="170"/>
      <c r="K25" s="158"/>
      <c r="M25" s="186" t="s">
        <v>106</v>
      </c>
      <c r="N25" s="186"/>
      <c r="O25" s="63"/>
      <c r="P25" s="63"/>
      <c r="Q25" s="63"/>
      <c r="R25" s="63"/>
      <c r="S25" s="63"/>
      <c r="T25" s="63"/>
      <c r="U25" s="63"/>
      <c r="V25" s="63"/>
      <c r="W25" s="170"/>
      <c r="X25" s="70"/>
    </row>
    <row r="26" spans="2:33" x14ac:dyDescent="0.2">
      <c r="B26" s="25" t="s">
        <v>86</v>
      </c>
      <c r="C26" s="63"/>
      <c r="D26" s="63"/>
      <c r="E26" s="63"/>
      <c r="F26" s="63"/>
      <c r="G26" s="63">
        <f>'FAC 2002-2012 RAIL'!AD23</f>
        <v>2.0890980716179119E-3</v>
      </c>
      <c r="H26" s="63">
        <f>'FAC 2002-2012 RAIL'!AD51</f>
        <v>0</v>
      </c>
      <c r="I26" s="63" t="e">
        <f>'FAC 2002-2012 RAIL'!AD79</f>
        <v>#N/A</v>
      </c>
      <c r="J26" s="170">
        <f>'FAC 2002-2012 RAIL'!AD107</f>
        <v>3.0719256690694007E-3</v>
      </c>
      <c r="K26" s="158"/>
      <c r="L26" s="6"/>
      <c r="M26" s="25" t="s">
        <v>86</v>
      </c>
      <c r="N26" s="237">
        <f>AF14</f>
        <v>5.0427676336827014</v>
      </c>
      <c r="O26" s="178">
        <f>'FAC 2012-2018 RAIL'!H23-'FAC 2012-2018 RAIL'!G23</f>
        <v>5.8766161304598628</v>
      </c>
      <c r="P26" s="178">
        <f>'FAC 2012-2018 RAIL'!H51-'FAC 2012-2018 RAIL'!G51</f>
        <v>4.2089191369055401</v>
      </c>
      <c r="Q26" s="63"/>
      <c r="R26" s="63"/>
      <c r="S26" s="63">
        <f>AG14</f>
        <v>7.9180102570712597E-3</v>
      </c>
      <c r="T26" s="63">
        <f>'FAC 2012-2018 RAIL'!AD23</f>
        <v>1.2783071386859456E-2</v>
      </c>
      <c r="U26" s="63">
        <f>'FAC 2012-2018 RAIL'!AD51</f>
        <v>-9.6880881115562908E-2</v>
      </c>
      <c r="V26" s="63" t="e">
        <f>'FAC 2012-2018 RAIL'!AD79</f>
        <v>#N/A</v>
      </c>
      <c r="W26" s="170">
        <f>'FAC 2012-2018 RAIL'!AD107</f>
        <v>1.5910391691858053E-2</v>
      </c>
      <c r="X26" s="70"/>
    </row>
    <row r="27" spans="2:33" x14ac:dyDescent="0.2">
      <c r="B27" s="25" t="s">
        <v>64</v>
      </c>
      <c r="C27" s="63"/>
      <c r="D27" s="63"/>
      <c r="E27" s="63"/>
      <c r="F27" s="63"/>
      <c r="G27" s="63">
        <f>'FAC 2002-2012 RAIL'!AD24</f>
        <v>-5.9027155167378879E-3</v>
      </c>
      <c r="H27" s="63">
        <f>'FAC 2002-2012 RAIL'!AD52</f>
        <v>-1.137782848927633E-3</v>
      </c>
      <c r="I27" s="63" t="e">
        <f>'FAC 2002-2012 RAIL'!AD80</f>
        <v>#N/A</v>
      </c>
      <c r="J27" s="170">
        <f>'FAC 2002-2012 RAIL'!AD108</f>
        <v>0</v>
      </c>
      <c r="K27" s="158"/>
      <c r="L27" s="6"/>
      <c r="M27" s="25" t="s">
        <v>64</v>
      </c>
      <c r="N27" s="237">
        <f>AF15</f>
        <v>0.56747258444809101</v>
      </c>
      <c r="O27" s="178">
        <f>'FAC 2012-2018 RAIL'!H24-'FAC 2012-2018 RAIL'!G24</f>
        <v>0.63536075736013198</v>
      </c>
      <c r="P27" s="178">
        <f>'FAC 2012-2018 RAIL'!H52-'FAC 2012-2018 RAIL'!G52</f>
        <v>0.49958441153605004</v>
      </c>
      <c r="Q27" s="63"/>
      <c r="R27" s="63"/>
      <c r="S27" s="63">
        <f>AG15</f>
        <v>-7.0463037373631491E-3</v>
      </c>
      <c r="T27" s="63">
        <f>'FAC 2012-2018 RAIL'!AD24</f>
        <v>-7.0849557781550131E-3</v>
      </c>
      <c r="U27" s="63">
        <f>'FAC 2012-2018 RAIL'!AD52</f>
        <v>-6.213695283694344E-3</v>
      </c>
      <c r="V27" s="63" t="e">
        <f>'FAC 2012-2018 RAIL'!AD80</f>
        <v>#N/A</v>
      </c>
      <c r="W27" s="170">
        <f>'FAC 2012-2018 RAIL'!AD108</f>
        <v>-1.2584927477518156E-2</v>
      </c>
      <c r="X27" s="70"/>
    </row>
    <row r="28" spans="2:33" x14ac:dyDescent="0.2">
      <c r="B28" s="8" t="s">
        <v>65</v>
      </c>
      <c r="C28" s="63"/>
      <c r="D28" s="63"/>
      <c r="E28" s="63"/>
      <c r="F28" s="63"/>
      <c r="G28" s="63">
        <f>'FAC 2002-2012 RAIL'!AD25</f>
        <v>0</v>
      </c>
      <c r="H28" s="63">
        <f>'FAC 2002-2012 RAIL'!AD53</f>
        <v>0</v>
      </c>
      <c r="I28" s="63" t="e">
        <f>'FAC 2002-2012 RAIL'!AD81</f>
        <v>#N/A</v>
      </c>
      <c r="J28" s="170">
        <f>'FAC 2002-2012 RAIL'!AD109</f>
        <v>0</v>
      </c>
      <c r="K28" s="158"/>
      <c r="L28" s="6"/>
      <c r="M28" s="8" t="s">
        <v>65</v>
      </c>
      <c r="N28" s="238">
        <f>AF16</f>
        <v>0.59555554140466049</v>
      </c>
      <c r="O28" s="180">
        <f>'FAC 2012-2018 RAIL'!H25-'FAC 2012-2018 RAIL'!G25</f>
        <v>0.64384680764332902</v>
      </c>
      <c r="P28" s="180">
        <f>'FAC 2012-2018 RAIL'!H53-'FAC 2012-2018 RAIL'!G53</f>
        <v>0.54726427516599196</v>
      </c>
      <c r="Q28" s="64"/>
      <c r="R28" s="64"/>
      <c r="S28" s="64">
        <f>AG16</f>
        <v>-2.4077030302666981E-2</v>
      </c>
      <c r="T28" s="64">
        <f>'FAC 2012-2018 RAIL'!AD25</f>
        <v>-2.4165459131484622E-2</v>
      </c>
      <c r="U28" s="64">
        <f>'FAC 2012-2018 RAIL'!AD53</f>
        <v>-2.2172173821270132E-2</v>
      </c>
      <c r="V28" s="63" t="e">
        <f>'FAC 2012-2018 RAIL'!AD81</f>
        <v>#N/A</v>
      </c>
      <c r="W28" s="170">
        <f>'FAC 2012-2018 RAIL'!AD109</f>
        <v>0</v>
      </c>
      <c r="X28" s="70"/>
    </row>
    <row r="29" spans="2:33" ht="17" thickBot="1" x14ac:dyDescent="0.25">
      <c r="B29" s="8"/>
      <c r="C29" s="63"/>
      <c r="D29" s="63"/>
      <c r="E29" s="63"/>
      <c r="F29" s="63"/>
      <c r="G29" s="63"/>
      <c r="H29" s="63"/>
      <c r="I29" s="63"/>
      <c r="J29" s="170"/>
      <c r="K29" s="158"/>
      <c r="L29" s="23"/>
      <c r="M29" s="190" t="s">
        <v>110</v>
      </c>
      <c r="N29" s="190"/>
      <c r="O29" s="191"/>
      <c r="P29" s="191"/>
      <c r="Q29" s="192"/>
      <c r="R29" s="192"/>
      <c r="S29" s="192">
        <f>SUM(S26:S28)</f>
        <v>-2.3205323782958871E-2</v>
      </c>
      <c r="T29" s="192">
        <f>SUM(T26:T28)</f>
        <v>-1.8467343522780177E-2</v>
      </c>
      <c r="U29" s="192">
        <f>SUM(U26:U28)</f>
        <v>-0.12526675022052738</v>
      </c>
      <c r="V29" s="63"/>
      <c r="W29" s="170"/>
      <c r="X29" s="70"/>
    </row>
    <row r="30" spans="2:33" hidden="1" x14ac:dyDescent="0.2">
      <c r="B30" s="41" t="s">
        <v>53</v>
      </c>
      <c r="C30" s="65"/>
      <c r="D30" s="65"/>
      <c r="E30" s="65"/>
      <c r="F30" s="65"/>
      <c r="G30" s="65">
        <f>'FAC 2002-2012 RAIL'!AD26</f>
        <v>5.3517991241650222E-2</v>
      </c>
      <c r="H30" s="65">
        <f>'FAC 2002-2012 RAIL'!AD54</f>
        <v>0.21035402559660377</v>
      </c>
      <c r="I30" s="65" t="e">
        <f>'FAC 2002-2012 RAIL'!AD82</f>
        <v>#N/A</v>
      </c>
      <c r="J30" s="172">
        <f>'FAC 2002-2012 RAIL'!AD110</f>
        <v>0</v>
      </c>
      <c r="K30" s="183"/>
      <c r="L30" s="7"/>
      <c r="M30" s="8" t="s">
        <v>53</v>
      </c>
      <c r="N30" s="8"/>
      <c r="O30" s="64"/>
      <c r="P30" s="64"/>
      <c r="Q30" s="64"/>
      <c r="R30" s="64"/>
      <c r="S30" s="64"/>
      <c r="T30" s="64">
        <f>'FAC 2012-2018 RAIL'!AD26</f>
        <v>0</v>
      </c>
      <c r="U30" s="64">
        <f>'FAC 2012-2018 RAIL'!AD54</f>
        <v>0</v>
      </c>
      <c r="V30" s="65" t="e">
        <f>'FAC 2012-2018 RAIL'!AD82</f>
        <v>#N/A</v>
      </c>
      <c r="W30" s="172">
        <f>'FAC 2012-2018 RAIL'!AD110</f>
        <v>0</v>
      </c>
    </row>
    <row r="31" spans="2:33" ht="17" thickTop="1" x14ac:dyDescent="0.2">
      <c r="B31" s="25" t="s">
        <v>66</v>
      </c>
      <c r="C31" s="69"/>
      <c r="D31" s="69"/>
      <c r="E31" s="69"/>
      <c r="F31" s="69"/>
      <c r="G31" s="69">
        <f>'FAC 2002-2012 RAIL'!AD27</f>
        <v>0.65444795496606956</v>
      </c>
      <c r="H31" s="69">
        <f>'FAC 2002-2012 RAIL'!AD55</f>
        <v>0.92660922927781875</v>
      </c>
      <c r="I31" s="69" t="e">
        <f>'FAC 2002-2012 RAIL'!AD83</f>
        <v>#N/A</v>
      </c>
      <c r="J31" s="173">
        <f>'FAC 2002-2012 RAIL'!AD111</f>
        <v>0.22952836513648123</v>
      </c>
      <c r="K31" s="183"/>
      <c r="M31" s="6" t="s">
        <v>66</v>
      </c>
      <c r="N31" s="6"/>
      <c r="O31" s="69"/>
      <c r="P31" s="69"/>
      <c r="Q31" s="69"/>
      <c r="R31" s="69"/>
      <c r="S31" s="69">
        <f>AG18</f>
        <v>1.5351293085066331E-3</v>
      </c>
      <c r="T31" s="69">
        <f>SUM(T29,T24,T19,T16,T12,T9)</f>
        <v>2.174173074130703E-3</v>
      </c>
      <c r="U31" s="69">
        <f>SUM(U29,U24,U19,U16,U12,U9)</f>
        <v>-5.2096683920561104E-3</v>
      </c>
      <c r="V31" s="69">
        <f t="shared" ref="V31:W31" si="0">SUM(V29,V24,V19,V16,V12,V9)</f>
        <v>0</v>
      </c>
      <c r="W31" s="69">
        <f t="shared" si="0"/>
        <v>0</v>
      </c>
    </row>
    <row r="32" spans="2:33" ht="17" thickBot="1" x14ac:dyDescent="0.25">
      <c r="B32" s="9" t="s">
        <v>50</v>
      </c>
      <c r="C32" s="66"/>
      <c r="D32" s="66"/>
      <c r="E32" s="66"/>
      <c r="F32" s="66"/>
      <c r="G32" s="66">
        <f>'FAC 2002-2012 RAIL'!AD28</f>
        <v>0.30674169007100205</v>
      </c>
      <c r="H32" s="66">
        <f>'FAC 2002-2012 RAIL'!AD56</f>
        <v>0.73391915656400952</v>
      </c>
      <c r="I32" s="66" t="e">
        <f>'FAC 2002-2012 RAIL'!AD84</f>
        <v>#N/A</v>
      </c>
      <c r="J32" s="174">
        <f>'FAC 2002-2012 RAIL'!AD112</f>
        <v>0.44420061078608275</v>
      </c>
      <c r="K32" s="183"/>
      <c r="M32" s="23" t="s">
        <v>50</v>
      </c>
      <c r="N32" s="23"/>
      <c r="O32" s="66"/>
      <c r="P32" s="66"/>
      <c r="Q32" s="66"/>
      <c r="R32" s="66"/>
      <c r="S32" s="66">
        <f>AG19</f>
        <v>-2.9982334643349651E-2</v>
      </c>
      <c r="T32" s="66">
        <f>'FAC 2012-2018 RAIL'!AD28</f>
        <v>-2.85730207278454E-2</v>
      </c>
      <c r="U32" s="66">
        <f>'FAC 2012-2018 RAIL'!AD56</f>
        <v>-5.9045822187505759E-2</v>
      </c>
      <c r="V32" s="66" t="e">
        <f>'FAC 2012-2018 RAIL'!AD84</f>
        <v>#N/A</v>
      </c>
      <c r="W32" s="174">
        <f>'FAC 2012-2018 RAIL'!AD112</f>
        <v>3.3855879324180549E-2</v>
      </c>
    </row>
    <row r="33" spans="2:23" ht="18" thickTop="1" thickBot="1" x14ac:dyDescent="0.25">
      <c r="B33" s="57" t="s">
        <v>67</v>
      </c>
      <c r="C33" s="67"/>
      <c r="D33" s="67"/>
      <c r="E33" s="67"/>
      <c r="F33" s="67"/>
      <c r="G33" s="67">
        <f>'FAC 2002-2012 RAIL'!AD29</f>
        <v>-0.34770626489506751</v>
      </c>
      <c r="H33" s="67">
        <f>'FAC 2002-2012 RAIL'!AD57</f>
        <v>-0.19269007271380922</v>
      </c>
      <c r="I33" s="67" t="e">
        <f>'FAC 2002-2012 RAIL'!AD85</f>
        <v>#N/A</v>
      </c>
      <c r="J33" s="175">
        <f>'FAC 2002-2012 RAIL'!AD113</f>
        <v>0.21467224564960152</v>
      </c>
      <c r="K33" s="183"/>
      <c r="M33" s="58" t="s">
        <v>67</v>
      </c>
      <c r="N33" s="58"/>
      <c r="O33" s="67"/>
      <c r="P33" s="67"/>
      <c r="Q33" s="67"/>
      <c r="R33" s="67"/>
      <c r="S33" s="67">
        <f>S32-S31</f>
        <v>-3.1517463951856284E-2</v>
      </c>
      <c r="T33" s="67">
        <f>T32-T31</f>
        <v>-3.0747193801976103E-2</v>
      </c>
      <c r="U33" s="67">
        <f>U32-U31</f>
        <v>-5.3836153795449648E-2</v>
      </c>
      <c r="V33" s="67" t="e">
        <f>'FAC 2012-2018 RAIL'!AD85</f>
        <v>#N/A</v>
      </c>
      <c r="W33" s="175">
        <f>'FAC 2012-2018 RAIL'!AD113</f>
        <v>7.3772876073723181E-2</v>
      </c>
    </row>
    <row r="34" spans="2:23" ht="17" thickTop="1" x14ac:dyDescent="0.2"/>
    <row r="36" spans="2:23" x14ac:dyDescent="0.2">
      <c r="B36" s="68" t="s">
        <v>70</v>
      </c>
      <c r="M36" s="68" t="s">
        <v>59</v>
      </c>
      <c r="N36" s="68"/>
    </row>
    <row r="37" spans="2:23" ht="17" thickBot="1" x14ac:dyDescent="0.25"/>
    <row r="38" spans="2:23" ht="17" thickTop="1" x14ac:dyDescent="0.2">
      <c r="B38" s="61"/>
      <c r="C38" s="240" t="s">
        <v>55</v>
      </c>
      <c r="D38" s="240"/>
      <c r="E38" s="240"/>
      <c r="F38" s="240"/>
      <c r="G38" s="240"/>
      <c r="H38" s="240"/>
      <c r="I38" s="240"/>
      <c r="J38" s="240"/>
      <c r="K38" s="28"/>
      <c r="M38" s="61"/>
      <c r="N38" s="61"/>
      <c r="O38" s="240" t="s">
        <v>55</v>
      </c>
      <c r="P38" s="240"/>
      <c r="Q38" s="240"/>
      <c r="R38" s="240"/>
      <c r="S38" s="28"/>
    </row>
    <row r="39" spans="2:23" x14ac:dyDescent="0.2">
      <c r="B39" s="8" t="s">
        <v>18</v>
      </c>
      <c r="C39" s="27" t="s">
        <v>56</v>
      </c>
      <c r="D39" s="27" t="s">
        <v>57</v>
      </c>
      <c r="E39" s="27" t="s">
        <v>58</v>
      </c>
      <c r="F39" s="169" t="s">
        <v>27</v>
      </c>
      <c r="G39" s="27"/>
      <c r="H39" s="27"/>
      <c r="I39" s="27"/>
      <c r="J39" s="169"/>
      <c r="K39" s="28"/>
      <c r="M39" s="8" t="s">
        <v>18</v>
      </c>
      <c r="N39" s="8"/>
      <c r="O39" s="27" t="s">
        <v>56</v>
      </c>
      <c r="P39" s="27" t="s">
        <v>57</v>
      </c>
      <c r="Q39" s="27" t="s">
        <v>58</v>
      </c>
      <c r="R39" s="169" t="s">
        <v>27</v>
      </c>
      <c r="S39" s="182"/>
    </row>
    <row r="40" spans="2:23" x14ac:dyDescent="0.2">
      <c r="B40" s="25" t="s">
        <v>31</v>
      </c>
      <c r="C40" s="63">
        <f>SUM(G6:G8)</f>
        <v>0.24638361933259556</v>
      </c>
      <c r="D40" s="63">
        <f>SUM(H6:H8)</f>
        <v>0.60187556607853188</v>
      </c>
      <c r="E40" s="63" t="e">
        <f>SUM(I6:I8)</f>
        <v>#N/A</v>
      </c>
      <c r="F40" s="170">
        <f>SUM(J6:J8)</f>
        <v>9.362556812891927E-2</v>
      </c>
      <c r="G40" s="63"/>
      <c r="H40" s="63"/>
      <c r="I40" s="63"/>
      <c r="J40" s="170"/>
      <c r="K40" s="158"/>
      <c r="M40" s="25" t="s">
        <v>101</v>
      </c>
      <c r="N40" s="25"/>
      <c r="O40" s="63">
        <f>SUM(T6:T8)</f>
        <v>8.8652034713503275E-2</v>
      </c>
      <c r="P40" s="63">
        <f>SUM(U6:U8)</f>
        <v>0.17853956170995575</v>
      </c>
      <c r="Q40" s="63" t="e">
        <f>SUM(V6:V8)</f>
        <v>#N/A</v>
      </c>
      <c r="R40" s="170">
        <f>SUM(W6:W8)</f>
        <v>2.6168842911592348E-2</v>
      </c>
      <c r="S40" s="170"/>
    </row>
    <row r="41" spans="2:23" s="159" customFormat="1" x14ac:dyDescent="0.2">
      <c r="B41" s="115" t="s">
        <v>80</v>
      </c>
      <c r="C41" s="158">
        <f>SUM(G11)</f>
        <v>-4.3776486604992955E-2</v>
      </c>
      <c r="D41" s="158">
        <f>SUM(H11)</f>
        <v>-2.1735827808838235E-2</v>
      </c>
      <c r="E41" s="158" t="e">
        <f>SUM(I11)</f>
        <v>#N/A</v>
      </c>
      <c r="F41" s="170">
        <f>SUM(J11)</f>
        <v>5.4156170187579008E-3</v>
      </c>
      <c r="G41" s="158"/>
      <c r="H41" s="158"/>
      <c r="I41" s="158"/>
      <c r="J41" s="170"/>
      <c r="K41" s="158"/>
      <c r="L41" s="185"/>
      <c r="M41" s="115" t="s">
        <v>102</v>
      </c>
      <c r="N41" s="115"/>
      <c r="O41" s="158">
        <f>SUM(T11)</f>
        <v>-2.6838605755918184E-2</v>
      </c>
      <c r="P41" s="158">
        <f>SUM(U11)</f>
        <v>-8.525087876512143E-3</v>
      </c>
      <c r="Q41" s="158" t="e">
        <f>SUM(V11)</f>
        <v>#N/A</v>
      </c>
      <c r="R41" s="170">
        <f>SUM(W11)</f>
        <v>-3.8686818513041829E-2</v>
      </c>
      <c r="S41" s="170"/>
    </row>
    <row r="42" spans="2:23" s="159" customFormat="1" x14ac:dyDescent="0.2">
      <c r="B42" s="115" t="s">
        <v>81</v>
      </c>
      <c r="C42" s="158">
        <f>SUM(G14:G15)</f>
        <v>3.6135756080369112E-2</v>
      </c>
      <c r="D42" s="158">
        <f>SUM(H14:H15)</f>
        <v>1.9836187326844001E-2</v>
      </c>
      <c r="E42" s="158" t="e">
        <f>SUM(I14:I15)</f>
        <v>#N/A</v>
      </c>
      <c r="F42" s="170">
        <f>SUM(J14:J15)</f>
        <v>2.271080219892338E-2</v>
      </c>
      <c r="G42" s="158"/>
      <c r="H42" s="158"/>
      <c r="I42" s="158"/>
      <c r="J42" s="170"/>
      <c r="K42" s="158"/>
      <c r="L42" s="185"/>
      <c r="M42" s="115" t="s">
        <v>103</v>
      </c>
      <c r="N42" s="115"/>
      <c r="O42" s="158">
        <f>SUM(T14:T15)</f>
        <v>1.4474486089643263E-2</v>
      </c>
      <c r="P42" s="158">
        <f>SUM(U14:U15)</f>
        <v>1.1908150674745368E-2</v>
      </c>
      <c r="Q42" s="158" t="e">
        <f>SUM(V14:V15)</f>
        <v>#N/A</v>
      </c>
      <c r="R42" s="170">
        <f>SUM(W14:W15)</f>
        <v>2.079929993833261E-2</v>
      </c>
      <c r="S42" s="170"/>
    </row>
    <row r="43" spans="2:23" s="159" customFormat="1" x14ac:dyDescent="0.2">
      <c r="B43" s="25" t="s">
        <v>48</v>
      </c>
      <c r="C43" s="158">
        <f>G18</f>
        <v>0.10674400794747715</v>
      </c>
      <c r="D43" s="158">
        <f>H18</f>
        <v>9.6554046896823148E-2</v>
      </c>
      <c r="E43" s="158" t="e">
        <f>I18</f>
        <v>#N/A</v>
      </c>
      <c r="F43" s="170">
        <f>J18</f>
        <v>8.9439242124311799E-2</v>
      </c>
      <c r="G43" s="158"/>
      <c r="H43" s="158"/>
      <c r="I43" s="158"/>
      <c r="J43" s="170"/>
      <c r="K43" s="158"/>
      <c r="L43" s="185"/>
      <c r="M43" s="25" t="s">
        <v>105</v>
      </c>
      <c r="N43" s="25"/>
      <c r="O43" s="158">
        <f>T18</f>
        <v>-3.7249218951742429E-2</v>
      </c>
      <c r="P43" s="158">
        <f>U18</f>
        <v>-3.8976245557036632E-2</v>
      </c>
      <c r="Q43" s="158" t="e">
        <f>V18</f>
        <v>#N/A</v>
      </c>
      <c r="R43" s="170">
        <f>W18</f>
        <v>-4.5874647812729361E-2</v>
      </c>
      <c r="S43" s="170"/>
    </row>
    <row r="44" spans="2:23" s="159" customFormat="1" x14ac:dyDescent="0.2">
      <c r="B44" s="25" t="s">
        <v>52</v>
      </c>
      <c r="C44" s="158">
        <f>SUM(G21:G23)</f>
        <v>1.1205359798452757E-2</v>
      </c>
      <c r="D44" s="158">
        <f>SUM(H21:H23)</f>
        <v>1.5620684347957485E-2</v>
      </c>
      <c r="E44" s="158" t="e">
        <f>SUM(I21:I23)</f>
        <v>#N/A</v>
      </c>
      <c r="F44" s="170">
        <f>SUM(J21:J23)</f>
        <v>1.2610869653606372E-2</v>
      </c>
      <c r="G44" s="158"/>
      <c r="H44" s="158"/>
      <c r="I44" s="158"/>
      <c r="J44" s="170"/>
      <c r="K44" s="158"/>
      <c r="L44" s="185"/>
      <c r="M44" s="25" t="s">
        <v>104</v>
      </c>
      <c r="N44" s="25"/>
      <c r="O44" s="158">
        <f>SUM(T21:T23)</f>
        <v>-1.8397179498575049E-2</v>
      </c>
      <c r="P44" s="158">
        <f>SUM(U21:U23)</f>
        <v>-2.288929712268107E-2</v>
      </c>
      <c r="Q44" s="158" t="e">
        <f>SUM(V21:V23)</f>
        <v>#N/A</v>
      </c>
      <c r="R44" s="170">
        <f>SUM(W21:W23)</f>
        <v>-1.5119479298171461E-2</v>
      </c>
      <c r="S44" s="170"/>
    </row>
    <row r="45" spans="2:23" x14ac:dyDescent="0.2">
      <c r="B45" s="25" t="s">
        <v>73</v>
      </c>
      <c r="C45" s="63">
        <f>SUM(G26:G28)</f>
        <v>-3.8136174451199761E-3</v>
      </c>
      <c r="D45" s="63">
        <f>SUM(H26:H28)</f>
        <v>-1.137782848927633E-3</v>
      </c>
      <c r="E45" s="63" t="e">
        <f>SUM(I26:I28)</f>
        <v>#N/A</v>
      </c>
      <c r="F45" s="170">
        <f>SUM(J26:J28)</f>
        <v>3.0719256690694007E-3</v>
      </c>
      <c r="G45" s="63"/>
      <c r="H45" s="63"/>
      <c r="I45" s="63"/>
      <c r="J45" s="170"/>
      <c r="K45" s="158"/>
      <c r="M45" s="25" t="s">
        <v>106</v>
      </c>
      <c r="N45" s="25"/>
      <c r="O45" s="63">
        <f>SUM(T26:T28)</f>
        <v>-1.8467343522780177E-2</v>
      </c>
      <c r="P45" s="63">
        <f>SUM(U26:U28)</f>
        <v>-0.12526675022052738</v>
      </c>
      <c r="Q45" s="63" t="e">
        <f>SUM(V26:V28)</f>
        <v>#N/A</v>
      </c>
      <c r="R45" s="170">
        <f>SUM(W26:W28)</f>
        <v>3.3254642143398967E-3</v>
      </c>
      <c r="S45" s="170"/>
    </row>
    <row r="46" spans="2:23" hidden="1" x14ac:dyDescent="0.2">
      <c r="B46" s="41" t="s">
        <v>53</v>
      </c>
      <c r="C46" s="65">
        <f t="shared" ref="C46:F49" si="1">G30</f>
        <v>5.3517991241650222E-2</v>
      </c>
      <c r="D46" s="65">
        <f t="shared" si="1"/>
        <v>0.21035402559660377</v>
      </c>
      <c r="E46" s="65" t="e">
        <f t="shared" si="1"/>
        <v>#N/A</v>
      </c>
      <c r="F46" s="172">
        <f t="shared" si="1"/>
        <v>0</v>
      </c>
      <c r="G46" s="65"/>
      <c r="H46" s="65"/>
      <c r="I46" s="65"/>
      <c r="J46" s="172"/>
      <c r="K46" s="183"/>
      <c r="M46" s="41" t="s">
        <v>53</v>
      </c>
      <c r="N46" s="41"/>
      <c r="O46" s="65">
        <f t="shared" ref="O46:R49" si="2">T30</f>
        <v>0</v>
      </c>
      <c r="P46" s="65">
        <f t="shared" si="2"/>
        <v>0</v>
      </c>
      <c r="Q46" s="65" t="e">
        <f t="shared" si="2"/>
        <v>#N/A</v>
      </c>
      <c r="R46" s="172">
        <f t="shared" si="2"/>
        <v>0</v>
      </c>
      <c r="S46" s="173"/>
    </row>
    <row r="47" spans="2:23" x14ac:dyDescent="0.2">
      <c r="B47" s="25" t="s">
        <v>66</v>
      </c>
      <c r="C47" s="69">
        <f t="shared" si="1"/>
        <v>0.65444795496606956</v>
      </c>
      <c r="D47" s="69">
        <f t="shared" si="1"/>
        <v>0.92660922927781875</v>
      </c>
      <c r="E47" s="69" t="e">
        <f t="shared" si="1"/>
        <v>#N/A</v>
      </c>
      <c r="F47" s="173">
        <f t="shared" si="1"/>
        <v>0.22952836513648123</v>
      </c>
      <c r="G47" s="69"/>
      <c r="H47" s="69"/>
      <c r="I47" s="69"/>
      <c r="J47" s="173"/>
      <c r="K47" s="183"/>
      <c r="M47" s="25" t="s">
        <v>66</v>
      </c>
      <c r="N47" s="25"/>
      <c r="O47" s="69">
        <f t="shared" si="2"/>
        <v>2.174173074130703E-3</v>
      </c>
      <c r="P47" s="69">
        <f t="shared" si="2"/>
        <v>-5.2096683920561104E-3</v>
      </c>
      <c r="Q47" s="69">
        <f t="shared" si="2"/>
        <v>0</v>
      </c>
      <c r="R47" s="173">
        <f t="shared" si="2"/>
        <v>0</v>
      </c>
      <c r="S47" s="173"/>
    </row>
    <row r="48" spans="2:23" ht="17" thickBot="1" x14ac:dyDescent="0.25">
      <c r="B48" s="9" t="s">
        <v>50</v>
      </c>
      <c r="C48" s="66">
        <f t="shared" si="1"/>
        <v>0.30674169007100205</v>
      </c>
      <c r="D48" s="66">
        <f t="shared" si="1"/>
        <v>0.73391915656400952</v>
      </c>
      <c r="E48" s="66" t="e">
        <f t="shared" si="1"/>
        <v>#N/A</v>
      </c>
      <c r="F48" s="174">
        <f t="shared" si="1"/>
        <v>0.44420061078608275</v>
      </c>
      <c r="G48" s="66"/>
      <c r="H48" s="66"/>
      <c r="I48" s="66"/>
      <c r="J48" s="174"/>
      <c r="K48" s="183"/>
      <c r="M48" s="9" t="s">
        <v>50</v>
      </c>
      <c r="N48" s="9"/>
      <c r="O48" s="66">
        <f t="shared" si="2"/>
        <v>-2.85730207278454E-2</v>
      </c>
      <c r="P48" s="66">
        <f t="shared" si="2"/>
        <v>-5.9045822187505759E-2</v>
      </c>
      <c r="Q48" s="66" t="e">
        <f t="shared" si="2"/>
        <v>#N/A</v>
      </c>
      <c r="R48" s="174">
        <f t="shared" si="2"/>
        <v>3.3855879324180549E-2</v>
      </c>
      <c r="S48" s="173"/>
    </row>
    <row r="49" spans="2:19" ht="18" thickTop="1" thickBot="1" x14ac:dyDescent="0.25">
      <c r="B49" s="57" t="s">
        <v>67</v>
      </c>
      <c r="C49" s="67">
        <f t="shared" si="1"/>
        <v>-0.34770626489506751</v>
      </c>
      <c r="D49" s="67">
        <f t="shared" si="1"/>
        <v>-0.19269007271380922</v>
      </c>
      <c r="E49" s="67" t="e">
        <f t="shared" si="1"/>
        <v>#N/A</v>
      </c>
      <c r="F49" s="175">
        <f t="shared" si="1"/>
        <v>0.21467224564960152</v>
      </c>
      <c r="G49" s="67"/>
      <c r="H49" s="67"/>
      <c r="I49" s="67"/>
      <c r="J49" s="175"/>
      <c r="K49" s="183"/>
      <c r="M49" s="57" t="s">
        <v>67</v>
      </c>
      <c r="N49" s="57"/>
      <c r="O49" s="67">
        <f t="shared" si="2"/>
        <v>-3.0747193801976103E-2</v>
      </c>
      <c r="P49" s="67">
        <f t="shared" si="2"/>
        <v>-5.3836153795449648E-2</v>
      </c>
      <c r="Q49" s="67" t="e">
        <f t="shared" si="2"/>
        <v>#N/A</v>
      </c>
      <c r="R49" s="175">
        <f t="shared" si="2"/>
        <v>7.3772876073723181E-2</v>
      </c>
      <c r="S49" s="173"/>
    </row>
    <row r="50" spans="2:19" ht="17" thickTop="1" x14ac:dyDescent="0.2"/>
  </sheetData>
  <mergeCells count="7">
    <mergeCell ref="T3:W3"/>
    <mergeCell ref="C38:F38"/>
    <mergeCell ref="G38:J38"/>
    <mergeCell ref="O38:R38"/>
    <mergeCell ref="C3:F3"/>
    <mergeCell ref="G3:J3"/>
    <mergeCell ref="O3:R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42"/>
  <sheetViews>
    <sheetView showGridLines="0" topLeftCell="A121" workbookViewId="0">
      <selection activeCell="E142" sqref="E142"/>
    </sheetView>
  </sheetViews>
  <sheetFormatPr baseColWidth="10" defaultColWidth="11" defaultRowHeight="14" x14ac:dyDescent="0.2"/>
  <cols>
    <col min="1" max="1" width="11" style="10"/>
    <col min="2" max="2" width="32.5" style="11" bestFit="1" customWidth="1"/>
    <col min="3" max="3" width="5.33203125" style="12" customWidth="1"/>
    <col min="4" max="4" width="25.33203125" style="12" customWidth="1"/>
    <col min="5" max="5" width="5.1640625" style="13" bestFit="1" customWidth="1"/>
    <col min="6" max="6" width="11" style="12" customWidth="1"/>
    <col min="7" max="8" width="11.6640625" style="107" bestFit="1" customWidth="1"/>
    <col min="9" max="9" width="6.6640625" style="14" bestFit="1" customWidth="1"/>
    <col min="10" max="10" width="11" style="12" hidden="1" customWidth="1"/>
    <col min="11" max="11" width="24.5" style="12" hidden="1" customWidth="1"/>
    <col min="12" max="12" width="12.5" style="12" hidden="1" customWidth="1"/>
    <col min="13" max="13" width="11" style="12" hidden="1" customWidth="1"/>
    <col min="14" max="15" width="10" style="12" hidden="1" customWidth="1"/>
    <col min="16" max="16" width="11" style="12" hidden="1" customWidth="1"/>
    <col min="17" max="17" width="10.5" style="12" hidden="1" customWidth="1"/>
    <col min="18" max="18" width="10.1640625" style="12" hidden="1" customWidth="1"/>
    <col min="19" max="20" width="11" style="12" hidden="1" customWidth="1"/>
    <col min="21" max="22" width="10" style="12" hidden="1" customWidth="1"/>
    <col min="23" max="23" width="10.5" style="12" hidden="1" customWidth="1"/>
    <col min="24" max="28" width="10" style="12" hidden="1" customWidth="1"/>
    <col min="29" max="29" width="10" style="12" bestFit="1" customWidth="1"/>
    <col min="30" max="30" width="12" style="12" customWidth="1"/>
    <col min="31" max="31" width="17.5" style="10" bestFit="1" customWidth="1"/>
    <col min="32" max="16384" width="11" style="12"/>
  </cols>
  <sheetData>
    <row r="1" spans="1:31" ht="15" x14ac:dyDescent="0.2">
      <c r="B1" s="11" t="s">
        <v>36</v>
      </c>
      <c r="C1" s="12">
        <v>2002</v>
      </c>
    </row>
    <row r="2" spans="1:31" s="10" customFormat="1" ht="15" x14ac:dyDescent="0.2">
      <c r="B2" s="15" t="s">
        <v>37</v>
      </c>
      <c r="C2" s="10">
        <v>2012</v>
      </c>
      <c r="E2" s="6"/>
      <c r="G2" s="106"/>
      <c r="H2" s="106"/>
      <c r="I2" s="17"/>
    </row>
    <row r="3" spans="1:31" ht="15" x14ac:dyDescent="0.2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ht="15" x14ac:dyDescent="0.2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ht="15" x14ac:dyDescent="0.2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6" thickBot="1" x14ac:dyDescent="0.25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5" thickTop="1" x14ac:dyDescent="0.2">
      <c r="B8" s="61"/>
      <c r="C8" s="62"/>
      <c r="D8" s="62"/>
      <c r="E8" s="62"/>
      <c r="F8" s="62"/>
      <c r="G8" s="240" t="s">
        <v>51</v>
      </c>
      <c r="H8" s="240"/>
      <c r="I8" s="240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240" t="s">
        <v>55</v>
      </c>
      <c r="AD8" s="240"/>
    </row>
    <row r="9" spans="1:31" ht="15" x14ac:dyDescent="0.2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ht="15" x14ac:dyDescent="0.2">
      <c r="A13" s="6"/>
      <c r="B13" s="115" t="s">
        <v>31</v>
      </c>
      <c r="C13" s="116" t="s">
        <v>21</v>
      </c>
      <c r="D13" s="104" t="s">
        <v>87</v>
      </c>
      <c r="E13" s="118"/>
      <c r="F13" s="104">
        <f>MATCH($D13,FAC_TOTALS_APTA!$A$2:$BD$2,)</f>
        <v>12</v>
      </c>
      <c r="G13" s="117">
        <f>VLOOKUP(G11,FAC_TOTALS_APTA!$A$4:$BD$126,$F13,FALSE)</f>
        <v>69431799.636510193</v>
      </c>
      <c r="H13" s="117">
        <f>VLOOKUP(H11,FAC_TOTALS_APTA!$A$4:$BD$126,$F13,FALSE)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VRM_ADJ_BUS_log_FAC</v>
      </c>
      <c r="L13" s="104">
        <f>MATCH($K13,FAC_TOTALS_APTA!$A$2:$BB$2,)</f>
        <v>30</v>
      </c>
      <c r="M13" s="117">
        <f>IF(M11=0,0,VLOOKUP(M11,FAC_TOTALS_APTA!$A$4:$BD$126,$L13,FALSE))</f>
        <v>-1654184.03781188</v>
      </c>
      <c r="N13" s="117">
        <f>IF(N11=0,0,VLOOKUP(N11,FAC_TOTALS_APTA!$A$4:$BD$126,$L13,FALSE))</f>
        <v>22800811.929629099</v>
      </c>
      <c r="O13" s="117">
        <f>IF(O11=0,0,VLOOKUP(O11,FAC_TOTALS_APTA!$A$4:$BD$126,$L13,FALSE))</f>
        <v>-18433580.460927099</v>
      </c>
      <c r="P13" s="117">
        <f>IF(P11=0,0,VLOOKUP(P11,FAC_TOTALS_APTA!$A$4:$BD$126,$L13,FALSE))</f>
        <v>-4429955.7974834796</v>
      </c>
      <c r="Q13" s="117">
        <f>IF(Q11=0,0,VLOOKUP(Q11,FAC_TOTALS_APTA!$A$4:$BD$126,$L13,FALSE))</f>
        <v>19185059.6939964</v>
      </c>
      <c r="R13" s="117">
        <f>IF(R11=0,0,VLOOKUP(R11,FAC_TOTALS_APTA!$A$4:$BD$126,$L13,FALSE))</f>
        <v>9090785.4744599797</v>
      </c>
      <c r="S13" s="117">
        <f>IF(S11=0,0,VLOOKUP(S11,FAC_TOTALS_APTA!$A$4:$BD$126,$L13,FALSE))</f>
        <v>-12465021.932657</v>
      </c>
      <c r="T13" s="117">
        <f>IF(T11=0,0,VLOOKUP(T11,FAC_TOTALS_APTA!$A$4:$BD$126,$L13,FALSE))</f>
        <v>-54395881.465665199</v>
      </c>
      <c r="U13" s="117">
        <f>IF(U11=0,0,VLOOKUP(U11,FAC_TOTALS_APTA!$A$4:$BD$126,$L13,FALSE))</f>
        <v>-36247344.5327968</v>
      </c>
      <c r="V13" s="117">
        <f>IF(V11=0,0,VLOOKUP(V11,FAC_TOTALS_APTA!$A$4:$BD$126,$L13,FALSE))</f>
        <v>-13982351.9432179</v>
      </c>
      <c r="W13" s="117">
        <f>IF(W11=0,0,VLOOKUP(W11,FAC_TOTALS_APTA!$A$4:$BD$126,$L13,FALSE))</f>
        <v>0</v>
      </c>
      <c r="X13" s="117">
        <f>IF(X11=0,0,VLOOKUP(X11,FAC_TOTALS_APTA!$A$4:$BD$126,$L13,FALSE))</f>
        <v>0</v>
      </c>
      <c r="Y13" s="117">
        <f>IF(Y11=0,0,VLOOKUP(Y11,FAC_TOTALS_APTA!$A$4:$BD$126,$L13,FALSE))</f>
        <v>0</v>
      </c>
      <c r="Z13" s="117">
        <f>IF(Z11=0,0,VLOOKUP(Z11,FAC_TOTALS_APTA!$A$4:$BD$126,$L13,FALSE))</f>
        <v>0</v>
      </c>
      <c r="AA13" s="117">
        <f>IF(AA11=0,0,VLOOKUP(AA11,FAC_TOTALS_APTA!$A$4:$BD$126,$L13,FALSE))</f>
        <v>0</v>
      </c>
      <c r="AB13" s="117">
        <f>IF(AB11=0,0,VLOOKUP(AB11,FAC_TOTALS_APTA!$A$4:$BD$126,$L13,FALSE))</f>
        <v>0</v>
      </c>
      <c r="AC13" s="121">
        <f>SUM(M13:AB13)</f>
        <v>-90531663.072473884</v>
      </c>
      <c r="AD13" s="122">
        <f>AC13/G28</f>
        <v>-4.0821409147028705E-2</v>
      </c>
      <c r="AE13" s="6"/>
    </row>
    <row r="14" spans="1:31" s="13" customFormat="1" ht="15" x14ac:dyDescent="0.2">
      <c r="A14" s="6"/>
      <c r="B14" s="115" t="s">
        <v>52</v>
      </c>
      <c r="C14" s="116" t="s">
        <v>21</v>
      </c>
      <c r="D14" s="104" t="s">
        <v>88</v>
      </c>
      <c r="E14" s="118"/>
      <c r="F14" s="104">
        <f>MATCH($D14,FAC_TOTALS_APTA!$A$2:$BD$2,)</f>
        <v>14</v>
      </c>
      <c r="G14" s="123">
        <f>VLOOKUP(G11,FAC_TOTALS_APTA!$A$4:$BD$126,$F14,FALSE)</f>
        <v>0.91027864284140703</v>
      </c>
      <c r="H14" s="123">
        <f>VLOOKUP(H11,FAC_TOTALS_APTA!$A$4:$BD$126,$F14,FALSE)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FARE_per_UPT_cleaned_2018_BUS_log_FAC</v>
      </c>
      <c r="L14" s="104">
        <f>MATCH($K14,FAC_TOTALS_APTA!$A$2:$BB$2,)</f>
        <v>32</v>
      </c>
      <c r="M14" s="117">
        <f>IF(M11=0,0,VLOOKUP(M11,FAC_TOTALS_APTA!$A$4:$BD$126,$L14,FALSE))</f>
        <v>-3424269.1844878802</v>
      </c>
      <c r="N14" s="117">
        <f>IF(N11=0,0,VLOOKUP(N11,FAC_TOTALS_APTA!$A$4:$BD$126,$L14,FALSE))</f>
        <v>23883678.012509</v>
      </c>
      <c r="O14" s="117">
        <f>IF(O11=0,0,VLOOKUP(O11,FAC_TOTALS_APTA!$A$4:$BD$126,$L14,FALSE))</f>
        <v>-10941883.877299201</v>
      </c>
      <c r="P14" s="117">
        <f>IF(P11=0,0,VLOOKUP(P11,FAC_TOTALS_APTA!$A$4:$BD$126,$L14,FALSE))</f>
        <v>8030686.02679017</v>
      </c>
      <c r="Q14" s="117">
        <f>IF(Q11=0,0,VLOOKUP(Q11,FAC_TOTALS_APTA!$A$4:$BD$126,$L14,FALSE))</f>
        <v>-19422079.354122601</v>
      </c>
      <c r="R14" s="117">
        <f>IF(R11=0,0,VLOOKUP(R11,FAC_TOTALS_APTA!$A$4:$BD$126,$L14,FALSE))</f>
        <v>14651506.2194272</v>
      </c>
      <c r="S14" s="117">
        <f>IF(S11=0,0,VLOOKUP(S11,FAC_TOTALS_APTA!$A$4:$BD$126,$L14,FALSE))</f>
        <v>-72486080.190738395</v>
      </c>
      <c r="T14" s="117">
        <f>IF(T11=0,0,VLOOKUP(T11,FAC_TOTALS_APTA!$A$4:$BD$126,$L14,FALSE))</f>
        <v>-12809806.5610341</v>
      </c>
      <c r="U14" s="117">
        <f>IF(U11=0,0,VLOOKUP(U11,FAC_TOTALS_APTA!$A$4:$BD$126,$L14,FALSE))</f>
        <v>-14181457.185838699</v>
      </c>
      <c r="V14" s="117">
        <f>IF(V11=0,0,VLOOKUP(V11,FAC_TOTALS_APTA!$A$4:$BD$126,$L14,FALSE))</f>
        <v>538197.68256242096</v>
      </c>
      <c r="W14" s="117">
        <f>IF(W11=0,0,VLOOKUP(W11,FAC_TOTALS_APTA!$A$4:$BD$126,$L14,FALSE))</f>
        <v>0</v>
      </c>
      <c r="X14" s="117">
        <f>IF(X11=0,0,VLOOKUP(X11,FAC_TOTALS_APTA!$A$4:$BD$126,$L14,FALSE))</f>
        <v>0</v>
      </c>
      <c r="Y14" s="117">
        <f>IF(Y11=0,0,VLOOKUP(Y11,FAC_TOTALS_APTA!$A$4:$BD$126,$L14,FALSE))</f>
        <v>0</v>
      </c>
      <c r="Z14" s="117">
        <f>IF(Z11=0,0,VLOOKUP(Z11,FAC_TOTALS_APTA!$A$4:$BD$126,$L14,FALSE))</f>
        <v>0</v>
      </c>
      <c r="AA14" s="117">
        <f>IF(AA11=0,0,VLOOKUP(AA11,FAC_TOTALS_APTA!$A$4:$BD$126,$L14,FALSE))</f>
        <v>0</v>
      </c>
      <c r="AB14" s="117">
        <f>IF(AB11=0,0,VLOOKUP(AB11,FAC_TOTALS_APTA!$A$4:$BD$126,$L14,FALSE))</f>
        <v>0</v>
      </c>
      <c r="AC14" s="121">
        <f t="shared" ref="AC14:AC25" si="4">SUM(M14:AB14)</f>
        <v>-86161508.412232086</v>
      </c>
      <c r="AD14" s="122">
        <f>AC14/G28</f>
        <v>-3.8850873476224644E-2</v>
      </c>
      <c r="AE14" s="6"/>
    </row>
    <row r="15" spans="1:31" s="13" customFormat="1" ht="15" x14ac:dyDescent="0.2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ref="AC15" si="7">SUM(M15:AB15)</f>
        <v>0</v>
      </c>
      <c r="AD15" s="122">
        <f>AC15/G28</f>
        <v>0</v>
      </c>
      <c r="AE15" s="6"/>
    </row>
    <row r="16" spans="1:31" s="13" customFormat="1" ht="15" x14ac:dyDescent="0.2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ht="15" x14ac:dyDescent="0.2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MATCH($D17,FAC_TOTALS_APTA!$A$2:$BD$2,)</f>
        <v>16</v>
      </c>
      <c r="G17" s="117">
        <f>VLOOKUP(G11,FAC_TOTALS_APTA!$A$4:$BD$126,$F17,FALSE)</f>
        <v>9573567.1438265797</v>
      </c>
      <c r="H17" s="117">
        <f>VLOOKUP(H11,FAC_TOTALS_APTA!$A$4:$BD$126,$F17,FALSE)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MATCH($K17,FAC_TOTALS_APTA!$A$2:$BB$2,)</f>
        <v>34</v>
      </c>
      <c r="M17" s="117">
        <f>IF(M11=0,0,VLOOKUP(M11,FAC_TOTALS_APTA!$A$4:$BD$126,$L17,FALSE))</f>
        <v>8348263.6157266796</v>
      </c>
      <c r="N17" s="117">
        <f>IF(N11=0,0,VLOOKUP(N11,FAC_TOTALS_APTA!$A$4:$BD$126,$L17,FALSE))</f>
        <v>9911548.6939433403</v>
      </c>
      <c r="O17" s="117">
        <f>IF(O11=0,0,VLOOKUP(O11,FAC_TOTALS_APTA!$A$4:$BD$126,$L17,FALSE))</f>
        <v>11437935.362945801</v>
      </c>
      <c r="P17" s="117">
        <f>IF(P11=0,0,VLOOKUP(P11,FAC_TOTALS_APTA!$A$4:$BD$126,$L17,FALSE))</f>
        <v>15494579.843892099</v>
      </c>
      <c r="Q17" s="117">
        <f>IF(Q11=0,0,VLOOKUP(Q11,FAC_TOTALS_APTA!$A$4:$BD$126,$L17,FALSE))</f>
        <v>4271216.1427105097</v>
      </c>
      <c r="R17" s="117">
        <f>IF(R11=0,0,VLOOKUP(R11,FAC_TOTALS_APTA!$A$4:$BD$126,$L17,FALSE))</f>
        <v>2824400.8044545902</v>
      </c>
      <c r="S17" s="117">
        <f>IF(S11=0,0,VLOOKUP(S11,FAC_TOTALS_APTA!$A$4:$BD$126,$L17,FALSE))</f>
        <v>-2672348.0330626001</v>
      </c>
      <c r="T17" s="117">
        <f>IF(T11=0,0,VLOOKUP(T11,FAC_TOTALS_APTA!$A$4:$BD$126,$L17,FALSE))</f>
        <v>305505.99222634698</v>
      </c>
      <c r="U17" s="117">
        <f>IF(U11=0,0,VLOOKUP(U11,FAC_TOTALS_APTA!$A$4:$BD$126,$L17,FALSE))</f>
        <v>5644179.1485857498</v>
      </c>
      <c r="V17" s="117">
        <f>IF(V11=0,0,VLOOKUP(V11,FAC_TOTALS_APTA!$A$4:$BD$126,$L17,FALSE))</f>
        <v>7129469.8848175304</v>
      </c>
      <c r="W17" s="117">
        <f>IF(W11=0,0,VLOOKUP(W11,FAC_TOTALS_APTA!$A$4:$BD$126,$L17,FALSE))</f>
        <v>0</v>
      </c>
      <c r="X17" s="117">
        <f>IF(X11=0,0,VLOOKUP(X11,FAC_TOTALS_APTA!$A$4:$BD$126,$L17,FALSE))</f>
        <v>0</v>
      </c>
      <c r="Y17" s="117">
        <f>IF(Y11=0,0,VLOOKUP(Y11,FAC_TOTALS_APTA!$A$4:$BD$126,$L17,FALSE))</f>
        <v>0</v>
      </c>
      <c r="Z17" s="117">
        <f>IF(Z11=0,0,VLOOKUP(Z11,FAC_TOTALS_APTA!$A$4:$BD$126,$L17,FALSE))</f>
        <v>0</v>
      </c>
      <c r="AA17" s="117">
        <f>IF(AA11=0,0,VLOOKUP(AA11,FAC_TOTALS_APTA!$A$4:$BD$126,$L17,FALSE))</f>
        <v>0</v>
      </c>
      <c r="AB17" s="117">
        <f>IF(AB11=0,0,VLOOKUP(AB11,FAC_TOTALS_APTA!$A$4:$BD$126,$L17,FALSE))</f>
        <v>0</v>
      </c>
      <c r="AC17" s="121">
        <f t="shared" si="4"/>
        <v>62694751.456240043</v>
      </c>
      <c r="AD17" s="122">
        <f>AC17/G28</f>
        <v>2.8269535913834316E-2</v>
      </c>
      <c r="AE17" s="6"/>
    </row>
    <row r="18" spans="1:31" s="13" customFormat="1" ht="15" x14ac:dyDescent="0.2">
      <c r="A18" s="6"/>
      <c r="B18" s="25" t="s">
        <v>73</v>
      </c>
      <c r="C18" s="116"/>
      <c r="D18" s="104" t="s">
        <v>72</v>
      </c>
      <c r="E18" s="118"/>
      <c r="F18" s="104">
        <f>MATCH($D18,FAC_TOTALS_APTA!$A$2:$BD$2,)</f>
        <v>17</v>
      </c>
      <c r="G18" s="123">
        <f>VLOOKUP(G11,FAC_TOTALS_APTA!$A$4:$BD$126,$F18,FALSE)</f>
        <v>0.56791506562331096</v>
      </c>
      <c r="H18" s="123">
        <f>VLOOKUP(H11,FAC_TOTALS_APTA!$A$4:$BD$126,$F18,FALSE)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MATCH($K18,FAC_TOTALS_APTA!$A$2:$BB$2,)</f>
        <v>35</v>
      </c>
      <c r="M18" s="117">
        <f>IF(M11=0,0,VLOOKUP(M11,FAC_TOTALS_APTA!$A$4:$BD$126,$L18,FALSE))</f>
        <v>-3663444.0047366801</v>
      </c>
      <c r="N18" s="117">
        <f>IF(N11=0,0,VLOOKUP(N11,FAC_TOTALS_APTA!$A$4:$BD$126,$L18,FALSE))</f>
        <v>-2016237.1299159101</v>
      </c>
      <c r="O18" s="117">
        <f>IF(O11=0,0,VLOOKUP(O11,FAC_TOTALS_APTA!$A$4:$BD$126,$L18,FALSE))</f>
        <v>-1482752.1288063701</v>
      </c>
      <c r="P18" s="117">
        <f>IF(P11=0,0,VLOOKUP(P11,FAC_TOTALS_APTA!$A$4:$BD$126,$L18,FALSE))</f>
        <v>-444448.82300326403</v>
      </c>
      <c r="Q18" s="117">
        <f>IF(Q11=0,0,VLOOKUP(Q11,FAC_TOTALS_APTA!$A$4:$BD$126,$L18,FALSE))</f>
        <v>-6802199.2308213199</v>
      </c>
      <c r="R18" s="117">
        <f>IF(R11=0,0,VLOOKUP(R11,FAC_TOTALS_APTA!$A$4:$BD$126,$L18,FALSE))</f>
        <v>3128471.50667154</v>
      </c>
      <c r="S18" s="117">
        <f>IF(S11=0,0,VLOOKUP(S11,FAC_TOTALS_APTA!$A$4:$BD$126,$L18,FALSE))</f>
        <v>2808629.0445670099</v>
      </c>
      <c r="T18" s="117">
        <f>IF(T11=0,0,VLOOKUP(T11,FAC_TOTALS_APTA!$A$4:$BD$126,$L18,FALSE))</f>
        <v>3565300.9727867902</v>
      </c>
      <c r="U18" s="117">
        <f>IF(U11=0,0,VLOOKUP(U11,FAC_TOTALS_APTA!$A$4:$BD$126,$L18,FALSE))</f>
        <v>-4339183.1161548998</v>
      </c>
      <c r="V18" s="117">
        <f>IF(V11=0,0,VLOOKUP(V11,FAC_TOTALS_APTA!$A$4:$BD$126,$L18,FALSE))</f>
        <v>-3910804.0005435301</v>
      </c>
      <c r="W18" s="117">
        <f>IF(W11=0,0,VLOOKUP(W11,FAC_TOTALS_APTA!$A$4:$BD$126,$L18,FALSE))</f>
        <v>0</v>
      </c>
      <c r="X18" s="117">
        <f>IF(X11=0,0,VLOOKUP(X11,FAC_TOTALS_APTA!$A$4:$BD$126,$L18,FALSE))</f>
        <v>0</v>
      </c>
      <c r="Y18" s="117">
        <f>IF(Y11=0,0,VLOOKUP(Y11,FAC_TOTALS_APTA!$A$4:$BD$126,$L18,FALSE))</f>
        <v>0</v>
      </c>
      <c r="Z18" s="117">
        <f>IF(Z11=0,0,VLOOKUP(Z11,FAC_TOTALS_APTA!$A$4:$BD$126,$L18,FALSE))</f>
        <v>0</v>
      </c>
      <c r="AA18" s="117">
        <f>IF(AA11=0,0,VLOOKUP(AA11,FAC_TOTALS_APTA!$A$4:$BD$126,$L18,FALSE))</f>
        <v>0</v>
      </c>
      <c r="AB18" s="117">
        <f>IF(AB11=0,0,VLOOKUP(AB11,FAC_TOTALS_APTA!$A$4:$BD$126,$L18,FALSE))</f>
        <v>0</v>
      </c>
      <c r="AC18" s="121">
        <f t="shared" si="4"/>
        <v>-13156666.909956634</v>
      </c>
      <c r="AD18" s="122">
        <f>AC18/G28</f>
        <v>-5.9324402613985631E-3</v>
      </c>
      <c r="AE18" s="6"/>
    </row>
    <row r="19" spans="1:31" s="13" customFormat="1" ht="15" x14ac:dyDescent="0.2">
      <c r="A19" s="6"/>
      <c r="B19" s="115" t="s">
        <v>49</v>
      </c>
      <c r="C19" s="116" t="s">
        <v>21</v>
      </c>
      <c r="D19" s="124" t="s">
        <v>82</v>
      </c>
      <c r="E19" s="118"/>
      <c r="F19" s="104">
        <f>MATCH($D19,FAC_TOTALS_APTA!$A$2:$BD$2,)</f>
        <v>18</v>
      </c>
      <c r="G19" s="125">
        <f>VLOOKUP(G11,FAC_TOTALS_APTA!$A$4:$BD$126,$F19,FALSE)</f>
        <v>1.99892297215457</v>
      </c>
      <c r="H19" s="125">
        <f>VLOOKUP(H11,FAC_TOTALS_APTA!$A$4:$BD$126,$F19,FALSE)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MATCH($K19,FAC_TOTALS_APTA!$A$2:$BB$2,)</f>
        <v>36</v>
      </c>
      <c r="M19" s="117">
        <f>IF(M11=0,0,VLOOKUP(M11,FAC_TOTALS_APTA!$A$4:$BD$126,$L19,FALSE))</f>
        <v>31104621.1207777</v>
      </c>
      <c r="N19" s="117">
        <f>IF(N11=0,0,VLOOKUP(N11,FAC_TOTALS_APTA!$A$4:$BD$126,$L19,FALSE))</f>
        <v>28090424.1627253</v>
      </c>
      <c r="O19" s="117">
        <f>IF(O11=0,0,VLOOKUP(O11,FAC_TOTALS_APTA!$A$4:$BD$126,$L19,FALSE))</f>
        <v>40967248.354984596</v>
      </c>
      <c r="P19" s="117">
        <f>IF(P11=0,0,VLOOKUP(P11,FAC_TOTALS_APTA!$A$4:$BD$126,$L19,FALSE))</f>
        <v>25775093.106889602</v>
      </c>
      <c r="Q19" s="117">
        <f>IF(Q11=0,0,VLOOKUP(Q11,FAC_TOTALS_APTA!$A$4:$BD$126,$L19,FALSE))</f>
        <v>14726342.3365997</v>
      </c>
      <c r="R19" s="117">
        <f>IF(R11=0,0,VLOOKUP(R11,FAC_TOTALS_APTA!$A$4:$BD$126,$L19,FALSE))</f>
        <v>33736614.900928304</v>
      </c>
      <c r="S19" s="117">
        <f>IF(S11=0,0,VLOOKUP(S11,FAC_TOTALS_APTA!$A$4:$BD$126,$L19,FALSE))</f>
        <v>-90037621.651523501</v>
      </c>
      <c r="T19" s="117">
        <f>IF(T11=0,0,VLOOKUP(T11,FAC_TOTALS_APTA!$A$4:$BD$126,$L19,FALSE))</f>
        <v>40604373.398570403</v>
      </c>
      <c r="U19" s="117">
        <f>IF(U11=0,0,VLOOKUP(U11,FAC_TOTALS_APTA!$A$4:$BD$126,$L19,FALSE))</f>
        <v>55756492.121132798</v>
      </c>
      <c r="V19" s="117">
        <f>IF(V11=0,0,VLOOKUP(V11,FAC_TOTALS_APTA!$A$4:$BD$126,$L19,FALSE))</f>
        <v>3203326.7535713199</v>
      </c>
      <c r="W19" s="117">
        <f>IF(W11=0,0,VLOOKUP(W11,FAC_TOTALS_APTA!$A$4:$BD$126,$L19,FALSE))</f>
        <v>0</v>
      </c>
      <c r="X19" s="117">
        <f>IF(X11=0,0,VLOOKUP(X11,FAC_TOTALS_APTA!$A$4:$BD$126,$L19,FALSE))</f>
        <v>0</v>
      </c>
      <c r="Y19" s="117">
        <f>IF(Y11=0,0,VLOOKUP(Y11,FAC_TOTALS_APTA!$A$4:$BD$126,$L19,FALSE))</f>
        <v>0</v>
      </c>
      <c r="Z19" s="117">
        <f>IF(Z11=0,0,VLOOKUP(Z11,FAC_TOTALS_APTA!$A$4:$BD$126,$L19,FALSE))</f>
        <v>0</v>
      </c>
      <c r="AA19" s="117">
        <f>IF(AA11=0,0,VLOOKUP(AA11,FAC_TOTALS_APTA!$A$4:$BD$126,$L19,FALSE))</f>
        <v>0</v>
      </c>
      <c r="AB19" s="117">
        <f>IF(AB11=0,0,VLOOKUP(AB11,FAC_TOTALS_APTA!$A$4:$BD$126,$L19,FALSE))</f>
        <v>0</v>
      </c>
      <c r="AC19" s="121">
        <f t="shared" si="4"/>
        <v>183926914.60465625</v>
      </c>
      <c r="AD19" s="122">
        <f>AC19/G28</f>
        <v>8.2934031911208017E-2</v>
      </c>
      <c r="AE19" s="6"/>
    </row>
    <row r="20" spans="1:31" s="13" customFormat="1" ht="15" x14ac:dyDescent="0.2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MATCH($D20,FAC_TOTALS_APTA!$A$2:$BD$2,)</f>
        <v>19</v>
      </c>
      <c r="G20" s="123">
        <f>VLOOKUP(G11,FAC_TOTALS_APTA!$A$4:$BD$126,$F20,FALSE)</f>
        <v>39381.469965213502</v>
      </c>
      <c r="H20" s="123">
        <f>VLOOKUP(H11,FAC_TOTALS_APTA!$A$4:$BD$126,$F20,FALSE)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MATCH($K20,FAC_TOTALS_APTA!$A$2:$BB$2,)</f>
        <v>37</v>
      </c>
      <c r="M20" s="117">
        <f>IF(M11=0,0,VLOOKUP(M11,FAC_TOTALS_APTA!$A$4:$BD$126,$L20,FALSE))</f>
        <v>3473957.8329330999</v>
      </c>
      <c r="N20" s="117">
        <f>IF(N11=0,0,VLOOKUP(N11,FAC_TOTALS_APTA!$A$4:$BD$126,$L20,FALSE))</f>
        <v>4736681.2034896696</v>
      </c>
      <c r="O20" s="117">
        <f>IF(O11=0,0,VLOOKUP(O11,FAC_TOTALS_APTA!$A$4:$BD$126,$L20,FALSE))</f>
        <v>4575296.1043723701</v>
      </c>
      <c r="P20" s="117">
        <f>IF(P11=0,0,VLOOKUP(P11,FAC_TOTALS_APTA!$A$4:$BD$126,$L20,FALSE))</f>
        <v>7400423.2698369799</v>
      </c>
      <c r="Q20" s="117">
        <f>IF(Q11=0,0,VLOOKUP(Q11,FAC_TOTALS_APTA!$A$4:$BD$126,$L20,FALSE))</f>
        <v>-2570783.5509136198</v>
      </c>
      <c r="R20" s="117">
        <f>IF(R11=0,0,VLOOKUP(R11,FAC_TOTALS_APTA!$A$4:$BD$126,$L20,FALSE))</f>
        <v>237098.76386560299</v>
      </c>
      <c r="S20" s="117">
        <f>IF(S11=0,0,VLOOKUP(S11,FAC_TOTALS_APTA!$A$4:$BD$126,$L20,FALSE))</f>
        <v>9495150.8449715395</v>
      </c>
      <c r="T20" s="117">
        <f>IF(T11=0,0,VLOOKUP(T11,FAC_TOTALS_APTA!$A$4:$BD$126,$L20,FALSE))</f>
        <v>4526657.4343047002</v>
      </c>
      <c r="U20" s="117">
        <f>IF(U11=0,0,VLOOKUP(U11,FAC_TOTALS_APTA!$A$4:$BD$126,$L20,FALSE))</f>
        <v>3525760.9735961901</v>
      </c>
      <c r="V20" s="117">
        <f>IF(V11=0,0,VLOOKUP(V11,FAC_TOTALS_APTA!$A$4:$BD$126,$L20,FALSE))</f>
        <v>1060492.5624096401</v>
      </c>
      <c r="W20" s="117">
        <f>IF(W11=0,0,VLOOKUP(W11,FAC_TOTALS_APTA!$A$4:$BD$126,$L20,FALSE))</f>
        <v>0</v>
      </c>
      <c r="X20" s="117">
        <f>IF(X11=0,0,VLOOKUP(X11,FAC_TOTALS_APTA!$A$4:$BD$126,$L20,FALSE))</f>
        <v>0</v>
      </c>
      <c r="Y20" s="117">
        <f>IF(Y11=0,0,VLOOKUP(Y11,FAC_TOTALS_APTA!$A$4:$BD$126,$L20,FALSE))</f>
        <v>0</v>
      </c>
      <c r="Z20" s="117">
        <f>IF(Z11=0,0,VLOOKUP(Z11,FAC_TOTALS_APTA!$A$4:$BD$126,$L20,FALSE))</f>
        <v>0</v>
      </c>
      <c r="AA20" s="117">
        <f>IF(AA11=0,0,VLOOKUP(AA11,FAC_TOTALS_APTA!$A$4:$BD$126,$L20,FALSE))</f>
        <v>0</v>
      </c>
      <c r="AB20" s="117">
        <f>IF(AB11=0,0,VLOOKUP(AB11,FAC_TOTALS_APTA!$A$4:$BD$126,$L20,FALSE))</f>
        <v>0</v>
      </c>
      <c r="AC20" s="121">
        <f t="shared" si="4"/>
        <v>36460735.438866168</v>
      </c>
      <c r="AD20" s="122">
        <f>AC20/G28</f>
        <v>1.6440420385959595E-2</v>
      </c>
      <c r="AE20" s="6"/>
    </row>
    <row r="21" spans="1:31" s="13" customFormat="1" ht="15" x14ac:dyDescent="0.2">
      <c r="A21" s="6"/>
      <c r="B21" s="115" t="s">
        <v>62</v>
      </c>
      <c r="C21" s="116"/>
      <c r="D21" s="104" t="s">
        <v>9</v>
      </c>
      <c r="E21" s="118"/>
      <c r="F21" s="104">
        <f>MATCH($D21,FAC_TOTALS_APTA!$A$2:$BD$2,)</f>
        <v>20</v>
      </c>
      <c r="G21" s="117">
        <f>VLOOKUP(G11,FAC_TOTALS_APTA!$A$4:$BD$126,$F21,FALSE)</f>
        <v>9.9176880297119094</v>
      </c>
      <c r="H21" s="117">
        <f>VLOOKUP(H11,FAC_TOTALS_APTA!$A$4:$BD$126,$F21,FALSE)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MATCH($K21,FAC_TOTALS_APTA!$A$2:$BB$2,)</f>
        <v>38</v>
      </c>
      <c r="M21" s="117">
        <f>IF(M11=0,0,VLOOKUP(M11,FAC_TOTALS_APTA!$A$4:$BD$126,$L21,FALSE))</f>
        <v>-404120.81822783401</v>
      </c>
      <c r="N21" s="117">
        <f>IF(N11=0,0,VLOOKUP(N11,FAC_TOTALS_APTA!$A$4:$BD$126,$L21,FALSE))</f>
        <v>-385473.05551600602</v>
      </c>
      <c r="O21" s="117">
        <f>IF(O11=0,0,VLOOKUP(O11,FAC_TOTALS_APTA!$A$4:$BD$126,$L21,FALSE))</f>
        <v>-574376.69274083304</v>
      </c>
      <c r="P21" s="117">
        <f>IF(P11=0,0,VLOOKUP(P11,FAC_TOTALS_APTA!$A$4:$BD$126,$L21,FALSE))</f>
        <v>-641817.69786671398</v>
      </c>
      <c r="Q21" s="117">
        <f>IF(Q11=0,0,VLOOKUP(Q11,FAC_TOTALS_APTA!$A$4:$BD$126,$L21,FALSE))</f>
        <v>-853039.32659324701</v>
      </c>
      <c r="R21" s="117">
        <f>IF(R11=0,0,VLOOKUP(R11,FAC_TOTALS_APTA!$A$4:$BD$126,$L21,FALSE))</f>
        <v>838944.68461139</v>
      </c>
      <c r="S21" s="117">
        <f>IF(S11=0,0,VLOOKUP(S11,FAC_TOTALS_APTA!$A$4:$BD$126,$L21,FALSE))</f>
        <v>595732.59771988296</v>
      </c>
      <c r="T21" s="117">
        <f>IF(T11=0,0,VLOOKUP(T11,FAC_TOTALS_APTA!$A$4:$BD$126,$L21,FALSE))</f>
        <v>1111360.23198005</v>
      </c>
      <c r="U21" s="117">
        <f>IF(U11=0,0,VLOOKUP(U11,FAC_TOTALS_APTA!$A$4:$BD$126,$L21,FALSE))</f>
        <v>1446561.5986824899</v>
      </c>
      <c r="V21" s="117">
        <f>IF(V11=0,0,VLOOKUP(V11,FAC_TOTALS_APTA!$A$4:$BD$126,$L21,FALSE))</f>
        <v>-553170.886410748</v>
      </c>
      <c r="W21" s="117">
        <f>IF(W11=0,0,VLOOKUP(W11,FAC_TOTALS_APTA!$A$4:$BD$126,$L21,FALSE))</f>
        <v>0</v>
      </c>
      <c r="X21" s="117">
        <f>IF(X11=0,0,VLOOKUP(X11,FAC_TOTALS_APTA!$A$4:$BD$126,$L21,FALSE))</f>
        <v>0</v>
      </c>
      <c r="Y21" s="117">
        <f>IF(Y11=0,0,VLOOKUP(Y11,FAC_TOTALS_APTA!$A$4:$BD$126,$L21,FALSE))</f>
        <v>0</v>
      </c>
      <c r="Z21" s="117">
        <f>IF(Z11=0,0,VLOOKUP(Z11,FAC_TOTALS_APTA!$A$4:$BD$126,$L21,FALSE))</f>
        <v>0</v>
      </c>
      <c r="AA21" s="117">
        <f>IF(AA11=0,0,VLOOKUP(AA11,FAC_TOTALS_APTA!$A$4:$BD$126,$L21,FALSE))</f>
        <v>0</v>
      </c>
      <c r="AB21" s="117">
        <f>IF(AB11=0,0,VLOOKUP(AB11,FAC_TOTALS_APTA!$A$4:$BD$126,$L21,FALSE))</f>
        <v>0</v>
      </c>
      <c r="AC21" s="121">
        <f t="shared" si="4"/>
        <v>580600.63563843106</v>
      </c>
      <c r="AD21" s="122">
        <f>AC21/G28</f>
        <v>2.6179720215067595E-4</v>
      </c>
      <c r="AE21" s="6"/>
    </row>
    <row r="22" spans="1:31" s="13" customFormat="1" ht="15" x14ac:dyDescent="0.2">
      <c r="A22" s="6"/>
      <c r="B22" s="115" t="s">
        <v>47</v>
      </c>
      <c r="C22" s="116"/>
      <c r="D22" s="104" t="s">
        <v>28</v>
      </c>
      <c r="E22" s="118"/>
      <c r="F22" s="104">
        <f>MATCH($D22,FAC_TOTALS_APTA!$A$2:$BD$2,)</f>
        <v>21</v>
      </c>
      <c r="G22" s="125">
        <f>VLOOKUP(G11,FAC_TOTALS_APTA!$A$4:$BD$126,$F22,FALSE)</f>
        <v>3.9438940773070499</v>
      </c>
      <c r="H22" s="125">
        <f>VLOOKUP(H11,FAC_TOTALS_APTA!$A$4:$BD$126,$F22,FALSE)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MATCH($K22,FAC_TOTALS_APTA!$A$2:$BB$2,)</f>
        <v>39</v>
      </c>
      <c r="M22" s="117">
        <f>IF(M11=0,0,VLOOKUP(M11,FAC_TOTALS_APTA!$A$4:$BD$126,$L22,FALSE))</f>
        <v>0</v>
      </c>
      <c r="N22" s="117">
        <f>IF(N11=0,0,VLOOKUP(N11,FAC_TOTALS_APTA!$A$4:$BD$126,$L22,FALSE))</f>
        <v>0</v>
      </c>
      <c r="O22" s="117">
        <f>IF(O11=0,0,VLOOKUP(O11,FAC_TOTALS_APTA!$A$4:$BD$126,$L22,FALSE))</f>
        <v>0</v>
      </c>
      <c r="P22" s="117">
        <f>IF(P11=0,0,VLOOKUP(P11,FAC_TOTALS_APTA!$A$4:$BD$126,$L22,FALSE))</f>
        <v>-6156146.9799181102</v>
      </c>
      <c r="Q22" s="117">
        <f>IF(Q11=0,0,VLOOKUP(Q11,FAC_TOTALS_APTA!$A$4:$BD$126,$L22,FALSE))</f>
        <v>-2653016.83109832</v>
      </c>
      <c r="R22" s="117">
        <f>IF(R11=0,0,VLOOKUP(R11,FAC_TOTALS_APTA!$A$4:$BD$126,$L22,FALSE))</f>
        <v>-1609549.7204076101</v>
      </c>
      <c r="S22" s="117">
        <f>IF(S11=0,0,VLOOKUP(S11,FAC_TOTALS_APTA!$A$4:$BD$126,$L22,FALSE))</f>
        <v>-4331164.6050540404</v>
      </c>
      <c r="T22" s="117">
        <f>IF(T11=0,0,VLOOKUP(T11,FAC_TOTALS_APTA!$A$4:$BD$126,$L22,FALSE))</f>
        <v>-4479088.2520073904</v>
      </c>
      <c r="U22" s="117">
        <f>IF(U11=0,0,VLOOKUP(U11,FAC_TOTALS_APTA!$A$4:$BD$126,$L22,FALSE))</f>
        <v>1061633.38816647</v>
      </c>
      <c r="V22" s="117">
        <f>IF(V11=0,0,VLOOKUP(V11,FAC_TOTALS_APTA!$A$4:$BD$126,$L22,FALSE))</f>
        <v>-1976065.9640327599</v>
      </c>
      <c r="W22" s="117">
        <f>IF(W11=0,0,VLOOKUP(W11,FAC_TOTALS_APTA!$A$4:$BD$126,$L22,FALSE))</f>
        <v>0</v>
      </c>
      <c r="X22" s="117">
        <f>IF(X11=0,0,VLOOKUP(X11,FAC_TOTALS_APTA!$A$4:$BD$126,$L22,FALSE))</f>
        <v>0</v>
      </c>
      <c r="Y22" s="117">
        <f>IF(Y11=0,0,VLOOKUP(Y11,FAC_TOTALS_APTA!$A$4:$BD$126,$L22,FALSE))</f>
        <v>0</v>
      </c>
      <c r="Z22" s="117">
        <f>IF(Z11=0,0,VLOOKUP(Z11,FAC_TOTALS_APTA!$A$4:$BD$126,$L22,FALSE))</f>
        <v>0</v>
      </c>
      <c r="AA22" s="117">
        <f>IF(AA11=0,0,VLOOKUP(AA11,FAC_TOTALS_APTA!$A$4:$BD$126,$L22,FALSE))</f>
        <v>0</v>
      </c>
      <c r="AB22" s="117">
        <f>IF(AB11=0,0,VLOOKUP(AB11,FAC_TOTALS_APTA!$A$4:$BD$126,$L22,FALSE))</f>
        <v>0</v>
      </c>
      <c r="AC22" s="121">
        <f t="shared" si="4"/>
        <v>-20143398.964351766</v>
      </c>
      <c r="AD22" s="122">
        <f>AC22/G28</f>
        <v>-9.0828103983616338E-3</v>
      </c>
      <c r="AE22" s="6"/>
    </row>
    <row r="23" spans="1:31" s="13" customFormat="1" ht="15" x14ac:dyDescent="0.2">
      <c r="A23" s="6"/>
      <c r="B23" s="115" t="s">
        <v>63</v>
      </c>
      <c r="C23" s="116"/>
      <c r="D23" s="126" t="s">
        <v>89</v>
      </c>
      <c r="E23" s="118"/>
      <c r="F23" s="104">
        <f>MATCH($D23,FAC_TOTALS_APTA!$A$2:$BD$2,)</f>
        <v>24</v>
      </c>
      <c r="G23" s="125">
        <f>VLOOKUP(G11,FAC_TOTALS_APTA!$A$4:$BD$126,$F23,FALSE)</f>
        <v>0</v>
      </c>
      <c r="H23" s="125">
        <f>VLOOKUP(H11,FAC_TOTALS_APTA!$A$4:$BD$126,$F23,FALSE)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YEARS_SINCE_TNC_BUS_HINY_FAC</v>
      </c>
      <c r="L23" s="104">
        <f>MATCH($K23,FAC_TOTALS_APTA!$A$2:$BB$2,)</f>
        <v>42</v>
      </c>
      <c r="M23" s="117">
        <f>IF(M11=0,0,VLOOKUP(M11,FAC_TOTALS_APTA!$A$4:$BD$126,$L23,FALSE))</f>
        <v>0</v>
      </c>
      <c r="N23" s="117">
        <f>IF(N11=0,0,VLOOKUP(N11,FAC_TOTALS_APTA!$A$4:$BD$126,$L23,FALSE))</f>
        <v>0</v>
      </c>
      <c r="O23" s="117">
        <f>IF(O11=0,0,VLOOKUP(O11,FAC_TOTALS_APTA!$A$4:$BD$126,$L23,FALSE))</f>
        <v>0</v>
      </c>
      <c r="P23" s="117">
        <f>IF(P11=0,0,VLOOKUP(P11,FAC_TOTALS_APTA!$A$4:$BD$126,$L23,FALSE))</f>
        <v>0</v>
      </c>
      <c r="Q23" s="117">
        <f>IF(Q11=0,0,VLOOKUP(Q11,FAC_TOTALS_APTA!$A$4:$BD$126,$L23,FALSE))</f>
        <v>0</v>
      </c>
      <c r="R23" s="117">
        <f>IF(R11=0,0,VLOOKUP(R11,FAC_TOTALS_APTA!$A$4:$BD$126,$L23,FALSE))</f>
        <v>0</v>
      </c>
      <c r="S23" s="117">
        <f>IF(S11=0,0,VLOOKUP(S11,FAC_TOTALS_APTA!$A$4:$BD$126,$L23,FALSE))</f>
        <v>0</v>
      </c>
      <c r="T23" s="117">
        <f>IF(T11=0,0,VLOOKUP(T11,FAC_TOTALS_APTA!$A$4:$BD$126,$L23,FALSE))</f>
        <v>0</v>
      </c>
      <c r="U23" s="117">
        <f>IF(U11=0,0,VLOOKUP(U11,FAC_TOTALS_APTA!$A$4:$BD$126,$L23,FALSE))</f>
        <v>-5235238.1767890397</v>
      </c>
      <c r="V23" s="117">
        <f>IF(V11=0,0,VLOOKUP(V11,FAC_TOTALS_APTA!$A$4:$BD$126,$L23,FALSE))</f>
        <v>-18249966.2837101</v>
      </c>
      <c r="W23" s="117">
        <f>IF(W11=0,0,VLOOKUP(W11,FAC_TOTALS_APTA!$A$4:$BD$126,$L23,FALSE))</f>
        <v>0</v>
      </c>
      <c r="X23" s="117">
        <f>IF(X11=0,0,VLOOKUP(X11,FAC_TOTALS_APTA!$A$4:$BD$126,$L23,FALSE))</f>
        <v>0</v>
      </c>
      <c r="Y23" s="117">
        <f>IF(Y11=0,0,VLOOKUP(Y11,FAC_TOTALS_APTA!$A$4:$BD$126,$L23,FALSE))</f>
        <v>0</v>
      </c>
      <c r="Z23" s="117">
        <f>IF(Z11=0,0,VLOOKUP(Z11,FAC_TOTALS_APTA!$A$4:$BD$126,$L23,FALSE))</f>
        <v>0</v>
      </c>
      <c r="AA23" s="117">
        <f>IF(AA11=0,0,VLOOKUP(AA11,FAC_TOTALS_APTA!$A$4:$BD$126,$L23,FALSE))</f>
        <v>0</v>
      </c>
      <c r="AB23" s="117">
        <f>IF(AB11=0,0,VLOOKUP(AB11,FAC_TOTALS_APTA!$A$4:$BD$126,$L23,FALSE))</f>
        <v>0</v>
      </c>
      <c r="AC23" s="121">
        <f t="shared" si="4"/>
        <v>-23485204.460499138</v>
      </c>
      <c r="AD23" s="122">
        <f>AC23/G28</f>
        <v>-1.0589655681197255E-2</v>
      </c>
      <c r="AE23" s="6"/>
    </row>
    <row r="24" spans="1:31" s="13" customFormat="1" ht="15" x14ac:dyDescent="0.2">
      <c r="A24" s="6"/>
      <c r="B24" s="115" t="s">
        <v>64</v>
      </c>
      <c r="C24" s="116"/>
      <c r="D24" s="104" t="s">
        <v>43</v>
      </c>
      <c r="E24" s="118"/>
      <c r="F24" s="104">
        <f>MATCH($D24,FAC_TOTALS_APTA!$A$2:$BD$2,)</f>
        <v>28</v>
      </c>
      <c r="G24" s="125">
        <f>VLOOKUP(G11,FAC_TOTALS_APTA!$A$4:$BD$126,$F24,FALSE)</f>
        <v>0</v>
      </c>
      <c r="H24" s="125">
        <f>VLOOKUP(H11,FAC_TOTALS_APTA!$A$4:$BD$126,$F24,FALSE)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MATCH($K24,FAC_TOTALS_APTA!$A$2:$BB$2,)</f>
        <v>46</v>
      </c>
      <c r="M24" s="117">
        <f>IF(M11=0,0,VLOOKUP(M11,FAC_TOTALS_APTA!$A$4:$BD$126,$L24,FALSE))</f>
        <v>0</v>
      </c>
      <c r="N24" s="117">
        <f>IF(N11=0,0,VLOOKUP(N11,FAC_TOTALS_APTA!$A$4:$BD$126,$L24,FALSE))</f>
        <v>0</v>
      </c>
      <c r="O24" s="117">
        <f>IF(O11=0,0,VLOOKUP(O11,FAC_TOTALS_APTA!$A$4:$BD$126,$L24,FALSE))</f>
        <v>0</v>
      </c>
      <c r="P24" s="117">
        <f>IF(P11=0,0,VLOOKUP(P11,FAC_TOTALS_APTA!$A$4:$BD$126,$L24,FALSE))</f>
        <v>0</v>
      </c>
      <c r="Q24" s="117">
        <f>IF(Q11=0,0,VLOOKUP(Q11,FAC_TOTALS_APTA!$A$4:$BD$126,$L24,FALSE))</f>
        <v>0</v>
      </c>
      <c r="R24" s="117">
        <f>IF(R11=0,0,VLOOKUP(R11,FAC_TOTALS_APTA!$A$4:$BD$126,$L24,FALSE))</f>
        <v>-1952077.4134720999</v>
      </c>
      <c r="S24" s="117">
        <f>IF(S11=0,0,VLOOKUP(S11,FAC_TOTALS_APTA!$A$4:$BD$126,$L24,FALSE))</f>
        <v>0</v>
      </c>
      <c r="T24" s="117">
        <f>IF(T11=0,0,VLOOKUP(T11,FAC_TOTALS_APTA!$A$4:$BD$126,$L24,FALSE))</f>
        <v>-1664644.54611339</v>
      </c>
      <c r="U24" s="117">
        <f>IF(U11=0,0,VLOOKUP(U11,FAC_TOTALS_APTA!$A$4:$BD$126,$L24,FALSE))</f>
        <v>-1152536.44476927</v>
      </c>
      <c r="V24" s="117">
        <f>IF(V11=0,0,VLOOKUP(V11,FAC_TOTALS_APTA!$A$4:$BD$126,$L24,FALSE))</f>
        <v>-720905.65613446501</v>
      </c>
      <c r="W24" s="117">
        <f>IF(W11=0,0,VLOOKUP(W11,FAC_TOTALS_APTA!$A$4:$BD$126,$L24,FALSE))</f>
        <v>0</v>
      </c>
      <c r="X24" s="117">
        <f>IF(X11=0,0,VLOOKUP(X11,FAC_TOTALS_APTA!$A$4:$BD$126,$L24,FALSE))</f>
        <v>0</v>
      </c>
      <c r="Y24" s="117">
        <f>IF(Y11=0,0,VLOOKUP(Y11,FAC_TOTALS_APTA!$A$4:$BD$126,$L24,FALSE))</f>
        <v>0</v>
      </c>
      <c r="Z24" s="117">
        <f>IF(Z11=0,0,VLOOKUP(Z11,FAC_TOTALS_APTA!$A$4:$BD$126,$L24,FALSE))</f>
        <v>0</v>
      </c>
      <c r="AA24" s="117">
        <f>IF(AA11=0,0,VLOOKUP(AA11,FAC_TOTALS_APTA!$A$4:$BD$126,$L24,FALSE))</f>
        <v>0</v>
      </c>
      <c r="AB24" s="117">
        <f>IF(AB11=0,0,VLOOKUP(AB11,FAC_TOTALS_APTA!$A$4:$BD$126,$L24,FALSE))</f>
        <v>0</v>
      </c>
      <c r="AC24" s="121">
        <f t="shared" si="4"/>
        <v>-5490164.0604892243</v>
      </c>
      <c r="AD24" s="122">
        <f>AC24/G28</f>
        <v>-2.4755563500267292E-3</v>
      </c>
      <c r="AE24" s="6"/>
    </row>
    <row r="25" spans="1:31" s="13" customFormat="1" ht="15" x14ac:dyDescent="0.2">
      <c r="A25" s="6"/>
      <c r="B25" s="127" t="s">
        <v>65</v>
      </c>
      <c r="C25" s="128"/>
      <c r="D25" s="129" t="s">
        <v>44</v>
      </c>
      <c r="E25" s="130"/>
      <c r="F25" s="129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MATCH($K25,FAC_TOTALS_APTA!$A$2:$BB$2,)</f>
        <v>47</v>
      </c>
      <c r="M25" s="134">
        <f>IF(M11=0,0,VLOOKUP(M11,FAC_TOTALS_APTA!$A$4:$BD$126,$L25,FALSE))</f>
        <v>0</v>
      </c>
      <c r="N25" s="134">
        <f>IF(N11=0,0,VLOOKUP(N11,FAC_TOTALS_APTA!$A$4:$BD$126,$L25,FALSE))</f>
        <v>0</v>
      </c>
      <c r="O25" s="134">
        <f>IF(O11=0,0,VLOOKUP(O11,FAC_TOTALS_APTA!$A$4:$BD$126,$L25,FALSE))</f>
        <v>0</v>
      </c>
      <c r="P25" s="134">
        <f>IF(P11=0,0,VLOOKUP(P11,FAC_TOTALS_APTA!$A$4:$BD$126,$L25,FALSE))</f>
        <v>0</v>
      </c>
      <c r="Q25" s="134">
        <f>IF(Q11=0,0,VLOOKUP(Q11,FAC_TOTALS_APTA!$A$4:$BD$126,$L25,FALSE))</f>
        <v>0</v>
      </c>
      <c r="R25" s="134">
        <f>IF(R11=0,0,VLOOKUP(R11,FAC_TOTALS_APTA!$A$4:$BD$126,$L25,FALSE))</f>
        <v>0</v>
      </c>
      <c r="S25" s="134">
        <f>IF(S11=0,0,VLOOKUP(S11,FAC_TOTALS_APTA!$A$4:$BD$126,$L25,FALSE))</f>
        <v>0</v>
      </c>
      <c r="T25" s="134">
        <f>IF(T11=0,0,VLOOKUP(T11,FAC_TOTALS_APTA!$A$4:$BD$126,$L25,FALSE))</f>
        <v>0</v>
      </c>
      <c r="U25" s="134">
        <f>IF(U11=0,0,VLOOKUP(U11,FAC_TOTALS_APTA!$A$4:$BD$126,$L25,FALSE))</f>
        <v>0</v>
      </c>
      <c r="V25" s="134">
        <f>IF(V11=0,0,VLOOKUP(V11,FAC_TOTALS_APTA!$A$4:$BD$126,$L25,FALSE))</f>
        <v>0</v>
      </c>
      <c r="W25" s="134">
        <f>IF(W11=0,0,VLOOKUP(W11,FAC_TOTALS_APTA!$A$4:$BD$126,$L25,FALSE))</f>
        <v>0</v>
      </c>
      <c r="X25" s="134">
        <f>IF(X11=0,0,VLOOKUP(X11,FAC_TOTALS_APTA!$A$4:$BD$126,$L25,FALSE))</f>
        <v>0</v>
      </c>
      <c r="Y25" s="134">
        <f>IF(Y11=0,0,VLOOKUP(Y11,FAC_TOTALS_APTA!$A$4:$BD$126,$L25,FALSE))</f>
        <v>0</v>
      </c>
      <c r="Z25" s="134">
        <f>IF(Z11=0,0,VLOOKUP(Z11,FAC_TOTALS_APTA!$A$4:$BD$126,$L25,FALSE))</f>
        <v>0</v>
      </c>
      <c r="AA25" s="134">
        <f>IF(AA11=0,0,VLOOKUP(AA11,FAC_TOTALS_APTA!$A$4:$BD$126,$L25,FALSE))</f>
        <v>0</v>
      </c>
      <c r="AB25" s="134">
        <f>IF(AB11=0,0,VLOOKUP(AB11,FAC_TOTALS_APTA!$A$4:$BD$126,$L25,FALSE))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ht="15" x14ac:dyDescent="0.2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MATCH($K26,FAC_TOTALS_APTA!$A$2:$BB$2,)</f>
        <v>51</v>
      </c>
      <c r="M26" s="141">
        <f>IF(M11=0,0,VLOOKUP(M11,FAC_TOTALS_APTA!$A$4:$BD$126,$L26,FALSE))</f>
        <v>0</v>
      </c>
      <c r="N26" s="141">
        <f>IF(N11=0,0,VLOOKUP(N11,FAC_TOTALS_APTA!$A$4:$BD$126,$L26,FALSE))</f>
        <v>179225222.99999899</v>
      </c>
      <c r="O26" s="141">
        <f>IF(O11=0,0,VLOOKUP(O11,FAC_TOTALS_APTA!$A$4:$BD$126,$L26,FALSE))</f>
        <v>125667082.999999</v>
      </c>
      <c r="P26" s="141">
        <f>IF(P11=0,0,VLOOKUP(P11,FAC_TOTALS_APTA!$A$4:$BD$126,$L26,FALSE))</f>
        <v>0</v>
      </c>
      <c r="Q26" s="141">
        <f>IF(Q11=0,0,VLOOKUP(Q11,FAC_TOTALS_APTA!$A$4:$BD$126,$L26,FALSE))</f>
        <v>0</v>
      </c>
      <c r="R26" s="141">
        <f>IF(R11=0,0,VLOOKUP(R11,FAC_TOTALS_APTA!$A$4:$BD$126,$L26,FALSE))</f>
        <v>0</v>
      </c>
      <c r="S26" s="141">
        <f>IF(S11=0,0,VLOOKUP(S11,FAC_TOTALS_APTA!$A$4:$BD$126,$L26,FALSE))</f>
        <v>0</v>
      </c>
      <c r="T26" s="141">
        <f>IF(T11=0,0,VLOOKUP(T11,FAC_TOTALS_APTA!$A$4:$BD$126,$L26,FALSE))</f>
        <v>0</v>
      </c>
      <c r="U26" s="141">
        <f>IF(U11=0,0,VLOOKUP(U11,FAC_TOTALS_APTA!$A$4:$BD$126,$L26,FALSE))</f>
        <v>0</v>
      </c>
      <c r="V26" s="141">
        <f>IF(V11=0,0,VLOOKUP(V11,FAC_TOTALS_APTA!$A$4:$BD$126,$L26,FALSE))</f>
        <v>0</v>
      </c>
      <c r="W26" s="141">
        <f>IF(W11=0,0,VLOOKUP(W11,FAC_TOTALS_APTA!$A$4:$BD$126,$L26,FALSE))</f>
        <v>0</v>
      </c>
      <c r="X26" s="141">
        <f>IF(X11=0,0,VLOOKUP(X11,FAC_TOTALS_APTA!$A$4:$BD$126,$L26,FALSE))</f>
        <v>0</v>
      </c>
      <c r="Y26" s="141">
        <f>IF(Y11=0,0,VLOOKUP(Y11,FAC_TOTALS_APTA!$A$4:$BD$126,$L26,FALSE))</f>
        <v>0</v>
      </c>
      <c r="Z26" s="141">
        <f>IF(Z11=0,0,VLOOKUP(Z11,FAC_TOTALS_APTA!$A$4:$BD$126,$L26,FALSE))</f>
        <v>0</v>
      </c>
      <c r="AA26" s="141">
        <f>IF(AA11=0,0,VLOOKUP(AA11,FAC_TOTALS_APTA!$A$4:$BD$126,$L26,FALSE))</f>
        <v>0</v>
      </c>
      <c r="AB26" s="141">
        <f>IF(AB11=0,0,VLOOKUP(AB11,FAC_TOTALS_APTA!$A$4:$BD$126,$L26,FALSE))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ht="15" x14ac:dyDescent="0.2">
      <c r="A27" s="104"/>
      <c r="B27" s="115" t="s">
        <v>66</v>
      </c>
      <c r="C27" s="116"/>
      <c r="D27" s="104" t="s">
        <v>6</v>
      </c>
      <c r="E27" s="118"/>
      <c r="F27" s="104">
        <f>MATCH($D27,FAC_TOTALS_APTA!$A$2:$BB$2,)</f>
        <v>10</v>
      </c>
      <c r="G27" s="117">
        <f>VLOOKUP(G11,FAC_TOTALS_APTA!$A$4:$BD$126,$F27,FALSE)</f>
        <v>1989004769.90504</v>
      </c>
      <c r="H27" s="117">
        <f>VLOOKUP(H11,FAC_TOTALS_APTA!$A$4:$BB$126,$F27,FALSE)</f>
        <v>2596221372.9513698</v>
      </c>
      <c r="I27" s="146">
        <f t="shared" ref="I27:I28" si="11">H27/G27-1</f>
        <v>0.30528665000402166</v>
      </c>
      <c r="J27" s="120"/>
      <c r="K27" s="120"/>
      <c r="L27" s="104"/>
      <c r="M27" s="117">
        <f t="shared" ref="M27:AB27" si="12">SUM(M13:M20)</f>
        <v>34184945.342401043</v>
      </c>
      <c r="N27" s="117">
        <f t="shared" si="12"/>
        <v>87406906.87238051</v>
      </c>
      <c r="O27" s="117">
        <f t="shared" si="12"/>
        <v>26122263.355270095</v>
      </c>
      <c r="P27" s="117">
        <f t="shared" si="12"/>
        <v>51826377.626922101</v>
      </c>
      <c r="Q27" s="117">
        <f t="shared" si="12"/>
        <v>9387556.0374490693</v>
      </c>
      <c r="R27" s="117">
        <f t="shared" si="12"/>
        <v>63668877.669807225</v>
      </c>
      <c r="S27" s="117">
        <f t="shared" si="12"/>
        <v>-165357291.91844296</v>
      </c>
      <c r="T27" s="117">
        <f t="shared" si="12"/>
        <v>-18203850.228811063</v>
      </c>
      <c r="U27" s="117">
        <f t="shared" si="12"/>
        <v>10158447.408524338</v>
      </c>
      <c r="V27" s="117">
        <f t="shared" si="12"/>
        <v>-5961669.0604005186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607216603.04632974</v>
      </c>
      <c r="AD27" s="122">
        <f>I27</f>
        <v>0.30528665000402166</v>
      </c>
      <c r="AE27" s="104"/>
    </row>
    <row r="28" spans="1:31" ht="16" thickBot="1" x14ac:dyDescent="0.25">
      <c r="B28" s="147" t="s">
        <v>50</v>
      </c>
      <c r="C28" s="148"/>
      <c r="D28" s="148" t="s">
        <v>4</v>
      </c>
      <c r="E28" s="148"/>
      <c r="F28" s="148">
        <f>MATCH($D28,FAC_TOTALS_APTA!$A$2:$BB$2,)</f>
        <v>8</v>
      </c>
      <c r="G28" s="114">
        <f>VLOOKUP(G11,FAC_TOTALS_APTA!$A$4:$BB$126,$F28,FALSE)</f>
        <v>2217749582</v>
      </c>
      <c r="H28" s="114">
        <f>VLOOKUP(H11,FAC_TOTALS_APTA!$A$4:$BB$126,$F28,FALSE)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7" thickTop="1" thickBot="1" x14ac:dyDescent="0.25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-0.15950488472986191</v>
      </c>
    </row>
    <row r="30" spans="1:31" ht="15" thickTop="1" x14ac:dyDescent="0.2"/>
    <row r="31" spans="1:31" s="10" customFormat="1" ht="15" x14ac:dyDescent="0.2">
      <c r="B31" s="18" t="s">
        <v>25</v>
      </c>
      <c r="E31" s="6"/>
      <c r="G31" s="106"/>
      <c r="H31" s="106"/>
      <c r="I31" s="17"/>
    </row>
    <row r="32" spans="1:31" ht="15" x14ac:dyDescent="0.2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ht="15" x14ac:dyDescent="0.2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6" thickBot="1" x14ac:dyDescent="0.25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5" thickTop="1" x14ac:dyDescent="0.2">
      <c r="B36" s="61"/>
      <c r="C36" s="62"/>
      <c r="D36" s="62"/>
      <c r="E36" s="62"/>
      <c r="F36" s="62"/>
      <c r="G36" s="240" t="s">
        <v>51</v>
      </c>
      <c r="H36" s="240"/>
      <c r="I36" s="240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240" t="s">
        <v>55</v>
      </c>
      <c r="AD36" s="240"/>
    </row>
    <row r="37" spans="1:31" ht="15" x14ac:dyDescent="0.2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3" hidden="1" customHeight="1" x14ac:dyDescent="0.2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3" hidden="1" customHeight="1" x14ac:dyDescent="0.2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3" hidden="1" customHeight="1" x14ac:dyDescent="0.2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ht="15" x14ac:dyDescent="0.2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13378352.2086371</v>
      </c>
      <c r="H41" s="117">
        <f>VLOOKUP(H39,FAC_TOTALS_APTA!$A$4:$BD$126,$F41,FALSE)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333222.708008288</v>
      </c>
      <c r="N41" s="29">
        <f>IF(N39=0,0,VLOOKUP(N39,FAC_TOTALS_APTA!$A$4:$BD$126,$L41,FALSE))</f>
        <v>-1024906.4510566</v>
      </c>
      <c r="O41" s="29">
        <f>IF(O39=0,0,VLOOKUP(O39,FAC_TOTALS_APTA!$A$4:$BD$126,$L41,FALSE))</f>
        <v>1130028.57316423</v>
      </c>
      <c r="P41" s="29">
        <f>IF(P39=0,0,VLOOKUP(P39,FAC_TOTALS_APTA!$A$4:$BD$126,$L41,FALSE))</f>
        <v>2564943.6904467898</v>
      </c>
      <c r="Q41" s="29">
        <f>IF(Q39=0,0,VLOOKUP(Q39,FAC_TOTALS_APTA!$A$4:$BD$126,$L41,FALSE))</f>
        <v>3203987.1291996301</v>
      </c>
      <c r="R41" s="29">
        <f>IF(R39=0,0,VLOOKUP(R39,FAC_TOTALS_APTA!$A$4:$BD$126,$L41,FALSE))</f>
        <v>7121812.4851595098</v>
      </c>
      <c r="S41" s="29">
        <f>IF(S39=0,0,VLOOKUP(S39,FAC_TOTALS_APTA!$A$4:$BD$126,$L41,FALSE))</f>
        <v>-6919273.3268606197</v>
      </c>
      <c r="T41" s="29">
        <f>IF(T39=0,0,VLOOKUP(T39,FAC_TOTALS_APTA!$A$4:$BD$126,$L41,FALSE))</f>
        <v>-6207014.64091451</v>
      </c>
      <c r="U41" s="29">
        <f>IF(U39=0,0,VLOOKUP(U39,FAC_TOTALS_APTA!$A$4:$BD$126,$L41,FALSE))</f>
        <v>-5889995.2738197502</v>
      </c>
      <c r="V41" s="29">
        <f>IF(V39=0,0,VLOOKUP(V39,FAC_TOTALS_APTA!$A$4:$BD$126,$L41,FALSE))</f>
        <v>-3436908.8120193901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-9124103.9186924212</v>
      </c>
      <c r="AD41" s="33">
        <f>AC41/G55</f>
        <v>-1.2780939052339178E-2</v>
      </c>
    </row>
    <row r="42" spans="1:31" ht="15" x14ac:dyDescent="0.2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0.92425916812859699</v>
      </c>
      <c r="H42" s="123">
        <f>VLOOKUP(H39,FAC_TOTALS_APTA!$A$4:$BD$126,$F42,FALSE)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696187.48905043397</v>
      </c>
      <c r="N42" s="29">
        <f>IF(N39=0,0,VLOOKUP(N39,FAC_TOTALS_APTA!$A$4:$BD$126,$L42,FALSE))</f>
        <v>4394260.6842861697</v>
      </c>
      <c r="O42" s="29">
        <f>IF(O39=0,0,VLOOKUP(O39,FAC_TOTALS_APTA!$A$4:$BD$126,$L42,FALSE))</f>
        <v>-1633029.7777281399</v>
      </c>
      <c r="P42" s="29">
        <f>IF(P39=0,0,VLOOKUP(P39,FAC_TOTALS_APTA!$A$4:$BD$126,$L42,FALSE))</f>
        <v>-3657593.0869601802</v>
      </c>
      <c r="Q42" s="29">
        <f>IF(Q39=0,0,VLOOKUP(Q39,FAC_TOTALS_APTA!$A$4:$BD$126,$L42,FALSE))</f>
        <v>-4766119.0725097898</v>
      </c>
      <c r="R42" s="29">
        <f>IF(R39=0,0,VLOOKUP(R39,FAC_TOTALS_APTA!$A$4:$BD$126,$L42,FALSE))</f>
        <v>1576585.76013057</v>
      </c>
      <c r="S42" s="29">
        <f>IF(S39=0,0,VLOOKUP(S39,FAC_TOTALS_APTA!$A$4:$BD$126,$L42,FALSE))</f>
        <v>-33592774.510672599</v>
      </c>
      <c r="T42" s="29">
        <f>IF(T39=0,0,VLOOKUP(T39,FAC_TOTALS_APTA!$A$4:$BD$126,$L42,FALSE))</f>
        <v>767298.83282143401</v>
      </c>
      <c r="U42" s="29">
        <f>IF(U39=0,0,VLOOKUP(U39,FAC_TOTALS_APTA!$A$4:$BD$126,$L42,FALSE))</f>
        <v>4048712.7940840502</v>
      </c>
      <c r="V42" s="29">
        <f>IF(V39=0,0,VLOOKUP(V39,FAC_TOTALS_APTA!$A$4:$BD$126,$L42,FALSE))</f>
        <v>31760.717496051999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7">SUM(M42:AB42)</f>
        <v>-32134710.170001999</v>
      </c>
      <c r="AD42" s="33">
        <f>AC42/G55</f>
        <v>-4.5013929675434772E-2</v>
      </c>
    </row>
    <row r="43" spans="1:31" s="13" customFormat="1" ht="15" x14ac:dyDescent="0.2">
      <c r="A43" s="6"/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7"/>
        <v>0</v>
      </c>
      <c r="AD43" s="122">
        <f>AC43/G56</f>
        <v>0</v>
      </c>
      <c r="AE43" s="6"/>
    </row>
    <row r="44" spans="1:31" s="13" customFormat="1" ht="15" x14ac:dyDescent="0.2">
      <c r="A44" s="6"/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ht="15" x14ac:dyDescent="0.2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2412902.98573989</v>
      </c>
      <c r="H45" s="117">
        <f>VLOOKUP(H39,FAC_TOTALS_APTA!$A$4:$BD$126,$F45,FALSE)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MATCH($K45,FAC_TOTALS_APTA!$A$2:$BB$2,)</f>
        <v>34</v>
      </c>
      <c r="M45" s="29">
        <f>IF(M39=0,0,VLOOKUP(M39,FAC_TOTALS_APTA!$A$4:$BD$126,$L45,FALSE))</f>
        <v>3813432.70564014</v>
      </c>
      <c r="N45" s="29">
        <f>IF(N39=0,0,VLOOKUP(N39,FAC_TOTALS_APTA!$A$4:$BD$126,$L45,FALSE))</f>
        <v>4838516.9405761398</v>
      </c>
      <c r="O45" s="29">
        <f>IF(O39=0,0,VLOOKUP(O39,FAC_TOTALS_APTA!$A$4:$BD$126,$L45,FALSE))</f>
        <v>5015586.57068522</v>
      </c>
      <c r="P45" s="29">
        <f>IF(P39=0,0,VLOOKUP(P39,FAC_TOTALS_APTA!$A$4:$BD$126,$L45,FALSE))</f>
        <v>6077172.7326792805</v>
      </c>
      <c r="Q45" s="29">
        <f>IF(Q39=0,0,VLOOKUP(Q39,FAC_TOTALS_APTA!$A$4:$BD$126,$L45,FALSE))</f>
        <v>2532438.10012668</v>
      </c>
      <c r="R45" s="29">
        <f>IF(R39=0,0,VLOOKUP(R39,FAC_TOTALS_APTA!$A$4:$BD$126,$L45,FALSE))</f>
        <v>1139909.2205346799</v>
      </c>
      <c r="S45" s="29">
        <f>IF(S39=0,0,VLOOKUP(S39,FAC_TOTALS_APTA!$A$4:$BD$126,$L45,FALSE))</f>
        <v>-1066143.7088672</v>
      </c>
      <c r="T45" s="29">
        <f>IF(T39=0,0,VLOOKUP(T39,FAC_TOTALS_APTA!$A$4:$BD$126,$L45,FALSE))</f>
        <v>1896310.32872249</v>
      </c>
      <c r="U45" s="29">
        <f>IF(U39=0,0,VLOOKUP(U39,FAC_TOTALS_APTA!$A$4:$BD$126,$L45,FALSE))</f>
        <v>1545501.9265282899</v>
      </c>
      <c r="V45" s="29">
        <f>IF(V39=0,0,VLOOKUP(V39,FAC_TOTALS_APTA!$A$4:$BD$126,$L45,FALSE))</f>
        <v>2087529.43013197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7"/>
        <v>27880254.246757694</v>
      </c>
      <c r="AD45" s="33">
        <f>AC45/G55</f>
        <v>3.9054337112657218E-2</v>
      </c>
    </row>
    <row r="46" spans="1:31" ht="15" x14ac:dyDescent="0.2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0.357365417272761</v>
      </c>
      <c r="H46" s="123">
        <f>VLOOKUP(H39,FAC_TOTALS_APTA!$A$4:$BD$126,$F46,FALSE)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MATCH($K46,FAC_TOTALS_APTA!$A$2:$BB$2,)</f>
        <v>35</v>
      </c>
      <c r="M46" s="29">
        <f>IF(M39=0,0,VLOOKUP(M39,FAC_TOTALS_APTA!$A$4:$BD$126,$L46,FALSE))</f>
        <v>-708547.43395985197</v>
      </c>
      <c r="N46" s="29">
        <f>IF(N39=0,0,VLOOKUP(N39,FAC_TOTALS_APTA!$A$4:$BD$126,$L46,FALSE))</f>
        <v>-1448095.7300891799</v>
      </c>
      <c r="O46" s="29">
        <f>IF(O39=0,0,VLOOKUP(O39,FAC_TOTALS_APTA!$A$4:$BD$126,$L46,FALSE))</f>
        <v>-949584.53927012905</v>
      </c>
      <c r="P46" s="29">
        <f>IF(P39=0,0,VLOOKUP(P39,FAC_TOTALS_APTA!$A$4:$BD$126,$L46,FALSE))</f>
        <v>-89397.054546426705</v>
      </c>
      <c r="Q46" s="29">
        <f>IF(Q39=0,0,VLOOKUP(Q39,FAC_TOTALS_APTA!$A$4:$BD$126,$L46,FALSE))</f>
        <v>-1307541.7305647701</v>
      </c>
      <c r="R46" s="29">
        <f>IF(R39=0,0,VLOOKUP(R39,FAC_TOTALS_APTA!$A$4:$BD$126,$L46,FALSE))</f>
        <v>-87998.107276090101</v>
      </c>
      <c r="S46" s="29">
        <f>IF(S39=0,0,VLOOKUP(S39,FAC_TOTALS_APTA!$A$4:$BD$126,$L46,FALSE))</f>
        <v>1543548.1077350599</v>
      </c>
      <c r="T46" s="29">
        <f>IF(T39=0,0,VLOOKUP(T39,FAC_TOTALS_APTA!$A$4:$BD$126,$L46,FALSE))</f>
        <v>182423.48767850699</v>
      </c>
      <c r="U46" s="29">
        <f>IF(U39=0,0,VLOOKUP(U39,FAC_TOTALS_APTA!$A$4:$BD$126,$L46,FALSE))</f>
        <v>-2583583.5668977499</v>
      </c>
      <c r="V46" s="29">
        <f>IF(V39=0,0,VLOOKUP(V39,FAC_TOTALS_APTA!$A$4:$BD$126,$L46,FALSE))</f>
        <v>-4690605.6089858804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7"/>
        <v>-10139382.176176511</v>
      </c>
      <c r="AD46" s="33">
        <f>AC46/G55</f>
        <v>-1.4203129071841816E-2</v>
      </c>
    </row>
    <row r="47" spans="1:31" ht="15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1.9468195567767399</v>
      </c>
      <c r="H47" s="125">
        <f>VLOOKUP(H39,FAC_TOTALS_APTA!$A$4:$BD$126,$F47,FALSE)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MATCH($K47,FAC_TOTALS_APTA!$A$2:$BB$2,)</f>
        <v>36</v>
      </c>
      <c r="M47" s="29">
        <f>IF(M39=0,0,VLOOKUP(M39,FAC_TOTALS_APTA!$A$4:$BD$126,$L47,FALSE))</f>
        <v>8570553.4831008092</v>
      </c>
      <c r="N47" s="29">
        <f>IF(N39=0,0,VLOOKUP(N39,FAC_TOTALS_APTA!$A$4:$BD$126,$L47,FALSE))</f>
        <v>10510601.8856744</v>
      </c>
      <c r="O47" s="29">
        <f>IF(O39=0,0,VLOOKUP(O39,FAC_TOTALS_APTA!$A$4:$BD$126,$L47,FALSE))</f>
        <v>14450943.9167866</v>
      </c>
      <c r="P47" s="29">
        <f>IF(P39=0,0,VLOOKUP(P39,FAC_TOTALS_APTA!$A$4:$BD$126,$L47,FALSE))</f>
        <v>8488626.5625487901</v>
      </c>
      <c r="Q47" s="29">
        <f>IF(Q39=0,0,VLOOKUP(Q39,FAC_TOTALS_APTA!$A$4:$BD$126,$L47,FALSE))</f>
        <v>5638927.6675712503</v>
      </c>
      <c r="R47" s="29">
        <f>IF(R39=0,0,VLOOKUP(R39,FAC_TOTALS_APTA!$A$4:$BD$126,$L47,FALSE))</f>
        <v>11840986.614596199</v>
      </c>
      <c r="S47" s="29">
        <f>IF(S39=0,0,VLOOKUP(S39,FAC_TOTALS_APTA!$A$4:$BD$126,$L47,FALSE))</f>
        <v>-34035434.129789203</v>
      </c>
      <c r="T47" s="29">
        <f>IF(T39=0,0,VLOOKUP(T39,FAC_TOTALS_APTA!$A$4:$BD$126,$L47,FALSE))</f>
        <v>14911706.6226357</v>
      </c>
      <c r="U47" s="29">
        <f>IF(U39=0,0,VLOOKUP(U39,FAC_TOTALS_APTA!$A$4:$BD$126,$L47,FALSE))</f>
        <v>20840077.8821842</v>
      </c>
      <c r="V47" s="29">
        <f>IF(V39=0,0,VLOOKUP(V39,FAC_TOTALS_APTA!$A$4:$BD$126,$L47,FALSE))</f>
        <v>399674.96092674701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7"/>
        <v>61616665.466235496</v>
      </c>
      <c r="AD47" s="33">
        <f>AC47/G55</f>
        <v>8.6311911059994556E-2</v>
      </c>
    </row>
    <row r="48" spans="1:31" ht="15" x14ac:dyDescent="0.2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35715.451599492502</v>
      </c>
      <c r="H48" s="123">
        <f>VLOOKUP(H39,FAC_TOTALS_APTA!$A$4:$BD$126,$F48,FALSE)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987634.37035830796</v>
      </c>
      <c r="N48" s="29">
        <f>IF(N39=0,0,VLOOKUP(N39,FAC_TOTALS_APTA!$A$4:$BD$126,$L48,FALSE))</f>
        <v>1667679.5431373101</v>
      </c>
      <c r="O48" s="29">
        <f>IF(O39=0,0,VLOOKUP(O39,FAC_TOTALS_APTA!$A$4:$BD$126,$L48,FALSE))</f>
        <v>1620816.8477109601</v>
      </c>
      <c r="P48" s="29">
        <f>IF(P39=0,0,VLOOKUP(P39,FAC_TOTALS_APTA!$A$4:$BD$126,$L48,FALSE))</f>
        <v>2678635.4590072702</v>
      </c>
      <c r="Q48" s="29">
        <f>IF(Q39=0,0,VLOOKUP(Q39,FAC_TOTALS_APTA!$A$4:$BD$126,$L48,FALSE))</f>
        <v>-725667.42349317996</v>
      </c>
      <c r="R48" s="29">
        <f>IF(R39=0,0,VLOOKUP(R39,FAC_TOTALS_APTA!$A$4:$BD$126,$L48,FALSE))</f>
        <v>448679.02286403597</v>
      </c>
      <c r="S48" s="29">
        <f>IF(S39=0,0,VLOOKUP(S39,FAC_TOTALS_APTA!$A$4:$BD$126,$L48,FALSE))</f>
        <v>3635179.5877254</v>
      </c>
      <c r="T48" s="29">
        <f>IF(T39=0,0,VLOOKUP(T39,FAC_TOTALS_APTA!$A$4:$BD$126,$L48,FALSE))</f>
        <v>1041614.22283217</v>
      </c>
      <c r="U48" s="29">
        <f>IF(U39=0,0,VLOOKUP(U39,FAC_TOTALS_APTA!$A$4:$BD$126,$L48,FALSE))</f>
        <v>1276611.61797757</v>
      </c>
      <c r="V48" s="29">
        <f>IF(V39=0,0,VLOOKUP(V39,FAC_TOTALS_APTA!$A$4:$BD$126,$L48,FALSE))</f>
        <v>641022.13802432804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7"/>
        <v>13272205.386144174</v>
      </c>
      <c r="AD48" s="33">
        <f>AC48/G55</f>
        <v>1.8591551525724663E-2</v>
      </c>
    </row>
    <row r="49" spans="1:31" ht="15" x14ac:dyDescent="0.2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7.8156462434034699</v>
      </c>
      <c r="H49" s="117">
        <f>VLOOKUP(H39,FAC_TOTALS_APTA!$A$4:$BD$126,$F49,FALSE)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MATCH($K49,FAC_TOTALS_APTA!$A$2:$BB$2,)</f>
        <v>38</v>
      </c>
      <c r="M49" s="29">
        <f>IF(M39=0,0,VLOOKUP(M39,FAC_TOTALS_APTA!$A$4:$BD$126,$L49,FALSE))</f>
        <v>-52518.3960302575</v>
      </c>
      <c r="N49" s="29">
        <f>IF(N39=0,0,VLOOKUP(N39,FAC_TOTALS_APTA!$A$4:$BD$126,$L49,FALSE))</f>
        <v>-56689.749115789098</v>
      </c>
      <c r="O49" s="29">
        <f>IF(O39=0,0,VLOOKUP(O39,FAC_TOTALS_APTA!$A$4:$BD$126,$L49,FALSE))</f>
        <v>-44801.174993676803</v>
      </c>
      <c r="P49" s="29">
        <f>IF(P39=0,0,VLOOKUP(P39,FAC_TOTALS_APTA!$A$4:$BD$126,$L49,FALSE))</f>
        <v>7054.1943029783497</v>
      </c>
      <c r="Q49" s="29">
        <f>IF(Q39=0,0,VLOOKUP(Q39,FAC_TOTALS_APTA!$A$4:$BD$126,$L49,FALSE))</f>
        <v>-160289.52654214899</v>
      </c>
      <c r="R49" s="29">
        <f>IF(R39=0,0,VLOOKUP(R39,FAC_TOTALS_APTA!$A$4:$BD$126,$L49,FALSE))</f>
        <v>316776.79456632899</v>
      </c>
      <c r="S49" s="29">
        <f>IF(S39=0,0,VLOOKUP(S39,FAC_TOTALS_APTA!$A$4:$BD$126,$L49,FALSE))</f>
        <v>177576.659682514</v>
      </c>
      <c r="T49" s="29">
        <f>IF(T39=0,0,VLOOKUP(T39,FAC_TOTALS_APTA!$A$4:$BD$126,$L49,FALSE))</f>
        <v>459276.92738579499</v>
      </c>
      <c r="U49" s="29">
        <f>IF(U39=0,0,VLOOKUP(U39,FAC_TOTALS_APTA!$A$4:$BD$126,$L49,FALSE))</f>
        <v>473238.30289521598</v>
      </c>
      <c r="V49" s="29">
        <f>IF(V39=0,0,VLOOKUP(V39,FAC_TOTALS_APTA!$A$4:$BD$126,$L49,FALSE))</f>
        <v>51087.676009695802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7"/>
        <v>1170711.7081606556</v>
      </c>
      <c r="AD49" s="33">
        <f>AC49/G55</f>
        <v>1.6399193962715797E-3</v>
      </c>
    </row>
    <row r="50" spans="1:31" ht="15" x14ac:dyDescent="0.2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3.29893510953965</v>
      </c>
      <c r="H50" s="125">
        <f>VLOOKUP(H39,FAC_TOTALS_APTA!$A$4:$BD$126,$F50,FALSE)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-1216924.01639579</v>
      </c>
      <c r="Q50" s="29">
        <f>IF(Q39=0,0,VLOOKUP(Q39,FAC_TOTALS_APTA!$A$4:$BD$126,$L50,FALSE))</f>
        <v>-1260882.7749158801</v>
      </c>
      <c r="R50" s="29">
        <f>IF(R39=0,0,VLOOKUP(R39,FAC_TOTALS_APTA!$A$4:$BD$126,$L50,FALSE))</f>
        <v>-277775.08076711401</v>
      </c>
      <c r="S50" s="29">
        <f>IF(S39=0,0,VLOOKUP(S39,FAC_TOTALS_APTA!$A$4:$BD$126,$L50,FALSE))</f>
        <v>-1630720.2636355001</v>
      </c>
      <c r="T50" s="29">
        <f>IF(T39=0,0,VLOOKUP(T39,FAC_TOTALS_APTA!$A$4:$BD$126,$L50,FALSE))</f>
        <v>-7754.5537634593002</v>
      </c>
      <c r="U50" s="29">
        <f>IF(U39=0,0,VLOOKUP(U39,FAC_TOTALS_APTA!$A$4:$BD$126,$L50,FALSE))</f>
        <v>-825325.50570206402</v>
      </c>
      <c r="V50" s="29">
        <f>IF(V39=0,0,VLOOKUP(V39,FAC_TOTALS_APTA!$A$4:$BD$126,$L50,FALSE))</f>
        <v>18531.0323485638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7"/>
        <v>-5200851.1628312441</v>
      </c>
      <c r="AD50" s="33">
        <f>AC50/G55</f>
        <v>-7.285292048926988E-3</v>
      </c>
    </row>
    <row r="51" spans="1:31" ht="15" x14ac:dyDescent="0.2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7"/>
        <v>0</v>
      </c>
      <c r="AD51" s="33">
        <f>AC51/G55</f>
        <v>0</v>
      </c>
    </row>
    <row r="52" spans="1:31" ht="15" x14ac:dyDescent="0.2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4.7394709953269498E-2</v>
      </c>
      <c r="H52" s="125">
        <f>VLOOKUP(H39,FAC_TOTALS_APTA!$A$4:$BD$126,$F52,FALSE)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-146479.21827437801</v>
      </c>
      <c r="V52" s="29">
        <f>IF(V39=0,0,VLOOKUP(V39,FAC_TOTALS_APTA!$A$4:$BD$126,$L52,FALSE))</f>
        <v>-420579.39151501399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7"/>
        <v>-567058.60978939198</v>
      </c>
      <c r="AD52" s="33">
        <f>AC52/G55</f>
        <v>-7.9432913033514099E-4</v>
      </c>
    </row>
    <row r="53" spans="1:31" ht="15" x14ac:dyDescent="0.2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7"/>
        <v>0</v>
      </c>
      <c r="AD53" s="40">
        <f>AC53/G55</f>
        <v>0</v>
      </c>
    </row>
    <row r="54" spans="1:31" ht="15" x14ac:dyDescent="0.2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MATCH($K54,FAC_TOTALS_APTA!$A$2:$BB$2,)</f>
        <v>51</v>
      </c>
      <c r="M54" s="45">
        <f>IF(M39=0,0,VLOOKUP(M39,FAC_TOTALS_APTA!$A$4:$BD$126,$L54,FALSE))</f>
        <v>64490437</v>
      </c>
      <c r="N54" s="45">
        <f>IF(N39=0,0,VLOOKUP(N39,FAC_TOTALS_APTA!$A$4:$BD$126,$L54,FALSE))</f>
        <v>27575194</v>
      </c>
      <c r="O54" s="45">
        <f>IF(O39=0,0,VLOOKUP(O39,FAC_TOTALS_APTA!$A$4:$BD$126,$L54,FALSE))</f>
        <v>22919974</v>
      </c>
      <c r="P54" s="45">
        <f>IF(P39=0,0,VLOOKUP(P39,FAC_TOTALS_APTA!$A$4:$BD$126,$L54,FALSE))</f>
        <v>15747264</v>
      </c>
      <c r="Q54" s="45">
        <f>IF(Q39=0,0,VLOOKUP(Q39,FAC_TOTALS_APTA!$A$4:$BD$126,$L54,FALSE))</f>
        <v>8688267.9999999907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2308521.9999999902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713883688.93148899</v>
      </c>
      <c r="H55" s="117">
        <f>VLOOKUP(H39,FAC_TOTALS_APTA!$A$4:$BB$126,$F55,FALSE)</f>
        <v>951074556.84306395</v>
      </c>
      <c r="I55" s="112">
        <f t="shared" ref="I55" si="18">H55/G55-1</f>
        <v>0.3322542195446323</v>
      </c>
      <c r="J55" s="31"/>
      <c r="K55" s="31"/>
      <c r="L55" s="6"/>
      <c r="M55" s="29">
        <f t="shared" ref="M55:AB55" si="19">SUM(M41:M48)</f>
        <v>13692483.322198128</v>
      </c>
      <c r="N55" s="29">
        <f t="shared" si="19"/>
        <v>18938056.87252824</v>
      </c>
      <c r="O55" s="29">
        <f t="shared" si="19"/>
        <v>19634761.591348741</v>
      </c>
      <c r="P55" s="29">
        <f t="shared" si="19"/>
        <v>16062388.303175524</v>
      </c>
      <c r="Q55" s="29">
        <f t="shared" si="19"/>
        <v>4576024.6703298204</v>
      </c>
      <c r="R55" s="29">
        <f t="shared" si="19"/>
        <v>22039974.996008907</v>
      </c>
      <c r="S55" s="29">
        <f t="shared" si="19"/>
        <v>-70434897.980729163</v>
      </c>
      <c r="T55" s="29">
        <f t="shared" si="19"/>
        <v>12592338.85377579</v>
      </c>
      <c r="U55" s="29">
        <f t="shared" si="19"/>
        <v>19237325.380056612</v>
      </c>
      <c r="V55" s="29">
        <f t="shared" si="19"/>
        <v>-4967527.1744261738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237190867.91157496</v>
      </c>
      <c r="AD55" s="33">
        <f>I55</f>
        <v>0.3322542195446323</v>
      </c>
      <c r="AE55" s="106"/>
    </row>
    <row r="56" spans="1:31" ht="13.5" customHeight="1" thickBot="1" x14ac:dyDescent="0.25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692881970</v>
      </c>
      <c r="H56" s="114">
        <f>VLOOKUP(H39,FAC_TOTALS_APTA!$A$4:$BB$126,$F56,FALSE)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7" thickTop="1" thickBot="1" x14ac:dyDescent="0.25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5.501887979723552E-2</v>
      </c>
    </row>
    <row r="58" spans="1:31" ht="15" thickTop="1" x14ac:dyDescent="0.2"/>
    <row r="59" spans="1:31" s="10" customFormat="1" ht="15" x14ac:dyDescent="0.2">
      <c r="B59" s="18" t="s">
        <v>25</v>
      </c>
      <c r="E59" s="6"/>
      <c r="G59" s="106"/>
      <c r="H59" s="106"/>
      <c r="I59" s="17"/>
    </row>
    <row r="60" spans="1:31" ht="15" x14ac:dyDescent="0.2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ht="15" x14ac:dyDescent="0.2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6" thickBot="1" x14ac:dyDescent="0.25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5" thickTop="1" x14ac:dyDescent="0.2">
      <c r="B64" s="61"/>
      <c r="C64" s="62"/>
      <c r="D64" s="62"/>
      <c r="E64" s="62"/>
      <c r="F64" s="62"/>
      <c r="G64" s="240" t="s">
        <v>51</v>
      </c>
      <c r="H64" s="240"/>
      <c r="I64" s="240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240" t="s">
        <v>55</v>
      </c>
      <c r="AD64" s="240"/>
    </row>
    <row r="65" spans="1:33" ht="15" x14ac:dyDescent="0.2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3" hidden="1" customHeight="1" x14ac:dyDescent="0.2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3" hidden="1" customHeight="1" x14ac:dyDescent="0.2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3" hidden="1" customHeight="1" x14ac:dyDescent="0.2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ht="15" x14ac:dyDescent="0.2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2436593.4779696302</v>
      </c>
      <c r="H69" s="117">
        <f>VLOOKUP(H67,FAC_TOTALS_APTA!$A$4:$BD$126,$F69,FALSE)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142744.48639822399</v>
      </c>
      <c r="N69" s="29">
        <f>IF(N67=0,0,VLOOKUP(N67,FAC_TOTALS_APTA!$A$4:$BD$126,$L69,FALSE))</f>
        <v>1086601.11573619</v>
      </c>
      <c r="O69" s="29">
        <f>IF(O67=0,0,VLOOKUP(O67,FAC_TOTALS_APTA!$A$4:$BD$126,$L69,FALSE))</f>
        <v>-1422027.3843189599</v>
      </c>
      <c r="P69" s="29">
        <f>IF(P67=0,0,VLOOKUP(P67,FAC_TOTALS_APTA!$A$4:$BD$126,$L69,FALSE))</f>
        <v>2801073.3661135999</v>
      </c>
      <c r="Q69" s="29">
        <f>IF(Q67=0,0,VLOOKUP(Q67,FAC_TOTALS_APTA!$A$4:$BD$126,$L69,FALSE))</f>
        <v>2987581.39479096</v>
      </c>
      <c r="R69" s="29">
        <f>IF(R67=0,0,VLOOKUP(R67,FAC_TOTALS_APTA!$A$4:$BD$126,$L69,FALSE))</f>
        <v>1639878.37723696</v>
      </c>
      <c r="S69" s="29">
        <f>IF(S67=0,0,VLOOKUP(S67,FAC_TOTALS_APTA!$A$4:$BD$126,$L69,FALSE))</f>
        <v>1383767.3761584701</v>
      </c>
      <c r="T69" s="29">
        <f>IF(T67=0,0,VLOOKUP(T67,FAC_TOTALS_APTA!$A$4:$BD$126,$L69,FALSE))</f>
        <v>524753.98951699096</v>
      </c>
      <c r="U69" s="29">
        <f>IF(U67=0,0,VLOOKUP(U67,FAC_TOTALS_APTA!$A$4:$BD$126,$L69,FALSE))</f>
        <v>-282303.18891704403</v>
      </c>
      <c r="V69" s="29">
        <f>IF(V67=0,0,VLOOKUP(V67,FAC_TOTALS_APTA!$A$4:$BD$126,$L69,FALSE))</f>
        <v>418133.244070335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9280202.7767857239</v>
      </c>
      <c r="AD69" s="33">
        <f>AC69/G83</f>
        <v>8.8016453776118206E-2</v>
      </c>
    </row>
    <row r="70" spans="1:33" ht="15" x14ac:dyDescent="0.2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0.90327811224383903</v>
      </c>
      <c r="H70" s="123">
        <f>VLOOKUP(H67,FAC_TOTALS_APTA!$A$4:$BD$126,$F70,FALSE)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762555.70643313206</v>
      </c>
      <c r="N70" s="29">
        <f>IF(N67=0,0,VLOOKUP(N67,FAC_TOTALS_APTA!$A$4:$BD$126,$L70,FALSE))</f>
        <v>263870.86853300501</v>
      </c>
      <c r="O70" s="29">
        <f>IF(O67=0,0,VLOOKUP(O67,FAC_TOTALS_APTA!$A$4:$BD$126,$L70,FALSE))</f>
        <v>492495.26002911199</v>
      </c>
      <c r="P70" s="29">
        <f>IF(P67=0,0,VLOOKUP(P67,FAC_TOTALS_APTA!$A$4:$BD$126,$L70,FALSE))</f>
        <v>-271602.27327941603</v>
      </c>
      <c r="Q70" s="29">
        <f>IF(Q67=0,0,VLOOKUP(Q67,FAC_TOTALS_APTA!$A$4:$BD$126,$L70,FALSE))</f>
        <v>312721.07133529498</v>
      </c>
      <c r="R70" s="29">
        <f>IF(R67=0,0,VLOOKUP(R67,FAC_TOTALS_APTA!$A$4:$BD$126,$L70,FALSE))</f>
        <v>1157047.2611708699</v>
      </c>
      <c r="S70" s="29">
        <f>IF(S67=0,0,VLOOKUP(S67,FAC_TOTALS_APTA!$A$4:$BD$126,$L70,FALSE))</f>
        <v>-4040605.8601401499</v>
      </c>
      <c r="T70" s="29">
        <f>IF(T67=0,0,VLOOKUP(T67,FAC_TOTALS_APTA!$A$4:$BD$126,$L70,FALSE))</f>
        <v>1439996.06055076</v>
      </c>
      <c r="U70" s="29">
        <f>IF(U67=0,0,VLOOKUP(U67,FAC_TOTALS_APTA!$A$4:$BD$126,$L70,FALSE))</f>
        <v>2531896.78757963</v>
      </c>
      <c r="V70" s="29">
        <f>IF(V67=0,0,VLOOKUP(V67,FAC_TOTALS_APTA!$A$4:$BD$126,$L70,FALSE))</f>
        <v>-331557.23319185898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5">SUM(M70:AB70)</f>
        <v>2316817.6490203789</v>
      </c>
      <c r="AD70" s="33">
        <f>AC70/G83</f>
        <v>2.1973450194730095E-2</v>
      </c>
    </row>
    <row r="71" spans="1:33" s="13" customFormat="1" ht="15" x14ac:dyDescent="0.2">
      <c r="A71" s="6"/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0</v>
      </c>
      <c r="H71" s="117">
        <f>VLOOKUP(H67,FAC_TOTALS_APTA!$A$4:$BD$126,$F71,FALSE)</f>
        <v>1.81254270699816E-2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115179.426273119</v>
      </c>
      <c r="V71" s="117">
        <f>IF(V67=0,0,VLOOKUP(V67,FAC_TOTALS_APTA!$A$4:$BD$126,$L71,FALSE))</f>
        <v>111408.05717736699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5"/>
        <v>226587.48345048598</v>
      </c>
      <c r="AD71" s="122">
        <f>AC71/G84</f>
        <v>2.4269804156334574E-3</v>
      </c>
      <c r="AE71" s="6"/>
    </row>
    <row r="72" spans="1:33" s="13" customFormat="1" ht="15" x14ac:dyDescent="0.2">
      <c r="A72" s="6"/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ht="15" x14ac:dyDescent="0.2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625427.99872995203</v>
      </c>
      <c r="H73" s="117">
        <f>VLOOKUP(H67,FAC_TOTALS_APTA!$A$4:$BD$126,$F73,FALSE)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MATCH($K73,FAC_TOTALS_APTA!$A$2:$BB$2,)</f>
        <v>34</v>
      </c>
      <c r="M73" s="29">
        <f>IF(M67=0,0,VLOOKUP(M67,FAC_TOTALS_APTA!$A$4:$BD$126,$L73,FALSE))</f>
        <v>603056.78578565503</v>
      </c>
      <c r="N73" s="29">
        <f>IF(N67=0,0,VLOOKUP(N67,FAC_TOTALS_APTA!$A$4:$BD$126,$L73,FALSE))</f>
        <v>797603.16454284196</v>
      </c>
      <c r="O73" s="29">
        <f>IF(O67=0,0,VLOOKUP(O67,FAC_TOTALS_APTA!$A$4:$BD$126,$L73,FALSE))</f>
        <v>1246649.6953129801</v>
      </c>
      <c r="P73" s="29">
        <f>IF(P67=0,0,VLOOKUP(P67,FAC_TOTALS_APTA!$A$4:$BD$126,$L73,FALSE))</f>
        <v>1601615.8553827801</v>
      </c>
      <c r="Q73" s="29">
        <f>IF(Q67=0,0,VLOOKUP(Q67,FAC_TOTALS_APTA!$A$4:$BD$126,$L73,FALSE))</f>
        <v>626656.09167142701</v>
      </c>
      <c r="R73" s="29">
        <f>IF(R67=0,0,VLOOKUP(R67,FAC_TOTALS_APTA!$A$4:$BD$126,$L73,FALSE))</f>
        <v>224149.63614407601</v>
      </c>
      <c r="S73" s="29">
        <f>IF(S67=0,0,VLOOKUP(S67,FAC_TOTALS_APTA!$A$4:$BD$126,$L73,FALSE))</f>
        <v>-222967.114686619</v>
      </c>
      <c r="T73" s="29">
        <f>IF(T67=0,0,VLOOKUP(T67,FAC_TOTALS_APTA!$A$4:$BD$126,$L73,FALSE))</f>
        <v>485485.39076213603</v>
      </c>
      <c r="U73" s="29">
        <f>IF(U67=0,0,VLOOKUP(U67,FAC_TOTALS_APTA!$A$4:$BD$126,$L73,FALSE))</f>
        <v>370350.58841328003</v>
      </c>
      <c r="V73" s="29">
        <f>IF(V67=0,0,VLOOKUP(V67,FAC_TOTALS_APTA!$A$4:$BD$126,$L73,FALSE))</f>
        <v>489773.87898028898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5"/>
        <v>6222373.9723088481</v>
      </c>
      <c r="AD73" s="33">
        <f>AC73/G83</f>
        <v>5.9015013387577434E-2</v>
      </c>
    </row>
    <row r="74" spans="1:33" ht="15" x14ac:dyDescent="0.2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0.24101167174693</v>
      </c>
      <c r="H74" s="123">
        <f>VLOOKUP(H67,FAC_TOTALS_APTA!$A$4:$BD$126,$F74,FALSE)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MATCH($K74,FAC_TOTALS_APTA!$A$2:$BB$2,)</f>
        <v>35</v>
      </c>
      <c r="M74" s="29">
        <f>IF(M67=0,0,VLOOKUP(M67,FAC_TOTALS_APTA!$A$4:$BD$126,$L74,FALSE))</f>
        <v>-149998.622044207</v>
      </c>
      <c r="N74" s="29">
        <f>IF(N67=0,0,VLOOKUP(N67,FAC_TOTALS_APTA!$A$4:$BD$126,$L74,FALSE))</f>
        <v>-11717.8473243961</v>
      </c>
      <c r="O74" s="29">
        <f>IF(O67=0,0,VLOOKUP(O67,FAC_TOTALS_APTA!$A$4:$BD$126,$L74,FALSE))</f>
        <v>-370608.15981672902</v>
      </c>
      <c r="P74" s="29">
        <f>IF(P67=0,0,VLOOKUP(P67,FAC_TOTALS_APTA!$A$4:$BD$126,$L74,FALSE))</f>
        <v>-35181.587071080801</v>
      </c>
      <c r="Q74" s="29">
        <f>IF(Q67=0,0,VLOOKUP(Q67,FAC_TOTALS_APTA!$A$4:$BD$126,$L74,FALSE))</f>
        <v>-340143.87342832901</v>
      </c>
      <c r="R74" s="29">
        <f>IF(R67=0,0,VLOOKUP(R67,FAC_TOTALS_APTA!$A$4:$BD$126,$L74,FALSE))</f>
        <v>-427889.08140581101</v>
      </c>
      <c r="S74" s="29">
        <f>IF(S67=0,0,VLOOKUP(S67,FAC_TOTALS_APTA!$A$4:$BD$126,$L74,FALSE))</f>
        <v>703949.37108553399</v>
      </c>
      <c r="T74" s="29">
        <f>IF(T67=0,0,VLOOKUP(T67,FAC_TOTALS_APTA!$A$4:$BD$126,$L74,FALSE))</f>
        <v>277424.94428671198</v>
      </c>
      <c r="U74" s="29">
        <f>IF(U67=0,0,VLOOKUP(U67,FAC_TOTALS_APTA!$A$4:$BD$126,$L74,FALSE))</f>
        <v>-733136.18876095803</v>
      </c>
      <c r="V74" s="29">
        <f>IF(V67=0,0,VLOOKUP(V67,FAC_TOTALS_APTA!$A$4:$BD$126,$L74,FALSE))</f>
        <v>-1203020.45702273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5"/>
        <v>-2290321.5015019951</v>
      </c>
      <c r="AD74" s="33">
        <f>AC74/G83</f>
        <v>-2.1722152135906347E-2</v>
      </c>
    </row>
    <row r="75" spans="1:33" ht="15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1.9327110653241599</v>
      </c>
      <c r="H75" s="125">
        <f>VLOOKUP(H67,FAC_TOTALS_APTA!$A$4:$BD$126,$F75,FALSE)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MATCH($K75,FAC_TOTALS_APTA!$A$2:$BB$2,)</f>
        <v>36</v>
      </c>
      <c r="M75" s="29">
        <f>IF(M67=0,0,VLOOKUP(M67,FAC_TOTALS_APTA!$A$4:$BD$126,$L75,FALSE))</f>
        <v>1094902.4705316699</v>
      </c>
      <c r="N75" s="29">
        <f>IF(N67=0,0,VLOOKUP(N67,FAC_TOTALS_APTA!$A$4:$BD$126,$L75,FALSE))</f>
        <v>1481847.3268381499</v>
      </c>
      <c r="O75" s="29">
        <f>IF(O67=0,0,VLOOKUP(O67,FAC_TOTALS_APTA!$A$4:$BD$126,$L75,FALSE))</f>
        <v>2798361.5131083098</v>
      </c>
      <c r="P75" s="29">
        <f>IF(P67=0,0,VLOOKUP(P67,FAC_TOTALS_APTA!$A$4:$BD$126,$L75,FALSE))</f>
        <v>1830390.0911379</v>
      </c>
      <c r="Q75" s="29">
        <f>IF(Q67=0,0,VLOOKUP(Q67,FAC_TOTALS_APTA!$A$4:$BD$126,$L75,FALSE))</f>
        <v>1325623.2282261299</v>
      </c>
      <c r="R75" s="29">
        <f>IF(R67=0,0,VLOOKUP(R67,FAC_TOTALS_APTA!$A$4:$BD$126,$L75,FALSE))</f>
        <v>3188946.4325709199</v>
      </c>
      <c r="S75" s="29">
        <f>IF(S67=0,0,VLOOKUP(S67,FAC_TOTALS_APTA!$A$4:$BD$126,$L75,FALSE))</f>
        <v>-9296950.0291764699</v>
      </c>
      <c r="T75" s="29">
        <f>IF(T67=0,0,VLOOKUP(T67,FAC_TOTALS_APTA!$A$4:$BD$126,$L75,FALSE))</f>
        <v>4477529.0107670398</v>
      </c>
      <c r="U75" s="29">
        <f>IF(U67=0,0,VLOOKUP(U67,FAC_TOTALS_APTA!$A$4:$BD$126,$L75,FALSE))</f>
        <v>6468232.3992128503</v>
      </c>
      <c r="V75" s="29">
        <f>IF(V67=0,0,VLOOKUP(V67,FAC_TOTALS_APTA!$A$4:$BD$126,$L75,FALSE))</f>
        <v>68276.930620733896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5"/>
        <v>13437159.373837233</v>
      </c>
      <c r="AD75" s="33">
        <f>AC75/G83</f>
        <v>0.12744237872346506</v>
      </c>
    </row>
    <row r="76" spans="1:33" ht="15" x14ac:dyDescent="0.2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34213.9259747588</v>
      </c>
      <c r="H76" s="123">
        <f>VLOOKUP(H67,FAC_TOTALS_APTA!$A$4:$BD$126,$F76,FALSE)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238794.733529877</v>
      </c>
      <c r="N76" s="29">
        <f>IF(N67=0,0,VLOOKUP(N67,FAC_TOTALS_APTA!$A$4:$BD$126,$L76,FALSE))</f>
        <v>365722.965671991</v>
      </c>
      <c r="O76" s="29">
        <f>IF(O67=0,0,VLOOKUP(O67,FAC_TOTALS_APTA!$A$4:$BD$126,$L76,FALSE))</f>
        <v>458438.35186153499</v>
      </c>
      <c r="P76" s="29">
        <f>IF(P67=0,0,VLOOKUP(P67,FAC_TOTALS_APTA!$A$4:$BD$126,$L76,FALSE))</f>
        <v>768304.957474372</v>
      </c>
      <c r="Q76" s="29">
        <f>IF(Q67=0,0,VLOOKUP(Q67,FAC_TOTALS_APTA!$A$4:$BD$126,$L76,FALSE))</f>
        <v>-187173.08829948399</v>
      </c>
      <c r="R76" s="29">
        <f>IF(R67=0,0,VLOOKUP(R67,FAC_TOTALS_APTA!$A$4:$BD$126,$L76,FALSE))</f>
        <v>-121559.27838309501</v>
      </c>
      <c r="S76" s="29">
        <f>IF(S67=0,0,VLOOKUP(S67,FAC_TOTALS_APTA!$A$4:$BD$126,$L76,FALSE))</f>
        <v>978074.78526260203</v>
      </c>
      <c r="T76" s="29">
        <f>IF(T67=0,0,VLOOKUP(T67,FAC_TOTALS_APTA!$A$4:$BD$126,$L76,FALSE))</f>
        <v>-60883.636981080803</v>
      </c>
      <c r="U76" s="29">
        <f>IF(U67=0,0,VLOOKUP(U67,FAC_TOTALS_APTA!$A$4:$BD$126,$L76,FALSE))</f>
        <v>114271.56979679099</v>
      </c>
      <c r="V76" s="29">
        <f>IF(V67=0,0,VLOOKUP(V67,FAC_TOTALS_APTA!$A$4:$BD$126,$L76,FALSE))</f>
        <v>342342.71775774902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5"/>
        <v>2896334.077691257</v>
      </c>
      <c r="AD76" s="33">
        <f>AC76/G83</f>
        <v>2.7469772008322853E-2</v>
      </c>
    </row>
    <row r="77" spans="1:33" ht="15" x14ac:dyDescent="0.2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6.6866462964353799</v>
      </c>
      <c r="H77" s="117">
        <f>VLOOKUP(H67,FAC_TOTALS_APTA!$A$4:$BD$126,$F77,FALSE)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MATCH($K77,FAC_TOTALS_APTA!$A$2:$BB$2,)</f>
        <v>38</v>
      </c>
      <c r="M77" s="29">
        <f>IF(M67=0,0,VLOOKUP(M67,FAC_TOTALS_APTA!$A$4:$BD$126,$L77,FALSE))</f>
        <v>27216.1696971007</v>
      </c>
      <c r="N77" s="29">
        <f>IF(N67=0,0,VLOOKUP(N67,FAC_TOTALS_APTA!$A$4:$BD$126,$L77,FALSE))</f>
        <v>22408.771499434701</v>
      </c>
      <c r="O77" s="29">
        <f>IF(O67=0,0,VLOOKUP(O67,FAC_TOTALS_APTA!$A$4:$BD$126,$L77,FALSE))</f>
        <v>31633.821974726801</v>
      </c>
      <c r="P77" s="29">
        <f>IF(P67=0,0,VLOOKUP(P67,FAC_TOTALS_APTA!$A$4:$BD$126,$L77,FALSE))</f>
        <v>45806.906894689302</v>
      </c>
      <c r="Q77" s="29">
        <f>IF(Q67=0,0,VLOOKUP(Q67,FAC_TOTALS_APTA!$A$4:$BD$126,$L77,FALSE))</f>
        <v>42170.932212345098</v>
      </c>
      <c r="R77" s="29">
        <f>IF(R67=0,0,VLOOKUP(R67,FAC_TOTALS_APTA!$A$4:$BD$126,$L77,FALSE))</f>
        <v>-13058.654078724399</v>
      </c>
      <c r="S77" s="29">
        <f>IF(S67=0,0,VLOOKUP(S67,FAC_TOTALS_APTA!$A$4:$BD$126,$L77,FALSE))</f>
        <v>46970.136867890098</v>
      </c>
      <c r="T77" s="29">
        <f>IF(T67=0,0,VLOOKUP(T67,FAC_TOTALS_APTA!$A$4:$BD$126,$L77,FALSE))</f>
        <v>146018.878183208</v>
      </c>
      <c r="U77" s="29">
        <f>IF(U67=0,0,VLOOKUP(U67,FAC_TOTALS_APTA!$A$4:$BD$126,$L77,FALSE))</f>
        <v>52614.545562815802</v>
      </c>
      <c r="V77" s="29">
        <f>IF(V67=0,0,VLOOKUP(V67,FAC_TOTALS_APTA!$A$4:$BD$126,$L77,FALSE))</f>
        <v>-67834.095583404604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5"/>
        <v>333947.41323008155</v>
      </c>
      <c r="AD77" s="33">
        <f>AC77/G83</f>
        <v>3.1672656047716436E-3</v>
      </c>
    </row>
    <row r="78" spans="1:33" ht="15" x14ac:dyDescent="0.2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3.3043487636261699</v>
      </c>
      <c r="H78" s="125">
        <f>VLOOKUP(H67,FAC_TOTALS_APTA!$A$4:$BD$126,$F78,FALSE)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MATCH($K78,FAC_TOTALS_APTA!$A$2:$BB$2,)</f>
        <v>39</v>
      </c>
      <c r="M78" s="29">
        <f>IF(M67=0,0,VLOOKUP(M67,FAC_TOTALS_APTA!$A$4:$BD$126,$L78,FALSE))</f>
        <v>0</v>
      </c>
      <c r="N78" s="29">
        <f>IF(N67=0,0,VLOOKUP(N67,FAC_TOTALS_APTA!$A$4:$BD$126,$L78,FALSE))</f>
        <v>0</v>
      </c>
      <c r="O78" s="29">
        <f>IF(O67=0,0,VLOOKUP(O67,FAC_TOTALS_APTA!$A$4:$BD$126,$L78,FALSE))</f>
        <v>0</v>
      </c>
      <c r="P78" s="29">
        <f>IF(P67=0,0,VLOOKUP(P67,FAC_TOTALS_APTA!$A$4:$BD$126,$L78,FALSE))</f>
        <v>-465907.27640573098</v>
      </c>
      <c r="Q78" s="29">
        <f>IF(Q67=0,0,VLOOKUP(Q67,FAC_TOTALS_APTA!$A$4:$BD$126,$L78,FALSE))</f>
        <v>-242001.09571344499</v>
      </c>
      <c r="R78" s="29">
        <f>IF(R67=0,0,VLOOKUP(R67,FAC_TOTALS_APTA!$A$4:$BD$126,$L78,FALSE))</f>
        <v>57244.615807169801</v>
      </c>
      <c r="S78" s="29">
        <f>IF(S67=0,0,VLOOKUP(S67,FAC_TOTALS_APTA!$A$4:$BD$126,$L78,FALSE))</f>
        <v>78355.445944563704</v>
      </c>
      <c r="T78" s="29">
        <f>IF(T67=0,0,VLOOKUP(T67,FAC_TOTALS_APTA!$A$4:$BD$126,$L78,FALSE))</f>
        <v>-621733.18623941601</v>
      </c>
      <c r="U78" s="29">
        <f>IF(U67=0,0,VLOOKUP(U67,FAC_TOTALS_APTA!$A$4:$BD$126,$L78,FALSE))</f>
        <v>188725.621204177</v>
      </c>
      <c r="V78" s="29">
        <f>IF(V67=0,0,VLOOKUP(V67,FAC_TOTALS_APTA!$A$4:$BD$126,$L78,FALSE))</f>
        <v>266999.03489283897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5"/>
        <v>-738316.84050984238</v>
      </c>
      <c r="AD78" s="33">
        <f>AC78/G83</f>
        <v>-7.0024364367792351E-3</v>
      </c>
    </row>
    <row r="79" spans="1:33" ht="15" x14ac:dyDescent="0.2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0</v>
      </c>
      <c r="P79" s="29">
        <f>IF(P67=0,0,VLOOKUP(P67,FAC_TOTALS_APTA!$A$4:$BD$126,$L79,FALSE))</f>
        <v>0</v>
      </c>
      <c r="Q79" s="29">
        <f>IF(Q67=0,0,VLOOKUP(Q67,FAC_TOTALS_APTA!$A$4:$BD$126,$L79,FALSE))</f>
        <v>0</v>
      </c>
      <c r="R79" s="29">
        <f>IF(R67=0,0,VLOOKUP(R67,FAC_TOTALS_APTA!$A$4:$BD$126,$L79,FALSE))</f>
        <v>0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5"/>
        <v>0</v>
      </c>
      <c r="AD79" s="33">
        <f>AC79/G83</f>
        <v>0</v>
      </c>
    </row>
    <row r="80" spans="1:33" ht="15" x14ac:dyDescent="0.2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5">
        <f>VLOOKUP(G67,FAC_TOTALS_APTA!$A$4:$BD$126,$F80,FALSE)</f>
        <v>3.0372520728264501E-2</v>
      </c>
      <c r="H80" s="125">
        <f>VLOOKUP(H67,FAC_TOTALS_APTA!$A$4:$BD$126,$F80,FALSE)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0</v>
      </c>
      <c r="O80" s="29">
        <f>IF(O67=0,0,VLOOKUP(O67,FAC_TOTALS_APTA!$A$4:$BD$126,$L80,FALSE))</f>
        <v>0</v>
      </c>
      <c r="P80" s="29">
        <f>IF(P67=0,0,VLOOKUP(P67,FAC_TOTALS_APTA!$A$4:$BD$126,$L80,FALSE))</f>
        <v>0</v>
      </c>
      <c r="Q80" s="29">
        <f>IF(Q67=0,0,VLOOKUP(Q67,FAC_TOTALS_APTA!$A$4:$BD$126,$L80,FALSE))</f>
        <v>0</v>
      </c>
      <c r="R80" s="29">
        <f>IF(R67=0,0,VLOOKUP(R67,FAC_TOTALS_APTA!$A$4:$BD$126,$L80,FALSE))</f>
        <v>0</v>
      </c>
      <c r="S80" s="29">
        <f>IF(S67=0,0,VLOOKUP(S67,FAC_TOTALS_APTA!$A$4:$BD$126,$L80,FALSE))</f>
        <v>0</v>
      </c>
      <c r="T80" s="29">
        <f>IF(T67=0,0,VLOOKUP(T67,FAC_TOTALS_APTA!$A$4:$BD$126,$L80,FALSE))</f>
        <v>-45409.698275823503</v>
      </c>
      <c r="U80" s="29">
        <f>IF(U67=0,0,VLOOKUP(U67,FAC_TOTALS_APTA!$A$4:$BD$126,$L80,FALSE))</f>
        <v>0</v>
      </c>
      <c r="V80" s="29">
        <f>IF(V67=0,0,VLOOKUP(V67,FAC_TOTALS_APTA!$A$4:$BD$126,$L80,FALSE))</f>
        <v>-29481.8343631891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5"/>
        <v>-74891.532639012599</v>
      </c>
      <c r="AD80" s="33">
        <f>AC80/G83</f>
        <v>-7.1029559151803226E-4</v>
      </c>
      <c r="AG80" s="53"/>
    </row>
    <row r="81" spans="1:31" ht="15" x14ac:dyDescent="0.2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0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5"/>
        <v>0</v>
      </c>
      <c r="AD81" s="40">
        <f>AC81/G83</f>
        <v>0</v>
      </c>
    </row>
    <row r="82" spans="1:31" ht="15" x14ac:dyDescent="0.2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MATCH($K82,FAC_TOTALS_APTA!$A$2:$BB$2,)</f>
        <v>51</v>
      </c>
      <c r="M82" s="45">
        <f>IF(M67=0,0,VLOOKUP(M67,FAC_TOTALS_APTA!$A$4:$BD$126,$L82,FALSE))</f>
        <v>13655748</v>
      </c>
      <c r="N82" s="45">
        <f>IF(N67=0,0,VLOOKUP(N67,FAC_TOTALS_APTA!$A$4:$BD$126,$L82,FALSE))</f>
        <v>44950739</v>
      </c>
      <c r="O82" s="45">
        <f>IF(O67=0,0,VLOOKUP(O67,FAC_TOTALS_APTA!$A$4:$BD$126,$L82,FALSE))</f>
        <v>27514218</v>
      </c>
      <c r="P82" s="45">
        <f>IF(P67=0,0,VLOOKUP(P67,FAC_TOTALS_APTA!$A$4:$BD$126,$L82,FALSE))</f>
        <v>26468097.999999899</v>
      </c>
      <c r="Q82" s="45">
        <f>IF(Q67=0,0,VLOOKUP(Q67,FAC_TOTALS_APTA!$A$4:$BD$126,$L82,FALSE))</f>
        <v>12183549</v>
      </c>
      <c r="R82" s="45">
        <f>IF(R67=0,0,VLOOKUP(R67,FAC_TOTALS_APTA!$A$4:$BD$126,$L82,FALSE))</f>
        <v>4015598.9999999902</v>
      </c>
      <c r="S82" s="45">
        <f>IF(S67=0,0,VLOOKUP(S67,FAC_TOTALS_APTA!$A$4:$BD$126,$L82,FALSE))</f>
        <v>13248340.999999899</v>
      </c>
      <c r="T82" s="45">
        <f>IF(T67=0,0,VLOOKUP(T67,FAC_TOTALS_APTA!$A$4:$BD$126,$L82,FALSE))</f>
        <v>1770537</v>
      </c>
      <c r="U82" s="45">
        <f>IF(U67=0,0,VLOOKUP(U67,FAC_TOTALS_APTA!$A$4:$BD$126,$L82,FALSE))</f>
        <v>1273013.99999999</v>
      </c>
      <c r="V82" s="45">
        <f>IF(V67=0,0,VLOOKUP(V67,FAC_TOTALS_APTA!$A$4:$BD$126,$L82,FALSE))</f>
        <v>6209327.9999999898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105437135.656376</v>
      </c>
      <c r="H83" s="117">
        <f>VLOOKUP(H67,FAC_TOTALS_APTA!$A$4:$BB$126,$F83,FALSE)</f>
        <v>308203651.52852601</v>
      </c>
      <c r="I83" s="112">
        <f t="shared" ref="I83" si="27">H83/G83-1</f>
        <v>1.9231034171202688</v>
      </c>
      <c r="J83" s="31"/>
      <c r="K83" s="31"/>
      <c r="L83" s="6"/>
      <c r="M83" s="29">
        <f t="shared" ref="M83:AB83" si="28">SUM(M69:M76)</f>
        <v>2692055.5606343509</v>
      </c>
      <c r="N83" s="29">
        <f t="shared" si="28"/>
        <v>3983927.5939977821</v>
      </c>
      <c r="O83" s="29">
        <f t="shared" si="28"/>
        <v>3203309.2761762482</v>
      </c>
      <c r="P83" s="29">
        <f t="shared" si="28"/>
        <v>6694600.4097581552</v>
      </c>
      <c r="Q83" s="29">
        <f t="shared" si="28"/>
        <v>4725264.8242959986</v>
      </c>
      <c r="R83" s="29">
        <f t="shared" si="28"/>
        <v>5660573.3473339202</v>
      </c>
      <c r="S83" s="29">
        <f t="shared" si="28"/>
        <v>-10494731.471496634</v>
      </c>
      <c r="T83" s="29">
        <f t="shared" si="28"/>
        <v>7144305.7589025572</v>
      </c>
      <c r="U83" s="29">
        <f t="shared" si="28"/>
        <v>8584491.393597668</v>
      </c>
      <c r="V83" s="29">
        <f t="shared" si="28"/>
        <v>-104642.86160811514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202766515.87215</v>
      </c>
      <c r="AD83" s="33">
        <f>I83</f>
        <v>1.9231034171202688</v>
      </c>
      <c r="AE83" s="106"/>
    </row>
    <row r="84" spans="1:31" ht="13.5" customHeight="1" thickBot="1" x14ac:dyDescent="0.25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93361892</v>
      </c>
      <c r="H84" s="114">
        <f>VLOOKUP(H67,FAC_TOTALS_APTA!$A$4:$BB$126,$F84,FALSE)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7" thickTop="1" thickBot="1" x14ac:dyDescent="0.25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0.38184588703478184</v>
      </c>
    </row>
    <row r="86" spans="1:31" ht="15" thickTop="1" x14ac:dyDescent="0.2"/>
    <row r="87" spans="1:31" s="10" customFormat="1" ht="15" x14ac:dyDescent="0.2">
      <c r="B87" s="18" t="s">
        <v>25</v>
      </c>
      <c r="E87" s="6"/>
      <c r="G87" s="106"/>
      <c r="H87" s="106"/>
      <c r="I87" s="17"/>
    </row>
    <row r="88" spans="1:31" ht="15" x14ac:dyDescent="0.2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ht="15" x14ac:dyDescent="0.2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6" thickBot="1" x14ac:dyDescent="0.25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5" thickTop="1" x14ac:dyDescent="0.2">
      <c r="B92" s="61"/>
      <c r="C92" s="62"/>
      <c r="D92" s="62"/>
      <c r="E92" s="62"/>
      <c r="F92" s="62"/>
      <c r="G92" s="240" t="s">
        <v>51</v>
      </c>
      <c r="H92" s="240"/>
      <c r="I92" s="240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240" t="s">
        <v>55</v>
      </c>
      <c r="AD92" s="240"/>
    </row>
    <row r="93" spans="1:31" ht="15" x14ac:dyDescent="0.2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3" hidden="1" customHeight="1" x14ac:dyDescent="0.2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3" hidden="1" customHeight="1" x14ac:dyDescent="0.2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3" hidden="1" customHeight="1" x14ac:dyDescent="0.2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ht="15" x14ac:dyDescent="0.2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253905652</v>
      </c>
      <c r="H97" s="117">
        <f>VLOOKUP(H95,FAC_TOTALS_APTA!$A$4:$BD$126,$F97,FALSE)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-46579034.451082297</v>
      </c>
      <c r="N97" s="29">
        <f>IF(N95=0,0,VLOOKUP(N95,FAC_TOTALS_APTA!$A$4:$BD$126,$L97,FALSE))</f>
        <v>22784448.220681001</v>
      </c>
      <c r="O97" s="29">
        <f>IF(O95=0,0,VLOOKUP(O95,FAC_TOTALS_APTA!$A$4:$BD$126,$L97,FALSE))</f>
        <v>22266464.2209429</v>
      </c>
      <c r="P97" s="29">
        <f>IF(P95=0,0,VLOOKUP(P95,FAC_TOTALS_APTA!$A$4:$BD$126,$L97,FALSE))</f>
        <v>-3826210.6589630698</v>
      </c>
      <c r="Q97" s="29">
        <f>IF(Q95=0,0,VLOOKUP(Q95,FAC_TOTALS_APTA!$A$4:$BD$126,$L97,FALSE))</f>
        <v>8222083.6345542204</v>
      </c>
      <c r="R97" s="29">
        <f>IF(R95=0,0,VLOOKUP(R95,FAC_TOTALS_APTA!$A$4:$BD$126,$L97,FALSE))</f>
        <v>9001569.9128233492</v>
      </c>
      <c r="S97" s="29">
        <f>IF(S95=0,0,VLOOKUP(S95,FAC_TOTALS_APTA!$A$4:$BD$126,$L97,FALSE))</f>
        <v>509651.42683237302</v>
      </c>
      <c r="T97" s="29">
        <f>IF(T95=0,0,VLOOKUP(T95,FAC_TOTALS_APTA!$A$4:$BD$126,$L97,FALSE))</f>
        <v>-51229712.277286202</v>
      </c>
      <c r="U97" s="29">
        <f>IF(U95=0,0,VLOOKUP(U95,FAC_TOTALS_APTA!$A$4:$BD$126,$L97,FALSE))</f>
        <v>-12098335.2359237</v>
      </c>
      <c r="V97" s="29">
        <f>IF(V95=0,0,VLOOKUP(V95,FAC_TOTALS_APTA!$A$4:$BD$126,$L97,FALSE))</f>
        <v>-1112310.66126201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-52061385.868683442</v>
      </c>
      <c r="AD97" s="33">
        <f>AC97/G111</f>
        <v>-2.4527473980202572</v>
      </c>
      <c r="AE97" s="103"/>
    </row>
    <row r="98" spans="1:31" ht="15" x14ac:dyDescent="0.2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0.97956348559999995</v>
      </c>
      <c r="H98" s="123">
        <f>VLOOKUP(H95,FAC_TOTALS_APTA!$A$4:$BD$126,$F98,FALSE)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-56502325.618615702</v>
      </c>
      <c r="N98" s="29">
        <f>IF(N95=0,0,VLOOKUP(N95,FAC_TOTALS_APTA!$A$4:$BD$126,$L98,FALSE))</f>
        <v>-16308411.813094201</v>
      </c>
      <c r="O98" s="29">
        <f>IF(O95=0,0,VLOOKUP(O95,FAC_TOTALS_APTA!$A$4:$BD$126,$L98,FALSE))</f>
        <v>10540834.094417701</v>
      </c>
      <c r="P98" s="29">
        <f>IF(P95=0,0,VLOOKUP(P95,FAC_TOTALS_APTA!$A$4:$BD$126,$L98,FALSE))</f>
        <v>-10186709.025641199</v>
      </c>
      <c r="Q98" s="29">
        <f>IF(Q95=0,0,VLOOKUP(Q95,FAC_TOTALS_APTA!$A$4:$BD$126,$L98,FALSE))</f>
        <v>-8503364.2332102302</v>
      </c>
      <c r="R98" s="29">
        <f>IF(R95=0,0,VLOOKUP(R95,FAC_TOTALS_APTA!$A$4:$BD$126,$L98,FALSE))</f>
        <v>-3174594.6553274002</v>
      </c>
      <c r="S98" s="29">
        <f>IF(S95=0,0,VLOOKUP(S95,FAC_TOTALS_APTA!$A$4:$BD$126,$L98,FALSE))</f>
        <v>-15890580.9530131</v>
      </c>
      <c r="T98" s="29">
        <f>IF(T95=0,0,VLOOKUP(T95,FAC_TOTALS_APTA!$A$4:$BD$126,$L98,FALSE))</f>
        <v>-9241846.7825973295</v>
      </c>
      <c r="U98" s="29">
        <f>IF(U95=0,0,VLOOKUP(U95,FAC_TOTALS_APTA!$A$4:$BD$126,$L98,FALSE))</f>
        <v>-19795021.104775399</v>
      </c>
      <c r="V98" s="29">
        <f>IF(V95=0,0,VLOOKUP(V95,FAC_TOTALS_APTA!$A$4:$BD$126,$L98,FALSE))</f>
        <v>10286120.5413123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4">SUM(M98:AB98)</f>
        <v>-118775899.55054456</v>
      </c>
      <c r="AD98" s="33">
        <f>AC98/G111</f>
        <v>-5.5958417877107669</v>
      </c>
      <c r="AE98" s="103"/>
    </row>
    <row r="99" spans="1:31" s="13" customFormat="1" ht="15" x14ac:dyDescent="0.2">
      <c r="A99" s="6"/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4"/>
        <v>0</v>
      </c>
      <c r="AD99" s="122">
        <f>AC99/G112</f>
        <v>0</v>
      </c>
      <c r="AE99" s="6"/>
    </row>
    <row r="100" spans="1:31" s="13" customFormat="1" ht="15" x14ac:dyDescent="0.2">
      <c r="A100" s="6"/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ht="15" x14ac:dyDescent="0.2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25697520.3899999</v>
      </c>
      <c r="H101" s="117">
        <f>VLOOKUP(H95,FAC_TOTALS_APTA!$A$4:$BD$126,$F101,FALSE)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MATCH($K101,FAC_TOTALS_APTA!$A$2:$BB$2,)</f>
        <v>34</v>
      </c>
      <c r="M101" s="29">
        <f>IF(M95=0,0,VLOOKUP(M95,FAC_TOTALS_APTA!$A$4:$BD$126,$L101,FALSE))</f>
        <v>3491462.1806977699</v>
      </c>
      <c r="N101" s="29">
        <f>IF(N95=0,0,VLOOKUP(N95,FAC_TOTALS_APTA!$A$4:$BD$126,$L101,FALSE))</f>
        <v>4881593.7827261696</v>
      </c>
      <c r="O101" s="29">
        <f>IF(O95=0,0,VLOOKUP(O95,FAC_TOTALS_APTA!$A$4:$BD$126,$L101,FALSE))</f>
        <v>4671012.9048612705</v>
      </c>
      <c r="P101" s="29">
        <f>IF(P95=0,0,VLOOKUP(P95,FAC_TOTALS_APTA!$A$4:$BD$126,$L101,FALSE))</f>
        <v>5427302.6205821997</v>
      </c>
      <c r="Q101" s="29">
        <f>IF(Q95=0,0,VLOOKUP(Q95,FAC_TOTALS_APTA!$A$4:$BD$126,$L101,FALSE))</f>
        <v>539413.49576975696</v>
      </c>
      <c r="R101" s="29">
        <f>IF(R95=0,0,VLOOKUP(R95,FAC_TOTALS_APTA!$A$4:$BD$126,$L101,FALSE))</f>
        <v>2092505.9210791001</v>
      </c>
      <c r="S101" s="29">
        <f>IF(S95=0,0,VLOOKUP(S95,FAC_TOTALS_APTA!$A$4:$BD$126,$L101,FALSE))</f>
        <v>-1932859.9884963499</v>
      </c>
      <c r="T101" s="29">
        <f>IF(T95=0,0,VLOOKUP(T95,FAC_TOTALS_APTA!$A$4:$BD$126,$L101,FALSE))</f>
        <v>-1537412.1365938899</v>
      </c>
      <c r="U101" s="29">
        <f>IF(U95=0,0,VLOOKUP(U95,FAC_TOTALS_APTA!$A$4:$BD$126,$L101,FALSE))</f>
        <v>1075130.8060596599</v>
      </c>
      <c r="V101" s="29">
        <f>IF(V95=0,0,VLOOKUP(V95,FAC_TOTALS_APTA!$A$4:$BD$126,$L101,FALSE))</f>
        <v>1819259.9217173799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4"/>
        <v>20527409.508403067</v>
      </c>
      <c r="AD101" s="33">
        <f>AC101/G111</f>
        <v>0.96709969240596305</v>
      </c>
      <c r="AE101" s="103"/>
    </row>
    <row r="102" spans="1:31" ht="15" x14ac:dyDescent="0.2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0.70319922136740198</v>
      </c>
      <c r="H102" s="123">
        <f>VLOOKUP(H95,FAC_TOTALS_APTA!$A$4:$BD$126,$F102,FALSE)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MATCH($K102,FAC_TOTALS_APTA!$A$2:$BB$2,)</f>
        <v>35</v>
      </c>
      <c r="M102" s="29">
        <f>IF(M95=0,0,VLOOKUP(M95,FAC_TOTALS_APTA!$A$4:$BD$126,$L102,FALSE))</f>
        <v>-583253.26178469998</v>
      </c>
      <c r="N102" s="29">
        <f>IF(N95=0,0,VLOOKUP(N95,FAC_TOTALS_APTA!$A$4:$BD$126,$L102,FALSE))</f>
        <v>-1612398.9423768399</v>
      </c>
      <c r="O102" s="29">
        <f>IF(O95=0,0,VLOOKUP(O95,FAC_TOTALS_APTA!$A$4:$BD$126,$L102,FALSE))</f>
        <v>-1036230.3578777</v>
      </c>
      <c r="P102" s="29">
        <f>IF(P95=0,0,VLOOKUP(P95,FAC_TOTALS_APTA!$A$4:$BD$126,$L102,FALSE))</f>
        <v>2254493.7563626198</v>
      </c>
      <c r="Q102" s="29">
        <f>IF(Q95=0,0,VLOOKUP(Q95,FAC_TOTALS_APTA!$A$4:$BD$126,$L102,FALSE))</f>
        <v>-477670.03641741403</v>
      </c>
      <c r="R102" s="29">
        <f>IF(R95=0,0,VLOOKUP(R95,FAC_TOTALS_APTA!$A$4:$BD$126,$L102,FALSE))</f>
        <v>-513418.128241873</v>
      </c>
      <c r="S102" s="29">
        <f>IF(S95=0,0,VLOOKUP(S95,FAC_TOTALS_APTA!$A$4:$BD$126,$L102,FALSE))</f>
        <v>3751403.24109382</v>
      </c>
      <c r="T102" s="29">
        <f>IF(T95=0,0,VLOOKUP(T95,FAC_TOTALS_APTA!$A$4:$BD$126,$L102,FALSE))</f>
        <v>2124029.2390560498</v>
      </c>
      <c r="U102" s="29">
        <f>IF(U95=0,0,VLOOKUP(U95,FAC_TOTALS_APTA!$A$4:$BD$126,$L102,FALSE))</f>
        <v>-56257.419454822302</v>
      </c>
      <c r="V102" s="29">
        <f>IF(V95=0,0,VLOOKUP(V95,FAC_TOTALS_APTA!$A$4:$BD$126,$L102,FALSE))</f>
        <v>-1968084.85187924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4"/>
        <v>1882613.2384799006</v>
      </c>
      <c r="AD102" s="33">
        <f>AC102/G111</f>
        <v>8.8694809888602733E-2</v>
      </c>
      <c r="AE102" s="103"/>
    </row>
    <row r="103" spans="1:31" ht="15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1.974</v>
      </c>
      <c r="H103" s="125">
        <f>VLOOKUP(H95,FAC_TOTALS_APTA!$A$4:$BD$126,$F103,FALSE)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15205112.537418</v>
      </c>
      <c r="N103" s="29">
        <f>IF(N95=0,0,VLOOKUP(N95,FAC_TOTALS_APTA!$A$4:$BD$126,$L103,FALSE))</f>
        <v>15302946.9173308</v>
      </c>
      <c r="O103" s="29">
        <f>IF(O95=0,0,VLOOKUP(O95,FAC_TOTALS_APTA!$A$4:$BD$126,$L103,FALSE))</f>
        <v>19641413.347507801</v>
      </c>
      <c r="P103" s="29">
        <f>IF(P95=0,0,VLOOKUP(P95,FAC_TOTALS_APTA!$A$4:$BD$126,$L103,FALSE))</f>
        <v>12991766.4682872</v>
      </c>
      <c r="Q103" s="29">
        <f>IF(Q95=0,0,VLOOKUP(Q95,FAC_TOTALS_APTA!$A$4:$BD$126,$L103,FALSE))</f>
        <v>4180925.8240630501</v>
      </c>
      <c r="R103" s="29">
        <f>IF(R95=0,0,VLOOKUP(R95,FAC_TOTALS_APTA!$A$4:$BD$126,$L103,FALSE))</f>
        <v>15560198.20482</v>
      </c>
      <c r="S103" s="29">
        <f>IF(S95=0,0,VLOOKUP(S95,FAC_TOTALS_APTA!$A$4:$BD$126,$L103,FALSE))</f>
        <v>-38693166.636340499</v>
      </c>
      <c r="T103" s="29">
        <f>IF(T95=0,0,VLOOKUP(T95,FAC_TOTALS_APTA!$A$4:$BD$126,$L103,FALSE))</f>
        <v>17113954.2142663</v>
      </c>
      <c r="U103" s="29">
        <f>IF(U95=0,0,VLOOKUP(U95,FAC_TOTALS_APTA!$A$4:$BD$126,$L103,FALSE))</f>
        <v>25490543.0713282</v>
      </c>
      <c r="V103" s="29">
        <f>IF(V95=0,0,VLOOKUP(V95,FAC_TOTALS_APTA!$A$4:$BD$126,$L103,FALSE))</f>
        <v>1261776.0729549699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4"/>
        <v>88055470.021635816</v>
      </c>
      <c r="AD103" s="33">
        <f>AC103/G111</f>
        <v>4.1485223908903945</v>
      </c>
      <c r="AE103" s="103"/>
    </row>
    <row r="104" spans="1:31" ht="15" x14ac:dyDescent="0.2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42439.074999999903</v>
      </c>
      <c r="H104" s="123">
        <f>VLOOKUP(H95,FAC_TOTALS_APTA!$A$4:$BD$126,$F104,FALSE)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2636539.7898162398</v>
      </c>
      <c r="N104" s="29">
        <f>IF(N95=0,0,VLOOKUP(N95,FAC_TOTALS_APTA!$A$4:$BD$126,$L104,FALSE))</f>
        <v>3215167.5956603698</v>
      </c>
      <c r="O104" s="29">
        <f>IF(O95=0,0,VLOOKUP(O95,FAC_TOTALS_APTA!$A$4:$BD$126,$L104,FALSE))</f>
        <v>2874339.0643200502</v>
      </c>
      <c r="P104" s="29">
        <f>IF(P95=0,0,VLOOKUP(P95,FAC_TOTALS_APTA!$A$4:$BD$126,$L104,FALSE))</f>
        <v>4752422.2105713803</v>
      </c>
      <c r="Q104" s="29">
        <f>IF(Q95=0,0,VLOOKUP(Q95,FAC_TOTALS_APTA!$A$4:$BD$126,$L104,FALSE))</f>
        <v>-1430668.97276035</v>
      </c>
      <c r="R104" s="29">
        <f>IF(R95=0,0,VLOOKUP(R95,FAC_TOTALS_APTA!$A$4:$BD$126,$L104,FALSE))</f>
        <v>-120071.205288995</v>
      </c>
      <c r="S104" s="29">
        <f>IF(S95=0,0,VLOOKUP(S95,FAC_TOTALS_APTA!$A$4:$BD$126,$L104,FALSE))</f>
        <v>2678971.8098487998</v>
      </c>
      <c r="T104" s="29">
        <f>IF(T95=0,0,VLOOKUP(T95,FAC_TOTALS_APTA!$A$4:$BD$126,$L104,FALSE))</f>
        <v>609847.79531761596</v>
      </c>
      <c r="U104" s="29">
        <f>IF(U95=0,0,VLOOKUP(U95,FAC_TOTALS_APTA!$A$4:$BD$126,$L104,FALSE))</f>
        <v>2305887.8702718201</v>
      </c>
      <c r="V104" s="29">
        <f>IF(V95=0,0,VLOOKUP(V95,FAC_TOTALS_APTA!$A$4:$BD$126,$L104,FALSE))</f>
        <v>393791.38283874898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4"/>
        <v>17916227.340595681</v>
      </c>
      <c r="AD104" s="33">
        <f>AC104/G111</f>
        <v>0.84408010387635757</v>
      </c>
      <c r="AE104" s="103"/>
    </row>
    <row r="105" spans="1:31" ht="15" x14ac:dyDescent="0.2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31.709999999999901</v>
      </c>
      <c r="H105" s="117">
        <f>VLOOKUP(H95,FAC_TOTALS_APTA!$A$4:$BD$126,$F105,FALSE)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MATCH($K105,FAC_TOTALS_APTA!$A$2:$BB$2,)</f>
        <v>38</v>
      </c>
      <c r="M105" s="29">
        <f>IF(M95=0,0,VLOOKUP(M95,FAC_TOTALS_APTA!$A$4:$BD$126,$L105,FALSE))</f>
        <v>-841477.71213293204</v>
      </c>
      <c r="N105" s="29">
        <f>IF(N95=0,0,VLOOKUP(N95,FAC_TOTALS_APTA!$A$4:$BD$126,$L105,FALSE))</f>
        <v>-812675.18942878395</v>
      </c>
      <c r="O105" s="29">
        <f>IF(O95=0,0,VLOOKUP(O95,FAC_TOTALS_APTA!$A$4:$BD$126,$L105,FALSE))</f>
        <v>-710585.03696564503</v>
      </c>
      <c r="P105" s="29">
        <f>IF(P95=0,0,VLOOKUP(P95,FAC_TOTALS_APTA!$A$4:$BD$126,$L105,FALSE))</f>
        <v>-1186324.50791581</v>
      </c>
      <c r="Q105" s="29">
        <f>IF(Q95=0,0,VLOOKUP(Q95,FAC_TOTALS_APTA!$A$4:$BD$126,$L105,FALSE))</f>
        <v>510957.993768332</v>
      </c>
      <c r="R105" s="29">
        <f>IF(R95=0,0,VLOOKUP(R95,FAC_TOTALS_APTA!$A$4:$BD$126,$L105,FALSE))</f>
        <v>44085.243398793202</v>
      </c>
      <c r="S105" s="29">
        <f>IF(S95=0,0,VLOOKUP(S95,FAC_TOTALS_APTA!$A$4:$BD$126,$L105,FALSE))</f>
        <v>423392.66359329497</v>
      </c>
      <c r="T105" s="29">
        <f>IF(T95=0,0,VLOOKUP(T95,FAC_TOTALS_APTA!$A$4:$BD$126,$L105,FALSE))</f>
        <v>691665.28840056399</v>
      </c>
      <c r="U105" s="29">
        <f>IF(U95=0,0,VLOOKUP(U95,FAC_TOTALS_APTA!$A$4:$BD$126,$L105,FALSE))</f>
        <v>782576.52821878903</v>
      </c>
      <c r="V105" s="29">
        <f>IF(V95=0,0,VLOOKUP(V95,FAC_TOTALS_APTA!$A$4:$BD$126,$L105,FALSE))</f>
        <v>430744.91572990402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4"/>
        <v>-667639.81333349412</v>
      </c>
      <c r="AD105" s="33">
        <f>AC105/G111</f>
        <v>-3.1454249395106805E-2</v>
      </c>
      <c r="AE105" s="103"/>
    </row>
    <row r="106" spans="1:31" ht="15" x14ac:dyDescent="0.2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3.5</v>
      </c>
      <c r="H106" s="125">
        <f>VLOOKUP(H95,FAC_TOTALS_APTA!$A$4:$BD$126,$F106,FALSE)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-1811889.2047870599</v>
      </c>
      <c r="Q106" s="29">
        <f>IF(Q95=0,0,VLOOKUP(Q95,FAC_TOTALS_APTA!$A$4:$BD$126,$L106,FALSE))</f>
        <v>887188.27909027098</v>
      </c>
      <c r="R106" s="29">
        <f>IF(R95=0,0,VLOOKUP(R95,FAC_TOTALS_APTA!$A$4:$BD$126,$L106,FALSE))</f>
        <v>-841533.36172624805</v>
      </c>
      <c r="S106" s="29">
        <f>IF(S95=0,0,VLOOKUP(S95,FAC_TOTALS_APTA!$A$4:$BD$126,$L106,FALSE))</f>
        <v>-1700543.86474928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-1565273.6671887899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4"/>
        <v>-5032051.8193611065</v>
      </c>
      <c r="AD106" s="33">
        <f>AC106/G111</f>
        <v>-0.23707305905710374</v>
      </c>
      <c r="AE106" s="103"/>
    </row>
    <row r="107" spans="1:31" ht="15" x14ac:dyDescent="0.2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0</v>
      </c>
      <c r="H107" s="125">
        <f>VLOOKUP(H95,FAC_TOTALS_APTA!$A$4:$BD$126,$F107,FALSE)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-19681089.6061197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4"/>
        <v>-19681089.6061197</v>
      </c>
      <c r="AD107" s="33">
        <f>AC107/G111</f>
        <v>-0.92722735893688901</v>
      </c>
      <c r="AE107" s="103"/>
    </row>
    <row r="108" spans="1:31" ht="15" x14ac:dyDescent="0.2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ht="15" x14ac:dyDescent="0.2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ht="15" x14ac:dyDescent="0.2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21225742.981403202</v>
      </c>
      <c r="H111" s="117">
        <f>VLOOKUP(H95,FAC_TOTALS_APTA!$A$4:$BB$126,$F111,FALSE)</f>
        <v>19908240.317110699</v>
      </c>
      <c r="I111" s="112">
        <f t="shared" ref="I111" si="36">H111/G111-1</f>
        <v>-6.2070979821381211E-2</v>
      </c>
      <c r="J111" s="31"/>
      <c r="K111" s="31"/>
      <c r="L111" s="6"/>
      <c r="M111" s="29">
        <f t="shared" ref="M111:AB111" si="37">SUM(M97:M104)</f>
        <v>-82331498.823550686</v>
      </c>
      <c r="N111" s="29">
        <f t="shared" si="37"/>
        <v>28263345.760927301</v>
      </c>
      <c r="O111" s="29">
        <f t="shared" si="37"/>
        <v>58957833.274172015</v>
      </c>
      <c r="P111" s="29">
        <f t="shared" si="37"/>
        <v>11413065.371199131</v>
      </c>
      <c r="Q111" s="29">
        <f t="shared" si="37"/>
        <v>2530719.7119990331</v>
      </c>
      <c r="R111" s="29">
        <f t="shared" si="37"/>
        <v>22846190.04986418</v>
      </c>
      <c r="S111" s="29">
        <f t="shared" si="37"/>
        <v>-49576581.100074954</v>
      </c>
      <c r="T111" s="29">
        <f t="shared" si="37"/>
        <v>-42161139.947837465</v>
      </c>
      <c r="U111" s="29">
        <f t="shared" si="37"/>
        <v>-3078052.0124942404</v>
      </c>
      <c r="V111" s="29">
        <f t="shared" si="37"/>
        <v>10680552.405682148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-1317502.6642925031</v>
      </c>
      <c r="AD111" s="33">
        <f>I111</f>
        <v>-6.2070979821381211E-2</v>
      </c>
      <c r="AE111" s="106"/>
    </row>
    <row r="112" spans="1:31" ht="13.5" customHeight="1" thickBot="1" x14ac:dyDescent="0.25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1201007994</v>
      </c>
      <c r="H112" s="114">
        <f>VLOOKUP(H95,FAC_TOTALS_APTA!$A$4:$BB$126,$F112,FALSE)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7" thickTop="1" thickBot="1" x14ac:dyDescent="0.25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-7.8100189597163028E-2</v>
      </c>
    </row>
    <row r="114" spans="2:31" ht="15" thickTop="1" x14ac:dyDescent="0.2">
      <c r="AE114" s="103"/>
    </row>
    <row r="115" spans="2:31" x14ac:dyDescent="0.2">
      <c r="AE115" s="103"/>
    </row>
    <row r="118" spans="2:31" ht="15" x14ac:dyDescent="0.2">
      <c r="B118" s="18" t="s">
        <v>26</v>
      </c>
      <c r="C118" s="19">
        <v>0</v>
      </c>
      <c r="D118" s="10"/>
      <c r="E118" s="6"/>
      <c r="F118" s="10"/>
      <c r="G118" s="106"/>
      <c r="H118" s="106"/>
      <c r="I118" s="1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2:31" ht="16" thickBot="1" x14ac:dyDescent="0.25">
      <c r="B119" s="20" t="s">
        <v>111</v>
      </c>
      <c r="C119" s="21">
        <v>0</v>
      </c>
      <c r="D119" s="22"/>
      <c r="E119" s="23"/>
      <c r="F119" s="22"/>
      <c r="G119" s="157"/>
      <c r="H119" s="157"/>
      <c r="I119" s="2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2:31" ht="15" thickTop="1" x14ac:dyDescent="0.2">
      <c r="B120" s="61"/>
      <c r="C120" s="62"/>
      <c r="D120" s="62"/>
      <c r="E120" s="62"/>
      <c r="F120" s="62"/>
      <c r="G120" s="240" t="s">
        <v>51</v>
      </c>
      <c r="H120" s="240"/>
      <c r="I120" s="240"/>
      <c r="J120" s="225"/>
      <c r="K120" s="225"/>
      <c r="L120" s="225"/>
      <c r="M120" s="225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/>
      <c r="AB120" s="225"/>
      <c r="AC120" s="240" t="s">
        <v>55</v>
      </c>
      <c r="AD120" s="240"/>
    </row>
    <row r="121" spans="2:31" ht="15" x14ac:dyDescent="0.2">
      <c r="B121" s="8" t="s">
        <v>18</v>
      </c>
      <c r="C121" s="27" t="s">
        <v>19</v>
      </c>
      <c r="D121" s="7" t="s">
        <v>20</v>
      </c>
      <c r="E121" s="7"/>
      <c r="F121" s="7"/>
      <c r="G121" s="128">
        <f>$C$1</f>
        <v>2002</v>
      </c>
      <c r="H121" s="128">
        <f>$C$2</f>
        <v>2012</v>
      </c>
      <c r="I121" s="27" t="s">
        <v>22</v>
      </c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 t="s">
        <v>24</v>
      </c>
      <c r="AD121" s="27" t="s">
        <v>22</v>
      </c>
    </row>
    <row r="122" spans="2:31" x14ac:dyDescent="0.2">
      <c r="B122" s="25"/>
      <c r="C122" s="28"/>
      <c r="D122" s="6"/>
      <c r="E122" s="6"/>
      <c r="F122" s="6"/>
      <c r="G122" s="104"/>
      <c r="H122" s="104"/>
      <c r="I122" s="28"/>
      <c r="J122" s="6"/>
      <c r="K122" s="6"/>
      <c r="L122" s="6"/>
      <c r="M122" s="6">
        <v>1</v>
      </c>
      <c r="N122" s="6">
        <v>2</v>
      </c>
      <c r="O122" s="6">
        <v>3</v>
      </c>
      <c r="P122" s="6">
        <v>4</v>
      </c>
      <c r="Q122" s="6">
        <v>5</v>
      </c>
      <c r="R122" s="6">
        <v>6</v>
      </c>
      <c r="S122" s="6">
        <v>7</v>
      </c>
      <c r="T122" s="6">
        <v>8</v>
      </c>
      <c r="U122" s="6">
        <v>9</v>
      </c>
      <c r="V122" s="6">
        <v>10</v>
      </c>
      <c r="W122" s="6">
        <v>11</v>
      </c>
      <c r="X122" s="6">
        <v>12</v>
      </c>
      <c r="Y122" s="6">
        <v>13</v>
      </c>
      <c r="Z122" s="6">
        <v>14</v>
      </c>
      <c r="AA122" s="6">
        <v>15</v>
      </c>
      <c r="AB122" s="6">
        <v>16</v>
      </c>
      <c r="AC122" s="6"/>
      <c r="AD122" s="6"/>
    </row>
    <row r="123" spans="2:31" x14ac:dyDescent="0.2">
      <c r="B123" s="25"/>
      <c r="C123" s="28"/>
      <c r="D123" s="6"/>
      <c r="E123" s="6"/>
      <c r="F123" s="6"/>
      <c r="G123" s="104" t="str">
        <f>CONCATENATE($C118,"_",$C119,"_",G121)</f>
        <v>0_0_2002</v>
      </c>
      <c r="H123" s="104" t="str">
        <f>CONCATENATE($C118,"_",$C119,"_",H121)</f>
        <v>0_0_2012</v>
      </c>
      <c r="I123" s="28"/>
      <c r="J123" s="6"/>
      <c r="K123" s="6"/>
      <c r="L123" s="6"/>
      <c r="M123" s="6" t="str">
        <f>IF($G121+M122&gt;$H121,0,CONCATENATE($C118,"_",$C119,"_",$G121+M122))</f>
        <v>0_0_2003</v>
      </c>
      <c r="N123" s="6" t="str">
        <f t="shared" ref="N123:AB123" si="39">IF($G121+N122&gt;$H121,0,CONCATENATE($C118,"_",$C119,"_",$G121+N122))</f>
        <v>0_0_2004</v>
      </c>
      <c r="O123" s="6" t="str">
        <f t="shared" si="39"/>
        <v>0_0_2005</v>
      </c>
      <c r="P123" s="6" t="str">
        <f t="shared" si="39"/>
        <v>0_0_2006</v>
      </c>
      <c r="Q123" s="6" t="str">
        <f t="shared" si="39"/>
        <v>0_0_2007</v>
      </c>
      <c r="R123" s="6" t="str">
        <f t="shared" si="39"/>
        <v>0_0_2008</v>
      </c>
      <c r="S123" s="6" t="str">
        <f t="shared" si="39"/>
        <v>0_0_2009</v>
      </c>
      <c r="T123" s="6" t="str">
        <f t="shared" si="39"/>
        <v>0_0_2010</v>
      </c>
      <c r="U123" s="6" t="str">
        <f t="shared" si="39"/>
        <v>0_0_2011</v>
      </c>
      <c r="V123" s="6" t="str">
        <f t="shared" si="39"/>
        <v>0_0_2012</v>
      </c>
      <c r="W123" s="6">
        <f t="shared" si="39"/>
        <v>0</v>
      </c>
      <c r="X123" s="6">
        <f t="shared" si="39"/>
        <v>0</v>
      </c>
      <c r="Y123" s="6">
        <f t="shared" si="39"/>
        <v>0</v>
      </c>
      <c r="Z123" s="6">
        <f t="shared" si="39"/>
        <v>0</v>
      </c>
      <c r="AA123" s="6">
        <f t="shared" si="39"/>
        <v>0</v>
      </c>
      <c r="AB123" s="6">
        <f t="shared" si="39"/>
        <v>0</v>
      </c>
      <c r="AC123" s="6"/>
      <c r="AD123" s="6"/>
    </row>
    <row r="124" spans="2:31" x14ac:dyDescent="0.2">
      <c r="B124" s="25"/>
      <c r="C124" s="28"/>
      <c r="D124" s="6"/>
      <c r="E124" s="6"/>
      <c r="F124" s="6" t="s">
        <v>23</v>
      </c>
      <c r="G124" s="117"/>
      <c r="H124" s="117"/>
      <c r="I124" s="28"/>
      <c r="J124" s="6"/>
      <c r="K124" s="6"/>
      <c r="L124" s="6" t="s">
        <v>23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2:31" ht="15" x14ac:dyDescent="0.2">
      <c r="B125" s="25" t="s">
        <v>31</v>
      </c>
      <c r="C125" s="28" t="s">
        <v>21</v>
      </c>
      <c r="D125" s="104" t="s">
        <v>87</v>
      </c>
      <c r="E125" s="55"/>
      <c r="F125" s="6">
        <f>MATCH($D125,FAC_TOTALS_APTA!$A$2:$BD$2,)</f>
        <v>12</v>
      </c>
      <c r="G125" s="117">
        <f>(G13+G41+G69)/3</f>
        <v>28415581.774372309</v>
      </c>
      <c r="H125" s="117">
        <f>(H13+H41+H69)/3</f>
        <v>25618467.914708585</v>
      </c>
      <c r="I125" s="30">
        <f>IFERROR(H125/G125-1,"-")</f>
        <v>-9.8435917373559167E-2</v>
      </c>
      <c r="J125" s="31" t="str">
        <f>IF(C125="Log","_log","")</f>
        <v>_log</v>
      </c>
      <c r="K125" s="31" t="str">
        <f>CONCATENATE(D125,J125,"_FAC")</f>
        <v>VRM_ADJ_BUS_log_FAC</v>
      </c>
      <c r="L125" s="6">
        <f>MATCH($K125,FAC_TOTALS_APTA!$A$2:$BB$2,)</f>
        <v>30</v>
      </c>
      <c r="M125" s="29">
        <f>(M13+M41+M69)/3</f>
        <v>-392738.94780178933</v>
      </c>
      <c r="N125" s="29">
        <f t="shared" ref="N125:AB125" si="40">(N13+N41+N69)/3</f>
        <v>7620835.5314362301</v>
      </c>
      <c r="O125" s="29">
        <f t="shared" si="40"/>
        <v>-6241859.7573606102</v>
      </c>
      <c r="P125" s="29">
        <f t="shared" si="40"/>
        <v>312020.41969230335</v>
      </c>
      <c r="Q125" s="29">
        <f t="shared" si="40"/>
        <v>8458876.0726623293</v>
      </c>
      <c r="R125" s="29">
        <f t="shared" si="40"/>
        <v>5950825.4456188157</v>
      </c>
      <c r="S125" s="29">
        <f t="shared" si="40"/>
        <v>-6000175.9611197161</v>
      </c>
      <c r="T125" s="29">
        <f t="shared" si="40"/>
        <v>-20026047.372354239</v>
      </c>
      <c r="U125" s="29">
        <f t="shared" si="40"/>
        <v>-14139880.998511197</v>
      </c>
      <c r="V125" s="29">
        <f t="shared" si="40"/>
        <v>-5667042.5037223175</v>
      </c>
      <c r="W125" s="29">
        <f t="shared" si="40"/>
        <v>0</v>
      </c>
      <c r="X125" s="29">
        <f t="shared" si="40"/>
        <v>0</v>
      </c>
      <c r="Y125" s="29">
        <f t="shared" si="40"/>
        <v>0</v>
      </c>
      <c r="Z125" s="29">
        <f t="shared" si="40"/>
        <v>0</v>
      </c>
      <c r="AA125" s="29">
        <f t="shared" si="40"/>
        <v>0</v>
      </c>
      <c r="AB125" s="29">
        <f t="shared" si="40"/>
        <v>0</v>
      </c>
      <c r="AC125" s="32">
        <f>SUM(M125:AB125)</f>
        <v>-30125188.071460187</v>
      </c>
      <c r="AD125" s="219">
        <f>AC125/G139</f>
        <v>-3.2181298490319657E-2</v>
      </c>
    </row>
    <row r="126" spans="2:31" ht="15" x14ac:dyDescent="0.2">
      <c r="B126" s="25" t="s">
        <v>52</v>
      </c>
      <c r="C126" s="28" t="s">
        <v>21</v>
      </c>
      <c r="D126" s="104" t="s">
        <v>88</v>
      </c>
      <c r="E126" s="55"/>
      <c r="F126" s="6">
        <f>MATCH($D126,FAC_TOTALS_APTA!$A$2:$BD$2,)</f>
        <v>14</v>
      </c>
      <c r="G126" s="117">
        <f t="shared" ref="G126:H140" si="41">(G14+G42+G70)/3</f>
        <v>0.91260530773794768</v>
      </c>
      <c r="H126" s="117">
        <f t="shared" si="41"/>
        <v>0.95132856647508357</v>
      </c>
      <c r="I126" s="30">
        <f t="shared" ref="I126" si="42">IFERROR(H126/G126-1,"-")</f>
        <v>4.243155108654606E-2</v>
      </c>
      <c r="J126" s="31" t="str">
        <f t="shared" ref="J126:J137" si="43">IF(C126="Log","_log","")</f>
        <v>_log</v>
      </c>
      <c r="K126" s="31" t="str">
        <f t="shared" ref="K126:K138" si="44">CONCATENATE(D126,J126,"_FAC")</f>
        <v>FARE_per_UPT_cleaned_2018_BUS_log_FAC</v>
      </c>
      <c r="L126" s="6">
        <f>MATCH($K126,FAC_TOTALS_APTA!$A$2:$BB$2,)</f>
        <v>32</v>
      </c>
      <c r="M126" s="29">
        <f t="shared" ref="M126:AB138" si="45">(M14+M42+M70)/3</f>
        <v>-655175.32966810477</v>
      </c>
      <c r="N126" s="29">
        <f t="shared" si="45"/>
        <v>9513936.5217760578</v>
      </c>
      <c r="O126" s="29">
        <f t="shared" si="45"/>
        <v>-4027472.7983327433</v>
      </c>
      <c r="P126" s="29">
        <f t="shared" si="45"/>
        <v>1367163.5555168581</v>
      </c>
      <c r="Q126" s="29">
        <f t="shared" si="45"/>
        <v>-7958492.4517656984</v>
      </c>
      <c r="R126" s="29">
        <f t="shared" si="45"/>
        <v>5795046.4135762127</v>
      </c>
      <c r="S126" s="29">
        <f t="shared" si="45"/>
        <v>-36706486.85385038</v>
      </c>
      <c r="T126" s="29">
        <f t="shared" si="45"/>
        <v>-3534170.5558873019</v>
      </c>
      <c r="U126" s="29">
        <f t="shared" si="45"/>
        <v>-2533615.8680583402</v>
      </c>
      <c r="V126" s="29">
        <f t="shared" si="45"/>
        <v>79467.055622204673</v>
      </c>
      <c r="W126" s="29">
        <f t="shared" si="45"/>
        <v>0</v>
      </c>
      <c r="X126" s="29">
        <f t="shared" si="45"/>
        <v>0</v>
      </c>
      <c r="Y126" s="29">
        <f t="shared" si="45"/>
        <v>0</v>
      </c>
      <c r="Z126" s="29">
        <f t="shared" si="45"/>
        <v>0</v>
      </c>
      <c r="AA126" s="29">
        <f t="shared" si="45"/>
        <v>0</v>
      </c>
      <c r="AB126" s="29">
        <f t="shared" si="45"/>
        <v>0</v>
      </c>
      <c r="AC126" s="32">
        <f t="shared" ref="AC126:AC137" si="46">SUM(M126:AB126)</f>
        <v>-38659800.311071232</v>
      </c>
      <c r="AD126" s="33">
        <f>AC126/G139</f>
        <v>-4.1298416807740532E-2</v>
      </c>
    </row>
    <row r="127" spans="2:31" ht="15" x14ac:dyDescent="0.2">
      <c r="B127" s="115" t="s">
        <v>80</v>
      </c>
      <c r="C127" s="116"/>
      <c r="D127" s="104" t="s">
        <v>78</v>
      </c>
      <c r="E127" s="118"/>
      <c r="F127" s="104">
        <f>MATCH($D127,FAC_TOTALS_APTA!$A$2:$BD$2,)</f>
        <v>23</v>
      </c>
      <c r="G127" s="117">
        <f t="shared" si="41"/>
        <v>0</v>
      </c>
      <c r="H127" s="117">
        <f t="shared" si="41"/>
        <v>6.0418090233272E-3</v>
      </c>
      <c r="I127" s="227">
        <f>H127-G127</f>
        <v>6.0418090233272E-3</v>
      </c>
      <c r="J127" s="120" t="str">
        <f t="shared" si="43"/>
        <v/>
      </c>
      <c r="K127" s="120" t="str">
        <f t="shared" si="44"/>
        <v>RESTRUCTURE_FAC</v>
      </c>
      <c r="L127" s="104">
        <f>MATCH($K127,FAC_TOTALS_APTA!$A$2:$BB$2,)</f>
        <v>41</v>
      </c>
      <c r="M127" s="29">
        <f t="shared" si="45"/>
        <v>0</v>
      </c>
      <c r="N127" s="29">
        <f t="shared" si="45"/>
        <v>0</v>
      </c>
      <c r="O127" s="29">
        <f t="shared" si="45"/>
        <v>0</v>
      </c>
      <c r="P127" s="29">
        <f t="shared" si="45"/>
        <v>0</v>
      </c>
      <c r="Q127" s="29">
        <f t="shared" si="45"/>
        <v>0</v>
      </c>
      <c r="R127" s="29">
        <f t="shared" si="45"/>
        <v>0</v>
      </c>
      <c r="S127" s="29">
        <f t="shared" si="45"/>
        <v>0</v>
      </c>
      <c r="T127" s="29">
        <f t="shared" si="45"/>
        <v>0</v>
      </c>
      <c r="U127" s="29">
        <f t="shared" si="45"/>
        <v>38393.142091039663</v>
      </c>
      <c r="V127" s="29">
        <f t="shared" si="45"/>
        <v>37136.019059122329</v>
      </c>
      <c r="W127" s="29">
        <f t="shared" si="45"/>
        <v>0</v>
      </c>
      <c r="X127" s="29">
        <f t="shared" si="45"/>
        <v>0</v>
      </c>
      <c r="Y127" s="29">
        <f t="shared" si="45"/>
        <v>0</v>
      </c>
      <c r="Z127" s="29">
        <f t="shared" si="45"/>
        <v>0</v>
      </c>
      <c r="AA127" s="29">
        <f t="shared" si="45"/>
        <v>0</v>
      </c>
      <c r="AB127" s="29">
        <f t="shared" si="45"/>
        <v>0</v>
      </c>
      <c r="AC127" s="121">
        <f t="shared" si="46"/>
        <v>75529.161150161992</v>
      </c>
      <c r="AD127" s="217">
        <f>AC127/G140</f>
        <v>7.5428754314713471E-5</v>
      </c>
    </row>
    <row r="128" spans="2:31" ht="15" x14ac:dyDescent="0.2">
      <c r="B128" s="115" t="s">
        <v>81</v>
      </c>
      <c r="C128" s="116"/>
      <c r="D128" s="104" t="s">
        <v>77</v>
      </c>
      <c r="E128" s="118"/>
      <c r="F128" s="104">
        <f>MATCH($D128,FAC_TOTALS_APTA!$A$2:$BD$2,)</f>
        <v>22</v>
      </c>
      <c r="G128" s="117">
        <f t="shared" si="41"/>
        <v>0</v>
      </c>
      <c r="H128" s="117">
        <f t="shared" si="41"/>
        <v>0</v>
      </c>
      <c r="I128" s="119" t="str">
        <f>IFERROR(H128/G128-1,"-")</f>
        <v>-</v>
      </c>
      <c r="J128" s="120" t="str">
        <f t="shared" si="43"/>
        <v/>
      </c>
      <c r="K128" s="120" t="str">
        <f t="shared" si="44"/>
        <v>MAINTENANCE_WMATA_FAC</v>
      </c>
      <c r="L128" s="104">
        <f>MATCH($K128,FAC_TOTALS_APTA!$A$2:$BB$2,)</f>
        <v>40</v>
      </c>
      <c r="M128" s="29">
        <f t="shared" si="45"/>
        <v>0</v>
      </c>
      <c r="N128" s="29">
        <f t="shared" si="45"/>
        <v>0</v>
      </c>
      <c r="O128" s="29">
        <f t="shared" si="45"/>
        <v>0</v>
      </c>
      <c r="P128" s="29">
        <f t="shared" si="45"/>
        <v>0</v>
      </c>
      <c r="Q128" s="29">
        <f t="shared" si="45"/>
        <v>0</v>
      </c>
      <c r="R128" s="29">
        <f t="shared" si="45"/>
        <v>0</v>
      </c>
      <c r="S128" s="29">
        <f t="shared" si="45"/>
        <v>0</v>
      </c>
      <c r="T128" s="29">
        <f t="shared" si="45"/>
        <v>0</v>
      </c>
      <c r="U128" s="29">
        <f t="shared" si="45"/>
        <v>0</v>
      </c>
      <c r="V128" s="29">
        <f t="shared" si="45"/>
        <v>0</v>
      </c>
      <c r="W128" s="29">
        <f t="shared" si="45"/>
        <v>0</v>
      </c>
      <c r="X128" s="29">
        <f t="shared" si="45"/>
        <v>0</v>
      </c>
      <c r="Y128" s="29">
        <f t="shared" si="45"/>
        <v>0</v>
      </c>
      <c r="Z128" s="29">
        <f t="shared" si="45"/>
        <v>0</v>
      </c>
      <c r="AA128" s="29">
        <f t="shared" si="45"/>
        <v>0</v>
      </c>
      <c r="AB128" s="29">
        <f t="shared" si="45"/>
        <v>0</v>
      </c>
      <c r="AC128" s="121">
        <f t="shared" si="46"/>
        <v>0</v>
      </c>
      <c r="AD128" s="218">
        <f>AC128/G140</f>
        <v>0</v>
      </c>
    </row>
    <row r="129" spans="2:30" ht="15" x14ac:dyDescent="0.2">
      <c r="B129" s="25" t="s">
        <v>48</v>
      </c>
      <c r="C129" s="28" t="s">
        <v>21</v>
      </c>
      <c r="D129" s="104" t="s">
        <v>8</v>
      </c>
      <c r="E129" s="55"/>
      <c r="F129" s="6">
        <f>MATCH($D129,FAC_TOTALS_APTA!$A$2:$BD$2,)</f>
        <v>16</v>
      </c>
      <c r="G129" s="117">
        <f t="shared" si="41"/>
        <v>4203966.0427654739</v>
      </c>
      <c r="H129" s="117">
        <f t="shared" si="41"/>
        <v>4422318.7721078843</v>
      </c>
      <c r="I129" s="30">
        <f t="shared" ref="I129:I134" si="47">IFERROR(H129/G129-1,"-")</f>
        <v>5.1939698637235576E-2</v>
      </c>
      <c r="J129" s="31" t="str">
        <f t="shared" si="43"/>
        <v>_log</v>
      </c>
      <c r="K129" s="31" t="str">
        <f t="shared" si="44"/>
        <v>POP_EMP_log_FAC</v>
      </c>
      <c r="L129" s="6">
        <f>MATCH($K129,FAC_TOTALS_APTA!$A$2:$BB$2,)</f>
        <v>34</v>
      </c>
      <c r="M129" s="29">
        <f t="shared" si="45"/>
        <v>4254917.702384158</v>
      </c>
      <c r="N129" s="29">
        <f t="shared" si="45"/>
        <v>5182556.2663541073</v>
      </c>
      <c r="O129" s="29">
        <f t="shared" si="45"/>
        <v>5900057.209648001</v>
      </c>
      <c r="P129" s="29">
        <f t="shared" si="45"/>
        <v>7724456.1439847201</v>
      </c>
      <c r="Q129" s="29">
        <f t="shared" si="45"/>
        <v>2476770.1115028723</v>
      </c>
      <c r="R129" s="29">
        <f t="shared" si="45"/>
        <v>1396153.2203777821</v>
      </c>
      <c r="S129" s="29">
        <f t="shared" si="45"/>
        <v>-1320486.2855388063</v>
      </c>
      <c r="T129" s="29">
        <f t="shared" si="45"/>
        <v>895767.23723699094</v>
      </c>
      <c r="U129" s="29">
        <f t="shared" si="45"/>
        <v>2520010.5545091066</v>
      </c>
      <c r="V129" s="29">
        <f t="shared" si="45"/>
        <v>3235591.0646432634</v>
      </c>
      <c r="W129" s="29">
        <f t="shared" si="45"/>
        <v>0</v>
      </c>
      <c r="X129" s="29">
        <f t="shared" si="45"/>
        <v>0</v>
      </c>
      <c r="Y129" s="29">
        <f t="shared" si="45"/>
        <v>0</v>
      </c>
      <c r="Z129" s="29">
        <f t="shared" si="45"/>
        <v>0</v>
      </c>
      <c r="AA129" s="29">
        <f t="shared" si="45"/>
        <v>0</v>
      </c>
      <c r="AB129" s="29">
        <f t="shared" si="45"/>
        <v>0</v>
      </c>
      <c r="AC129" s="32">
        <f t="shared" si="46"/>
        <v>32265793.225102194</v>
      </c>
      <c r="AD129" s="33">
        <f>AC129/G139</f>
        <v>3.4468004659119714E-2</v>
      </c>
    </row>
    <row r="130" spans="2:30" ht="15" x14ac:dyDescent="0.2">
      <c r="B130" s="25" t="s">
        <v>73</v>
      </c>
      <c r="C130" s="28"/>
      <c r="D130" s="104" t="s">
        <v>72</v>
      </c>
      <c r="E130" s="55"/>
      <c r="F130" s="6">
        <f>MATCH($D130,FAC_TOTALS_APTA!$A$2:$BD$2,)</f>
        <v>17</v>
      </c>
      <c r="G130" s="117">
        <f t="shared" si="41"/>
        <v>0.3887640515476673</v>
      </c>
      <c r="H130" s="117">
        <f t="shared" si="41"/>
        <v>0.36305021823126732</v>
      </c>
      <c r="I130" s="30">
        <f t="shared" si="47"/>
        <v>-6.6142518100717806E-2</v>
      </c>
      <c r="J130" s="31" t="str">
        <f t="shared" si="43"/>
        <v/>
      </c>
      <c r="K130" s="31" t="str">
        <f t="shared" si="44"/>
        <v>TSD_POP_EMP_PCT_FAC</v>
      </c>
      <c r="L130" s="6">
        <f>MATCH($K130,FAC_TOTALS_APTA!$A$2:$BB$2,)</f>
        <v>35</v>
      </c>
      <c r="M130" s="29">
        <f t="shared" si="45"/>
        <v>-1507330.0202469127</v>
      </c>
      <c r="N130" s="29">
        <f t="shared" si="45"/>
        <v>-1158683.5691098287</v>
      </c>
      <c r="O130" s="29">
        <f t="shared" si="45"/>
        <v>-934314.94263107609</v>
      </c>
      <c r="P130" s="29">
        <f t="shared" si="45"/>
        <v>-189675.8215402572</v>
      </c>
      <c r="Q130" s="29">
        <f t="shared" si="45"/>
        <v>-2816628.2782714735</v>
      </c>
      <c r="R130" s="29">
        <f t="shared" si="45"/>
        <v>870861.43932987971</v>
      </c>
      <c r="S130" s="29">
        <f t="shared" si="45"/>
        <v>1685375.5077958677</v>
      </c>
      <c r="T130" s="29">
        <f t="shared" si="45"/>
        <v>1341716.4682506698</v>
      </c>
      <c r="U130" s="29">
        <f t="shared" si="45"/>
        <v>-2551967.623937869</v>
      </c>
      <c r="V130" s="29">
        <f t="shared" si="45"/>
        <v>-3268143.3555173799</v>
      </c>
      <c r="W130" s="29">
        <f t="shared" si="45"/>
        <v>0</v>
      </c>
      <c r="X130" s="29">
        <f t="shared" si="45"/>
        <v>0</v>
      </c>
      <c r="Y130" s="29">
        <f t="shared" si="45"/>
        <v>0</v>
      </c>
      <c r="Z130" s="29">
        <f t="shared" si="45"/>
        <v>0</v>
      </c>
      <c r="AA130" s="29">
        <f t="shared" si="45"/>
        <v>0</v>
      </c>
      <c r="AB130" s="29">
        <f t="shared" si="45"/>
        <v>0</v>
      </c>
      <c r="AC130" s="32">
        <f t="shared" si="46"/>
        <v>-8528790.1958783809</v>
      </c>
      <c r="AD130" s="33">
        <f>AC130/G139</f>
        <v>-9.110898906383837E-3</v>
      </c>
    </row>
    <row r="131" spans="2:30" ht="15" x14ac:dyDescent="0.2">
      <c r="B131" s="25" t="s">
        <v>49</v>
      </c>
      <c r="C131" s="28" t="s">
        <v>21</v>
      </c>
      <c r="D131" s="124" t="s">
        <v>82</v>
      </c>
      <c r="E131" s="55"/>
      <c r="F131" s="6">
        <f>MATCH($D131,FAC_TOTALS_APTA!$A$2:$BD$2,)</f>
        <v>18</v>
      </c>
      <c r="G131" s="117">
        <f t="shared" si="41"/>
        <v>1.9594845314184901</v>
      </c>
      <c r="H131" s="117">
        <f t="shared" si="41"/>
        <v>4.0542048950675769</v>
      </c>
      <c r="I131" s="30">
        <f t="shared" si="47"/>
        <v>1.0690160243993851</v>
      </c>
      <c r="J131" s="31" t="str">
        <f t="shared" si="43"/>
        <v>_log</v>
      </c>
      <c r="K131" s="31" t="str">
        <f t="shared" si="44"/>
        <v>GAS_PRICE_2018_log_FAC</v>
      </c>
      <c r="L131" s="6">
        <f>MATCH($K131,FAC_TOTALS_APTA!$A$2:$BB$2,)</f>
        <v>36</v>
      </c>
      <c r="M131" s="29">
        <f t="shared" si="45"/>
        <v>13590025.691470062</v>
      </c>
      <c r="N131" s="29">
        <f t="shared" si="45"/>
        <v>13360957.791745951</v>
      </c>
      <c r="O131" s="29">
        <f t="shared" si="45"/>
        <v>19405517.928293169</v>
      </c>
      <c r="P131" s="29">
        <f t="shared" si="45"/>
        <v>12031369.920192098</v>
      </c>
      <c r="Q131" s="29">
        <f t="shared" si="45"/>
        <v>7230297.7441323595</v>
      </c>
      <c r="R131" s="29">
        <f t="shared" si="45"/>
        <v>16255515.982698476</v>
      </c>
      <c r="S131" s="29">
        <f t="shared" si="45"/>
        <v>-44456668.603496395</v>
      </c>
      <c r="T131" s="29">
        <f t="shared" si="45"/>
        <v>19997869.677324381</v>
      </c>
      <c r="U131" s="29">
        <f t="shared" si="45"/>
        <v>27688267.467509951</v>
      </c>
      <c r="V131" s="29">
        <f t="shared" si="45"/>
        <v>1223759.5483729336</v>
      </c>
      <c r="W131" s="29">
        <f t="shared" si="45"/>
        <v>0</v>
      </c>
      <c r="X131" s="29">
        <f t="shared" si="45"/>
        <v>0</v>
      </c>
      <c r="Y131" s="29">
        <f t="shared" si="45"/>
        <v>0</v>
      </c>
      <c r="Z131" s="29">
        <f t="shared" si="45"/>
        <v>0</v>
      </c>
      <c r="AA131" s="29">
        <f t="shared" si="45"/>
        <v>0</v>
      </c>
      <c r="AB131" s="29">
        <f t="shared" si="45"/>
        <v>0</v>
      </c>
      <c r="AC131" s="32">
        <f t="shared" si="46"/>
        <v>86326913.148242995</v>
      </c>
      <c r="AD131" s="33">
        <f>AC131/G139</f>
        <v>9.2218915054788284E-2</v>
      </c>
    </row>
    <row r="132" spans="2:30" ht="15" x14ac:dyDescent="0.2">
      <c r="B132" s="25" t="s">
        <v>46</v>
      </c>
      <c r="C132" s="28" t="s">
        <v>21</v>
      </c>
      <c r="D132" s="104" t="s">
        <v>14</v>
      </c>
      <c r="E132" s="55"/>
      <c r="F132" s="6">
        <f>MATCH($D132,FAC_TOTALS_APTA!$A$2:$BD$2,)</f>
        <v>19</v>
      </c>
      <c r="G132" s="117">
        <f t="shared" si="41"/>
        <v>36436.949179821597</v>
      </c>
      <c r="H132" s="117">
        <f t="shared" si="41"/>
        <v>29229.388134630335</v>
      </c>
      <c r="I132" s="30">
        <f t="shared" si="47"/>
        <v>-0.19780912528161754</v>
      </c>
      <c r="J132" s="31" t="str">
        <f t="shared" si="43"/>
        <v>_log</v>
      </c>
      <c r="K132" s="31" t="str">
        <f t="shared" si="44"/>
        <v>TOTAL_MED_INC_INDIV_2018_log_FAC</v>
      </c>
      <c r="L132" s="6">
        <f>MATCH($K132,FAC_TOTALS_APTA!$A$2:$BB$2,)</f>
        <v>37</v>
      </c>
      <c r="M132" s="29">
        <f t="shared" si="45"/>
        <v>1566795.645607095</v>
      </c>
      <c r="N132" s="29">
        <f t="shared" si="45"/>
        <v>2256694.5707663237</v>
      </c>
      <c r="O132" s="29">
        <f t="shared" si="45"/>
        <v>2218183.7679816219</v>
      </c>
      <c r="P132" s="29">
        <f t="shared" si="45"/>
        <v>3615787.8954395405</v>
      </c>
      <c r="Q132" s="29">
        <f t="shared" si="45"/>
        <v>-1161208.0209020947</v>
      </c>
      <c r="R132" s="29">
        <f t="shared" si="45"/>
        <v>188072.83611551463</v>
      </c>
      <c r="S132" s="29">
        <f t="shared" si="45"/>
        <v>4702801.739319847</v>
      </c>
      <c r="T132" s="29">
        <f t="shared" si="45"/>
        <v>1835796.0067185964</v>
      </c>
      <c r="U132" s="29">
        <f t="shared" si="45"/>
        <v>1638881.387123517</v>
      </c>
      <c r="V132" s="29">
        <f t="shared" si="45"/>
        <v>681285.80606390571</v>
      </c>
      <c r="W132" s="29">
        <f t="shared" si="45"/>
        <v>0</v>
      </c>
      <c r="X132" s="29">
        <f t="shared" si="45"/>
        <v>0</v>
      </c>
      <c r="Y132" s="29">
        <f t="shared" si="45"/>
        <v>0</v>
      </c>
      <c r="Z132" s="29">
        <f t="shared" si="45"/>
        <v>0</v>
      </c>
      <c r="AA132" s="29">
        <f t="shared" si="45"/>
        <v>0</v>
      </c>
      <c r="AB132" s="29">
        <f t="shared" si="45"/>
        <v>0</v>
      </c>
      <c r="AC132" s="32">
        <f t="shared" si="46"/>
        <v>17543091.634233866</v>
      </c>
      <c r="AD132" s="33">
        <f>AC132/G139</f>
        <v>1.8740446266596374E-2</v>
      </c>
    </row>
    <row r="133" spans="2:30" ht="15" x14ac:dyDescent="0.2">
      <c r="B133" s="25" t="s">
        <v>62</v>
      </c>
      <c r="C133" s="28"/>
      <c r="D133" s="104" t="s">
        <v>9</v>
      </c>
      <c r="E133" s="55"/>
      <c r="F133" s="6">
        <f>MATCH($D133,FAC_TOTALS_APTA!$A$2:$BD$2,)</f>
        <v>20</v>
      </c>
      <c r="G133" s="117">
        <f t="shared" si="41"/>
        <v>8.1399935231835858</v>
      </c>
      <c r="H133" s="117">
        <f t="shared" si="41"/>
        <v>8.515598330480282</v>
      </c>
      <c r="I133" s="30">
        <f t="shared" si="47"/>
        <v>4.614313343455767E-2</v>
      </c>
      <c r="J133" s="31" t="str">
        <f t="shared" si="43"/>
        <v/>
      </c>
      <c r="K133" s="31" t="str">
        <f t="shared" si="44"/>
        <v>PCT_HH_NO_VEH_FAC</v>
      </c>
      <c r="L133" s="6">
        <f>MATCH($K133,FAC_TOTALS_APTA!$A$2:$BB$2,)</f>
        <v>38</v>
      </c>
      <c r="M133" s="29">
        <f t="shared" si="45"/>
        <v>-143141.0148536636</v>
      </c>
      <c r="N133" s="29">
        <f t="shared" si="45"/>
        <v>-139918.01104412013</v>
      </c>
      <c r="O133" s="29">
        <f t="shared" si="45"/>
        <v>-195848.01525326105</v>
      </c>
      <c r="P133" s="29">
        <f t="shared" si="45"/>
        <v>-196318.86555634878</v>
      </c>
      <c r="Q133" s="29">
        <f t="shared" si="45"/>
        <v>-323719.3069743503</v>
      </c>
      <c r="R133" s="29">
        <f t="shared" si="45"/>
        <v>380887.60836633155</v>
      </c>
      <c r="S133" s="29">
        <f t="shared" si="45"/>
        <v>273426.46475676238</v>
      </c>
      <c r="T133" s="29">
        <f t="shared" si="45"/>
        <v>572218.67918301758</v>
      </c>
      <c r="U133" s="29">
        <f t="shared" si="45"/>
        <v>657471.48238017398</v>
      </c>
      <c r="V133" s="29">
        <f t="shared" si="45"/>
        <v>-189972.43532815226</v>
      </c>
      <c r="W133" s="29">
        <f t="shared" si="45"/>
        <v>0</v>
      </c>
      <c r="X133" s="29">
        <f t="shared" si="45"/>
        <v>0</v>
      </c>
      <c r="Y133" s="29">
        <f t="shared" si="45"/>
        <v>0</v>
      </c>
      <c r="Z133" s="29">
        <f t="shared" si="45"/>
        <v>0</v>
      </c>
      <c r="AA133" s="29">
        <f t="shared" si="45"/>
        <v>0</v>
      </c>
      <c r="AB133" s="29">
        <f t="shared" si="45"/>
        <v>0</v>
      </c>
      <c r="AC133" s="32">
        <f t="shared" si="46"/>
        <v>695086.58567638928</v>
      </c>
      <c r="AD133" s="33">
        <f>AC133/G139</f>
        <v>7.4252777566758614E-4</v>
      </c>
    </row>
    <row r="134" spans="2:30" ht="15" x14ac:dyDescent="0.2">
      <c r="B134" s="25" t="s">
        <v>47</v>
      </c>
      <c r="C134" s="28"/>
      <c r="D134" s="104" t="s">
        <v>28</v>
      </c>
      <c r="E134" s="55"/>
      <c r="F134" s="6">
        <f>MATCH($D134,FAC_TOTALS_APTA!$A$2:$BD$2,)</f>
        <v>21</v>
      </c>
      <c r="G134" s="117">
        <f t="shared" si="41"/>
        <v>3.5157259834909564</v>
      </c>
      <c r="H134" s="117">
        <f t="shared" si="41"/>
        <v>4.3029927913012971</v>
      </c>
      <c r="I134" s="30">
        <f t="shared" si="47"/>
        <v>0.22392723764797506</v>
      </c>
      <c r="J134" s="31" t="str">
        <f t="shared" si="43"/>
        <v/>
      </c>
      <c r="K134" s="31" t="str">
        <f t="shared" si="44"/>
        <v>JTW_HOME_PCT_FAC</v>
      </c>
      <c r="L134" s="6">
        <f>MATCH($K134,FAC_TOTALS_APTA!$A$2:$BB$2,)</f>
        <v>39</v>
      </c>
      <c r="M134" s="29">
        <f t="shared" si="45"/>
        <v>0</v>
      </c>
      <c r="N134" s="29">
        <f t="shared" si="45"/>
        <v>0</v>
      </c>
      <c r="O134" s="29">
        <f t="shared" si="45"/>
        <v>0</v>
      </c>
      <c r="P134" s="29">
        <f t="shared" si="45"/>
        <v>-2612992.7575732102</v>
      </c>
      <c r="Q134" s="29">
        <f t="shared" si="45"/>
        <v>-1385300.2339092151</v>
      </c>
      <c r="R134" s="29">
        <f t="shared" si="45"/>
        <v>-610026.72845585144</v>
      </c>
      <c r="S134" s="29">
        <f t="shared" si="45"/>
        <v>-1961176.4742483257</v>
      </c>
      <c r="T134" s="29">
        <f t="shared" si="45"/>
        <v>-1702858.6640034218</v>
      </c>
      <c r="U134" s="29">
        <f t="shared" si="45"/>
        <v>141677.83455619434</v>
      </c>
      <c r="V134" s="29">
        <f t="shared" si="45"/>
        <v>-563511.96559711907</v>
      </c>
      <c r="W134" s="29">
        <f t="shared" si="45"/>
        <v>0</v>
      </c>
      <c r="X134" s="29">
        <f t="shared" si="45"/>
        <v>0</v>
      </c>
      <c r="Y134" s="29">
        <f t="shared" si="45"/>
        <v>0</v>
      </c>
      <c r="Z134" s="29">
        <f t="shared" si="45"/>
        <v>0</v>
      </c>
      <c r="AA134" s="29">
        <f t="shared" si="45"/>
        <v>0</v>
      </c>
      <c r="AB134" s="29">
        <f t="shared" si="45"/>
        <v>0</v>
      </c>
      <c r="AC134" s="32">
        <f t="shared" si="46"/>
        <v>-8694188.9892309494</v>
      </c>
      <c r="AD134" s="33">
        <f>AC134/G139</f>
        <v>-9.287586531576136E-3</v>
      </c>
    </row>
    <row r="135" spans="2:30" ht="15" x14ac:dyDescent="0.2">
      <c r="B135" s="25" t="s">
        <v>63</v>
      </c>
      <c r="C135" s="28"/>
      <c r="D135" s="126" t="s">
        <v>89</v>
      </c>
      <c r="E135" s="55"/>
      <c r="F135" s="6">
        <f>MATCH($D135,FAC_TOTALS_APTA!$A$2:$BD$2,)</f>
        <v>24</v>
      </c>
      <c r="G135" s="117">
        <f t="shared" si="41"/>
        <v>0</v>
      </c>
      <c r="H135" s="117">
        <f t="shared" si="41"/>
        <v>0.16833258313568933</v>
      </c>
      <c r="I135" s="229">
        <f>H135-G135</f>
        <v>0.16833258313568933</v>
      </c>
      <c r="J135" s="31" t="str">
        <f t="shared" si="43"/>
        <v/>
      </c>
      <c r="K135" s="31" t="str">
        <f t="shared" si="44"/>
        <v>YEARS_SINCE_TNC_BUS_HINY_FAC</v>
      </c>
      <c r="L135" s="6">
        <f>MATCH($K135,FAC_TOTALS_APTA!$A$2:$BB$2,)</f>
        <v>42</v>
      </c>
      <c r="M135" s="29">
        <f t="shared" si="45"/>
        <v>0</v>
      </c>
      <c r="N135" s="29">
        <f t="shared" si="45"/>
        <v>0</v>
      </c>
      <c r="O135" s="29">
        <f t="shared" si="45"/>
        <v>0</v>
      </c>
      <c r="P135" s="29">
        <f t="shared" si="45"/>
        <v>0</v>
      </c>
      <c r="Q135" s="29">
        <f t="shared" si="45"/>
        <v>0</v>
      </c>
      <c r="R135" s="29">
        <f t="shared" si="45"/>
        <v>0</v>
      </c>
      <c r="S135" s="29">
        <f t="shared" si="45"/>
        <v>0</v>
      </c>
      <c r="T135" s="29">
        <f t="shared" si="45"/>
        <v>0</v>
      </c>
      <c r="U135" s="29">
        <f t="shared" si="45"/>
        <v>-1745079.3922630132</v>
      </c>
      <c r="V135" s="29">
        <f t="shared" si="45"/>
        <v>-6083322.0945700333</v>
      </c>
      <c r="W135" s="29">
        <f t="shared" si="45"/>
        <v>0</v>
      </c>
      <c r="X135" s="29">
        <f t="shared" si="45"/>
        <v>0</v>
      </c>
      <c r="Y135" s="29">
        <f t="shared" si="45"/>
        <v>0</v>
      </c>
      <c r="Z135" s="29">
        <f t="shared" si="45"/>
        <v>0</v>
      </c>
      <c r="AA135" s="29">
        <f t="shared" si="45"/>
        <v>0</v>
      </c>
      <c r="AB135" s="29">
        <f t="shared" si="45"/>
        <v>0</v>
      </c>
      <c r="AC135" s="32">
        <f t="shared" si="46"/>
        <v>-7828401.4868330462</v>
      </c>
      <c r="AD135" s="33">
        <f>AC135/G139</f>
        <v>-8.3627071257525703E-3</v>
      </c>
    </row>
    <row r="136" spans="2:30" ht="15" x14ac:dyDescent="0.2">
      <c r="B136" s="25" t="s">
        <v>64</v>
      </c>
      <c r="C136" s="28"/>
      <c r="D136" s="104" t="s">
        <v>43</v>
      </c>
      <c r="E136" s="55"/>
      <c r="F136" s="6">
        <f>MATCH($D136,FAC_TOTALS_APTA!$A$2:$BD$2,)</f>
        <v>28</v>
      </c>
      <c r="G136" s="117">
        <f t="shared" si="41"/>
        <v>2.5922410227178002E-2</v>
      </c>
      <c r="H136" s="117">
        <f t="shared" si="41"/>
        <v>0.11126505002499437</v>
      </c>
      <c r="I136" s="228">
        <f>H136-G136</f>
        <v>8.5342639797816366E-2</v>
      </c>
      <c r="J136" s="31" t="str">
        <f t="shared" si="43"/>
        <v/>
      </c>
      <c r="K136" s="31" t="str">
        <f t="shared" si="44"/>
        <v>BIKE_SHARE_FAC</v>
      </c>
      <c r="L136" s="6">
        <f>MATCH($K136,FAC_TOTALS_APTA!$A$2:$BB$2,)</f>
        <v>46</v>
      </c>
      <c r="M136" s="29">
        <f t="shared" si="45"/>
        <v>0</v>
      </c>
      <c r="N136" s="29">
        <f t="shared" si="45"/>
        <v>0</v>
      </c>
      <c r="O136" s="29">
        <f t="shared" si="45"/>
        <v>0</v>
      </c>
      <c r="P136" s="29">
        <f t="shared" si="45"/>
        <v>0</v>
      </c>
      <c r="Q136" s="29">
        <f t="shared" si="45"/>
        <v>0</v>
      </c>
      <c r="R136" s="29">
        <f t="shared" si="45"/>
        <v>-650692.47115736664</v>
      </c>
      <c r="S136" s="29">
        <f t="shared" si="45"/>
        <v>0</v>
      </c>
      <c r="T136" s="29">
        <f t="shared" si="45"/>
        <v>-570018.08146307117</v>
      </c>
      <c r="U136" s="29">
        <f t="shared" si="45"/>
        <v>-433005.22101454932</v>
      </c>
      <c r="V136" s="29">
        <f t="shared" si="45"/>
        <v>-390322.29400422267</v>
      </c>
      <c r="W136" s="29">
        <f t="shared" si="45"/>
        <v>0</v>
      </c>
      <c r="X136" s="29">
        <f t="shared" si="45"/>
        <v>0</v>
      </c>
      <c r="Y136" s="29">
        <f t="shared" si="45"/>
        <v>0</v>
      </c>
      <c r="Z136" s="29">
        <f t="shared" si="45"/>
        <v>0</v>
      </c>
      <c r="AA136" s="29">
        <f t="shared" si="45"/>
        <v>0</v>
      </c>
      <c r="AB136" s="29">
        <f t="shared" si="45"/>
        <v>0</v>
      </c>
      <c r="AC136" s="32">
        <f t="shared" si="46"/>
        <v>-2044038.0676392098</v>
      </c>
      <c r="AD136" s="33">
        <f>AC136/G139</f>
        <v>-2.1835481665454454E-3</v>
      </c>
    </row>
    <row r="137" spans="2:30" ht="15" x14ac:dyDescent="0.2">
      <c r="B137" s="8" t="s">
        <v>65</v>
      </c>
      <c r="C137" s="27"/>
      <c r="D137" s="129" t="s">
        <v>44</v>
      </c>
      <c r="E137" s="56"/>
      <c r="F137" s="7">
        <f>MATCH($D137,FAC_TOTALS_APTA!$A$2:$BD$2,)</f>
        <v>29</v>
      </c>
      <c r="G137" s="117">
        <f t="shared" si="41"/>
        <v>0</v>
      </c>
      <c r="H137" s="117">
        <f t="shared" si="41"/>
        <v>0</v>
      </c>
      <c r="I137" s="233">
        <f>H137-G137</f>
        <v>0</v>
      </c>
      <c r="J137" s="37" t="str">
        <f t="shared" si="43"/>
        <v/>
      </c>
      <c r="K137" s="37" t="str">
        <f t="shared" si="44"/>
        <v>scooter_flag_FAC</v>
      </c>
      <c r="L137" s="7">
        <f>MATCH($K137,FAC_TOTALS_APTA!$A$2:$BB$2,)</f>
        <v>47</v>
      </c>
      <c r="M137" s="29">
        <f t="shared" si="45"/>
        <v>0</v>
      </c>
      <c r="N137" s="29">
        <f t="shared" si="45"/>
        <v>0</v>
      </c>
      <c r="O137" s="29">
        <f t="shared" si="45"/>
        <v>0</v>
      </c>
      <c r="P137" s="29">
        <f t="shared" si="45"/>
        <v>0</v>
      </c>
      <c r="Q137" s="29">
        <f t="shared" si="45"/>
        <v>0</v>
      </c>
      <c r="R137" s="29">
        <f t="shared" si="45"/>
        <v>0</v>
      </c>
      <c r="S137" s="29">
        <f t="shared" si="45"/>
        <v>0</v>
      </c>
      <c r="T137" s="29">
        <f t="shared" si="45"/>
        <v>0</v>
      </c>
      <c r="U137" s="29">
        <f t="shared" si="45"/>
        <v>0</v>
      </c>
      <c r="V137" s="29">
        <f t="shared" si="45"/>
        <v>0</v>
      </c>
      <c r="W137" s="29">
        <f t="shared" si="45"/>
        <v>0</v>
      </c>
      <c r="X137" s="29">
        <f t="shared" si="45"/>
        <v>0</v>
      </c>
      <c r="Y137" s="29">
        <f t="shared" si="45"/>
        <v>0</v>
      </c>
      <c r="Z137" s="29">
        <f t="shared" si="45"/>
        <v>0</v>
      </c>
      <c r="AA137" s="29">
        <f t="shared" si="45"/>
        <v>0</v>
      </c>
      <c r="AB137" s="29">
        <f t="shared" si="45"/>
        <v>0</v>
      </c>
      <c r="AC137" s="39">
        <f t="shared" si="46"/>
        <v>0</v>
      </c>
      <c r="AD137" s="40">
        <f>AC137/G139</f>
        <v>0</v>
      </c>
    </row>
    <row r="138" spans="2:30" ht="15" x14ac:dyDescent="0.2">
      <c r="B138" s="41" t="s">
        <v>53</v>
      </c>
      <c r="C138" s="42"/>
      <c r="D138" s="41" t="s">
        <v>45</v>
      </c>
      <c r="E138" s="43"/>
      <c r="F138" s="44"/>
      <c r="G138" s="117">
        <f t="shared" si="41"/>
        <v>0</v>
      </c>
      <c r="H138" s="117">
        <f t="shared" si="41"/>
        <v>0</v>
      </c>
      <c r="I138" s="46"/>
      <c r="J138" s="47"/>
      <c r="K138" s="47" t="str">
        <f t="shared" si="44"/>
        <v>New_Reporter_FAC</v>
      </c>
      <c r="L138" s="44">
        <f>MATCH($K138,FAC_TOTALS_APTA!$A$2:$BB$2,)</f>
        <v>51</v>
      </c>
      <c r="M138" s="29">
        <f t="shared" si="45"/>
        <v>26048728.333333332</v>
      </c>
      <c r="N138" s="29">
        <f t="shared" si="45"/>
        <v>83917051.999999657</v>
      </c>
      <c r="O138" s="29">
        <f t="shared" si="45"/>
        <v>58700424.999999665</v>
      </c>
      <c r="P138" s="29">
        <f t="shared" si="45"/>
        <v>14071787.333333299</v>
      </c>
      <c r="Q138" s="29">
        <f t="shared" si="45"/>
        <v>6957272.3333333312</v>
      </c>
      <c r="R138" s="29">
        <f t="shared" si="45"/>
        <v>1338532.9999999967</v>
      </c>
      <c r="S138" s="29">
        <f t="shared" si="45"/>
        <v>4416113.6666666334</v>
      </c>
      <c r="T138" s="29">
        <f t="shared" si="45"/>
        <v>1359686.33333333</v>
      </c>
      <c r="U138" s="29">
        <f t="shared" si="45"/>
        <v>424337.99999999668</v>
      </c>
      <c r="V138" s="29">
        <f t="shared" si="45"/>
        <v>2069775.9999999965</v>
      </c>
      <c r="W138" s="29">
        <f t="shared" si="45"/>
        <v>0</v>
      </c>
      <c r="X138" s="29">
        <f t="shared" si="45"/>
        <v>0</v>
      </c>
      <c r="Y138" s="29">
        <f t="shared" si="45"/>
        <v>0</v>
      </c>
      <c r="Z138" s="29">
        <f t="shared" si="45"/>
        <v>0</v>
      </c>
      <c r="AA138" s="29">
        <f t="shared" si="45"/>
        <v>0</v>
      </c>
      <c r="AB138" s="29">
        <f t="shared" si="45"/>
        <v>0</v>
      </c>
      <c r="AC138" s="48">
        <f>SUM(M138:AB138)</f>
        <v>199303711.99999928</v>
      </c>
      <c r="AD138" s="49">
        <f>AC138/G140</f>
        <v>0.19903876195010692</v>
      </c>
    </row>
    <row r="139" spans="2:30" ht="15" x14ac:dyDescent="0.2">
      <c r="B139" s="25" t="s">
        <v>66</v>
      </c>
      <c r="C139" s="28"/>
      <c r="D139" s="6" t="s">
        <v>6</v>
      </c>
      <c r="E139" s="55"/>
      <c r="F139" s="6">
        <f>MATCH($D139,FAC_TOTALS_APTA!$A$2:$BB$2,)</f>
        <v>10</v>
      </c>
      <c r="G139" s="117">
        <f t="shared" si="41"/>
        <v>936108531.49763489</v>
      </c>
      <c r="H139" s="117">
        <f t="shared" si="41"/>
        <v>1285166527.1076531</v>
      </c>
      <c r="I139" s="112">
        <f t="shared" ref="I139:I140" si="48">H139/G139-1</f>
        <v>0.37288197240503429</v>
      </c>
      <c r="J139" s="31"/>
      <c r="K139" s="31"/>
      <c r="L139" s="6"/>
      <c r="M139" s="29">
        <f t="shared" ref="M139:AB139" si="49">SUM(M125:M132)</f>
        <v>16856494.741744507</v>
      </c>
      <c r="N139" s="29">
        <f t="shared" si="49"/>
        <v>36776297.11296884</v>
      </c>
      <c r="O139" s="29">
        <f t="shared" si="49"/>
        <v>16320111.407598361</v>
      </c>
      <c r="P139" s="29">
        <f t="shared" si="49"/>
        <v>24861122.113285262</v>
      </c>
      <c r="Q139" s="29">
        <f t="shared" si="49"/>
        <v>6229615.1773582948</v>
      </c>
      <c r="R139" s="29">
        <f t="shared" si="49"/>
        <v>30456475.33771668</v>
      </c>
      <c r="S139" s="29">
        <f t="shared" si="49"/>
        <v>-82095640.456889585</v>
      </c>
      <c r="T139" s="29">
        <f t="shared" si="49"/>
        <v>510931.46128909849</v>
      </c>
      <c r="U139" s="29">
        <f t="shared" si="49"/>
        <v>12660088.060726209</v>
      </c>
      <c r="V139" s="29">
        <f t="shared" si="49"/>
        <v>-3677946.3654782674</v>
      </c>
      <c r="W139" s="29">
        <f t="shared" si="49"/>
        <v>0</v>
      </c>
      <c r="X139" s="29">
        <f t="shared" si="49"/>
        <v>0</v>
      </c>
      <c r="Y139" s="29">
        <f t="shared" si="49"/>
        <v>0</v>
      </c>
      <c r="Z139" s="29">
        <f t="shared" si="49"/>
        <v>0</v>
      </c>
      <c r="AA139" s="29">
        <f t="shared" si="49"/>
        <v>0</v>
      </c>
      <c r="AB139" s="29">
        <f t="shared" si="49"/>
        <v>0</v>
      </c>
      <c r="AC139" s="32">
        <f>H139-G139</f>
        <v>349057995.61001825</v>
      </c>
      <c r="AD139" s="33">
        <f>I139</f>
        <v>0.37288197240503429</v>
      </c>
    </row>
    <row r="140" spans="2:30" ht="16" thickBot="1" x14ac:dyDescent="0.25">
      <c r="B140" s="9" t="s">
        <v>50</v>
      </c>
      <c r="C140" s="23"/>
      <c r="D140" s="23" t="s">
        <v>4</v>
      </c>
      <c r="E140" s="23"/>
      <c r="F140" s="23">
        <f>MATCH($D140,FAC_TOTALS_APTA!$A$2:$BB$2,)</f>
        <v>8</v>
      </c>
      <c r="G140" s="117">
        <f t="shared" si="41"/>
        <v>1001331148</v>
      </c>
      <c r="H140" s="117">
        <f t="shared" si="41"/>
        <v>1270276622.9999959</v>
      </c>
      <c r="I140" s="113">
        <f t="shared" si="48"/>
        <v>0.26858794469459157</v>
      </c>
      <c r="J140" s="50"/>
      <c r="K140" s="50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51">
        <f>H140-G140</f>
        <v>268945474.99999595</v>
      </c>
      <c r="AD140" s="52">
        <f>I140</f>
        <v>0.26858794469459157</v>
      </c>
    </row>
    <row r="141" spans="2:30" ht="17" thickTop="1" thickBot="1" x14ac:dyDescent="0.25">
      <c r="B141" s="57" t="s">
        <v>67</v>
      </c>
      <c r="C141" s="58"/>
      <c r="D141" s="58"/>
      <c r="E141" s="59"/>
      <c r="F141" s="58"/>
      <c r="G141" s="154"/>
      <c r="H141" s="154"/>
      <c r="I141" s="60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2">
        <f>AD140-AD139</f>
        <v>-0.10429402771044272</v>
      </c>
    </row>
    <row r="142" spans="2:30" ht="15" thickTop="1" x14ac:dyDescent="0.2"/>
  </sheetData>
  <mergeCells count="10">
    <mergeCell ref="G120:I120"/>
    <mergeCell ref="AC120:AD120"/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2"/>
  <sheetViews>
    <sheetView showGridLines="0" topLeftCell="A115" workbookViewId="0">
      <selection activeCell="A118" sqref="A118:XFD141"/>
    </sheetView>
  </sheetViews>
  <sheetFormatPr baseColWidth="10" defaultColWidth="11" defaultRowHeight="14" x14ac:dyDescent="0.2"/>
  <cols>
    <col min="1" max="1" width="11" style="10"/>
    <col min="2" max="2" width="32.5" style="11" bestFit="1" customWidth="1"/>
    <col min="3" max="3" width="5.33203125" style="12" customWidth="1"/>
    <col min="4" max="4" width="25.33203125" style="12" customWidth="1"/>
    <col min="5" max="5" width="5.1640625" style="13" bestFit="1" customWidth="1"/>
    <col min="6" max="6" width="11" style="12" customWidth="1"/>
    <col min="7" max="7" width="11.6640625" style="107" bestFit="1" customWidth="1"/>
    <col min="8" max="8" width="22.5" style="107" customWidth="1"/>
    <col min="9" max="9" width="21.83203125" style="14" customWidth="1"/>
    <col min="10" max="10" width="11" style="12" customWidth="1"/>
    <col min="11" max="11" width="24.5" style="12" customWidth="1"/>
    <col min="12" max="12" width="12.5" style="12" customWidth="1"/>
    <col min="13" max="13" width="13.5" style="12" customWidth="1"/>
    <col min="14" max="14" width="13" style="12" customWidth="1"/>
    <col min="15" max="15" width="11" style="12" customWidth="1"/>
    <col min="16" max="28" width="11.5" style="12" customWidth="1"/>
    <col min="29" max="29" width="16.5" style="12" customWidth="1"/>
    <col min="30" max="30" width="12" style="12" customWidth="1"/>
    <col min="31" max="31" width="11" style="10"/>
    <col min="32" max="16384" width="11" style="12"/>
  </cols>
  <sheetData>
    <row r="1" spans="1:31" ht="15" x14ac:dyDescent="0.2">
      <c r="B1" s="11" t="s">
        <v>36</v>
      </c>
      <c r="C1" s="12">
        <v>2012</v>
      </c>
    </row>
    <row r="2" spans="1:31" ht="15" x14ac:dyDescent="0.2">
      <c r="B2" s="15" t="s">
        <v>37</v>
      </c>
      <c r="C2" s="10">
        <v>2018</v>
      </c>
      <c r="D2" s="10"/>
    </row>
    <row r="3" spans="1:31" s="10" customFormat="1" ht="15" x14ac:dyDescent="0.2">
      <c r="B3" s="18" t="s">
        <v>25</v>
      </c>
      <c r="E3" s="6"/>
      <c r="G3" s="106"/>
      <c r="H3" s="106"/>
      <c r="I3" s="17"/>
    </row>
    <row r="4" spans="1:31" ht="15" x14ac:dyDescent="0.2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ht="15" x14ac:dyDescent="0.2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6" thickBot="1" x14ac:dyDescent="0.25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5" thickTop="1" x14ac:dyDescent="0.2">
      <c r="B8" s="61"/>
      <c r="C8" s="62"/>
      <c r="D8" s="62"/>
      <c r="E8" s="62"/>
      <c r="F8" s="62"/>
      <c r="G8" s="240" t="s">
        <v>51</v>
      </c>
      <c r="H8" s="240"/>
      <c r="I8" s="240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40" t="s">
        <v>55</v>
      </c>
      <c r="AD8" s="240"/>
    </row>
    <row r="9" spans="1:31" ht="15" x14ac:dyDescent="0.2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ht="15" x14ac:dyDescent="0.2">
      <c r="A13" s="6"/>
      <c r="B13" s="115" t="s">
        <v>31</v>
      </c>
      <c r="C13" s="116" t="s">
        <v>21</v>
      </c>
      <c r="D13" s="104" t="s">
        <v>87</v>
      </c>
      <c r="E13" s="55"/>
      <c r="F13" s="6">
        <f>MATCH($D13,FAC_TOTALS_APTA!$A$2:$BD$2,)</f>
        <v>12</v>
      </c>
      <c r="G13" s="117">
        <f>VLOOKUP(G11,FAC_TOTALS_APTA!$A$4:$BD$126,$F13,FALSE)</f>
        <v>63654979.010831997</v>
      </c>
      <c r="H13" s="117">
        <f>VLOOKUP(H11,FAC_TOTALS_APTA!$A$4:$BD$126,$F13,FALSE)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VRM_ADJ_BUS_log_FAC</v>
      </c>
      <c r="L13" s="6">
        <f>MATCH($K13,FAC_TOTALS_APTA!$A$2:$BB$2,)</f>
        <v>30</v>
      </c>
      <c r="M13" s="29">
        <f>IF(M11=0,0,VLOOKUP(M11,FAC_TOTALS_APTA!$A$4:$BD$126,$L13,FALSE))</f>
        <v>15320256.4839039</v>
      </c>
      <c r="N13" s="29">
        <f>IF(N11=0,0,VLOOKUP(N11,FAC_TOTALS_APTA!$A$4:$BD$126,$L13,FALSE))</f>
        <v>2799364.69961853</v>
      </c>
      <c r="O13" s="29">
        <f>IF(O11=0,0,VLOOKUP(O11,FAC_TOTALS_APTA!$A$4:$BD$126,$L13,FALSE))</f>
        <v>16164729.3272873</v>
      </c>
      <c r="P13" s="29">
        <f>IF(P11=0,0,VLOOKUP(P11,FAC_TOTALS_APTA!$A$4:$BD$126,$L13,FALSE))</f>
        <v>15483945.021248</v>
      </c>
      <c r="Q13" s="29">
        <f>IF(Q11=0,0,VLOOKUP(Q11,FAC_TOTALS_APTA!$A$4:$BD$126,$L13,FALSE))</f>
        <v>7834323.8755453601</v>
      </c>
      <c r="R13" s="29">
        <f>IF(R11=0,0,VLOOKUP(R11,FAC_TOTALS_APTA!$A$4:$BD$126,$L13,FALSE))</f>
        <v>6055640.0625807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63658259.470183782</v>
      </c>
      <c r="AD13" s="33">
        <f>AC13/G27</f>
        <v>2.4519580700399762E-2</v>
      </c>
      <c r="AE13" s="6"/>
    </row>
    <row r="14" spans="1:31" s="13" customFormat="1" ht="15" x14ac:dyDescent="0.2">
      <c r="A14" s="6"/>
      <c r="B14" s="115" t="s">
        <v>52</v>
      </c>
      <c r="C14" s="116" t="s">
        <v>21</v>
      </c>
      <c r="D14" s="104" t="s">
        <v>88</v>
      </c>
      <c r="E14" s="55"/>
      <c r="F14" s="6">
        <f>MATCH($D14,FAC_TOTALS_APTA!$A$2:$BD$2,)</f>
        <v>14</v>
      </c>
      <c r="G14" s="123">
        <f>VLOOKUP(G11,FAC_TOTALS_APTA!$A$4:$BD$126,$F14,FALSE)</f>
        <v>1.03319372827068</v>
      </c>
      <c r="H14" s="123">
        <f>VLOOKUP(H11,FAC_TOTALS_APTA!$A$4:$BD$126,$F14,FALSE)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FARE_per_UPT_cleaned_2018_BUS_log_FAC</v>
      </c>
      <c r="L14" s="6">
        <f>MATCH($K14,FAC_TOTALS_APTA!$A$2:$BB$2,)</f>
        <v>32</v>
      </c>
      <c r="M14" s="29">
        <f>IF(M11=0,0,VLOOKUP(M11,FAC_TOTALS_APTA!$A$4:$BD$126,$L14,FALSE))</f>
        <v>-12210318.4265201</v>
      </c>
      <c r="N14" s="29">
        <f>IF(N11=0,0,VLOOKUP(N11,FAC_TOTALS_APTA!$A$4:$BD$126,$L14,FALSE))</f>
        <v>-3440403.9505489198</v>
      </c>
      <c r="O14" s="29">
        <f>IF(O11=0,0,VLOOKUP(O11,FAC_TOTALS_APTA!$A$4:$BD$126,$L14,FALSE))</f>
        <v>-20089434.082403801</v>
      </c>
      <c r="P14" s="29">
        <f>IF(P11=0,0,VLOOKUP(P11,FAC_TOTALS_APTA!$A$4:$BD$126,$L14,FALSE))</f>
        <v>-15961361.153643901</v>
      </c>
      <c r="Q14" s="29">
        <f>IF(Q11=0,0,VLOOKUP(Q11,FAC_TOTALS_APTA!$A$4:$BD$126,$L14,FALSE))</f>
        <v>24426564.490045901</v>
      </c>
      <c r="R14" s="29">
        <f>IF(R11=0,0,VLOOKUP(R11,FAC_TOTALS_APTA!$A$4:$BD$126,$L14,FALSE))</f>
        <v>20065591.094436999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-7209362.028633818</v>
      </c>
      <c r="AD14" s="33">
        <f>AC14/G27</f>
        <v>-2.7768672208557687E-3</v>
      </c>
      <c r="AE14" s="6"/>
    </row>
    <row r="15" spans="1:31" s="13" customFormat="1" ht="15" x14ac:dyDescent="0.2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76">
        <f>VLOOKUP(H11,FAC_TOTALS_APTA!$A$4:$BD$126,$F15,FALSE)</f>
        <v>3.2146127591773301E-2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1621605.7212227201</v>
      </c>
      <c r="P15" s="117">
        <f>IF(P11=0,0,VLOOKUP(P11,FAC_TOTALS_APTA!$A$4:$BD$126,$L15,FALSE))</f>
        <v>1596379.6869196401</v>
      </c>
      <c r="Q15" s="117">
        <f>IF(Q11=0,0,VLOOKUP(Q11,FAC_TOTALS_APTA!$A$4:$BD$126,$L15,FALSE))</f>
        <v>1763685.3685756</v>
      </c>
      <c r="R15" s="117">
        <f>IF(R11=0,0,VLOOKUP(R11,FAC_TOTALS_APTA!$A$4:$BD$126,$L15,FALSE))</f>
        <v>-1460674.8951131499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3520995.8816048102</v>
      </c>
      <c r="AD15" s="122">
        <f>AC15/G28</f>
        <v>1.3856422105643106E-3</v>
      </c>
      <c r="AE15" s="6"/>
    </row>
    <row r="16" spans="1:31" s="13" customFormat="1" ht="15" x14ac:dyDescent="0.2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ht="15" x14ac:dyDescent="0.2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117">
        <f>VLOOKUP(G11,FAC_TOTALS_APTA!$A$4:$BD$126,$F17,FALSE)</f>
        <v>10106162.1305601</v>
      </c>
      <c r="H17" s="117">
        <f>VLOOKUP(H11,FAC_TOTALS_APTA!$A$4:$BD$126,$F17,FALSE)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6671214.1760201901</v>
      </c>
      <c r="N17" s="29">
        <f>IF(N11=0,0,VLOOKUP(N11,FAC_TOTALS_APTA!$A$4:$BD$126,$L17,FALSE))</f>
        <v>7918046.8659014003</v>
      </c>
      <c r="O17" s="29">
        <f>IF(O11=0,0,VLOOKUP(O11,FAC_TOTALS_APTA!$A$4:$BD$126,$L17,FALSE))</f>
        <v>6834317.78860592</v>
      </c>
      <c r="P17" s="29">
        <f>IF(P11=0,0,VLOOKUP(P11,FAC_TOTALS_APTA!$A$4:$BD$126,$L17,FALSE))</f>
        <v>5152490.4286909699</v>
      </c>
      <c r="Q17" s="29">
        <f>IF(Q11=0,0,VLOOKUP(Q11,FAC_TOTALS_APTA!$A$4:$BD$126,$L17,FALSE))</f>
        <v>5982112.4413540503</v>
      </c>
      <c r="R17" s="29">
        <f>IF(R11=0,0,VLOOKUP(R11,FAC_TOTALS_APTA!$A$4:$BD$126,$L17,FALSE))</f>
        <v>4631399.2725235298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37189580.973096058</v>
      </c>
      <c r="AD17" s="33">
        <f>AC17/G27</f>
        <v>1.4324503049144515E-2</v>
      </c>
      <c r="AE17" s="6"/>
    </row>
    <row r="18" spans="1:31" s="13" customFormat="1" ht="15" x14ac:dyDescent="0.2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123">
        <f>VLOOKUP(G11,FAC_TOTALS_APTA!$A$4:$BD$126,$F18,FALSE)</f>
        <v>0.55566673939080602</v>
      </c>
      <c r="H18" s="123">
        <f>VLOOKUP(H11,FAC_TOTALS_APTA!$A$4:$BD$126,$F18,FALSE)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-141277.05670140201</v>
      </c>
      <c r="N18" s="29">
        <f>IF(N11=0,0,VLOOKUP(N11,FAC_TOTALS_APTA!$A$4:$BD$126,$L18,FALSE))</f>
        <v>-539722.07620426</v>
      </c>
      <c r="O18" s="29">
        <f>IF(O11=0,0,VLOOKUP(O11,FAC_TOTALS_APTA!$A$4:$BD$126,$L18,FALSE))</f>
        <v>663623.33570457099</v>
      </c>
      <c r="P18" s="29">
        <f>IF(P11=0,0,VLOOKUP(P11,FAC_TOTALS_APTA!$A$4:$BD$126,$L18,FALSE))</f>
        <v>-525345.63220226602</v>
      </c>
      <c r="Q18" s="29">
        <f>IF(Q11=0,0,VLOOKUP(Q11,FAC_TOTALS_APTA!$A$4:$BD$126,$L18,FALSE))</f>
        <v>-1104070.2500897001</v>
      </c>
      <c r="R18" s="29">
        <f>IF(R11=0,0,VLOOKUP(R11,FAC_TOTALS_APTA!$A$4:$BD$126,$L18,FALSE))</f>
        <v>828465.11952008202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-818326.55997297505</v>
      </c>
      <c r="AD18" s="33">
        <f>AC18/G27</f>
        <v>-3.1519906911586126E-4</v>
      </c>
      <c r="AE18" s="6"/>
    </row>
    <row r="19" spans="1:31" s="13" customFormat="1" ht="15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125">
        <f>VLOOKUP(G11,FAC_TOTALS_APTA!$A$4:$BD$126,$F19,FALSE)</f>
        <v>4.1402142572755398</v>
      </c>
      <c r="H19" s="125">
        <f>VLOOKUP(H11,FAC_TOTALS_APTA!$A$4:$BD$126,$F19,FALSE)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-12437139.929720201</v>
      </c>
      <c r="N19" s="29">
        <f>IF(N11=0,0,VLOOKUP(N11,FAC_TOTALS_APTA!$A$4:$BD$126,$L19,FALSE))</f>
        <v>-15504484.674719101</v>
      </c>
      <c r="O19" s="29">
        <f>IF(O11=0,0,VLOOKUP(O11,FAC_TOTALS_APTA!$A$4:$BD$126,$L19,FALSE))</f>
        <v>-75298478.472686797</v>
      </c>
      <c r="P19" s="29">
        <f>IF(P11=0,0,VLOOKUP(P11,FAC_TOTALS_APTA!$A$4:$BD$126,$L19,FALSE))</f>
        <v>-31611109.506399099</v>
      </c>
      <c r="Q19" s="29">
        <f>IF(Q11=0,0,VLOOKUP(Q11,FAC_TOTALS_APTA!$A$4:$BD$126,$L19,FALSE))</f>
        <v>20418865.6239613</v>
      </c>
      <c r="R19" s="29">
        <f>IF(R11=0,0,VLOOKUP(R11,FAC_TOTALS_APTA!$A$4:$BD$126,$L19,FALSE))</f>
        <v>25062075.526025999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-89370271.433537915</v>
      </c>
      <c r="AD19" s="33">
        <f>AC19/G27</f>
        <v>-3.4423209193421858E-2</v>
      </c>
      <c r="AE19" s="6"/>
    </row>
    <row r="20" spans="1:31" s="13" customFormat="1" ht="15" x14ac:dyDescent="0.2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123">
        <f>VLOOKUP(G11,FAC_TOTALS_APTA!$A$4:$BD$126,$F20,FALSE)</f>
        <v>32885.708578535901</v>
      </c>
      <c r="H20" s="123">
        <f>VLOOKUP(H11,FAC_TOTALS_APTA!$A$4:$BD$126,$F20,FALSE)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-1059156.6157464499</v>
      </c>
      <c r="N20" s="29">
        <f>IF(N11=0,0,VLOOKUP(N11,FAC_TOTALS_APTA!$A$4:$BD$126,$L20,FALSE))</f>
        <v>-1542060.0905571899</v>
      </c>
      <c r="O20" s="29">
        <f>IF(O11=0,0,VLOOKUP(O11,FAC_TOTALS_APTA!$A$4:$BD$126,$L20,FALSE))</f>
        <v>-5961392.6371671697</v>
      </c>
      <c r="P20" s="29">
        <f>IF(P11=0,0,VLOOKUP(P11,FAC_TOTALS_APTA!$A$4:$BD$126,$L20,FALSE))</f>
        <v>-3833078.8870814401</v>
      </c>
      <c r="Q20" s="29">
        <f>IF(Q11=0,0,VLOOKUP(Q11,FAC_TOTALS_APTA!$A$4:$BD$126,$L20,FALSE))</f>
        <v>-3793188.78230666</v>
      </c>
      <c r="R20" s="29">
        <f>IF(R11=0,0,VLOOKUP(R11,FAC_TOTALS_APTA!$A$4:$BD$126,$L20,FALSE))</f>
        <v>-3853069.15477901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-20041946.167637922</v>
      </c>
      <c r="AD20" s="33">
        <f>AC20/G27</f>
        <v>-7.7196599552118899E-3</v>
      </c>
      <c r="AE20" s="6"/>
    </row>
    <row r="21" spans="1:31" s="13" customFormat="1" ht="15" x14ac:dyDescent="0.2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117">
        <f>VLOOKUP(G11,FAC_TOTALS_APTA!$A$4:$BD$126,$F21,FALSE)</f>
        <v>9.9589405328228597</v>
      </c>
      <c r="H21" s="117">
        <f>VLOOKUP(H11,FAC_TOTALS_APTA!$A$4:$BD$126,$F21,FALSE)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-1294855.2653189099</v>
      </c>
      <c r="N21" s="29">
        <f>IF(N11=0,0,VLOOKUP(N11,FAC_TOTALS_APTA!$A$4:$BD$126,$L21,FALSE))</f>
        <v>-320568.56732176902</v>
      </c>
      <c r="O21" s="29">
        <f>IF(O11=0,0,VLOOKUP(O11,FAC_TOTALS_APTA!$A$4:$BD$126,$L21,FALSE))</f>
        <v>-639524.48604372202</v>
      </c>
      <c r="P21" s="29">
        <f>IF(P11=0,0,VLOOKUP(P11,FAC_TOTALS_APTA!$A$4:$BD$126,$L21,FALSE))</f>
        <v>-644927.72871518601</v>
      </c>
      <c r="Q21" s="29">
        <f>IF(Q11=0,0,VLOOKUP(Q11,FAC_TOTALS_APTA!$A$4:$BD$126,$L21,FALSE))</f>
        <v>-674079.68177445501</v>
      </c>
      <c r="R21" s="29">
        <f>IF(R11=0,0,VLOOKUP(R11,FAC_TOTALS_APTA!$A$4:$BD$126,$L21,FALSE))</f>
        <v>-614414.86120328098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-4188370.5903773233</v>
      </c>
      <c r="AD21" s="33">
        <f>AC21/G27</f>
        <v>-1.613256340161782E-3</v>
      </c>
      <c r="AE21" s="6"/>
    </row>
    <row r="22" spans="1:31" s="13" customFormat="1" ht="15" x14ac:dyDescent="0.2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125">
        <f>VLOOKUP(G11,FAC_TOTALS_APTA!$A$4:$BD$126,$F22,FALSE)</f>
        <v>4.9873568486467601</v>
      </c>
      <c r="H22" s="125">
        <f>VLOOKUP(H11,FAC_TOTALS_APTA!$A$4:$BD$126,$F22,FALSE)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-29172.88919989</v>
      </c>
      <c r="N22" s="29">
        <f>IF(N11=0,0,VLOOKUP(N11,FAC_TOTALS_APTA!$A$4:$BD$126,$L22,FALSE))</f>
        <v>-3140707.32232256</v>
      </c>
      <c r="O22" s="29">
        <f>IF(O11=0,0,VLOOKUP(O11,FAC_TOTALS_APTA!$A$4:$BD$126,$L22,FALSE))</f>
        <v>-2579850.28401493</v>
      </c>
      <c r="P22" s="29">
        <f>IF(P11=0,0,VLOOKUP(P11,FAC_TOTALS_APTA!$A$4:$BD$126,$L22,FALSE))</f>
        <v>-8108202.2660836903</v>
      </c>
      <c r="Q22" s="29">
        <f>IF(Q11=0,0,VLOOKUP(Q11,FAC_TOTALS_APTA!$A$4:$BD$126,$L22,FALSE))</f>
        <v>-2992337.6675694198</v>
      </c>
      <c r="R22" s="29">
        <f>IF(R11=0,0,VLOOKUP(R11,FAC_TOTALS_APTA!$A$4:$BD$126,$L22,FALSE))</f>
        <v>-4021421.5012425599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-20871691.93043305</v>
      </c>
      <c r="AD22" s="33">
        <f>AC22/G27</f>
        <v>-8.0392574176778413E-3</v>
      </c>
      <c r="AE22" s="6"/>
    </row>
    <row r="23" spans="1:31" s="13" customFormat="1" ht="15" x14ac:dyDescent="0.2">
      <c r="A23" s="6"/>
      <c r="B23" s="115" t="s">
        <v>63</v>
      </c>
      <c r="C23" s="116"/>
      <c r="D23" s="126" t="s">
        <v>89</v>
      </c>
      <c r="E23" s="55"/>
      <c r="F23" s="6">
        <f>MATCH($D23,FAC_TOTALS_APTA!$A$2:$BD$2,)</f>
        <v>24</v>
      </c>
      <c r="G23" s="125">
        <f>VLOOKUP(G11,FAC_TOTALS_APTA!$A$4:$BD$126,$F23,FALSE)</f>
        <v>0.50499774940706799</v>
      </c>
      <c r="H23" s="125">
        <f>VLOOKUP(H11,FAC_TOTALS_APTA!$A$4:$BD$126,$F23,FALSE)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YEARS_SINCE_TNC_BUS_HINY_FAC</v>
      </c>
      <c r="L23" s="6">
        <f>MATCH($K23,FAC_TOTALS_APTA!$A$2:$BB$2,)</f>
        <v>42</v>
      </c>
      <c r="M23" s="29">
        <f>IF(M11=0,0,VLOOKUP(M11,FAC_TOTALS_APTA!$A$4:$BD$126,$L23,FALSE))</f>
        <v>-39894662.3628949</v>
      </c>
      <c r="N23" s="29">
        <f>IF(N11=0,0,VLOOKUP(N11,FAC_TOTALS_APTA!$A$4:$BD$126,$L23,FALSE))</f>
        <v>-42702945.434217602</v>
      </c>
      <c r="O23" s="29">
        <f>IF(O11=0,0,VLOOKUP(O11,FAC_TOTALS_APTA!$A$4:$BD$126,$L23,FALSE))</f>
        <v>-48256290.604243197</v>
      </c>
      <c r="P23" s="29">
        <f>IF(P11=0,0,VLOOKUP(P11,FAC_TOTALS_APTA!$A$4:$BD$126,$L23,FALSE))</f>
        <v>-47002561.869898602</v>
      </c>
      <c r="Q23" s="29">
        <f>IF(Q11=0,0,VLOOKUP(Q11,FAC_TOTALS_APTA!$A$4:$BD$126,$L23,FALSE))</f>
        <v>-44654416.589023598</v>
      </c>
      <c r="R23" s="29">
        <f>IF(R11=0,0,VLOOKUP(R11,FAC_TOTALS_APTA!$A$4:$BD$126,$L23,FALSE))</f>
        <v>-42872765.687049396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-265383642.54732728</v>
      </c>
      <c r="AD23" s="33">
        <f>AC23/G27</f>
        <v>-0.10221918874569647</v>
      </c>
      <c r="AE23" s="6"/>
    </row>
    <row r="24" spans="1:31" s="13" customFormat="1" ht="15" x14ac:dyDescent="0.2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123">
        <f>VLOOKUP(G11,FAC_TOTALS_APTA!$A$4:$BD$126,$F24,FALSE)</f>
        <v>0.20578687227443601</v>
      </c>
      <c r="H24" s="123">
        <f>VLOOKUP(H11,FAC_TOTALS_APTA!$A$4:$BD$126,$F24,FALSE)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-7793655.2959113503</v>
      </c>
      <c r="O24" s="29">
        <f>IF(O11=0,0,VLOOKUP(O11,FAC_TOTALS_APTA!$A$4:$BD$126,$L24,FALSE))</f>
        <v>-6666096.4804303804</v>
      </c>
      <c r="P24" s="29">
        <f>IF(P11=0,0,VLOOKUP(P11,FAC_TOTALS_APTA!$A$4:$BD$126,$L24,FALSE))</f>
        <v>-6466561.3965962296</v>
      </c>
      <c r="Q24" s="29">
        <f>IF(Q11=0,0,VLOOKUP(Q11,FAC_TOTALS_APTA!$A$4:$BD$126,$L24,FALSE))</f>
        <v>0</v>
      </c>
      <c r="R24" s="29">
        <f>IF(R11=0,0,VLOOKUP(R11,FAC_TOTALS_APTA!$A$4:$BD$126,$L24,FALSE))</f>
        <v>-310695.32207366801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-21237008.495011628</v>
      </c>
      <c r="AD24" s="33">
        <f>AC24/G27</f>
        <v>-8.1799682863212542E-3</v>
      </c>
      <c r="AE24" s="6"/>
    </row>
    <row r="25" spans="1:31" s="13" customFormat="1" ht="15" x14ac:dyDescent="0.2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131">
        <f>VLOOKUP(G11,FAC_TOTALS_APTA!$A$4:$BD$126,$F25,FALSE)</f>
        <v>0</v>
      </c>
      <c r="H25" s="131">
        <f>VLOOKUP(H11,FAC_TOTALS_APTA!$A$4:$BD$126,$F25,FALSE)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-49443353.3376531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-49443353.3376531</v>
      </c>
      <c r="AD25" s="40">
        <f>AC25/G27</f>
        <v>-1.9044351861816074E-2</v>
      </c>
      <c r="AE25" s="6"/>
    </row>
    <row r="26" spans="1:31" s="13" customFormat="1" ht="15" x14ac:dyDescent="0.2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ht="15" x14ac:dyDescent="0.2">
      <c r="A27" s="104"/>
      <c r="B27" s="115" t="s">
        <v>66</v>
      </c>
      <c r="C27" s="116"/>
      <c r="D27" s="104" t="s">
        <v>6</v>
      </c>
      <c r="E27" s="55"/>
      <c r="F27" s="6">
        <f>MATCH($D27,FAC_TOTALS_APTA!$A$2:$BB$2,)</f>
        <v>10</v>
      </c>
      <c r="G27" s="117">
        <f>VLOOKUP(G11,FAC_TOTALS_APTA!$A$4:$BD$126,$F27,FALSE)</f>
        <v>2596221372.9513698</v>
      </c>
      <c r="H27" s="117">
        <f>VLOOKUP(H11,FAC_TOTALS_APTA!$A$4:$BB$126,$F27,FALSE)</f>
        <v>2226350490.5049801</v>
      </c>
      <c r="I27" s="112">
        <f t="shared" ref="I27:I28" si="6">H27/G27-1</f>
        <v>-0.1424650787871462</v>
      </c>
      <c r="J27" s="31"/>
      <c r="K27" s="31"/>
      <c r="L27" s="6"/>
      <c r="M27" s="29">
        <f t="shared" ref="M27:AB27" si="7">SUM(M13:M20)</f>
        <v>-3856421.3687640615</v>
      </c>
      <c r="N27" s="29">
        <f t="shared" si="7"/>
        <v>-10309259.226509539</v>
      </c>
      <c r="O27" s="29">
        <f t="shared" si="7"/>
        <v>-76065029.019437253</v>
      </c>
      <c r="P27" s="29">
        <f t="shared" si="7"/>
        <v>-29698080.042468097</v>
      </c>
      <c r="Q27" s="29">
        <f t="shared" si="7"/>
        <v>55528292.76708585</v>
      </c>
      <c r="R27" s="29">
        <f t="shared" si="7"/>
        <v>51329427.025195152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-369870882.44638968</v>
      </c>
      <c r="AD27" s="33">
        <f>I27</f>
        <v>-0.1424650787871462</v>
      </c>
      <c r="AE27" s="104"/>
    </row>
    <row r="28" spans="1:31" ht="16" thickBot="1" x14ac:dyDescent="0.25">
      <c r="B28" s="147" t="s">
        <v>50</v>
      </c>
      <c r="C28" s="148"/>
      <c r="D28" s="148" t="s">
        <v>4</v>
      </c>
      <c r="E28" s="23"/>
      <c r="F28" s="23">
        <f>MATCH($D28,FAC_TOTALS_APTA!$A$2:$BB$2,)</f>
        <v>8</v>
      </c>
      <c r="G28" s="114">
        <f>VLOOKUP(G11,FAC_TOTALS_APTA!$A$4:$BB$126,$F28,FALSE)</f>
        <v>2541057030.99999</v>
      </c>
      <c r="H28" s="114">
        <f>VLOOKUP(H11,FAC_TOTALS_APTA!$A$4:$BB$126,$F28,FALSE)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7" thickTop="1" thickBot="1" x14ac:dyDescent="0.25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-1.0462330610888637E-3</v>
      </c>
    </row>
    <row r="30" spans="1:31" ht="15" thickTop="1" x14ac:dyDescent="0.2"/>
    <row r="31" spans="1:31" s="10" customFormat="1" ht="15" x14ac:dyDescent="0.2">
      <c r="B31" s="18" t="s">
        <v>25</v>
      </c>
      <c r="E31" s="6"/>
      <c r="G31" s="106"/>
      <c r="H31" s="106"/>
      <c r="I31" s="17"/>
    </row>
    <row r="32" spans="1:31" ht="15" x14ac:dyDescent="0.2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ht="15" x14ac:dyDescent="0.2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6" thickBot="1" x14ac:dyDescent="0.25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5" thickTop="1" x14ac:dyDescent="0.2">
      <c r="B36" s="61"/>
      <c r="C36" s="62"/>
      <c r="D36" s="62"/>
      <c r="E36" s="62"/>
      <c r="F36" s="62"/>
      <c r="G36" s="240" t="s">
        <v>51</v>
      </c>
      <c r="H36" s="240"/>
      <c r="I36" s="240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40" t="s">
        <v>55</v>
      </c>
      <c r="AD36" s="240"/>
    </row>
    <row r="37" spans="2:30" ht="15" x14ac:dyDescent="0.2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3" hidden="1" customHeight="1" x14ac:dyDescent="0.2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3" hidden="1" customHeight="1" x14ac:dyDescent="0.2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3" hidden="1" customHeight="1" x14ac:dyDescent="0.2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ht="15" x14ac:dyDescent="0.2">
      <c r="B41" s="25" t="s">
        <v>31</v>
      </c>
      <c r="C41" s="28" t="s">
        <v>21</v>
      </c>
      <c r="D41" s="104" t="s">
        <v>87</v>
      </c>
      <c r="E41" s="55"/>
      <c r="F41" s="6">
        <f>MATCH($D41,FAC_TOTALS_APTA!$A$2:$BD$2,)</f>
        <v>12</v>
      </c>
      <c r="G41" s="117">
        <f>VLOOKUP(G39,FAC_TOTALS_APTA!$A$4:$BD$126,$F41,FALSE)</f>
        <v>11264859.978528</v>
      </c>
      <c r="H41" s="117">
        <f>VLOOKUP(H39,FAC_TOTALS_APTA!$A$4:$BD$126,$F41,FALSE)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VRM_ADJ_BUS_log_FAC</v>
      </c>
      <c r="L41" s="6">
        <f>MATCH($K41,FAC_TOTALS_APTA!$A$2:$BB$2,)</f>
        <v>30</v>
      </c>
      <c r="M41" s="29">
        <f>IF(M39=0,0,VLOOKUP(M39,FAC_TOTALS_APTA!$A$4:$BD$126,$L41,FALSE))</f>
        <v>2859690.6191149699</v>
      </c>
      <c r="N41" s="29">
        <f>IF(N39=0,0,VLOOKUP(N39,FAC_TOTALS_APTA!$A$4:$BD$126,$L41,FALSE))</f>
        <v>6515568.5939772604</v>
      </c>
      <c r="O41" s="29">
        <f>IF(O39=0,0,VLOOKUP(O39,FAC_TOTALS_APTA!$A$4:$BD$126,$L41,FALSE))</f>
        <v>12705383.8041442</v>
      </c>
      <c r="P41" s="29">
        <f>IF(P39=0,0,VLOOKUP(P39,FAC_TOTALS_APTA!$A$4:$BD$126,$L41,FALSE))</f>
        <v>12309222.749712501</v>
      </c>
      <c r="Q41" s="29">
        <f>IF(Q39=0,0,VLOOKUP(Q39,FAC_TOTALS_APTA!$A$4:$BD$126,$L41,FALSE))</f>
        <v>3763137.9382464699</v>
      </c>
      <c r="R41" s="29">
        <f>IF(R39=0,0,VLOOKUP(R39,FAC_TOTALS_APTA!$A$4:$BD$126,$L41,FALSE))</f>
        <v>6961380.5081279203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45114384.213323317</v>
      </c>
      <c r="AD41" s="33">
        <f>AC41/G55</f>
        <v>4.7435170974474514E-2</v>
      </c>
    </row>
    <row r="42" spans="2:30" ht="15" x14ac:dyDescent="0.2">
      <c r="B42" s="25" t="s">
        <v>52</v>
      </c>
      <c r="C42" s="28" t="s">
        <v>21</v>
      </c>
      <c r="D42" s="104" t="s">
        <v>88</v>
      </c>
      <c r="E42" s="55"/>
      <c r="F42" s="6">
        <f>MATCH($D42,FAC_TOTALS_APTA!$A$2:$BD$2,)</f>
        <v>14</v>
      </c>
      <c r="G42" s="123">
        <f>VLOOKUP(G39,FAC_TOTALS_APTA!$A$4:$BD$126,$F42,FALSE)</f>
        <v>0.99257439422925597</v>
      </c>
      <c r="H42" s="123">
        <f>VLOOKUP(H39,FAC_TOTALS_APTA!$A$4:$BD$126,$F42,FALSE)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FARE_per_UPT_cleaned_2018_BUS_log_FAC</v>
      </c>
      <c r="L42" s="6">
        <f>MATCH($K42,FAC_TOTALS_APTA!$A$2:$BB$2,)</f>
        <v>32</v>
      </c>
      <c r="M42" s="29">
        <f>IF(M39=0,0,VLOOKUP(M39,FAC_TOTALS_APTA!$A$4:$BD$126,$L42,FALSE))</f>
        <v>-7798464.8489393601</v>
      </c>
      <c r="N42" s="29">
        <f>IF(N39=0,0,VLOOKUP(N39,FAC_TOTALS_APTA!$A$4:$BD$126,$L42,FALSE))</f>
        <v>3482394.4997145901</v>
      </c>
      <c r="O42" s="29">
        <f>IF(O39=0,0,VLOOKUP(O39,FAC_TOTALS_APTA!$A$4:$BD$126,$L42,FALSE))</f>
        <v>-1947175.51258246</v>
      </c>
      <c r="P42" s="29">
        <f>IF(P39=0,0,VLOOKUP(P39,FAC_TOTALS_APTA!$A$4:$BD$126,$L42,FALSE))</f>
        <v>-3581815.2317296299</v>
      </c>
      <c r="Q42" s="29">
        <f>IF(Q39=0,0,VLOOKUP(Q39,FAC_TOTALS_APTA!$A$4:$BD$126,$L42,FALSE))</f>
        <v>2794796.8384182798</v>
      </c>
      <c r="R42" s="29">
        <f>IF(R39=0,0,VLOOKUP(R39,FAC_TOTALS_APTA!$A$4:$BD$126,$L42,FALSE))</f>
        <v>3759697.7564474298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2">SUM(M42:AB42)</f>
        <v>-3290566.4986711517</v>
      </c>
      <c r="AD42" s="33">
        <f>AC42/G55</f>
        <v>-3.4598407401346615E-3</v>
      </c>
    </row>
    <row r="43" spans="2:30" ht="15" x14ac:dyDescent="0.2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2.9190098907668102E-2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534945.43560017098</v>
      </c>
      <c r="P43" s="117">
        <f>IF(P39=0,0,VLOOKUP(P39,FAC_TOTALS_APTA!$A$4:$BD$126,$L43,FALSE))</f>
        <v>0</v>
      </c>
      <c r="Q43" s="117">
        <f>IF(Q39=0,0,VLOOKUP(Q39,FAC_TOTALS_APTA!$A$4:$BD$126,$L43,FALSE))</f>
        <v>438955.454091575</v>
      </c>
      <c r="R43" s="117">
        <f>IF(R39=0,0,VLOOKUP(R39,FAC_TOTALS_APTA!$A$4:$BD$126,$L43,FALSE))</f>
        <v>435455.77237049199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2"/>
        <v>1409356.662062238</v>
      </c>
      <c r="AD43" s="122">
        <f>AC43/G56</f>
        <v>1.466221850821585E-3</v>
      </c>
    </row>
    <row r="44" spans="2:30" ht="15" x14ac:dyDescent="0.2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2"/>
        <v>0</v>
      </c>
      <c r="AD44" s="122">
        <f>AC44/G56</f>
        <v>0</v>
      </c>
    </row>
    <row r="45" spans="2:30" ht="15" x14ac:dyDescent="0.2">
      <c r="B45" s="25" t="s">
        <v>48</v>
      </c>
      <c r="C45" s="28" t="s">
        <v>21</v>
      </c>
      <c r="D45" s="104" t="s">
        <v>8</v>
      </c>
      <c r="E45" s="55"/>
      <c r="F45" s="6">
        <f>MATCH($D45,FAC_TOTALS_APTA!$A$2:$BD$2,)</f>
        <v>16</v>
      </c>
      <c r="G45" s="117">
        <f>VLOOKUP(G39,FAC_TOTALS_APTA!$A$4:$BD$126,$F45,FALSE)</f>
        <v>2552570.2182420199</v>
      </c>
      <c r="H45" s="117">
        <f>VLOOKUP(H39,FAC_TOTALS_APTA!$A$4:$BD$126,$F45,FALSE)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MATCH($K45,FAC_TOTALS_APTA!$A$2:$BB$2,)</f>
        <v>34</v>
      </c>
      <c r="M45" s="29">
        <f>IF(M39=0,0,VLOOKUP(M39,FAC_TOTALS_APTA!$A$4:$BD$126,$L45,FALSE))</f>
        <v>3569289.2427819902</v>
      </c>
      <c r="N45" s="29">
        <f>IF(N39=0,0,VLOOKUP(N39,FAC_TOTALS_APTA!$A$4:$BD$126,$L45,FALSE))</f>
        <v>2703293.2888610102</v>
      </c>
      <c r="O45" s="29">
        <f>IF(O39=0,0,VLOOKUP(O39,FAC_TOTALS_APTA!$A$4:$BD$126,$L45,FALSE))</f>
        <v>2648913.8839835399</v>
      </c>
      <c r="P45" s="29">
        <f>IF(P39=0,0,VLOOKUP(P39,FAC_TOTALS_APTA!$A$4:$BD$126,$L45,FALSE))</f>
        <v>2467364.1328561502</v>
      </c>
      <c r="Q45" s="29">
        <f>IF(Q39=0,0,VLOOKUP(Q39,FAC_TOTALS_APTA!$A$4:$BD$126,$L45,FALSE))</f>
        <v>2501719.0852741101</v>
      </c>
      <c r="R45" s="29">
        <f>IF(R39=0,0,VLOOKUP(R39,FAC_TOTALS_APTA!$A$4:$BD$126,$L45,FALSE))</f>
        <v>2172162.36234122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2"/>
        <v>16062741.996098019</v>
      </c>
      <c r="AD45" s="33">
        <f>AC45/G55</f>
        <v>1.6889046059034171E-2</v>
      </c>
    </row>
    <row r="46" spans="2:30" ht="15" x14ac:dyDescent="0.2">
      <c r="B46" s="25" t="s">
        <v>73</v>
      </c>
      <c r="C46" s="28"/>
      <c r="D46" s="104" t="s">
        <v>72</v>
      </c>
      <c r="E46" s="55"/>
      <c r="F46" s="6">
        <f>MATCH($D46,FAC_TOTALS_APTA!$A$2:$BD$2,)</f>
        <v>17</v>
      </c>
      <c r="G46" s="123">
        <f>VLOOKUP(G39,FAC_TOTALS_APTA!$A$4:$BD$126,$F46,FALSE)</f>
        <v>0.33060451780988898</v>
      </c>
      <c r="H46" s="123">
        <f>VLOOKUP(H39,FAC_TOTALS_APTA!$A$4:$BD$126,$F46,FALSE)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MATCH($K46,FAC_TOTALS_APTA!$A$2:$BB$2,)</f>
        <v>35</v>
      </c>
      <c r="M46" s="29">
        <f>IF(M39=0,0,VLOOKUP(M39,FAC_TOTALS_APTA!$A$4:$BD$126,$L46,FALSE))</f>
        <v>-313652.08092510398</v>
      </c>
      <c r="N46" s="29">
        <f>IF(N39=0,0,VLOOKUP(N39,FAC_TOTALS_APTA!$A$4:$BD$126,$L46,FALSE))</f>
        <v>-563893.191899581</v>
      </c>
      <c r="O46" s="29">
        <f>IF(O39=0,0,VLOOKUP(O39,FAC_TOTALS_APTA!$A$4:$BD$126,$L46,FALSE))</f>
        <v>335904.15712262702</v>
      </c>
      <c r="P46" s="29">
        <f>IF(P39=0,0,VLOOKUP(P39,FAC_TOTALS_APTA!$A$4:$BD$126,$L46,FALSE))</f>
        <v>-1283070.03787311</v>
      </c>
      <c r="Q46" s="29">
        <f>IF(Q39=0,0,VLOOKUP(Q39,FAC_TOTALS_APTA!$A$4:$BD$126,$L46,FALSE))</f>
        <v>-487577.69900485798</v>
      </c>
      <c r="R46" s="29">
        <f>IF(R39=0,0,VLOOKUP(R39,FAC_TOTALS_APTA!$A$4:$BD$126,$L46,FALSE))</f>
        <v>680041.21113127901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2"/>
        <v>-1632247.6414487469</v>
      </c>
      <c r="AD46" s="33">
        <f>AC46/G55</f>
        <v>-1.7162141807964303E-3</v>
      </c>
    </row>
    <row r="47" spans="2:30" ht="15" x14ac:dyDescent="0.2">
      <c r="B47" s="25" t="s">
        <v>49</v>
      </c>
      <c r="C47" s="28" t="s">
        <v>21</v>
      </c>
      <c r="D47" s="124" t="s">
        <v>82</v>
      </c>
      <c r="E47" s="55"/>
      <c r="F47" s="6">
        <f>MATCH($D47,FAC_TOTALS_APTA!$A$2:$BD$2,)</f>
        <v>18</v>
      </c>
      <c r="G47" s="125">
        <f>VLOOKUP(G39,FAC_TOTALS_APTA!$A$4:$BD$126,$F47,FALSE)</f>
        <v>4.0256358420234699</v>
      </c>
      <c r="H47" s="125">
        <f>VLOOKUP(H39,FAC_TOTALS_APTA!$A$4:$BD$126,$F47,FALSE)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MATCH($K47,FAC_TOTALS_APTA!$A$2:$BB$2,)</f>
        <v>36</v>
      </c>
      <c r="M47" s="29">
        <f>IF(M39=0,0,VLOOKUP(M39,FAC_TOTALS_APTA!$A$4:$BD$126,$L47,FALSE))</f>
        <v>-4364919.7605556501</v>
      </c>
      <c r="N47" s="29">
        <f>IF(N39=0,0,VLOOKUP(N39,FAC_TOTALS_APTA!$A$4:$BD$126,$L47,FALSE))</f>
        <v>-6179036.9691080097</v>
      </c>
      <c r="O47" s="29">
        <f>IF(O39=0,0,VLOOKUP(O39,FAC_TOTALS_APTA!$A$4:$BD$126,$L47,FALSE))</f>
        <v>-31064398.9370116</v>
      </c>
      <c r="P47" s="29">
        <f>IF(P39=0,0,VLOOKUP(P39,FAC_TOTALS_APTA!$A$4:$BD$126,$L47,FALSE))</f>
        <v>-11135438.185518499</v>
      </c>
      <c r="Q47" s="29">
        <f>IF(Q39=0,0,VLOOKUP(Q39,FAC_TOTALS_APTA!$A$4:$BD$126,$L47,FALSE))</f>
        <v>7622303.2845630003</v>
      </c>
      <c r="R47" s="29">
        <f>IF(R39=0,0,VLOOKUP(R39,FAC_TOTALS_APTA!$A$4:$BD$126,$L47,FALSE))</f>
        <v>8852873.0354119502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2"/>
        <v>-36268617.532218814</v>
      </c>
      <c r="AD47" s="33">
        <f>AC47/G55</f>
        <v>-3.8134357891569028E-2</v>
      </c>
    </row>
    <row r="48" spans="2:30" ht="15" x14ac:dyDescent="0.2">
      <c r="B48" s="25" t="s">
        <v>46</v>
      </c>
      <c r="C48" s="28" t="s">
        <v>21</v>
      </c>
      <c r="D48" s="104" t="s">
        <v>14</v>
      </c>
      <c r="E48" s="55"/>
      <c r="F48" s="6">
        <f>MATCH($D48,FAC_TOTALS_APTA!$A$2:$BD$2,)</f>
        <v>19</v>
      </c>
      <c r="G48" s="123">
        <f>VLOOKUP(G39,FAC_TOTALS_APTA!$A$4:$BD$126,$F48,FALSE)</f>
        <v>28874.309502126802</v>
      </c>
      <c r="H48" s="123">
        <f>VLOOKUP(H39,FAC_TOTALS_APTA!$A$4:$BD$126,$F48,FALSE)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-306374.38226036902</v>
      </c>
      <c r="N48" s="29">
        <f>IF(N39=0,0,VLOOKUP(N39,FAC_TOTALS_APTA!$A$4:$BD$126,$L48,FALSE))</f>
        <v>-234024.08051166101</v>
      </c>
      <c r="O48" s="29">
        <f>IF(O39=0,0,VLOOKUP(O39,FAC_TOTALS_APTA!$A$4:$BD$126,$L48,FALSE))</f>
        <v>-2593014.71420437</v>
      </c>
      <c r="P48" s="29">
        <f>IF(P39=0,0,VLOOKUP(P39,FAC_TOTALS_APTA!$A$4:$BD$126,$L48,FALSE))</f>
        <v>-1588145.6810755001</v>
      </c>
      <c r="Q48" s="29">
        <f>IF(Q39=0,0,VLOOKUP(Q39,FAC_TOTALS_APTA!$A$4:$BD$126,$L48,FALSE))</f>
        <v>-312763.91394067399</v>
      </c>
      <c r="R48" s="29">
        <f>IF(R39=0,0,VLOOKUP(R39,FAC_TOTALS_APTA!$A$4:$BD$126,$L48,FALSE))</f>
        <v>-738018.56474398798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2"/>
        <v>-5772341.3367365617</v>
      </c>
      <c r="AD48" s="33">
        <f>AC48/G55</f>
        <v>-6.0692837330197352E-3</v>
      </c>
    </row>
    <row r="49" spans="1:31" ht="15" x14ac:dyDescent="0.2">
      <c r="B49" s="25" t="s">
        <v>62</v>
      </c>
      <c r="C49" s="28"/>
      <c r="D49" s="104" t="s">
        <v>9</v>
      </c>
      <c r="E49" s="55"/>
      <c r="F49" s="6">
        <f>MATCH($D49,FAC_TOTALS_APTA!$A$2:$BD$2,)</f>
        <v>20</v>
      </c>
      <c r="G49" s="117">
        <f>VLOOKUP(G39,FAC_TOTALS_APTA!$A$4:$BD$126,$F49,FALSE)</f>
        <v>8.2569154106646199</v>
      </c>
      <c r="H49" s="117">
        <f>VLOOKUP(H39,FAC_TOTALS_APTA!$A$4:$BD$126,$F49,FALSE)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MATCH($K49,FAC_TOTALS_APTA!$A$2:$BB$2,)</f>
        <v>38</v>
      </c>
      <c r="M49" s="29">
        <f>IF(M39=0,0,VLOOKUP(M39,FAC_TOTALS_APTA!$A$4:$BD$126,$L49,FALSE))</f>
        <v>-347710.02824967599</v>
      </c>
      <c r="N49" s="29">
        <f>IF(N39=0,0,VLOOKUP(N39,FAC_TOTALS_APTA!$A$4:$BD$126,$L49,FALSE))</f>
        <v>68314.828546623496</v>
      </c>
      <c r="O49" s="29">
        <f>IF(O39=0,0,VLOOKUP(O39,FAC_TOTALS_APTA!$A$4:$BD$126,$L49,FALSE))</f>
        <v>-392206.67624373501</v>
      </c>
      <c r="P49" s="29">
        <f>IF(P39=0,0,VLOOKUP(P39,FAC_TOTALS_APTA!$A$4:$BD$126,$L49,FALSE))</f>
        <v>-246506.59503809499</v>
      </c>
      <c r="Q49" s="29">
        <f>IF(Q39=0,0,VLOOKUP(Q39,FAC_TOTALS_APTA!$A$4:$BD$126,$L49,FALSE))</f>
        <v>-508709.58773357002</v>
      </c>
      <c r="R49" s="29">
        <f>IF(R39=0,0,VLOOKUP(R39,FAC_TOTALS_APTA!$A$4:$BD$126,$L49,FALSE))</f>
        <v>-412081.23558392102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2"/>
        <v>-1838899.2943023737</v>
      </c>
      <c r="AD49" s="33">
        <f>AC49/G55</f>
        <v>-1.9334964657306136E-3</v>
      </c>
    </row>
    <row r="50" spans="1:31" ht="15" x14ac:dyDescent="0.2">
      <c r="B50" s="25" t="s">
        <v>47</v>
      </c>
      <c r="C50" s="28"/>
      <c r="D50" s="104" t="s">
        <v>28</v>
      </c>
      <c r="E50" s="55"/>
      <c r="F50" s="6">
        <f>MATCH($D50,FAC_TOTALS_APTA!$A$2:$BD$2,)</f>
        <v>21</v>
      </c>
      <c r="G50" s="125">
        <f>VLOOKUP(G39,FAC_TOTALS_APTA!$A$4:$BD$126,$F50,FALSE)</f>
        <v>4.1251469761152801</v>
      </c>
      <c r="H50" s="125">
        <f>VLOOKUP(H39,FAC_TOTALS_APTA!$A$4:$BD$126,$F50,FALSE)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MATCH($K50,FAC_TOTALS_APTA!$A$2:$BB$2,)</f>
        <v>39</v>
      </c>
      <c r="M50" s="29">
        <f>IF(M39=0,0,VLOOKUP(M39,FAC_TOTALS_APTA!$A$4:$BD$126,$L50,FALSE))</f>
        <v>-489061.04749145999</v>
      </c>
      <c r="N50" s="29">
        <f>IF(N39=0,0,VLOOKUP(N39,FAC_TOTALS_APTA!$A$4:$BD$126,$L50,FALSE))</f>
        <v>-613685.94614765397</v>
      </c>
      <c r="O50" s="29">
        <f>IF(O39=0,0,VLOOKUP(O39,FAC_TOTALS_APTA!$A$4:$BD$126,$L50,FALSE))</f>
        <v>-1065921.6889583</v>
      </c>
      <c r="P50" s="29">
        <f>IF(P39=0,0,VLOOKUP(P39,FAC_TOTALS_APTA!$A$4:$BD$126,$L50,FALSE))</f>
        <v>-3538397.02378385</v>
      </c>
      <c r="Q50" s="29">
        <f>IF(Q39=0,0,VLOOKUP(Q39,FAC_TOTALS_APTA!$A$4:$BD$126,$L50,FALSE))</f>
        <v>-1502187.8095598801</v>
      </c>
      <c r="R50" s="29">
        <f>IF(R39=0,0,VLOOKUP(R39,FAC_TOTALS_APTA!$A$4:$BD$126,$L50,FALSE))</f>
        <v>-1866706.86989657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2"/>
        <v>-9075960.3858377133</v>
      </c>
      <c r="AD50" s="33">
        <f>AC50/G55</f>
        <v>-9.54284847653151E-3</v>
      </c>
    </row>
    <row r="51" spans="1:31" ht="15" x14ac:dyDescent="0.2">
      <c r="B51" s="25" t="s">
        <v>63</v>
      </c>
      <c r="C51" s="28"/>
      <c r="D51" s="126" t="s">
        <v>90</v>
      </c>
      <c r="E51" s="55"/>
      <c r="F51" s="6">
        <f>MATCH($D51,FAC_TOTALS_APTA!$A$2:$BD$2,)</f>
        <v>25</v>
      </c>
      <c r="G51" s="125">
        <f>VLOOKUP(G39,FAC_TOTALS_APTA!$A$4:$BD$126,$F51,FALSE)</f>
        <v>0</v>
      </c>
      <c r="H51" s="125">
        <f>VLOOKUP(H39,FAC_TOTALS_APTA!$A$4:$BD$126,$F51,FALSE)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YEARS_SINCE_TNC_BUS_MIDLOW_FAC</v>
      </c>
      <c r="L51" s="6">
        <f>MATCH($K51,FAC_TOTALS_APTA!$A$2:$BB$2,)</f>
        <v>43</v>
      </c>
      <c r="M51" s="29">
        <f>IF(M39=0,0,VLOOKUP(M39,FAC_TOTALS_APTA!$A$4:$BD$126,$L51,FALSE))</f>
        <v>0</v>
      </c>
      <c r="N51" s="29">
        <f>IF(N39=0,0,VLOOKUP(N39,FAC_TOTALS_APTA!$A$4:$BD$126,$L51,FALSE))</f>
        <v>-4689347.1843558298</v>
      </c>
      <c r="O51" s="29">
        <f>IF(O39=0,0,VLOOKUP(O39,FAC_TOTALS_APTA!$A$4:$BD$126,$L51,FALSE))</f>
        <v>-25361398.034484498</v>
      </c>
      <c r="P51" s="29">
        <f>IF(P39=0,0,VLOOKUP(P39,FAC_TOTALS_APTA!$A$4:$BD$126,$L51,FALSE))</f>
        <v>-28007602.155899402</v>
      </c>
      <c r="Q51" s="29">
        <f>IF(Q39=0,0,VLOOKUP(Q39,FAC_TOTALS_APTA!$A$4:$BD$126,$L51,FALSE))</f>
        <v>-26869250.096822701</v>
      </c>
      <c r="R51" s="29">
        <f>IF(R39=0,0,VLOOKUP(R39,FAC_TOTALS_APTA!$A$4:$BD$126,$L51,FALSE))</f>
        <v>-27322000.040593199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2"/>
        <v>-112249597.51215562</v>
      </c>
      <c r="AD51" s="33">
        <f>AC51/G55</f>
        <v>-0.11802397267859815</v>
      </c>
    </row>
    <row r="52" spans="1:31" ht="15" x14ac:dyDescent="0.2">
      <c r="B52" s="25" t="s">
        <v>64</v>
      </c>
      <c r="C52" s="28"/>
      <c r="D52" s="104" t="s">
        <v>43</v>
      </c>
      <c r="E52" s="55"/>
      <c r="F52" s="6">
        <f>MATCH($D52,FAC_TOTALS_APTA!$A$2:$BD$2,)</f>
        <v>28</v>
      </c>
      <c r="G52" s="125">
        <f>VLOOKUP(G39,FAC_TOTALS_APTA!$A$4:$BD$126,$F52,FALSE)</f>
        <v>8.9326402136675601E-2</v>
      </c>
      <c r="H52" s="125">
        <f>VLOOKUP(H39,FAC_TOTALS_APTA!$A$4:$BD$126,$F52,FALSE)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MATCH($K52,FAC_TOTALS_APTA!$A$2:$BB$2,)</f>
        <v>46</v>
      </c>
      <c r="M52" s="29">
        <f>IF(M39=0,0,VLOOKUP(M39,FAC_TOTALS_APTA!$A$4:$BD$126,$L52,FALSE))</f>
        <v>-648997.01470398996</v>
      </c>
      <c r="N52" s="29">
        <f>IF(N39=0,0,VLOOKUP(N39,FAC_TOTALS_APTA!$A$4:$BD$126,$L52,FALSE))</f>
        <v>-995508.07544095803</v>
      </c>
      <c r="O52" s="29">
        <f>IF(O39=0,0,VLOOKUP(O39,FAC_TOTALS_APTA!$A$4:$BD$126,$L52,FALSE))</f>
        <v>-2171107.0985205998</v>
      </c>
      <c r="P52" s="29">
        <f>IF(P39=0,0,VLOOKUP(P39,FAC_TOTALS_APTA!$A$4:$BD$126,$L52,FALSE))</f>
        <v>-1401794.50363023</v>
      </c>
      <c r="Q52" s="29">
        <f>IF(Q39=0,0,VLOOKUP(Q39,FAC_TOTALS_APTA!$A$4:$BD$126,$L52,FALSE))</f>
        <v>-1011666.98310909</v>
      </c>
      <c r="R52" s="29">
        <f>IF(R39=0,0,VLOOKUP(R39,FAC_TOTALS_APTA!$A$4:$BD$126,$L52,FALSE))</f>
        <v>-967724.68381831201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2"/>
        <v>-7196798.3592231795</v>
      </c>
      <c r="AD52" s="33">
        <f>AC52/G55</f>
        <v>-7.5670180717606114E-3</v>
      </c>
    </row>
    <row r="53" spans="1:31" ht="15" x14ac:dyDescent="0.2">
      <c r="B53" s="8" t="s">
        <v>65</v>
      </c>
      <c r="C53" s="27"/>
      <c r="D53" s="129" t="s">
        <v>44</v>
      </c>
      <c r="E53" s="56"/>
      <c r="F53" s="7">
        <f>MATCH($D53,FAC_TOTALS_APTA!$A$2:$BD$2,)</f>
        <v>29</v>
      </c>
      <c r="G53" s="131">
        <f>VLOOKUP(G39,FAC_TOTALS_APTA!$A$4:$BD$126,$F53,FALSE)</f>
        <v>0</v>
      </c>
      <c r="H53" s="131">
        <f>VLOOKUP(H39,FAC_TOTALS_APTA!$A$4:$BD$126,$F53,FALSE)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-12522673.699328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2"/>
        <v>-12522673.699328</v>
      </c>
      <c r="AD53" s="40">
        <f>AC53/G55</f>
        <v>-1.3166868579572734E-2</v>
      </c>
    </row>
    <row r="54" spans="1:31" ht="15" x14ac:dyDescent="0.2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7">
        <f>VLOOKUP(G39,FAC_TOTALS_APTA!$A$4:$BD$126,$F55,FALSE)</f>
        <v>951074556.84306395</v>
      </c>
      <c r="H55" s="117">
        <f>VLOOKUP(H39,FAC_TOTALS_APTA!$A$4:$BB$126,$F55,FALSE)</f>
        <v>824632468.02864695</v>
      </c>
      <c r="I55" s="112">
        <f t="shared" ref="I55" si="13">H55/G55-1</f>
        <v>-0.13294655808491063</v>
      </c>
      <c r="J55" s="31"/>
      <c r="K55" s="31"/>
      <c r="L55" s="6"/>
      <c r="M55" s="29">
        <f t="shared" ref="M55:AB55" si="14">SUM(M41:M48)</f>
        <v>-6354431.2107835235</v>
      </c>
      <c r="N55" s="29">
        <f t="shared" si="14"/>
        <v>5724302.1410336085</v>
      </c>
      <c r="O55" s="29">
        <f t="shared" si="14"/>
        <v>-19379441.882947892</v>
      </c>
      <c r="P55" s="29">
        <f t="shared" si="14"/>
        <v>-2811882.25362809</v>
      </c>
      <c r="Q55" s="29">
        <f t="shared" si="14"/>
        <v>16320570.987647904</v>
      </c>
      <c r="R55" s="29">
        <f t="shared" si="14"/>
        <v>22123592.0810863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-126442088.814417</v>
      </c>
      <c r="AD55" s="33">
        <f>I55</f>
        <v>-0.13294655808491063</v>
      </c>
      <c r="AE55" s="106"/>
    </row>
    <row r="56" spans="1:31" ht="13.5" customHeight="1" thickBot="1" x14ac:dyDescent="0.25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4">
        <f>VLOOKUP(G39,FAC_TOTALS_APTA!$A$4:$BB$126,$F56,FALSE)</f>
        <v>961216517.99999905</v>
      </c>
      <c r="H56" s="114">
        <f>VLOOKUP(H39,FAC_TOTALS_APTA!$A$4:$BB$126,$F56,FALSE)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7" thickTop="1" thickBot="1" x14ac:dyDescent="0.25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-2.4858402774073696E-2</v>
      </c>
    </row>
    <row r="58" spans="1:31" ht="15" thickTop="1" x14ac:dyDescent="0.2"/>
    <row r="59" spans="1:31" s="10" customFormat="1" ht="15" x14ac:dyDescent="0.2">
      <c r="B59" s="18" t="s">
        <v>25</v>
      </c>
      <c r="E59" s="6"/>
      <c r="G59" s="106"/>
      <c r="H59" s="106"/>
      <c r="I59" s="17"/>
    </row>
    <row r="60" spans="1:31" ht="15" x14ac:dyDescent="0.2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ht="15" x14ac:dyDescent="0.2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6" thickBot="1" x14ac:dyDescent="0.25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5" thickTop="1" x14ac:dyDescent="0.2">
      <c r="B64" s="61"/>
      <c r="C64" s="62"/>
      <c r="D64" s="62"/>
      <c r="E64" s="62"/>
      <c r="F64" s="62"/>
      <c r="G64" s="240" t="s">
        <v>51</v>
      </c>
      <c r="H64" s="240"/>
      <c r="I64" s="240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40" t="s">
        <v>55</v>
      </c>
      <c r="AD64" s="240"/>
    </row>
    <row r="65" spans="2:33" ht="15" x14ac:dyDescent="0.2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3" hidden="1" customHeight="1" x14ac:dyDescent="0.2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3" hidden="1" customHeight="1" x14ac:dyDescent="0.2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3" hidden="1" customHeight="1" x14ac:dyDescent="0.2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ht="15" x14ac:dyDescent="0.2">
      <c r="B69" s="25" t="s">
        <v>31</v>
      </c>
      <c r="C69" s="28" t="s">
        <v>21</v>
      </c>
      <c r="D69" s="104" t="s">
        <v>87</v>
      </c>
      <c r="E69" s="55"/>
      <c r="F69" s="6">
        <f>MATCH($D69,FAC_TOTALS_APTA!$A$2:$BD$2,)</f>
        <v>12</v>
      </c>
      <c r="G69" s="117">
        <f>VLOOKUP(G67,FAC_TOTALS_APTA!$A$4:$BD$126,$F69,FALSE)</f>
        <v>1935564.7547657499</v>
      </c>
      <c r="H69" s="117">
        <f>VLOOKUP(H67,FAC_TOTALS_APTA!$A$4:$BD$126,$F69,FALSE)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VRM_ADJ_BUS_log_FAC</v>
      </c>
      <c r="L69" s="6">
        <f>MATCH($K69,FAC_TOTALS_APTA!$A$2:$BB$2,)</f>
        <v>30</v>
      </c>
      <c r="M69" s="29">
        <f>IF(M67=0,0,VLOOKUP(M67,FAC_TOTALS_APTA!$A$4:$BD$126,$L69,FALSE))</f>
        <v>1030600.11939784</v>
      </c>
      <c r="N69" s="29">
        <f>IF(N67=0,0,VLOOKUP(N67,FAC_TOTALS_APTA!$A$4:$BD$126,$L69,FALSE))</f>
        <v>3061470.30521109</v>
      </c>
      <c r="O69" s="29">
        <f>IF(O67=0,0,VLOOKUP(O67,FAC_TOTALS_APTA!$A$4:$BD$126,$L69,FALSE))</f>
        <v>2988159.9024330801</v>
      </c>
      <c r="P69" s="29">
        <f>IF(P67=0,0,VLOOKUP(P67,FAC_TOTALS_APTA!$A$4:$BD$126,$L69,FALSE))</f>
        <v>2000583.3408287601</v>
      </c>
      <c r="Q69" s="29">
        <f>IF(Q67=0,0,VLOOKUP(Q67,FAC_TOTALS_APTA!$A$4:$BD$126,$L69,FALSE))</f>
        <v>1574497.8194190899</v>
      </c>
      <c r="R69" s="29">
        <f>IF(R67=0,0,VLOOKUP(R67,FAC_TOTALS_APTA!$A$4:$BD$126,$L69,FALSE))</f>
        <v>1660266.4426704601</v>
      </c>
      <c r="S69" s="29">
        <f>IF(S67=0,0,VLOOKUP(S67,FAC_TOTALS_APTA!$A$4:$BD$126,$L69,FALSE))</f>
        <v>0</v>
      </c>
      <c r="T69" s="29">
        <f>IF(T67=0,0,VLOOKUP(T67,FAC_TOTALS_APTA!$A$4:$BD$126,$L69,FALSE))</f>
        <v>0</v>
      </c>
      <c r="U69" s="29">
        <f>IF(U67=0,0,VLOOKUP(U67,FAC_TOTALS_APTA!$A$4:$BD$126,$L69,FALSE))</f>
        <v>0</v>
      </c>
      <c r="V69" s="29">
        <f>IF(V67=0,0,VLOOKUP(V67,FAC_TOTALS_APTA!$A$4:$BD$126,$L69,FALSE))</f>
        <v>0</v>
      </c>
      <c r="W69" s="29">
        <f>IF(W67=0,0,VLOOKUP(W67,FAC_TOTALS_APTA!$A$4:$BD$126,$L69,FALSE))</f>
        <v>0</v>
      </c>
      <c r="X69" s="29">
        <f>IF(X67=0,0,VLOOKUP(X67,FAC_TOTALS_APTA!$A$4:$BD$126,$L69,FALSE))</f>
        <v>0</v>
      </c>
      <c r="Y69" s="29">
        <f>IF(Y67=0,0,VLOOKUP(Y67,FAC_TOTALS_APTA!$A$4:$BD$126,$L69,FALSE))</f>
        <v>0</v>
      </c>
      <c r="Z69" s="29">
        <f>IF(Z67=0,0,VLOOKUP(Z67,FAC_TOTALS_APTA!$A$4:$BD$126,$L69,FALSE))</f>
        <v>0</v>
      </c>
      <c r="AA69" s="29">
        <f>IF(AA67=0,0,VLOOKUP(AA67,FAC_TOTALS_APTA!$A$4:$BD$126,$L69,FALSE))</f>
        <v>0</v>
      </c>
      <c r="AB69" s="29">
        <f>IF(AB67=0,0,VLOOKUP(AB67,FAC_TOTALS_APTA!$A$4:$BD$126,$L69,FALSE))</f>
        <v>0</v>
      </c>
      <c r="AC69" s="32">
        <f>SUM(M69:AB69)</f>
        <v>12315577.92996032</v>
      </c>
      <c r="AD69" s="33">
        <f>AC69/G83</f>
        <v>3.9959221342387122E-2</v>
      </c>
    </row>
    <row r="70" spans="2:33" ht="15" x14ac:dyDescent="0.2">
      <c r="B70" s="25" t="s">
        <v>52</v>
      </c>
      <c r="C70" s="28" t="s">
        <v>21</v>
      </c>
      <c r="D70" s="104" t="s">
        <v>88</v>
      </c>
      <c r="E70" s="55"/>
      <c r="F70" s="6">
        <f>MATCH($D70,FAC_TOTALS_APTA!$A$2:$BD$2,)</f>
        <v>14</v>
      </c>
      <c r="G70" s="123">
        <f>VLOOKUP(G67,FAC_TOTALS_APTA!$A$4:$BD$126,$F70,FALSE)</f>
        <v>0.82821757692531495</v>
      </c>
      <c r="H70" s="123">
        <f>VLOOKUP(H67,FAC_TOTALS_APTA!$A$4:$BD$126,$F70,FALSE)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FARE_per_UPT_cleaned_2018_BUS_log_FAC</v>
      </c>
      <c r="L70" s="6">
        <f>MATCH($K70,FAC_TOTALS_APTA!$A$2:$BB$2,)</f>
        <v>32</v>
      </c>
      <c r="M70" s="29">
        <f>IF(M67=0,0,VLOOKUP(M67,FAC_TOTALS_APTA!$A$4:$BD$126,$L70,FALSE))</f>
        <v>-6147447.9760548295</v>
      </c>
      <c r="N70" s="29">
        <f>IF(N67=0,0,VLOOKUP(N67,FAC_TOTALS_APTA!$A$4:$BD$126,$L70,FALSE))</f>
        <v>447741.35888656898</v>
      </c>
      <c r="O70" s="29">
        <f>IF(O67=0,0,VLOOKUP(O67,FAC_TOTALS_APTA!$A$4:$BD$126,$L70,FALSE))</f>
        <v>-3853910.57985149</v>
      </c>
      <c r="P70" s="29">
        <f>IF(P67=0,0,VLOOKUP(P67,FAC_TOTALS_APTA!$A$4:$BD$126,$L70,FALSE))</f>
        <v>-4226856.1928318301</v>
      </c>
      <c r="Q70" s="29">
        <f>IF(Q67=0,0,VLOOKUP(Q67,FAC_TOTALS_APTA!$A$4:$BD$126,$L70,FALSE))</f>
        <v>491585.72433331702</v>
      </c>
      <c r="R70" s="29">
        <f>IF(R67=0,0,VLOOKUP(R67,FAC_TOTALS_APTA!$A$4:$BD$126,$L70,FALSE))</f>
        <v>872883.82367694203</v>
      </c>
      <c r="S70" s="29">
        <f>IF(S67=0,0,VLOOKUP(S67,FAC_TOTALS_APTA!$A$4:$BD$126,$L70,FALSE))</f>
        <v>0</v>
      </c>
      <c r="T70" s="29">
        <f>IF(T67=0,0,VLOOKUP(T67,FAC_TOTALS_APTA!$A$4:$BD$126,$L70,FALSE))</f>
        <v>0</v>
      </c>
      <c r="U70" s="29">
        <f>IF(U67=0,0,VLOOKUP(U67,FAC_TOTALS_APTA!$A$4:$BD$126,$L70,FALSE))</f>
        <v>0</v>
      </c>
      <c r="V70" s="29">
        <f>IF(V67=0,0,VLOOKUP(V67,FAC_TOTALS_APTA!$A$4:$BD$126,$L70,FALSE))</f>
        <v>0</v>
      </c>
      <c r="W70" s="29">
        <f>IF(W67=0,0,VLOOKUP(W67,FAC_TOTALS_APTA!$A$4:$BD$126,$L70,FALSE))</f>
        <v>0</v>
      </c>
      <c r="X70" s="29">
        <f>IF(X67=0,0,VLOOKUP(X67,FAC_TOTALS_APTA!$A$4:$BD$126,$L70,FALSE))</f>
        <v>0</v>
      </c>
      <c r="Y70" s="29">
        <f>IF(Y67=0,0,VLOOKUP(Y67,FAC_TOTALS_APTA!$A$4:$BD$126,$L70,FALSE))</f>
        <v>0</v>
      </c>
      <c r="Z70" s="29">
        <f>IF(Z67=0,0,VLOOKUP(Z67,FAC_TOTALS_APTA!$A$4:$BD$126,$L70,FALSE))</f>
        <v>0</v>
      </c>
      <c r="AA70" s="29">
        <f>IF(AA67=0,0,VLOOKUP(AA67,FAC_TOTALS_APTA!$A$4:$BD$126,$L70,FALSE))</f>
        <v>0</v>
      </c>
      <c r="AB70" s="29">
        <f>IF(AB67=0,0,VLOOKUP(AB67,FAC_TOTALS_APTA!$A$4:$BD$126,$L70,FALSE))</f>
        <v>0</v>
      </c>
      <c r="AC70" s="32">
        <f t="shared" ref="AC70:AC81" si="20">SUM(M70:AB70)</f>
        <v>-12416003.841841323</v>
      </c>
      <c r="AD70" s="33">
        <f>AC70/G83</f>
        <v>-4.0285064048607329E-2</v>
      </c>
    </row>
    <row r="71" spans="2:33" ht="15" x14ac:dyDescent="0.2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>
        <f>VLOOKUP(G67,FAC_TOTALS_APTA!$A$4:$BD$126,$F71,FALSE)</f>
        <v>1.81254270699816E-2</v>
      </c>
      <c r="H71" s="117">
        <f>VLOOKUP(H67,FAC_TOTALS_APTA!$A$4:$BD$126,$F71,FALSE)</f>
        <v>1.81254270699816E-2</v>
      </c>
      <c r="I71" s="119">
        <f>IFERROR(H71/G71-1,"-")</f>
        <v>0</v>
      </c>
      <c r="J71" s="120" t="str">
        <f t="shared" si="18"/>
        <v/>
      </c>
      <c r="K71" s="120" t="str">
        <f t="shared" si="19"/>
        <v>RESTRUCTURE_FAC</v>
      </c>
      <c r="L71" s="104">
        <f>MATCH($K71,FAC_TOTALS_APTA!$A$2:$BB$2,)</f>
        <v>41</v>
      </c>
      <c r="M71" s="117">
        <f>IF(M67=0,0,VLOOKUP(M67,FAC_TOTALS_APTA!$A$4:$BD$126,$L71,FALSE))</f>
        <v>0</v>
      </c>
      <c r="N71" s="117">
        <f>IF(N67=0,0,VLOOKUP(N67,FAC_TOTALS_APTA!$A$4:$BD$126,$L71,FALSE))</f>
        <v>0</v>
      </c>
      <c r="O71" s="117">
        <f>IF(O67=0,0,VLOOKUP(O67,FAC_TOTALS_APTA!$A$4:$BD$126,$L71,FALSE))</f>
        <v>0</v>
      </c>
      <c r="P71" s="117">
        <f>IF(P67=0,0,VLOOKUP(P67,FAC_TOTALS_APTA!$A$4:$BD$126,$L71,FALSE))</f>
        <v>0</v>
      </c>
      <c r="Q71" s="117">
        <f>IF(Q67=0,0,VLOOKUP(Q67,FAC_TOTALS_APTA!$A$4:$BD$126,$L71,FALSE))</f>
        <v>0</v>
      </c>
      <c r="R71" s="117">
        <f>IF(R67=0,0,VLOOKUP(R67,FAC_TOTALS_APTA!$A$4:$BD$126,$L71,FALSE))</f>
        <v>0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>
        <f t="shared" si="20"/>
        <v>0</v>
      </c>
      <c r="AD71" s="122">
        <f>AC71/G84</f>
        <v>0</v>
      </c>
    </row>
    <row r="72" spans="2:33" ht="15" x14ac:dyDescent="0.2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>
        <f>VLOOKUP(G67,FAC_TOTALS_APTA!$A$4:$BD$126,$F72,FALSE)</f>
        <v>0</v>
      </c>
      <c r="H72" s="117">
        <f>VLOOKUP(H67,FAC_TOTALS_APTA!$A$4:$BD$126,$F72,FALSE)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0"/>
        <v>0</v>
      </c>
      <c r="AD72" s="122">
        <f>AC72/G84</f>
        <v>0</v>
      </c>
    </row>
    <row r="73" spans="2:33" ht="15" x14ac:dyDescent="0.2">
      <c r="B73" s="25" t="s">
        <v>48</v>
      </c>
      <c r="C73" s="28" t="s">
        <v>21</v>
      </c>
      <c r="D73" s="104" t="s">
        <v>8</v>
      </c>
      <c r="E73" s="55"/>
      <c r="F73" s="6">
        <f>MATCH($D73,FAC_TOTALS_APTA!$A$2:$BD$2,)</f>
        <v>16</v>
      </c>
      <c r="G73" s="117">
        <f>VLOOKUP(G67,FAC_TOTALS_APTA!$A$4:$BD$126,$F73,FALSE)</f>
        <v>608223.96752153302</v>
      </c>
      <c r="H73" s="117">
        <f>VLOOKUP(H67,FAC_TOTALS_APTA!$A$4:$BD$126,$F73,FALSE)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MATCH($K73,FAC_TOTALS_APTA!$A$2:$BB$2,)</f>
        <v>34</v>
      </c>
      <c r="M73" s="29">
        <f>IF(M67=0,0,VLOOKUP(M67,FAC_TOTALS_APTA!$A$4:$BD$126,$L73,FALSE))</f>
        <v>849016.30680104496</v>
      </c>
      <c r="N73" s="29">
        <f>IF(N67=0,0,VLOOKUP(N67,FAC_TOTALS_APTA!$A$4:$BD$126,$L73,FALSE))</f>
        <v>513119.40310287499</v>
      </c>
      <c r="O73" s="29">
        <f>IF(O67=0,0,VLOOKUP(O67,FAC_TOTALS_APTA!$A$4:$BD$126,$L73,FALSE))</f>
        <v>588375.79737674003</v>
      </c>
      <c r="P73" s="29">
        <f>IF(P67=0,0,VLOOKUP(P67,FAC_TOTALS_APTA!$A$4:$BD$126,$L73,FALSE))</f>
        <v>541102.95997200802</v>
      </c>
      <c r="Q73" s="29">
        <f>IF(Q67=0,0,VLOOKUP(Q67,FAC_TOTALS_APTA!$A$4:$BD$126,$L73,FALSE))</f>
        <v>459385.582217663</v>
      </c>
      <c r="R73" s="29">
        <f>IF(R67=0,0,VLOOKUP(R67,FAC_TOTALS_APTA!$A$4:$BD$126,$L73,FALSE))</f>
        <v>483546.06628416502</v>
      </c>
      <c r="S73" s="29">
        <f>IF(S67=0,0,VLOOKUP(S67,FAC_TOTALS_APTA!$A$4:$BD$126,$L73,FALSE))</f>
        <v>0</v>
      </c>
      <c r="T73" s="29">
        <f>IF(T67=0,0,VLOOKUP(T67,FAC_TOTALS_APTA!$A$4:$BD$126,$L73,FALSE))</f>
        <v>0</v>
      </c>
      <c r="U73" s="29">
        <f>IF(U67=0,0,VLOOKUP(U67,FAC_TOTALS_APTA!$A$4:$BD$126,$L73,FALSE))</f>
        <v>0</v>
      </c>
      <c r="V73" s="29">
        <f>IF(V67=0,0,VLOOKUP(V67,FAC_TOTALS_APTA!$A$4:$BD$126,$L73,FALSE))</f>
        <v>0</v>
      </c>
      <c r="W73" s="29">
        <f>IF(W67=0,0,VLOOKUP(W67,FAC_TOTALS_APTA!$A$4:$BD$126,$L73,FALSE))</f>
        <v>0</v>
      </c>
      <c r="X73" s="29">
        <f>IF(X67=0,0,VLOOKUP(X67,FAC_TOTALS_APTA!$A$4:$BD$126,$L73,FALSE))</f>
        <v>0</v>
      </c>
      <c r="Y73" s="29">
        <f>IF(Y67=0,0,VLOOKUP(Y67,FAC_TOTALS_APTA!$A$4:$BD$126,$L73,FALSE))</f>
        <v>0</v>
      </c>
      <c r="Z73" s="29">
        <f>IF(Z67=0,0,VLOOKUP(Z67,FAC_TOTALS_APTA!$A$4:$BD$126,$L73,FALSE))</f>
        <v>0</v>
      </c>
      <c r="AA73" s="29">
        <f>IF(AA67=0,0,VLOOKUP(AA67,FAC_TOTALS_APTA!$A$4:$BD$126,$L73,FALSE))</f>
        <v>0</v>
      </c>
      <c r="AB73" s="29">
        <f>IF(AB67=0,0,VLOOKUP(AB67,FAC_TOTALS_APTA!$A$4:$BD$126,$L73,FALSE))</f>
        <v>0</v>
      </c>
      <c r="AC73" s="32">
        <f t="shared" si="20"/>
        <v>3434546.1157544963</v>
      </c>
      <c r="AD73" s="33">
        <f>AC73/G83</f>
        <v>1.1143755431582254E-2</v>
      </c>
    </row>
    <row r="74" spans="2:33" ht="15" x14ac:dyDescent="0.2">
      <c r="B74" s="25" t="s">
        <v>73</v>
      </c>
      <c r="C74" s="28"/>
      <c r="D74" s="104" t="s">
        <v>72</v>
      </c>
      <c r="E74" s="55"/>
      <c r="F74" s="6">
        <f>MATCH($D74,FAC_TOTALS_APTA!$A$2:$BD$2,)</f>
        <v>17</v>
      </c>
      <c r="G74" s="123">
        <f>VLOOKUP(G67,FAC_TOTALS_APTA!$A$4:$BD$126,$F74,FALSE)</f>
        <v>0.20287939749310699</v>
      </c>
      <c r="H74" s="123">
        <f>VLOOKUP(H67,FAC_TOTALS_APTA!$A$4:$BD$126,$F74,FALSE)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MATCH($K74,FAC_TOTALS_APTA!$A$2:$BB$2,)</f>
        <v>35</v>
      </c>
      <c r="M74" s="29">
        <f>IF(M67=0,0,VLOOKUP(M67,FAC_TOTALS_APTA!$A$4:$BD$126,$L74,FALSE))</f>
        <v>-50255.838112372498</v>
      </c>
      <c r="N74" s="29">
        <f>IF(N67=0,0,VLOOKUP(N67,FAC_TOTALS_APTA!$A$4:$BD$126,$L74,FALSE))</f>
        <v>-279876.131866301</v>
      </c>
      <c r="O74" s="29">
        <f>IF(O67=0,0,VLOOKUP(O67,FAC_TOTALS_APTA!$A$4:$BD$126,$L74,FALSE))</f>
        <v>-365963.91621579998</v>
      </c>
      <c r="P74" s="29">
        <f>IF(P67=0,0,VLOOKUP(P67,FAC_TOTALS_APTA!$A$4:$BD$126,$L74,FALSE))</f>
        <v>490957.34551744402</v>
      </c>
      <c r="Q74" s="29">
        <f>IF(Q67=0,0,VLOOKUP(Q67,FAC_TOTALS_APTA!$A$4:$BD$126,$L74,FALSE))</f>
        <v>-73528.779746038097</v>
      </c>
      <c r="R74" s="29">
        <f>IF(R67=0,0,VLOOKUP(R67,FAC_TOTALS_APTA!$A$4:$BD$126,$L74,FALSE))</f>
        <v>-111296.701167201</v>
      </c>
      <c r="S74" s="29">
        <f>IF(S67=0,0,VLOOKUP(S67,FAC_TOTALS_APTA!$A$4:$BD$126,$L74,FALSE))</f>
        <v>0</v>
      </c>
      <c r="T74" s="29">
        <f>IF(T67=0,0,VLOOKUP(T67,FAC_TOTALS_APTA!$A$4:$BD$126,$L74,FALSE))</f>
        <v>0</v>
      </c>
      <c r="U74" s="29">
        <f>IF(U67=0,0,VLOOKUP(U67,FAC_TOTALS_APTA!$A$4:$BD$126,$L74,FALSE))</f>
        <v>0</v>
      </c>
      <c r="V74" s="29">
        <f>IF(V67=0,0,VLOOKUP(V67,FAC_TOTALS_APTA!$A$4:$BD$126,$L74,FALSE))</f>
        <v>0</v>
      </c>
      <c r="W74" s="29">
        <f>IF(W67=0,0,VLOOKUP(W67,FAC_TOTALS_APTA!$A$4:$BD$126,$L74,FALSE))</f>
        <v>0</v>
      </c>
      <c r="X74" s="29">
        <f>IF(X67=0,0,VLOOKUP(X67,FAC_TOTALS_APTA!$A$4:$BD$126,$L74,FALSE))</f>
        <v>0</v>
      </c>
      <c r="Y74" s="29">
        <f>IF(Y67=0,0,VLOOKUP(Y67,FAC_TOTALS_APTA!$A$4:$BD$126,$L74,FALSE))</f>
        <v>0</v>
      </c>
      <c r="Z74" s="29">
        <f>IF(Z67=0,0,VLOOKUP(Z67,FAC_TOTALS_APTA!$A$4:$BD$126,$L74,FALSE))</f>
        <v>0</v>
      </c>
      <c r="AA74" s="29">
        <f>IF(AA67=0,0,VLOOKUP(AA67,FAC_TOTALS_APTA!$A$4:$BD$126,$L74,FALSE))</f>
        <v>0</v>
      </c>
      <c r="AB74" s="29">
        <f>IF(AB67=0,0,VLOOKUP(AB67,FAC_TOTALS_APTA!$A$4:$BD$126,$L74,FALSE))</f>
        <v>0</v>
      </c>
      <c r="AC74" s="32">
        <f t="shared" si="20"/>
        <v>-389964.02159026853</v>
      </c>
      <c r="AD74" s="33">
        <f>AC74/G83</f>
        <v>-1.265280341930586E-3</v>
      </c>
    </row>
    <row r="75" spans="2:33" ht="15" x14ac:dyDescent="0.2">
      <c r="B75" s="25" t="s">
        <v>49</v>
      </c>
      <c r="C75" s="28" t="s">
        <v>21</v>
      </c>
      <c r="D75" s="124" t="s">
        <v>82</v>
      </c>
      <c r="E75" s="55"/>
      <c r="F75" s="6">
        <f>MATCH($D75,FAC_TOTALS_APTA!$A$2:$BD$2,)</f>
        <v>18</v>
      </c>
      <c r="G75" s="125">
        <f>VLOOKUP(G67,FAC_TOTALS_APTA!$A$4:$BD$126,$F75,FALSE)</f>
        <v>3.99676458590372</v>
      </c>
      <c r="H75" s="125">
        <f>VLOOKUP(H67,FAC_TOTALS_APTA!$A$4:$BD$126,$F75,FALSE)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MATCH($K75,FAC_TOTALS_APTA!$A$2:$BB$2,)</f>
        <v>36</v>
      </c>
      <c r="M75" s="29">
        <f>IF(M67=0,0,VLOOKUP(M67,FAC_TOTALS_APTA!$A$4:$BD$126,$L75,FALSE))</f>
        <v>-1341369.4178015201</v>
      </c>
      <c r="N75" s="29">
        <f>IF(N67=0,0,VLOOKUP(N67,FAC_TOTALS_APTA!$A$4:$BD$126,$L75,FALSE))</f>
        <v>-1969835.9408327001</v>
      </c>
      <c r="O75" s="29">
        <f>IF(O67=0,0,VLOOKUP(O67,FAC_TOTALS_APTA!$A$4:$BD$126,$L75,FALSE))</f>
        <v>-10505049.983457999</v>
      </c>
      <c r="P75" s="29">
        <f>IF(P67=0,0,VLOOKUP(P67,FAC_TOTALS_APTA!$A$4:$BD$126,$L75,FALSE))</f>
        <v>-3408896.12215742</v>
      </c>
      <c r="Q75" s="29">
        <f>IF(Q67=0,0,VLOOKUP(Q67,FAC_TOTALS_APTA!$A$4:$BD$126,$L75,FALSE))</f>
        <v>2445879.9282500502</v>
      </c>
      <c r="R75" s="29">
        <f>IF(R67=0,0,VLOOKUP(R67,FAC_TOTALS_APTA!$A$4:$BD$126,$L75,FALSE))</f>
        <v>2681608.54824263</v>
      </c>
      <c r="S75" s="29">
        <f>IF(S67=0,0,VLOOKUP(S67,FAC_TOTALS_APTA!$A$4:$BD$126,$L75,FALSE))</f>
        <v>0</v>
      </c>
      <c r="T75" s="29">
        <f>IF(T67=0,0,VLOOKUP(T67,FAC_TOTALS_APTA!$A$4:$BD$126,$L75,FALSE))</f>
        <v>0</v>
      </c>
      <c r="U75" s="29">
        <f>IF(U67=0,0,VLOOKUP(U67,FAC_TOTALS_APTA!$A$4:$BD$126,$L75,FALSE))</f>
        <v>0</v>
      </c>
      <c r="V75" s="29">
        <f>IF(V67=0,0,VLOOKUP(V67,FAC_TOTALS_APTA!$A$4:$BD$126,$L75,FALSE))</f>
        <v>0</v>
      </c>
      <c r="W75" s="29">
        <f>IF(W67=0,0,VLOOKUP(W67,FAC_TOTALS_APTA!$A$4:$BD$126,$L75,FALSE))</f>
        <v>0</v>
      </c>
      <c r="X75" s="29">
        <f>IF(X67=0,0,VLOOKUP(X67,FAC_TOTALS_APTA!$A$4:$BD$126,$L75,FALSE))</f>
        <v>0</v>
      </c>
      <c r="Y75" s="29">
        <f>IF(Y67=0,0,VLOOKUP(Y67,FAC_TOTALS_APTA!$A$4:$BD$126,$L75,FALSE))</f>
        <v>0</v>
      </c>
      <c r="Z75" s="29">
        <f>IF(Z67=0,0,VLOOKUP(Z67,FAC_TOTALS_APTA!$A$4:$BD$126,$L75,FALSE))</f>
        <v>0</v>
      </c>
      <c r="AA75" s="29">
        <f>IF(AA67=0,0,VLOOKUP(AA67,FAC_TOTALS_APTA!$A$4:$BD$126,$L75,FALSE))</f>
        <v>0</v>
      </c>
      <c r="AB75" s="29">
        <f>IF(AB67=0,0,VLOOKUP(AB67,FAC_TOTALS_APTA!$A$4:$BD$126,$L75,FALSE))</f>
        <v>0</v>
      </c>
      <c r="AC75" s="32">
        <f t="shared" si="20"/>
        <v>-12097662.98775696</v>
      </c>
      <c r="AD75" s="33">
        <f>AC75/G83</f>
        <v>-3.9252172801194904E-2</v>
      </c>
    </row>
    <row r="76" spans="2:33" ht="15" x14ac:dyDescent="0.2">
      <c r="B76" s="25" t="s">
        <v>46</v>
      </c>
      <c r="C76" s="28" t="s">
        <v>21</v>
      </c>
      <c r="D76" s="104" t="s">
        <v>14</v>
      </c>
      <c r="E76" s="55"/>
      <c r="F76" s="6">
        <f>MATCH($D76,FAC_TOTALS_APTA!$A$2:$BD$2,)</f>
        <v>19</v>
      </c>
      <c r="G76" s="123">
        <f>VLOOKUP(G67,FAC_TOTALS_APTA!$A$4:$BD$126,$F76,FALSE)</f>
        <v>25928.146323228299</v>
      </c>
      <c r="H76" s="123">
        <f>VLOOKUP(H67,FAC_TOTALS_APTA!$A$4:$BD$126,$F76,FALSE)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MATCH($K76,FAC_TOTALS_APTA!$A$2:$BB$2,)</f>
        <v>37</v>
      </c>
      <c r="M76" s="29">
        <f>IF(M67=0,0,VLOOKUP(M67,FAC_TOTALS_APTA!$A$4:$BD$126,$L76,FALSE))</f>
        <v>-10200.6018462914</v>
      </c>
      <c r="N76" s="29">
        <f>IF(N67=0,0,VLOOKUP(N67,FAC_TOTALS_APTA!$A$4:$BD$126,$L76,FALSE))</f>
        <v>-302731.08114346</v>
      </c>
      <c r="O76" s="29">
        <f>IF(O67=0,0,VLOOKUP(O67,FAC_TOTALS_APTA!$A$4:$BD$126,$L76,FALSE))</f>
        <v>-681892.79482452304</v>
      </c>
      <c r="P76" s="29">
        <f>IF(P67=0,0,VLOOKUP(P67,FAC_TOTALS_APTA!$A$4:$BD$126,$L76,FALSE))</f>
        <v>-265351.86665498401</v>
      </c>
      <c r="Q76" s="29">
        <f>IF(Q67=0,0,VLOOKUP(Q67,FAC_TOTALS_APTA!$A$4:$BD$126,$L76,FALSE))</f>
        <v>-221327.91332938601</v>
      </c>
      <c r="R76" s="29">
        <f>IF(R67=0,0,VLOOKUP(R67,FAC_TOTALS_APTA!$A$4:$BD$126,$L76,FALSE))</f>
        <v>-255662.790271048</v>
      </c>
      <c r="S76" s="29">
        <f>IF(S67=0,0,VLOOKUP(S67,FAC_TOTALS_APTA!$A$4:$BD$126,$L76,FALSE))</f>
        <v>0</v>
      </c>
      <c r="T76" s="29">
        <f>IF(T67=0,0,VLOOKUP(T67,FAC_TOTALS_APTA!$A$4:$BD$126,$L76,FALSE))</f>
        <v>0</v>
      </c>
      <c r="U76" s="29">
        <f>IF(U67=0,0,VLOOKUP(U67,FAC_TOTALS_APTA!$A$4:$BD$126,$L76,FALSE))</f>
        <v>0</v>
      </c>
      <c r="V76" s="29">
        <f>IF(V67=0,0,VLOOKUP(V67,FAC_TOTALS_APTA!$A$4:$BD$126,$L76,FALSE))</f>
        <v>0</v>
      </c>
      <c r="W76" s="29">
        <f>IF(W67=0,0,VLOOKUP(W67,FAC_TOTALS_APTA!$A$4:$BD$126,$L76,FALSE))</f>
        <v>0</v>
      </c>
      <c r="X76" s="29">
        <f>IF(X67=0,0,VLOOKUP(X67,FAC_TOTALS_APTA!$A$4:$BD$126,$L76,FALSE))</f>
        <v>0</v>
      </c>
      <c r="Y76" s="29">
        <f>IF(Y67=0,0,VLOOKUP(Y67,FAC_TOTALS_APTA!$A$4:$BD$126,$L76,FALSE))</f>
        <v>0</v>
      </c>
      <c r="Z76" s="29">
        <f>IF(Z67=0,0,VLOOKUP(Z67,FAC_TOTALS_APTA!$A$4:$BD$126,$L76,FALSE))</f>
        <v>0</v>
      </c>
      <c r="AA76" s="29">
        <f>IF(AA67=0,0,VLOOKUP(AA67,FAC_TOTALS_APTA!$A$4:$BD$126,$L76,FALSE))</f>
        <v>0</v>
      </c>
      <c r="AB76" s="29">
        <f>IF(AB67=0,0,VLOOKUP(AB67,FAC_TOTALS_APTA!$A$4:$BD$126,$L76,FALSE))</f>
        <v>0</v>
      </c>
      <c r="AC76" s="32">
        <f t="shared" si="20"/>
        <v>-1737167.0480696922</v>
      </c>
      <c r="AD76" s="33">
        <f>AC76/G83</f>
        <v>-5.6364259133669199E-3</v>
      </c>
    </row>
    <row r="77" spans="2:33" ht="15" x14ac:dyDescent="0.2">
      <c r="B77" s="25" t="s">
        <v>62</v>
      </c>
      <c r="C77" s="28"/>
      <c r="D77" s="104" t="s">
        <v>9</v>
      </c>
      <c r="E77" s="55"/>
      <c r="F77" s="6">
        <f>MATCH($D77,FAC_TOTALS_APTA!$A$2:$BD$2,)</f>
        <v>20</v>
      </c>
      <c r="G77" s="117">
        <f>VLOOKUP(G67,FAC_TOTALS_APTA!$A$4:$BD$126,$F77,FALSE)</f>
        <v>7.33093904795337</v>
      </c>
      <c r="H77" s="117">
        <f>VLOOKUP(H67,FAC_TOTALS_APTA!$A$4:$BD$126,$F77,FALSE)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MATCH($K77,FAC_TOTALS_APTA!$A$2:$BB$2,)</f>
        <v>38</v>
      </c>
      <c r="M77" s="29">
        <f>IF(M67=0,0,VLOOKUP(M67,FAC_TOTALS_APTA!$A$4:$BD$126,$L77,FALSE))</f>
        <v>16728.1102484898</v>
      </c>
      <c r="N77" s="29">
        <f>IF(N67=0,0,VLOOKUP(N67,FAC_TOTALS_APTA!$A$4:$BD$126,$L77,FALSE))</f>
        <v>20152.559959247701</v>
      </c>
      <c r="O77" s="29">
        <f>IF(O67=0,0,VLOOKUP(O67,FAC_TOTALS_APTA!$A$4:$BD$126,$L77,FALSE))</f>
        <v>-96413.315229213302</v>
      </c>
      <c r="P77" s="29">
        <f>IF(P67=0,0,VLOOKUP(P67,FAC_TOTALS_APTA!$A$4:$BD$126,$L77,FALSE))</f>
        <v>-75496.863771920194</v>
      </c>
      <c r="Q77" s="29">
        <f>IF(Q67=0,0,VLOOKUP(Q67,FAC_TOTALS_APTA!$A$4:$BD$126,$L77,FALSE))</f>
        <v>-23881.3021251383</v>
      </c>
      <c r="R77" s="29">
        <f>IF(R67=0,0,VLOOKUP(R67,FAC_TOTALS_APTA!$A$4:$BD$126,$L77,FALSE))</f>
        <v>-30438.040526688699</v>
      </c>
      <c r="S77" s="29">
        <f>IF(S67=0,0,VLOOKUP(S67,FAC_TOTALS_APTA!$A$4:$BD$126,$L77,FALSE))</f>
        <v>0</v>
      </c>
      <c r="T77" s="29">
        <f>IF(T67=0,0,VLOOKUP(T67,FAC_TOTALS_APTA!$A$4:$BD$126,$L77,FALSE))</f>
        <v>0</v>
      </c>
      <c r="U77" s="29">
        <f>IF(U67=0,0,VLOOKUP(U67,FAC_TOTALS_APTA!$A$4:$BD$126,$L77,FALSE))</f>
        <v>0</v>
      </c>
      <c r="V77" s="29">
        <f>IF(V67=0,0,VLOOKUP(V67,FAC_TOTALS_APTA!$A$4:$BD$126,$L77,FALSE))</f>
        <v>0</v>
      </c>
      <c r="W77" s="29">
        <f>IF(W67=0,0,VLOOKUP(W67,FAC_TOTALS_APTA!$A$4:$BD$126,$L77,FALSE))</f>
        <v>0</v>
      </c>
      <c r="X77" s="29">
        <f>IF(X67=0,0,VLOOKUP(X67,FAC_TOTALS_APTA!$A$4:$BD$126,$L77,FALSE))</f>
        <v>0</v>
      </c>
      <c r="Y77" s="29">
        <f>IF(Y67=0,0,VLOOKUP(Y67,FAC_TOTALS_APTA!$A$4:$BD$126,$L77,FALSE))</f>
        <v>0</v>
      </c>
      <c r="Z77" s="29">
        <f>IF(Z67=0,0,VLOOKUP(Z67,FAC_TOTALS_APTA!$A$4:$BD$126,$L77,FALSE))</f>
        <v>0</v>
      </c>
      <c r="AA77" s="29">
        <f>IF(AA67=0,0,VLOOKUP(AA67,FAC_TOTALS_APTA!$A$4:$BD$126,$L77,FALSE))</f>
        <v>0</v>
      </c>
      <c r="AB77" s="29">
        <f>IF(AB67=0,0,VLOOKUP(AB67,FAC_TOTALS_APTA!$A$4:$BD$126,$L77,FALSE))</f>
        <v>0</v>
      </c>
      <c r="AC77" s="32">
        <f t="shared" si="20"/>
        <v>-189348.851445223</v>
      </c>
      <c r="AD77" s="33">
        <f>AC77/G83</f>
        <v>-6.1436277768337107E-4</v>
      </c>
    </row>
    <row r="78" spans="2:33" ht="15" x14ac:dyDescent="0.2">
      <c r="B78" s="25" t="s">
        <v>47</v>
      </c>
      <c r="C78" s="28"/>
      <c r="D78" s="104" t="s">
        <v>28</v>
      </c>
      <c r="E78" s="55"/>
      <c r="F78" s="6">
        <f>MATCH($D78,FAC_TOTALS_APTA!$A$2:$BD$2,)</f>
        <v>21</v>
      </c>
      <c r="G78" s="125">
        <f>VLOOKUP(G67,FAC_TOTALS_APTA!$A$4:$BD$126,$F78,FALSE)</f>
        <v>3.7964745491418501</v>
      </c>
      <c r="H78" s="125">
        <f>VLOOKUP(H67,FAC_TOTALS_APTA!$A$4:$BD$126,$F78,FALSE)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MATCH($K78,FAC_TOTALS_APTA!$A$2:$BB$2,)</f>
        <v>39</v>
      </c>
      <c r="M78" s="29">
        <f>IF(M67=0,0,VLOOKUP(M67,FAC_TOTALS_APTA!$A$4:$BD$126,$L78,FALSE))</f>
        <v>225427.102469184</v>
      </c>
      <c r="N78" s="29">
        <f>IF(N67=0,0,VLOOKUP(N67,FAC_TOTALS_APTA!$A$4:$BD$126,$L78,FALSE))</f>
        <v>-392203.63969469297</v>
      </c>
      <c r="O78" s="29">
        <f>IF(O67=0,0,VLOOKUP(O67,FAC_TOTALS_APTA!$A$4:$BD$126,$L78,FALSE))</f>
        <v>29256.108166645499</v>
      </c>
      <c r="P78" s="29">
        <f>IF(P67=0,0,VLOOKUP(P67,FAC_TOTALS_APTA!$A$4:$BD$126,$L78,FALSE))</f>
        <v>-1271342.56554748</v>
      </c>
      <c r="Q78" s="29">
        <f>IF(Q67=0,0,VLOOKUP(Q67,FAC_TOTALS_APTA!$A$4:$BD$126,$L78,FALSE))</f>
        <v>-617315.66923324496</v>
      </c>
      <c r="R78" s="29">
        <f>IF(R67=0,0,VLOOKUP(R67,FAC_TOTALS_APTA!$A$4:$BD$126,$L78,FALSE))</f>
        <v>-761228.08915608295</v>
      </c>
      <c r="S78" s="29">
        <f>IF(S67=0,0,VLOOKUP(S67,FAC_TOTALS_APTA!$A$4:$BD$126,$L78,FALSE))</f>
        <v>0</v>
      </c>
      <c r="T78" s="29">
        <f>IF(T67=0,0,VLOOKUP(T67,FAC_TOTALS_APTA!$A$4:$BD$126,$L78,FALSE))</f>
        <v>0</v>
      </c>
      <c r="U78" s="29">
        <f>IF(U67=0,0,VLOOKUP(U67,FAC_TOTALS_APTA!$A$4:$BD$126,$L78,FALSE))</f>
        <v>0</v>
      </c>
      <c r="V78" s="29">
        <f>IF(V67=0,0,VLOOKUP(V67,FAC_TOTALS_APTA!$A$4:$BD$126,$L78,FALSE))</f>
        <v>0</v>
      </c>
      <c r="W78" s="29">
        <f>IF(W67=0,0,VLOOKUP(W67,FAC_TOTALS_APTA!$A$4:$BD$126,$L78,FALSE))</f>
        <v>0</v>
      </c>
      <c r="X78" s="29">
        <f>IF(X67=0,0,VLOOKUP(X67,FAC_TOTALS_APTA!$A$4:$BD$126,$L78,FALSE))</f>
        <v>0</v>
      </c>
      <c r="Y78" s="29">
        <f>IF(Y67=0,0,VLOOKUP(Y67,FAC_TOTALS_APTA!$A$4:$BD$126,$L78,FALSE))</f>
        <v>0</v>
      </c>
      <c r="Z78" s="29">
        <f>IF(Z67=0,0,VLOOKUP(Z67,FAC_TOTALS_APTA!$A$4:$BD$126,$L78,FALSE))</f>
        <v>0</v>
      </c>
      <c r="AA78" s="29">
        <f>IF(AA67=0,0,VLOOKUP(AA67,FAC_TOTALS_APTA!$A$4:$BD$126,$L78,FALSE))</f>
        <v>0</v>
      </c>
      <c r="AB78" s="29">
        <f>IF(AB67=0,0,VLOOKUP(AB67,FAC_TOTALS_APTA!$A$4:$BD$126,$L78,FALSE))</f>
        <v>0</v>
      </c>
      <c r="AC78" s="32">
        <f t="shared" si="20"/>
        <v>-2787406.7529956712</v>
      </c>
      <c r="AD78" s="33">
        <f>AC78/G83</f>
        <v>-9.0440419481457087E-3</v>
      </c>
    </row>
    <row r="79" spans="2:33" ht="15" x14ac:dyDescent="0.2">
      <c r="B79" s="25" t="s">
        <v>63</v>
      </c>
      <c r="C79" s="28"/>
      <c r="D79" s="126" t="s">
        <v>90</v>
      </c>
      <c r="E79" s="55"/>
      <c r="F79" s="6">
        <f>MATCH($D79,FAC_TOTALS_APTA!$A$2:$BD$2,)</f>
        <v>25</v>
      </c>
      <c r="G79" s="125">
        <f>VLOOKUP(G67,FAC_TOTALS_APTA!$A$4:$BD$126,$F79,FALSE)</f>
        <v>0</v>
      </c>
      <c r="H79" s="125">
        <f>VLOOKUP(H67,FAC_TOTALS_APTA!$A$4:$BD$126,$F79,FALSE)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YEARS_SINCE_TNC_BUS_MIDLOW_FAC</v>
      </c>
      <c r="L79" s="6">
        <f>MATCH($K79,FAC_TOTALS_APTA!$A$2:$BB$2,)</f>
        <v>43</v>
      </c>
      <c r="M79" s="29">
        <f>IF(M67=0,0,VLOOKUP(M67,FAC_TOTALS_APTA!$A$4:$BD$126,$L79,FALSE))</f>
        <v>0</v>
      </c>
      <c r="N79" s="29">
        <f>IF(N67=0,0,VLOOKUP(N67,FAC_TOTALS_APTA!$A$4:$BD$126,$L79,FALSE))</f>
        <v>0</v>
      </c>
      <c r="O79" s="29">
        <f>IF(O67=0,0,VLOOKUP(O67,FAC_TOTALS_APTA!$A$4:$BD$126,$L79,FALSE))</f>
        <v>-5651722.1222044602</v>
      </c>
      <c r="P79" s="29">
        <f>IF(P67=0,0,VLOOKUP(P67,FAC_TOTALS_APTA!$A$4:$BD$126,$L79,FALSE))</f>
        <v>-7625349.8118203096</v>
      </c>
      <c r="Q79" s="29">
        <f>IF(Q67=0,0,VLOOKUP(Q67,FAC_TOTALS_APTA!$A$4:$BD$126,$L79,FALSE))</f>
        <v>-8110982.2984014796</v>
      </c>
      <c r="R79" s="29">
        <f>IF(R67=0,0,VLOOKUP(R67,FAC_TOTALS_APTA!$A$4:$BD$126,$L79,FALSE))</f>
        <v>-8766277.5824893098</v>
      </c>
      <c r="S79" s="29">
        <f>IF(S67=0,0,VLOOKUP(S67,FAC_TOTALS_APTA!$A$4:$BD$126,$L79,FALSE))</f>
        <v>0</v>
      </c>
      <c r="T79" s="29">
        <f>IF(T67=0,0,VLOOKUP(T67,FAC_TOTALS_APTA!$A$4:$BD$126,$L79,FALSE))</f>
        <v>0</v>
      </c>
      <c r="U79" s="29">
        <f>IF(U67=0,0,VLOOKUP(U67,FAC_TOTALS_APTA!$A$4:$BD$126,$L79,FALSE))</f>
        <v>0</v>
      </c>
      <c r="V79" s="29">
        <f>IF(V67=0,0,VLOOKUP(V67,FAC_TOTALS_APTA!$A$4:$BD$126,$L79,FALSE))</f>
        <v>0</v>
      </c>
      <c r="W79" s="29">
        <f>IF(W67=0,0,VLOOKUP(W67,FAC_TOTALS_APTA!$A$4:$BD$126,$L79,FALSE))</f>
        <v>0</v>
      </c>
      <c r="X79" s="29">
        <f>IF(X67=0,0,VLOOKUP(X67,FAC_TOTALS_APTA!$A$4:$BD$126,$L79,FALSE))</f>
        <v>0</v>
      </c>
      <c r="Y79" s="29">
        <f>IF(Y67=0,0,VLOOKUP(Y67,FAC_TOTALS_APTA!$A$4:$BD$126,$L79,FALSE))</f>
        <v>0</v>
      </c>
      <c r="Z79" s="29">
        <f>IF(Z67=0,0,VLOOKUP(Z67,FAC_TOTALS_APTA!$A$4:$BD$126,$L79,FALSE))</f>
        <v>0</v>
      </c>
      <c r="AA79" s="29">
        <f>IF(AA67=0,0,VLOOKUP(AA67,FAC_TOTALS_APTA!$A$4:$BD$126,$L79,FALSE))</f>
        <v>0</v>
      </c>
      <c r="AB79" s="29">
        <f>IF(AB67=0,0,VLOOKUP(AB67,FAC_TOTALS_APTA!$A$4:$BD$126,$L79,FALSE))</f>
        <v>0</v>
      </c>
      <c r="AC79" s="32">
        <f t="shared" si="20"/>
        <v>-30154331.81491556</v>
      </c>
      <c r="AD79" s="33">
        <f>AC79/G83</f>
        <v>-9.7838982975594638E-2</v>
      </c>
    </row>
    <row r="80" spans="2:33" ht="15" x14ac:dyDescent="0.2">
      <c r="B80" s="25" t="s">
        <v>64</v>
      </c>
      <c r="C80" s="28"/>
      <c r="D80" s="104" t="s">
        <v>43</v>
      </c>
      <c r="E80" s="55"/>
      <c r="F80" s="6">
        <f>MATCH($D80,FAC_TOTALS_APTA!$A$2:$BD$2,)</f>
        <v>28</v>
      </c>
      <c r="G80" s="123">
        <f>VLOOKUP(G67,FAC_TOTALS_APTA!$A$4:$BD$126,$F80,FALSE)</f>
        <v>3.8681875663871497E-2</v>
      </c>
      <c r="H80" s="123">
        <f>VLOOKUP(H67,FAC_TOTALS_APTA!$A$4:$BD$126,$F80,FALSE)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MATCH($K80,FAC_TOTALS_APTA!$A$2:$BB$2,)</f>
        <v>46</v>
      </c>
      <c r="M80" s="29">
        <f>IF(M67=0,0,VLOOKUP(M67,FAC_TOTALS_APTA!$A$4:$BD$126,$L80,FALSE))</f>
        <v>0</v>
      </c>
      <c r="N80" s="29">
        <f>IF(N67=0,0,VLOOKUP(N67,FAC_TOTALS_APTA!$A$4:$BD$126,$L80,FALSE))</f>
        <v>-68057.010176877593</v>
      </c>
      <c r="O80" s="29">
        <f>IF(O67=0,0,VLOOKUP(O67,FAC_TOTALS_APTA!$A$4:$BD$126,$L80,FALSE))</f>
        <v>-169861.99772245</v>
      </c>
      <c r="P80" s="29">
        <f>IF(P67=0,0,VLOOKUP(P67,FAC_TOTALS_APTA!$A$4:$BD$126,$L80,FALSE))</f>
        <v>-269074.43521273503</v>
      </c>
      <c r="Q80" s="29">
        <f>IF(Q67=0,0,VLOOKUP(Q67,FAC_TOTALS_APTA!$A$4:$BD$126,$L80,FALSE))</f>
        <v>-631691.44822952</v>
      </c>
      <c r="R80" s="29">
        <f>IF(R67=0,0,VLOOKUP(R67,FAC_TOTALS_APTA!$A$4:$BD$126,$L80,FALSE))</f>
        <v>-433456.37556307501</v>
      </c>
      <c r="S80" s="29">
        <f>IF(S67=0,0,VLOOKUP(S67,FAC_TOTALS_APTA!$A$4:$BD$126,$L80,FALSE))</f>
        <v>0</v>
      </c>
      <c r="T80" s="29">
        <f>IF(T67=0,0,VLOOKUP(T67,FAC_TOTALS_APTA!$A$4:$BD$126,$L80,FALSE))</f>
        <v>0</v>
      </c>
      <c r="U80" s="29">
        <f>IF(U67=0,0,VLOOKUP(U67,FAC_TOTALS_APTA!$A$4:$BD$126,$L80,FALSE))</f>
        <v>0</v>
      </c>
      <c r="V80" s="29">
        <f>IF(V67=0,0,VLOOKUP(V67,FAC_TOTALS_APTA!$A$4:$BD$126,$L80,FALSE))</f>
        <v>0</v>
      </c>
      <c r="W80" s="29">
        <f>IF(W67=0,0,VLOOKUP(W67,FAC_TOTALS_APTA!$A$4:$BD$126,$L80,FALSE))</f>
        <v>0</v>
      </c>
      <c r="X80" s="29">
        <f>IF(X67=0,0,VLOOKUP(X67,FAC_TOTALS_APTA!$A$4:$BD$126,$L80,FALSE))</f>
        <v>0</v>
      </c>
      <c r="Y80" s="29">
        <f>IF(Y67=0,0,VLOOKUP(Y67,FAC_TOTALS_APTA!$A$4:$BD$126,$L80,FALSE))</f>
        <v>0</v>
      </c>
      <c r="Z80" s="29">
        <f>IF(Z67=0,0,VLOOKUP(Z67,FAC_TOTALS_APTA!$A$4:$BD$126,$L80,FALSE))</f>
        <v>0</v>
      </c>
      <c r="AA80" s="29">
        <f>IF(AA67=0,0,VLOOKUP(AA67,FAC_TOTALS_APTA!$A$4:$BD$126,$L80,FALSE))</f>
        <v>0</v>
      </c>
      <c r="AB80" s="29">
        <f>IF(AB67=0,0,VLOOKUP(AB67,FAC_TOTALS_APTA!$A$4:$BD$126,$L80,FALSE))</f>
        <v>0</v>
      </c>
      <c r="AC80" s="32">
        <f t="shared" si="20"/>
        <v>-1572141.2669046577</v>
      </c>
      <c r="AD80" s="33">
        <f>AC80/G83</f>
        <v>-5.1009819614650058E-3</v>
      </c>
      <c r="AG80" s="53"/>
    </row>
    <row r="81" spans="1:31" ht="15" x14ac:dyDescent="0.2">
      <c r="B81" s="8" t="s">
        <v>65</v>
      </c>
      <c r="C81" s="27"/>
      <c r="D81" s="129" t="s">
        <v>44</v>
      </c>
      <c r="E81" s="56"/>
      <c r="F81" s="7">
        <f>MATCH($D81,FAC_TOTALS_APTA!$A$2:$BD$2,)</f>
        <v>29</v>
      </c>
      <c r="G81" s="131">
        <f>VLOOKUP(G67,FAC_TOTALS_APTA!$A$4:$BD$126,$F81,FALSE)</f>
        <v>0</v>
      </c>
      <c r="H81" s="131">
        <f>VLOOKUP(H67,FAC_TOTALS_APTA!$A$4:$BD$126,$F81,FALSE)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MATCH($K81,FAC_TOTALS_APTA!$A$2:$BB$2,)</f>
        <v>47</v>
      </c>
      <c r="M81" s="38">
        <f>IF(M67=0,0,VLOOKUP(M67,FAC_TOTALS_APTA!$A$4:$BD$126,$L81,FALSE))</f>
        <v>0</v>
      </c>
      <c r="N81" s="38">
        <f>IF(N67=0,0,VLOOKUP(N67,FAC_TOTALS_APTA!$A$4:$BD$126,$L81,FALSE))</f>
        <v>0</v>
      </c>
      <c r="O81" s="38">
        <f>IF(O67=0,0,VLOOKUP(O67,FAC_TOTALS_APTA!$A$4:$BD$126,$L81,FALSE))</f>
        <v>0</v>
      </c>
      <c r="P81" s="38">
        <f>IF(P67=0,0,VLOOKUP(P67,FAC_TOTALS_APTA!$A$4:$BD$126,$L81,FALSE))</f>
        <v>0</v>
      </c>
      <c r="Q81" s="38">
        <f>IF(Q67=0,0,VLOOKUP(Q67,FAC_TOTALS_APTA!$A$4:$BD$126,$L81,FALSE))</f>
        <v>0</v>
      </c>
      <c r="R81" s="38">
        <f>IF(R67=0,0,VLOOKUP(R67,FAC_TOTALS_APTA!$A$4:$BD$126,$L81,FALSE))</f>
        <v>-775450.74322328996</v>
      </c>
      <c r="S81" s="38">
        <f>IF(S67=0,0,VLOOKUP(S67,FAC_TOTALS_APTA!$A$4:$BD$126,$L81,FALSE))</f>
        <v>0</v>
      </c>
      <c r="T81" s="38">
        <f>IF(T67=0,0,VLOOKUP(T67,FAC_TOTALS_APTA!$A$4:$BD$126,$L81,FALSE))</f>
        <v>0</v>
      </c>
      <c r="U81" s="38">
        <f>IF(U67=0,0,VLOOKUP(U67,FAC_TOTALS_APTA!$A$4:$BD$126,$L81,FALSE))</f>
        <v>0</v>
      </c>
      <c r="V81" s="38">
        <f>IF(V67=0,0,VLOOKUP(V67,FAC_TOTALS_APTA!$A$4:$BD$126,$L81,FALSE))</f>
        <v>0</v>
      </c>
      <c r="W81" s="38">
        <f>IF(W67=0,0,VLOOKUP(W67,FAC_TOTALS_APTA!$A$4:$BD$126,$L81,FALSE))</f>
        <v>0</v>
      </c>
      <c r="X81" s="38">
        <f>IF(X67=0,0,VLOOKUP(X67,FAC_TOTALS_APTA!$A$4:$BD$126,$L81,FALSE))</f>
        <v>0</v>
      </c>
      <c r="Y81" s="38">
        <f>IF(Y67=0,0,VLOOKUP(Y67,FAC_TOTALS_APTA!$A$4:$BD$126,$L81,FALSE))</f>
        <v>0</v>
      </c>
      <c r="Z81" s="38">
        <f>IF(Z67=0,0,VLOOKUP(Z67,FAC_TOTALS_APTA!$A$4:$BD$126,$L81,FALSE))</f>
        <v>0</v>
      </c>
      <c r="AA81" s="38">
        <f>IF(AA67=0,0,VLOOKUP(AA67,FAC_TOTALS_APTA!$A$4:$BD$126,$L81,FALSE))</f>
        <v>0</v>
      </c>
      <c r="AB81" s="38">
        <f>IF(AB67=0,0,VLOOKUP(AB67,FAC_TOTALS_APTA!$A$4:$BD$126,$L81,FALSE))</f>
        <v>0</v>
      </c>
      <c r="AC81" s="39">
        <f t="shared" si="20"/>
        <v>-775450.74322328996</v>
      </c>
      <c r="AD81" s="40">
        <f>AC81/G83</f>
        <v>-2.5160336010863829E-3</v>
      </c>
    </row>
    <row r="82" spans="1:31" ht="15" x14ac:dyDescent="0.2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MATCH($K82,FAC_TOTALS_APTA!$A$2:$BB$2,)</f>
        <v>51</v>
      </c>
      <c r="M82" s="45">
        <f>IF(M67=0,0,VLOOKUP(M67,FAC_TOTALS_APTA!$A$4:$BD$126,$L82,FALSE))</f>
        <v>0</v>
      </c>
      <c r="N82" s="45">
        <f>IF(N67=0,0,VLOOKUP(N67,FAC_TOTALS_APTA!$A$4:$BD$126,$L82,FALSE))</f>
        <v>0</v>
      </c>
      <c r="O82" s="45">
        <f>IF(O67=0,0,VLOOKUP(O67,FAC_TOTALS_APTA!$A$4:$BD$126,$L82,FALSE))</f>
        <v>0</v>
      </c>
      <c r="P82" s="45">
        <f>IF(P67=0,0,VLOOKUP(P67,FAC_TOTALS_APTA!$A$4:$BD$126,$L82,FALSE))</f>
        <v>0</v>
      </c>
      <c r="Q82" s="45">
        <f>IF(Q67=0,0,VLOOKUP(Q67,FAC_TOTALS_APTA!$A$4:$BD$126,$L82,FALSE))</f>
        <v>0</v>
      </c>
      <c r="R82" s="45">
        <f>IF(R67=0,0,VLOOKUP(R67,FAC_TOTALS_APTA!$A$4:$BD$126,$L82,FALSE))</f>
        <v>0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7">
        <f>VLOOKUP(G67,FAC_TOTALS_APTA!$A$4:$BD$126,$F83,FALSE)</f>
        <v>308203651.52852601</v>
      </c>
      <c r="H83" s="117">
        <f>VLOOKUP(H67,FAC_TOTALS_APTA!$A$4:$BB$126,$F83,FALSE)</f>
        <v>262240270.762007</v>
      </c>
      <c r="I83" s="112">
        <f t="shared" ref="I83" si="23">H83/G83-1</f>
        <v>-0.14913314796422794</v>
      </c>
      <c r="J83" s="31"/>
      <c r="K83" s="31"/>
      <c r="L83" s="6"/>
      <c r="M83" s="29">
        <f t="shared" ref="M83:AB83" si="24">SUM(M69:M76)</f>
        <v>-5669657.4076161282</v>
      </c>
      <c r="N83" s="29">
        <f t="shared" si="24"/>
        <v>1469887.913358073</v>
      </c>
      <c r="O83" s="29">
        <f t="shared" si="24"/>
        <v>-11830281.574539993</v>
      </c>
      <c r="P83" s="29">
        <f t="shared" si="24"/>
        <v>-4868460.5353260217</v>
      </c>
      <c r="Q83" s="29">
        <f t="shared" si="24"/>
        <v>4676492.3611446964</v>
      </c>
      <c r="R83" s="29">
        <f t="shared" si="24"/>
        <v>5331345.3894359479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-45963380.76651901</v>
      </c>
      <c r="AD83" s="33">
        <f>I83</f>
        <v>-0.14913314796422794</v>
      </c>
      <c r="AE83" s="106"/>
    </row>
    <row r="84" spans="1:31" ht="13.5" customHeight="1" thickBot="1" x14ac:dyDescent="0.25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4">
        <f>VLOOKUP(G67,FAC_TOTALS_APTA!$A$4:$BB$126,$F84,FALSE)</f>
        <v>308556319.99999899</v>
      </c>
      <c r="H84" s="114">
        <f>VLOOKUP(H67,FAC_TOTALS_APTA!$A$4:$BB$126,$F84,FALSE)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7" thickTop="1" thickBot="1" x14ac:dyDescent="0.25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3.0107512491026611E-3</v>
      </c>
    </row>
    <row r="86" spans="1:31" ht="15" thickTop="1" x14ac:dyDescent="0.2"/>
    <row r="87" spans="1:31" s="10" customFormat="1" ht="15" x14ac:dyDescent="0.2">
      <c r="B87" s="18" t="s">
        <v>25</v>
      </c>
      <c r="E87" s="6"/>
      <c r="G87" s="106"/>
      <c r="H87" s="106"/>
      <c r="I87" s="17"/>
    </row>
    <row r="88" spans="1:31" ht="15" x14ac:dyDescent="0.2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ht="15" x14ac:dyDescent="0.2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6" thickBot="1" x14ac:dyDescent="0.25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5" thickTop="1" x14ac:dyDescent="0.2">
      <c r="B92" s="61"/>
      <c r="C92" s="62"/>
      <c r="D92" s="62"/>
      <c r="E92" s="62"/>
      <c r="F92" s="62"/>
      <c r="G92" s="240" t="s">
        <v>51</v>
      </c>
      <c r="H92" s="240"/>
      <c r="I92" s="240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40" t="s">
        <v>55</v>
      </c>
      <c r="AD92" s="240"/>
    </row>
    <row r="93" spans="1:31" ht="15" x14ac:dyDescent="0.2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3" customHeight="1" x14ac:dyDescent="0.2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3" customHeight="1" x14ac:dyDescent="0.2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3" customHeight="1" x14ac:dyDescent="0.2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ht="15" x14ac:dyDescent="0.2">
      <c r="B97" s="25" t="s">
        <v>31</v>
      </c>
      <c r="C97" s="28" t="s">
        <v>21</v>
      </c>
      <c r="D97" s="104" t="s">
        <v>87</v>
      </c>
      <c r="E97" s="55"/>
      <c r="F97" s="6">
        <f>MATCH($D97,FAC_TOTALS_APTA!$A$2:$BD$2,)</f>
        <v>12</v>
      </c>
      <c r="G97" s="117">
        <f>VLOOKUP(G95,FAC_TOTALS_APTA!$A$4:$BD$126,$F97,FALSE)</f>
        <v>227959423.99999899</v>
      </c>
      <c r="H97" s="117">
        <f>VLOOKUP(H95,FAC_TOTALS_APTA!$A$4:$BD$126,$F97,FALSE)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VRM_ADJ_BUS_log_FAC</v>
      </c>
      <c r="L97" s="6">
        <f>MATCH($K97,FAC_TOTALS_APTA!$A$2:$BB$2,)</f>
        <v>30</v>
      </c>
      <c r="M97" s="29">
        <f>IF(M95=0,0,VLOOKUP(M95,FAC_TOTALS_APTA!$A$4:$BD$126,$L97,FALSE))</f>
        <v>8244938.4984470997</v>
      </c>
      <c r="N97" s="29">
        <f>IF(N95=0,0,VLOOKUP(N95,FAC_TOTALS_APTA!$A$4:$BD$126,$L97,FALSE))</f>
        <v>-42554.895286797197</v>
      </c>
      <c r="O97" s="29">
        <f>IF(O95=0,0,VLOOKUP(O95,FAC_TOTALS_APTA!$A$4:$BD$126,$L97,FALSE))</f>
        <v>1497949.2020632001</v>
      </c>
      <c r="P97" s="29">
        <f>IF(P95=0,0,VLOOKUP(P95,FAC_TOTALS_APTA!$A$4:$BD$126,$L97,FALSE))</f>
        <v>-1260097.31645456</v>
      </c>
      <c r="Q97" s="29">
        <f>IF(Q95=0,0,VLOOKUP(Q95,FAC_TOTALS_APTA!$A$4:$BD$126,$L97,FALSE))</f>
        <v>-2273424.5677918098</v>
      </c>
      <c r="R97" s="29">
        <f>IF(R95=0,0,VLOOKUP(R95,FAC_TOTALS_APTA!$A$4:$BD$126,$L97,FALSE))</f>
        <v>-501590.63527974201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5665220.2856973903</v>
      </c>
      <c r="AD97" s="33">
        <f>AC97/G111</f>
        <v>0.28456660133986111</v>
      </c>
    </row>
    <row r="98" spans="1:31" ht="15" x14ac:dyDescent="0.2">
      <c r="B98" s="25" t="s">
        <v>52</v>
      </c>
      <c r="C98" s="28" t="s">
        <v>21</v>
      </c>
      <c r="D98" s="104" t="s">
        <v>88</v>
      </c>
      <c r="E98" s="55"/>
      <c r="F98" s="6">
        <f>MATCH($D98,FAC_TOTALS_APTA!$A$2:$BD$2,)</f>
        <v>14</v>
      </c>
      <c r="G98" s="123">
        <f>VLOOKUP(G95,FAC_TOTALS_APTA!$A$4:$BD$126,$F98,FALSE)</f>
        <v>1.36910030643</v>
      </c>
      <c r="H98" s="123">
        <f>VLOOKUP(H95,FAC_TOTALS_APTA!$A$4:$BD$126,$F98,FALSE)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FARE_per_UPT_cleaned_2018_BUS_log_FAC</v>
      </c>
      <c r="L98" s="6">
        <f>MATCH($K98,FAC_TOTALS_APTA!$A$2:$BB$2,)</f>
        <v>32</v>
      </c>
      <c r="M98" s="29">
        <f>IF(M95=0,0,VLOOKUP(M95,FAC_TOTALS_APTA!$A$4:$BD$126,$L98,FALSE))</f>
        <v>-60981754.960969202</v>
      </c>
      <c r="N98" s="29">
        <f>IF(N95=0,0,VLOOKUP(N95,FAC_TOTALS_APTA!$A$4:$BD$126,$L98,FALSE))</f>
        <v>876336.06194725598</v>
      </c>
      <c r="O98" s="29">
        <f>IF(O95=0,0,VLOOKUP(O95,FAC_TOTALS_APTA!$A$4:$BD$126,$L98,FALSE))</f>
        <v>-11860897.9673694</v>
      </c>
      <c r="P98" s="29">
        <f>IF(P95=0,0,VLOOKUP(P95,FAC_TOTALS_APTA!$A$4:$BD$126,$L98,FALSE))</f>
        <v>-1379866.0052244901</v>
      </c>
      <c r="Q98" s="29">
        <f>IF(Q95=0,0,VLOOKUP(Q95,FAC_TOTALS_APTA!$A$4:$BD$126,$L98,FALSE))</f>
        <v>-9827234.5340522397</v>
      </c>
      <c r="R98" s="29">
        <f>IF(R95=0,0,VLOOKUP(R95,FAC_TOTALS_APTA!$A$4:$BD$126,$L98,FALSE))</f>
        <v>2115371.1923325402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0">SUM(M98:AB98)</f>
        <v>-81058046.213335544</v>
      </c>
      <c r="AD98" s="33">
        <f>AC98/G111</f>
        <v>-4.0715826673876307</v>
      </c>
    </row>
    <row r="99" spans="1:31" ht="15" x14ac:dyDescent="0.2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0"/>
        <v>0</v>
      </c>
      <c r="AD99" s="122">
        <f>AC99/G112</f>
        <v>0</v>
      </c>
    </row>
    <row r="100" spans="1:31" ht="15" x14ac:dyDescent="0.2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0"/>
        <v>0</v>
      </c>
      <c r="AD100" s="122">
        <f>AC100/G112</f>
        <v>0</v>
      </c>
    </row>
    <row r="101" spans="1:31" ht="15" x14ac:dyDescent="0.2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MATCH($D101,FAC_TOTALS_APTA!$A$2:$BD$2,)</f>
        <v>16</v>
      </c>
      <c r="G101" s="117">
        <f>VLOOKUP(G95,FAC_TOTALS_APTA!$A$4:$BD$126,$F101,FALSE)</f>
        <v>27909105.420000002</v>
      </c>
      <c r="H101" s="117">
        <f>VLOOKUP(H95,FAC_TOTALS_APTA!$A$4:$BD$126,$F101,FALSE)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MATCH($K101,FAC_TOTALS_APTA!$A$2:$BB$2,)</f>
        <v>34</v>
      </c>
      <c r="M101" s="29">
        <f>IF(M95=0,0,VLOOKUP(M95,FAC_TOTALS_APTA!$A$4:$BD$126,$L101,FALSE))</f>
        <v>7234929.6137362299</v>
      </c>
      <c r="N101" s="29">
        <f>IF(N95=0,0,VLOOKUP(N95,FAC_TOTALS_APTA!$A$4:$BD$126,$L101,FALSE))</f>
        <v>2272260.1431499301</v>
      </c>
      <c r="O101" s="29">
        <f>IF(O95=0,0,VLOOKUP(O95,FAC_TOTALS_APTA!$A$4:$BD$126,$L101,FALSE))</f>
        <v>2037984.3999222701</v>
      </c>
      <c r="P101" s="29">
        <f>IF(P95=0,0,VLOOKUP(P95,FAC_TOTALS_APTA!$A$4:$BD$126,$L101,FALSE))</f>
        <v>438786.824582464</v>
      </c>
      <c r="Q101" s="29">
        <f>IF(Q95=0,0,VLOOKUP(Q95,FAC_TOTALS_APTA!$A$4:$BD$126,$L101,FALSE))</f>
        <v>1700726.44718942</v>
      </c>
      <c r="R101" s="29">
        <f>IF(R95=0,0,VLOOKUP(R95,FAC_TOTALS_APTA!$A$4:$BD$126,$L101,FALSE))</f>
        <v>962459.49187749997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0"/>
        <v>14647146.920457814</v>
      </c>
      <c r="AD101" s="33">
        <f>AC101/G111</f>
        <v>0.73573287679619326</v>
      </c>
    </row>
    <row r="102" spans="1:31" ht="15" x14ac:dyDescent="0.2">
      <c r="B102" s="25" t="s">
        <v>73</v>
      </c>
      <c r="C102" s="28"/>
      <c r="D102" s="104" t="s">
        <v>72</v>
      </c>
      <c r="E102" s="55"/>
      <c r="F102" s="6">
        <f>MATCH($D102,FAC_TOTALS_APTA!$A$2:$BD$2,)</f>
        <v>17</v>
      </c>
      <c r="G102" s="123">
        <f>VLOOKUP(G95,FAC_TOTALS_APTA!$A$4:$BD$126,$F102,FALSE)</f>
        <v>0.70702565886186597</v>
      </c>
      <c r="H102" s="123">
        <f>VLOOKUP(H95,FAC_TOTALS_APTA!$A$4:$BD$126,$F102,FALSE)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MATCH($K102,FAC_TOTALS_APTA!$A$2:$BB$2,)</f>
        <v>35</v>
      </c>
      <c r="M102" s="29">
        <f>IF(M95=0,0,VLOOKUP(M95,FAC_TOTALS_APTA!$A$4:$BD$126,$L102,FALSE))</f>
        <v>479581.23928396101</v>
      </c>
      <c r="N102" s="29">
        <f>IF(N95=0,0,VLOOKUP(N95,FAC_TOTALS_APTA!$A$4:$BD$126,$L102,FALSE))</f>
        <v>883335.36355277605</v>
      </c>
      <c r="O102" s="29">
        <f>IF(O95=0,0,VLOOKUP(O95,FAC_TOTALS_APTA!$A$4:$BD$126,$L102,FALSE))</f>
        <v>1289490.5172834301</v>
      </c>
      <c r="P102" s="29">
        <f>IF(P95=0,0,VLOOKUP(P95,FAC_TOTALS_APTA!$A$4:$BD$126,$L102,FALSE))</f>
        <v>303833.25165635499</v>
      </c>
      <c r="Q102" s="29">
        <f>IF(Q95=0,0,VLOOKUP(Q95,FAC_TOTALS_APTA!$A$4:$BD$126,$L102,FALSE))</f>
        <v>512516.79825150297</v>
      </c>
      <c r="R102" s="29">
        <f>IF(R95=0,0,VLOOKUP(R95,FAC_TOTALS_APTA!$A$4:$BD$126,$L102,FALSE))</f>
        <v>-430666.11970935098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0"/>
        <v>3038091.0503186737</v>
      </c>
      <c r="AD102" s="33">
        <f>AC102/G111</f>
        <v>0.15260470046202429</v>
      </c>
    </row>
    <row r="103" spans="1:31" ht="15" x14ac:dyDescent="0.2">
      <c r="B103" s="25" t="s">
        <v>49</v>
      </c>
      <c r="C103" s="28" t="s">
        <v>21</v>
      </c>
      <c r="D103" s="124" t="s">
        <v>82</v>
      </c>
      <c r="E103" s="55"/>
      <c r="F103" s="6">
        <f>MATCH($D103,FAC_TOTALS_APTA!$A$2:$BD$2,)</f>
        <v>18</v>
      </c>
      <c r="G103" s="125">
        <f>VLOOKUP(G95,FAC_TOTALS_APTA!$A$4:$BD$126,$F103,FALSE)</f>
        <v>4.1093000000000002</v>
      </c>
      <c r="H103" s="125">
        <f>VLOOKUP(H95,FAC_TOTALS_APTA!$A$4:$BD$126,$F103,FALSE)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-4916635.6672476502</v>
      </c>
      <c r="N103" s="29">
        <f>IF(N95=0,0,VLOOKUP(N95,FAC_TOTALS_APTA!$A$4:$BD$126,$L103,FALSE))</f>
        <v>-5768488.5417536497</v>
      </c>
      <c r="O103" s="29">
        <f>IF(O95=0,0,VLOOKUP(O95,FAC_TOTALS_APTA!$A$4:$BD$126,$L103,FALSE))</f>
        <v>-35871107.9767671</v>
      </c>
      <c r="P103" s="29">
        <f>IF(P95=0,0,VLOOKUP(P95,FAC_TOTALS_APTA!$A$4:$BD$126,$L103,FALSE))</f>
        <v>-11074738.0744217</v>
      </c>
      <c r="Q103" s="29">
        <f>IF(Q95=0,0,VLOOKUP(Q95,FAC_TOTALS_APTA!$A$4:$BD$126,$L103,FALSE))</f>
        <v>10821232.9679843</v>
      </c>
      <c r="R103" s="29">
        <f>IF(R95=0,0,VLOOKUP(R95,FAC_TOTALS_APTA!$A$4:$BD$126,$L103,FALSE))</f>
        <v>8102906.6949057896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0"/>
        <v>-38706830.597300008</v>
      </c>
      <c r="AD103" s="33">
        <f>AC103/G111</f>
        <v>-1.9442617720478454</v>
      </c>
    </row>
    <row r="104" spans="1:31" ht="15" x14ac:dyDescent="0.2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MATCH($D104,FAC_TOTALS_APTA!$A$2:$BD$2,)</f>
        <v>19</v>
      </c>
      <c r="G104" s="123">
        <f>VLOOKUP(G95,FAC_TOTALS_APTA!$A$4:$BD$126,$F104,FALSE)</f>
        <v>33963.31</v>
      </c>
      <c r="H104" s="123">
        <f>VLOOKUP(H95,FAC_TOTALS_APTA!$A$4:$BD$126,$F104,FALSE)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570221.69800694205</v>
      </c>
      <c r="N104" s="29">
        <f>IF(N95=0,0,VLOOKUP(N95,FAC_TOTALS_APTA!$A$4:$BD$126,$L104,FALSE))</f>
        <v>260289.45901652399</v>
      </c>
      <c r="O104" s="29">
        <f>IF(O95=0,0,VLOOKUP(O95,FAC_TOTALS_APTA!$A$4:$BD$126,$L104,FALSE))</f>
        <v>-1267381.6407826799</v>
      </c>
      <c r="P104" s="29">
        <f>IF(P95=0,0,VLOOKUP(P95,FAC_TOTALS_APTA!$A$4:$BD$126,$L104,FALSE))</f>
        <v>-2298836.8140127398</v>
      </c>
      <c r="Q104" s="29">
        <f>IF(Q95=0,0,VLOOKUP(Q95,FAC_TOTALS_APTA!$A$4:$BD$126,$L104,FALSE))</f>
        <v>-1281589.8878707499</v>
      </c>
      <c r="R104" s="29">
        <f>IF(R95=0,0,VLOOKUP(R95,FAC_TOTALS_APTA!$A$4:$BD$126,$L104,FALSE))</f>
        <v>-1573577.77898339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0"/>
        <v>-5590874.9646260934</v>
      </c>
      <c r="AD104" s="33">
        <f>AC104/G111</f>
        <v>-0.2808322019209733</v>
      </c>
    </row>
    <row r="105" spans="1:31" ht="15" x14ac:dyDescent="0.2">
      <c r="B105" s="25" t="s">
        <v>62</v>
      </c>
      <c r="C105" s="28"/>
      <c r="D105" s="104" t="s">
        <v>9</v>
      </c>
      <c r="E105" s="55"/>
      <c r="F105" s="6">
        <f>MATCH($D105,FAC_TOTALS_APTA!$A$2:$BD$2,)</f>
        <v>20</v>
      </c>
      <c r="G105" s="117">
        <f>VLOOKUP(G95,FAC_TOTALS_APTA!$A$4:$BD$126,$F105,FALSE)</f>
        <v>31.51</v>
      </c>
      <c r="H105" s="117">
        <f>VLOOKUP(H95,FAC_TOTALS_APTA!$A$4:$BD$126,$F105,FALSE)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MATCH($K105,FAC_TOTALS_APTA!$A$2:$BB$2,)</f>
        <v>38</v>
      </c>
      <c r="M105" s="29">
        <f>IF(M95=0,0,VLOOKUP(M95,FAC_TOTALS_APTA!$A$4:$BD$126,$L105,FALSE))</f>
        <v>-3262187.9211362102</v>
      </c>
      <c r="N105" s="29">
        <f>IF(N95=0,0,VLOOKUP(N95,FAC_TOTALS_APTA!$A$4:$BD$126,$L105,FALSE))</f>
        <v>557874.15936622606</v>
      </c>
      <c r="O105" s="29">
        <f>IF(O95=0,0,VLOOKUP(O95,FAC_TOTALS_APTA!$A$4:$BD$126,$L105,FALSE))</f>
        <v>-61332.889912483901</v>
      </c>
      <c r="P105" s="29">
        <f>IF(P95=0,0,VLOOKUP(P95,FAC_TOTALS_APTA!$A$4:$BD$126,$L105,FALSE))</f>
        <v>-579018.11556067294</v>
      </c>
      <c r="Q105" s="29">
        <f>IF(Q95=0,0,VLOOKUP(Q95,FAC_TOTALS_APTA!$A$4:$BD$126,$L105,FALSE))</f>
        <v>240154.57721616299</v>
      </c>
      <c r="R105" s="29">
        <f>IF(R95=0,0,VLOOKUP(R95,FAC_TOTALS_APTA!$A$4:$BD$126,$L105,FALSE))</f>
        <v>18877.3496633289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0"/>
        <v>-3085632.8403636487</v>
      </c>
      <c r="AD105" s="33">
        <f>AC105/G111</f>
        <v>-0.15499274628062504</v>
      </c>
    </row>
    <row r="106" spans="1:31" ht="15" x14ac:dyDescent="0.2">
      <c r="B106" s="25" t="s">
        <v>47</v>
      </c>
      <c r="C106" s="28"/>
      <c r="D106" s="104" t="s">
        <v>28</v>
      </c>
      <c r="E106" s="55"/>
      <c r="F106" s="6">
        <f>MATCH($D106,FAC_TOTALS_APTA!$A$2:$BD$2,)</f>
        <v>21</v>
      </c>
      <c r="G106" s="125">
        <f>VLOOKUP(G95,FAC_TOTALS_APTA!$A$4:$BD$126,$F106,FALSE)</f>
        <v>4.0999999999999996</v>
      </c>
      <c r="H106" s="125">
        <f>VLOOKUP(H95,FAC_TOTALS_APTA!$A$4:$BD$126,$F106,FALSE)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MATCH($K106,FAC_TOTALS_APTA!$A$2:$BB$2,)</f>
        <v>39</v>
      </c>
      <c r="M106" s="29">
        <f>IF(M95=0,0,VLOOKUP(M95,FAC_TOTALS_APTA!$A$4:$BD$126,$L106,FALSE))</f>
        <v>-789506.211003214</v>
      </c>
      <c r="N106" s="29">
        <f>IF(N95=0,0,VLOOKUP(N95,FAC_TOTALS_APTA!$A$4:$BD$126,$L106,FALSE))</f>
        <v>0</v>
      </c>
      <c r="O106" s="29">
        <f>IF(O95=0,0,VLOOKUP(O95,FAC_TOTALS_APTA!$A$4:$BD$126,$L106,FALSE))</f>
        <v>781149.51434068405</v>
      </c>
      <c r="P106" s="29">
        <f>IF(P95=0,0,VLOOKUP(P95,FAC_TOTALS_APTA!$A$4:$BD$126,$L106,FALSE))</f>
        <v>-3046484.3371702698</v>
      </c>
      <c r="Q106" s="29">
        <f>IF(Q95=0,0,VLOOKUP(Q95,FAC_TOTALS_APTA!$A$4:$BD$126,$L106,FALSE))</f>
        <v>0</v>
      </c>
      <c r="R106" s="29">
        <f>IF(R95=0,0,VLOOKUP(R95,FAC_TOTALS_APTA!$A$4:$BD$126,$L106,FALSE))</f>
        <v>-720698.23643225303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0"/>
        <v>-3775539.2702650526</v>
      </c>
      <c r="AD106" s="33">
        <f>AC106/G111</f>
        <v>-0.18964706122318903</v>
      </c>
    </row>
    <row r="107" spans="1:31" ht="15" x14ac:dyDescent="0.2">
      <c r="B107" s="25" t="s">
        <v>63</v>
      </c>
      <c r="C107" s="28"/>
      <c r="D107" s="126" t="s">
        <v>89</v>
      </c>
      <c r="E107" s="55"/>
      <c r="F107" s="6">
        <f>MATCH($D107,FAC_TOTALS_APTA!$A$2:$BD$2,)</f>
        <v>24</v>
      </c>
      <c r="G107" s="125">
        <f>VLOOKUP(G95,FAC_TOTALS_APTA!$A$4:$BD$126,$F107,FALSE)</f>
        <v>1</v>
      </c>
      <c r="H107" s="125">
        <f>VLOOKUP(H95,FAC_TOTALS_APTA!$A$4:$BD$126,$F107,FALSE)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YEARS_SINCE_TNC_BUS_HINY_FAC</v>
      </c>
      <c r="L107" s="6">
        <f>MATCH($K107,FAC_TOTALS_APTA!$A$2:$BB$2,)</f>
        <v>42</v>
      </c>
      <c r="M107" s="29">
        <f>IF(M95=0,0,VLOOKUP(M95,FAC_TOTALS_APTA!$A$4:$BD$126,$L107,FALSE))</f>
        <v>-19846245.422509599</v>
      </c>
      <c r="N107" s="29">
        <f>IF(N95=0,0,VLOOKUP(N95,FAC_TOTALS_APTA!$A$4:$BD$126,$L107,FALSE))</f>
        <v>-19824153.9573466</v>
      </c>
      <c r="O107" s="29">
        <f>IF(O95=0,0,VLOOKUP(O95,FAC_TOTALS_APTA!$A$4:$BD$126,$L107,FALSE))</f>
        <v>-19621166.0549892</v>
      </c>
      <c r="P107" s="29">
        <f>IF(P95=0,0,VLOOKUP(P95,FAC_TOTALS_APTA!$A$4:$BD$126,$L107,FALSE))</f>
        <v>-19167251.747616399</v>
      </c>
      <c r="Q107" s="29">
        <f>IF(Q95=0,0,VLOOKUP(Q95,FAC_TOTALS_APTA!$A$4:$BD$126,$L107,FALSE))</f>
        <v>-19204235.988347702</v>
      </c>
      <c r="R107" s="29">
        <f>IF(R95=0,0,VLOOKUP(R95,FAC_TOTALS_APTA!$A$4:$BD$126,$L107,FALSE))</f>
        <v>-18116582.081893299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0"/>
        <v>-115779635.2527028</v>
      </c>
      <c r="AD107" s="33">
        <f>AC107/G111</f>
        <v>-5.8156639365656408</v>
      </c>
    </row>
    <row r="108" spans="1:31" ht="15" x14ac:dyDescent="0.2">
      <c r="B108" s="25" t="s">
        <v>64</v>
      </c>
      <c r="C108" s="28"/>
      <c r="D108" s="104" t="s">
        <v>43</v>
      </c>
      <c r="E108" s="55"/>
      <c r="F108" s="6">
        <f>MATCH($D108,FAC_TOTALS_APTA!$A$2:$BD$2,)</f>
        <v>28</v>
      </c>
      <c r="G108" s="125">
        <f>VLOOKUP(G95,FAC_TOTALS_APTA!$A$4:$BD$126,$F108,FALSE)</f>
        <v>0</v>
      </c>
      <c r="H108" s="125">
        <f>VLOOKUP(H95,FAC_TOTALS_APTA!$A$4:$BD$126,$F108,FALSE)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MATCH($K108,FAC_TOTALS_APTA!$A$2:$BB$2,)</f>
        <v>46</v>
      </c>
      <c r="M108" s="29">
        <f>IF(M95=0,0,VLOOKUP(M95,FAC_TOTALS_APTA!$A$4:$BD$126,$L108,FALSE))</f>
        <v>-11132935.685656101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0"/>
        <v>-11132935.685656101</v>
      </c>
      <c r="AD108" s="33">
        <f>AC108/G111</f>
        <v>-0.55921244210054999</v>
      </c>
    </row>
    <row r="109" spans="1:31" ht="15" x14ac:dyDescent="0.2">
      <c r="B109" s="8" t="s">
        <v>65</v>
      </c>
      <c r="C109" s="27"/>
      <c r="D109" s="129" t="s">
        <v>44</v>
      </c>
      <c r="E109" s="56"/>
      <c r="F109" s="7">
        <f>MATCH($D109,FAC_TOTALS_APTA!$A$2:$BD$2,)</f>
        <v>29</v>
      </c>
      <c r="G109" s="131">
        <f>VLOOKUP(G95,FAC_TOTALS_APTA!$A$4:$BD$126,$F109,FALSE)</f>
        <v>0</v>
      </c>
      <c r="H109" s="131">
        <f>VLOOKUP(H95,FAC_TOTALS_APTA!$A$4:$BD$126,$F109,FALSE)</f>
        <v>0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0"/>
        <v>0</v>
      </c>
      <c r="AD109" s="40">
        <f>AC109/G111</f>
        <v>0</v>
      </c>
    </row>
    <row r="110" spans="1:31" ht="15" x14ac:dyDescent="0.2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19908240.317110699</v>
      </c>
      <c r="H111" s="117">
        <f>VLOOKUP(H95,FAC_TOTALS_APTA!$A$4:$BB$126,$F111,FALSE)</f>
        <v>15724207.8054698</v>
      </c>
      <c r="I111" s="112">
        <f t="shared" ref="I111" si="33">H111/G111-1</f>
        <v>-0.21016586323025321</v>
      </c>
      <c r="J111" s="31"/>
      <c r="K111" s="31"/>
      <c r="L111" s="6"/>
      <c r="M111" s="29">
        <f t="shared" ref="M111:AB111" si="34">SUM(M97:M104)</f>
        <v>-49368719.578742623</v>
      </c>
      <c r="N111" s="29">
        <f t="shared" si="34"/>
        <v>-1518822.4093739607</v>
      </c>
      <c r="O111" s="29">
        <f t="shared" si="34"/>
        <v>-44173963.465650275</v>
      </c>
      <c r="P111" s="29">
        <f t="shared" si="34"/>
        <v>-15270918.133874672</v>
      </c>
      <c r="Q111" s="29">
        <f t="shared" si="34"/>
        <v>-347772.77628957713</v>
      </c>
      <c r="R111" s="29">
        <f t="shared" si="34"/>
        <v>8674902.8451433461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-4184032.5116408989</v>
      </c>
      <c r="AD111" s="33">
        <f>I111</f>
        <v>-0.21016586323025321</v>
      </c>
      <c r="AE111" s="106"/>
    </row>
    <row r="112" spans="1:31" ht="13.5" customHeight="1" thickBot="1" x14ac:dyDescent="0.25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1032661299</v>
      </c>
      <c r="H112" s="114">
        <f>VLOOKUP(H95,FAC_TOTALS_APTA!$A$4:$BB$126,$F112,FALSE)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7" thickTop="1" thickBot="1" x14ac:dyDescent="0.25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0.11637592833699162</v>
      </c>
    </row>
    <row r="114" spans="2:30" ht="15" thickTop="1" x14ac:dyDescent="0.2"/>
    <row r="118" spans="2:30" ht="15" x14ac:dyDescent="0.2">
      <c r="B118" s="18" t="s">
        <v>26</v>
      </c>
      <c r="C118" s="19">
        <v>0</v>
      </c>
      <c r="D118" s="10"/>
      <c r="E118" s="6"/>
      <c r="F118" s="10"/>
      <c r="G118" s="106"/>
      <c r="H118" s="106"/>
      <c r="I118" s="1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2:30" ht="16" thickBot="1" x14ac:dyDescent="0.25">
      <c r="B119" s="20" t="s">
        <v>111</v>
      </c>
      <c r="C119" s="21">
        <v>0</v>
      </c>
      <c r="D119" s="22"/>
      <c r="E119" s="23"/>
      <c r="F119" s="22"/>
      <c r="G119" s="157"/>
      <c r="H119" s="157"/>
      <c r="I119" s="2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 spans="2:30" ht="15" thickTop="1" x14ac:dyDescent="0.2">
      <c r="B120" s="61"/>
      <c r="C120" s="62"/>
      <c r="D120" s="62"/>
      <c r="E120" s="62"/>
      <c r="F120" s="62"/>
      <c r="G120" s="240" t="s">
        <v>51</v>
      </c>
      <c r="H120" s="240"/>
      <c r="I120" s="240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240" t="s">
        <v>55</v>
      </c>
      <c r="AD120" s="240"/>
    </row>
    <row r="121" spans="2:30" ht="15" x14ac:dyDescent="0.2">
      <c r="B121" s="8" t="s">
        <v>18</v>
      </c>
      <c r="C121" s="27" t="s">
        <v>19</v>
      </c>
      <c r="D121" s="7" t="s">
        <v>20</v>
      </c>
      <c r="E121" s="7"/>
      <c r="F121" s="7"/>
      <c r="G121" s="128">
        <f>$C$1</f>
        <v>2012</v>
      </c>
      <c r="H121" s="128">
        <f>$C$2</f>
        <v>2018</v>
      </c>
      <c r="I121" s="27" t="s">
        <v>22</v>
      </c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 t="s">
        <v>24</v>
      </c>
      <c r="AD121" s="27" t="s">
        <v>22</v>
      </c>
    </row>
    <row r="122" spans="2:30" x14ac:dyDescent="0.2">
      <c r="B122" s="25"/>
      <c r="C122" s="28"/>
      <c r="D122" s="6"/>
      <c r="E122" s="6"/>
      <c r="F122" s="6"/>
      <c r="G122" s="104"/>
      <c r="H122" s="104"/>
      <c r="I122" s="28"/>
      <c r="J122" s="6"/>
      <c r="K122" s="6"/>
      <c r="L122" s="6"/>
      <c r="M122" s="6">
        <v>1</v>
      </c>
      <c r="N122" s="6">
        <v>2</v>
      </c>
      <c r="O122" s="6">
        <v>3</v>
      </c>
      <c r="P122" s="6">
        <v>4</v>
      </c>
      <c r="Q122" s="6">
        <v>5</v>
      </c>
      <c r="R122" s="6">
        <v>6</v>
      </c>
      <c r="S122" s="6">
        <v>7</v>
      </c>
      <c r="T122" s="6">
        <v>8</v>
      </c>
      <c r="U122" s="6">
        <v>9</v>
      </c>
      <c r="V122" s="6">
        <v>10</v>
      </c>
      <c r="W122" s="6">
        <v>11</v>
      </c>
      <c r="X122" s="6">
        <v>12</v>
      </c>
      <c r="Y122" s="6">
        <v>13</v>
      </c>
      <c r="Z122" s="6">
        <v>14</v>
      </c>
      <c r="AA122" s="6">
        <v>15</v>
      </c>
      <c r="AB122" s="6">
        <v>16</v>
      </c>
      <c r="AC122" s="6"/>
      <c r="AD122" s="6"/>
    </row>
    <row r="123" spans="2:30" x14ac:dyDescent="0.2">
      <c r="B123" s="25"/>
      <c r="C123" s="28"/>
      <c r="D123" s="6"/>
      <c r="E123" s="6"/>
      <c r="F123" s="6"/>
      <c r="G123" s="104" t="str">
        <f>CONCATENATE($C118,"_",$C119,"_",G121)</f>
        <v>0_0_2012</v>
      </c>
      <c r="H123" s="104" t="str">
        <f>CONCATENATE($C118,"_",$C119,"_",H121)</f>
        <v>0_0_2018</v>
      </c>
      <c r="I123" s="28"/>
      <c r="J123" s="6"/>
      <c r="K123" s="6"/>
      <c r="L123" s="6"/>
      <c r="M123" s="6" t="str">
        <f>IF($G121+M122&gt;$H121,0,CONCATENATE($C118,"_",$C119,"_",$G121+M122))</f>
        <v>0_0_2013</v>
      </c>
      <c r="N123" s="6" t="str">
        <f t="shared" ref="N123:AB123" si="36">IF($G121+N122&gt;$H121,0,CONCATENATE($C118,"_",$C119,"_",$G121+N122))</f>
        <v>0_0_2014</v>
      </c>
      <c r="O123" s="6" t="str">
        <f t="shared" si="36"/>
        <v>0_0_2015</v>
      </c>
      <c r="P123" s="6" t="str">
        <f t="shared" si="36"/>
        <v>0_0_2016</v>
      </c>
      <c r="Q123" s="6" t="str">
        <f t="shared" si="36"/>
        <v>0_0_2017</v>
      </c>
      <c r="R123" s="6" t="str">
        <f t="shared" si="36"/>
        <v>0_0_2018</v>
      </c>
      <c r="S123" s="6">
        <f t="shared" si="36"/>
        <v>0</v>
      </c>
      <c r="T123" s="6">
        <f t="shared" si="36"/>
        <v>0</v>
      </c>
      <c r="U123" s="6">
        <f t="shared" si="36"/>
        <v>0</v>
      </c>
      <c r="V123" s="6">
        <f t="shared" si="36"/>
        <v>0</v>
      </c>
      <c r="W123" s="6">
        <f t="shared" si="36"/>
        <v>0</v>
      </c>
      <c r="X123" s="6">
        <f t="shared" si="36"/>
        <v>0</v>
      </c>
      <c r="Y123" s="6">
        <f t="shared" si="36"/>
        <v>0</v>
      </c>
      <c r="Z123" s="6">
        <f t="shared" si="36"/>
        <v>0</v>
      </c>
      <c r="AA123" s="6">
        <f t="shared" si="36"/>
        <v>0</v>
      </c>
      <c r="AB123" s="6">
        <f t="shared" si="36"/>
        <v>0</v>
      </c>
      <c r="AC123" s="6"/>
      <c r="AD123" s="6"/>
    </row>
    <row r="124" spans="2:30" x14ac:dyDescent="0.2">
      <c r="B124" s="25"/>
      <c r="C124" s="28"/>
      <c r="D124" s="6"/>
      <c r="E124" s="6"/>
      <c r="F124" s="6" t="s">
        <v>23</v>
      </c>
      <c r="G124" s="117"/>
      <c r="H124" s="117"/>
      <c r="I124" s="28"/>
      <c r="J124" s="6"/>
      <c r="K124" s="6"/>
      <c r="L124" s="6" t="s">
        <v>23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2:30" ht="15" x14ac:dyDescent="0.2">
      <c r="B125" s="25" t="s">
        <v>31</v>
      </c>
      <c r="C125" s="28" t="s">
        <v>21</v>
      </c>
      <c r="D125" s="104" t="s">
        <v>87</v>
      </c>
      <c r="E125" s="55"/>
      <c r="F125" s="6">
        <f>MATCH($D125,FAC_TOTALS_APTA!$A$2:$BD$2,)</f>
        <v>12</v>
      </c>
      <c r="G125" s="117">
        <f>(G13+G41+G69)/3</f>
        <v>25618467.914708585</v>
      </c>
      <c r="H125" s="117">
        <f>(H13+H41+H69)/3</f>
        <v>27017389.112478729</v>
      </c>
      <c r="I125" s="30">
        <f>IFERROR(H125/G125-1,"-")</f>
        <v>5.4605966384389859E-2</v>
      </c>
      <c r="J125" s="31" t="str">
        <f>IF(C125="Log","_log","")</f>
        <v>_log</v>
      </c>
      <c r="K125" s="31" t="str">
        <f>CONCATENATE(D125,J125,"_FAC")</f>
        <v>VRM_ADJ_BUS_log_FAC</v>
      </c>
      <c r="L125" s="6">
        <f>MATCH($K125,FAC_TOTALS_APTA!$A$2:$BB$2,)</f>
        <v>30</v>
      </c>
      <c r="M125" s="29">
        <f>(M13+M41+M69)/3</f>
        <v>6403515.74080557</v>
      </c>
      <c r="N125" s="29">
        <f t="shared" ref="N125:AB125" si="37">(N13+N41+N69)/3</f>
        <v>4125467.8662689603</v>
      </c>
      <c r="O125" s="29">
        <f t="shared" si="37"/>
        <v>10619424.344621526</v>
      </c>
      <c r="P125" s="29">
        <f t="shared" si="37"/>
        <v>9931250.3705964219</v>
      </c>
      <c r="Q125" s="29">
        <f t="shared" si="37"/>
        <v>4390653.2110703066</v>
      </c>
      <c r="R125" s="29">
        <f t="shared" si="37"/>
        <v>4892429.004459694</v>
      </c>
      <c r="S125" s="29">
        <f t="shared" si="37"/>
        <v>0</v>
      </c>
      <c r="T125" s="29">
        <f t="shared" si="37"/>
        <v>0</v>
      </c>
      <c r="U125" s="29">
        <f t="shared" si="37"/>
        <v>0</v>
      </c>
      <c r="V125" s="29">
        <f t="shared" si="37"/>
        <v>0</v>
      </c>
      <c r="W125" s="29">
        <f t="shared" si="37"/>
        <v>0</v>
      </c>
      <c r="X125" s="29">
        <f t="shared" si="37"/>
        <v>0</v>
      </c>
      <c r="Y125" s="29">
        <f t="shared" si="37"/>
        <v>0</v>
      </c>
      <c r="Z125" s="29">
        <f t="shared" si="37"/>
        <v>0</v>
      </c>
      <c r="AA125" s="29">
        <f t="shared" si="37"/>
        <v>0</v>
      </c>
      <c r="AB125" s="29">
        <f t="shared" si="37"/>
        <v>0</v>
      </c>
      <c r="AC125" s="32">
        <f>SUM(M125:AB125)</f>
        <v>40362740.537822478</v>
      </c>
      <c r="AD125" s="219">
        <f>AC125/G139</f>
        <v>3.1406622944546589E-2</v>
      </c>
    </row>
    <row r="126" spans="2:30" ht="15" x14ac:dyDescent="0.2">
      <c r="B126" s="25" t="s">
        <v>52</v>
      </c>
      <c r="C126" s="28" t="s">
        <v>21</v>
      </c>
      <c r="D126" s="104" t="s">
        <v>88</v>
      </c>
      <c r="E126" s="55"/>
      <c r="F126" s="6">
        <f>MATCH($D126,FAC_TOTALS_APTA!$A$2:$BD$2,)</f>
        <v>14</v>
      </c>
      <c r="G126" s="117">
        <f t="shared" ref="G126:H126" si="38">(G14+G42+G70)/3</f>
        <v>0.95132856647508357</v>
      </c>
      <c r="H126" s="117">
        <f t="shared" si="38"/>
        <v>1.0056854181955668</v>
      </c>
      <c r="I126" s="30">
        <f t="shared" ref="I126" si="39">IFERROR(H126/G126-1,"-")</f>
        <v>5.7137831907948744E-2</v>
      </c>
      <c r="J126" s="31" t="str">
        <f t="shared" ref="J126:J137" si="40">IF(C126="Log","_log","")</f>
        <v>_log</v>
      </c>
      <c r="K126" s="31" t="str">
        <f t="shared" ref="K126:K138" si="41">CONCATENATE(D126,J126,"_FAC")</f>
        <v>FARE_per_UPT_cleaned_2018_BUS_log_FAC</v>
      </c>
      <c r="L126" s="6">
        <f>MATCH($K126,FAC_TOTALS_APTA!$A$2:$BB$2,)</f>
        <v>32</v>
      </c>
      <c r="M126" s="29">
        <f t="shared" ref="M126:AB138" si="42">(M14+M42+M70)/3</f>
        <v>-8718743.7505047638</v>
      </c>
      <c r="N126" s="29">
        <f t="shared" si="42"/>
        <v>163243.96935074643</v>
      </c>
      <c r="O126" s="29">
        <f t="shared" si="42"/>
        <v>-8630173.3916125838</v>
      </c>
      <c r="P126" s="29">
        <f t="shared" si="42"/>
        <v>-7923344.1927351197</v>
      </c>
      <c r="Q126" s="29">
        <f t="shared" si="42"/>
        <v>9237649.0175991654</v>
      </c>
      <c r="R126" s="29">
        <f t="shared" si="42"/>
        <v>8232724.2248537913</v>
      </c>
      <c r="S126" s="29">
        <f t="shared" si="42"/>
        <v>0</v>
      </c>
      <c r="T126" s="29">
        <f t="shared" si="42"/>
        <v>0</v>
      </c>
      <c r="U126" s="29">
        <f t="shared" si="42"/>
        <v>0</v>
      </c>
      <c r="V126" s="29">
        <f t="shared" si="42"/>
        <v>0</v>
      </c>
      <c r="W126" s="29">
        <f t="shared" si="42"/>
        <v>0</v>
      </c>
      <c r="X126" s="29">
        <f t="shared" si="42"/>
        <v>0</v>
      </c>
      <c r="Y126" s="29">
        <f t="shared" si="42"/>
        <v>0</v>
      </c>
      <c r="Z126" s="29">
        <f t="shared" si="42"/>
        <v>0</v>
      </c>
      <c r="AA126" s="29">
        <f t="shared" si="42"/>
        <v>0</v>
      </c>
      <c r="AB126" s="29">
        <f t="shared" si="42"/>
        <v>0</v>
      </c>
      <c r="AC126" s="32">
        <f t="shared" ref="AC126:AC137" si="43">SUM(M126:AB126)</f>
        <v>-7638644.1230487674</v>
      </c>
      <c r="AD126" s="33">
        <f>AC126/G139</f>
        <v>-5.9436998722959345E-3</v>
      </c>
    </row>
    <row r="127" spans="2:30" ht="15" x14ac:dyDescent="0.2">
      <c r="B127" s="115" t="s">
        <v>80</v>
      </c>
      <c r="C127" s="116"/>
      <c r="D127" s="104" t="s">
        <v>78</v>
      </c>
      <c r="E127" s="118"/>
      <c r="F127" s="104">
        <f>MATCH($D127,FAC_TOTALS_APTA!$A$2:$BD$2,)</f>
        <v>23</v>
      </c>
      <c r="G127" s="117">
        <f t="shared" ref="G127:H127" si="44">(G15+G43+G71)/3</f>
        <v>6.0418090233272E-3</v>
      </c>
      <c r="H127" s="117">
        <f t="shared" si="44"/>
        <v>2.6487217856474333E-2</v>
      </c>
      <c r="I127" s="227">
        <f>H127-G127</f>
        <v>2.0445408833147133E-2</v>
      </c>
      <c r="J127" s="120" t="str">
        <f t="shared" si="40"/>
        <v/>
      </c>
      <c r="K127" s="120" t="str">
        <f t="shared" si="41"/>
        <v>RESTRUCTURE_FAC</v>
      </c>
      <c r="L127" s="104">
        <f>MATCH($K127,FAC_TOTALS_APTA!$A$2:$BB$2,)</f>
        <v>41</v>
      </c>
      <c r="M127" s="29">
        <f t="shared" si="42"/>
        <v>0</v>
      </c>
      <c r="N127" s="29">
        <f t="shared" si="42"/>
        <v>0</v>
      </c>
      <c r="O127" s="29">
        <f t="shared" si="42"/>
        <v>718850.38560763036</v>
      </c>
      <c r="P127" s="29">
        <f t="shared" si="42"/>
        <v>532126.56230654672</v>
      </c>
      <c r="Q127" s="29">
        <f t="shared" si="42"/>
        <v>734213.60755572503</v>
      </c>
      <c r="R127" s="29">
        <f t="shared" si="42"/>
        <v>-341739.70758088597</v>
      </c>
      <c r="S127" s="29">
        <f t="shared" si="42"/>
        <v>0</v>
      </c>
      <c r="T127" s="29">
        <f t="shared" si="42"/>
        <v>0</v>
      </c>
      <c r="U127" s="29">
        <f t="shared" si="42"/>
        <v>0</v>
      </c>
      <c r="V127" s="29">
        <f t="shared" si="42"/>
        <v>0</v>
      </c>
      <c r="W127" s="29">
        <f t="shared" si="42"/>
        <v>0</v>
      </c>
      <c r="X127" s="29">
        <f t="shared" si="42"/>
        <v>0</v>
      </c>
      <c r="Y127" s="29">
        <f t="shared" si="42"/>
        <v>0</v>
      </c>
      <c r="Z127" s="29">
        <f t="shared" si="42"/>
        <v>0</v>
      </c>
      <c r="AA127" s="29">
        <f t="shared" si="42"/>
        <v>0</v>
      </c>
      <c r="AB127" s="29">
        <f t="shared" si="42"/>
        <v>0</v>
      </c>
      <c r="AC127" s="121">
        <f t="shared" si="43"/>
        <v>1643450.8478890164</v>
      </c>
      <c r="AD127" s="217">
        <f>AC127/G140</f>
        <v>1.2937739844473401E-3</v>
      </c>
    </row>
    <row r="128" spans="2:30" ht="15" x14ac:dyDescent="0.2">
      <c r="B128" s="115" t="s">
        <v>81</v>
      </c>
      <c r="C128" s="116"/>
      <c r="D128" s="104" t="s">
        <v>77</v>
      </c>
      <c r="E128" s="118"/>
      <c r="F128" s="104">
        <f>MATCH($D128,FAC_TOTALS_APTA!$A$2:$BD$2,)</f>
        <v>22</v>
      </c>
      <c r="G128" s="117">
        <f t="shared" ref="G128:H128" si="45">(G16+G44+G72)/3</f>
        <v>0</v>
      </c>
      <c r="H128" s="117">
        <f t="shared" si="45"/>
        <v>0</v>
      </c>
      <c r="I128" s="119" t="str">
        <f>IFERROR(H128/G128-1,"-")</f>
        <v>-</v>
      </c>
      <c r="J128" s="120" t="str">
        <f t="shared" si="40"/>
        <v/>
      </c>
      <c r="K128" s="120" t="str">
        <f t="shared" si="41"/>
        <v>MAINTENANCE_WMATA_FAC</v>
      </c>
      <c r="L128" s="104">
        <f>MATCH($K128,FAC_TOTALS_APTA!$A$2:$BB$2,)</f>
        <v>40</v>
      </c>
      <c r="M128" s="29">
        <f t="shared" si="42"/>
        <v>0</v>
      </c>
      <c r="N128" s="29">
        <f t="shared" si="42"/>
        <v>0</v>
      </c>
      <c r="O128" s="29">
        <f t="shared" si="42"/>
        <v>0</v>
      </c>
      <c r="P128" s="29">
        <f t="shared" si="42"/>
        <v>0</v>
      </c>
      <c r="Q128" s="29">
        <f t="shared" si="42"/>
        <v>0</v>
      </c>
      <c r="R128" s="29">
        <f t="shared" si="42"/>
        <v>0</v>
      </c>
      <c r="S128" s="29">
        <f t="shared" si="42"/>
        <v>0</v>
      </c>
      <c r="T128" s="29">
        <f t="shared" si="42"/>
        <v>0</v>
      </c>
      <c r="U128" s="29">
        <f t="shared" si="42"/>
        <v>0</v>
      </c>
      <c r="V128" s="29">
        <f t="shared" si="42"/>
        <v>0</v>
      </c>
      <c r="W128" s="29">
        <f t="shared" si="42"/>
        <v>0</v>
      </c>
      <c r="X128" s="29">
        <f t="shared" si="42"/>
        <v>0</v>
      </c>
      <c r="Y128" s="29">
        <f t="shared" si="42"/>
        <v>0</v>
      </c>
      <c r="Z128" s="29">
        <f t="shared" si="42"/>
        <v>0</v>
      </c>
      <c r="AA128" s="29">
        <f t="shared" si="42"/>
        <v>0</v>
      </c>
      <c r="AB128" s="29">
        <f t="shared" si="42"/>
        <v>0</v>
      </c>
      <c r="AC128" s="121">
        <f t="shared" si="43"/>
        <v>0</v>
      </c>
      <c r="AD128" s="218">
        <f>AC128/G140</f>
        <v>0</v>
      </c>
    </row>
    <row r="129" spans="2:30" ht="15" x14ac:dyDescent="0.2">
      <c r="B129" s="25" t="s">
        <v>48</v>
      </c>
      <c r="C129" s="28" t="s">
        <v>21</v>
      </c>
      <c r="D129" s="104" t="s">
        <v>8</v>
      </c>
      <c r="E129" s="55"/>
      <c r="F129" s="6">
        <f>MATCH($D129,FAC_TOTALS_APTA!$A$2:$BD$2,)</f>
        <v>16</v>
      </c>
      <c r="G129" s="117">
        <f t="shared" ref="G129:H129" si="46">(G17+G45+G73)/3</f>
        <v>4422318.7721078843</v>
      </c>
      <c r="H129" s="117">
        <f t="shared" si="46"/>
        <v>4713372.4491782421</v>
      </c>
      <c r="I129" s="30">
        <f t="shared" ref="I129:I134" si="47">IFERROR(H129/G129-1,"-")</f>
        <v>6.5814721206003846E-2</v>
      </c>
      <c r="J129" s="31" t="str">
        <f t="shared" si="40"/>
        <v>_log</v>
      </c>
      <c r="K129" s="31" t="str">
        <f t="shared" si="41"/>
        <v>POP_EMP_log_FAC</v>
      </c>
      <c r="L129" s="6">
        <f>MATCH($K129,FAC_TOTALS_APTA!$A$2:$BB$2,)</f>
        <v>34</v>
      </c>
      <c r="M129" s="29">
        <f t="shared" si="42"/>
        <v>3696506.5752010751</v>
      </c>
      <c r="N129" s="29">
        <f t="shared" si="42"/>
        <v>3711486.5192884281</v>
      </c>
      <c r="O129" s="29">
        <f t="shared" si="42"/>
        <v>3357202.4899887335</v>
      </c>
      <c r="P129" s="29">
        <f t="shared" si="42"/>
        <v>2720319.1738397093</v>
      </c>
      <c r="Q129" s="29">
        <f t="shared" si="42"/>
        <v>2981072.3696152749</v>
      </c>
      <c r="R129" s="29">
        <f t="shared" si="42"/>
        <v>2429035.9003829714</v>
      </c>
      <c r="S129" s="29">
        <f t="shared" si="42"/>
        <v>0</v>
      </c>
      <c r="T129" s="29">
        <f t="shared" si="42"/>
        <v>0</v>
      </c>
      <c r="U129" s="29">
        <f t="shared" si="42"/>
        <v>0</v>
      </c>
      <c r="V129" s="29">
        <f t="shared" si="42"/>
        <v>0</v>
      </c>
      <c r="W129" s="29">
        <f t="shared" si="42"/>
        <v>0</v>
      </c>
      <c r="X129" s="29">
        <f t="shared" si="42"/>
        <v>0</v>
      </c>
      <c r="Y129" s="29">
        <f t="shared" si="42"/>
        <v>0</v>
      </c>
      <c r="Z129" s="29">
        <f t="shared" si="42"/>
        <v>0</v>
      </c>
      <c r="AA129" s="29">
        <f t="shared" si="42"/>
        <v>0</v>
      </c>
      <c r="AB129" s="29">
        <f t="shared" si="42"/>
        <v>0</v>
      </c>
      <c r="AC129" s="32">
        <f t="shared" si="43"/>
        <v>18895623.028316192</v>
      </c>
      <c r="AD129" s="33">
        <f>AC129/G139</f>
        <v>1.4702859613720224E-2</v>
      </c>
    </row>
    <row r="130" spans="2:30" ht="15" x14ac:dyDescent="0.2">
      <c r="B130" s="25" t="s">
        <v>73</v>
      </c>
      <c r="C130" s="28"/>
      <c r="D130" s="104" t="s">
        <v>72</v>
      </c>
      <c r="E130" s="55"/>
      <c r="F130" s="6">
        <f>MATCH($D130,FAC_TOTALS_APTA!$A$2:$BD$2,)</f>
        <v>17</v>
      </c>
      <c r="G130" s="117">
        <f t="shared" ref="G130:H130" si="48">(G18+G46+G74)/3</f>
        <v>0.36305021823126732</v>
      </c>
      <c r="H130" s="117">
        <f t="shared" si="48"/>
        <v>0.36016093177074504</v>
      </c>
      <c r="I130" s="30">
        <f t="shared" si="47"/>
        <v>-7.958365855276206E-3</v>
      </c>
      <c r="J130" s="31" t="str">
        <f t="shared" si="40"/>
        <v/>
      </c>
      <c r="K130" s="31" t="str">
        <f t="shared" si="41"/>
        <v>TSD_POP_EMP_PCT_FAC</v>
      </c>
      <c r="L130" s="6">
        <f>MATCH($K130,FAC_TOTALS_APTA!$A$2:$BB$2,)</f>
        <v>35</v>
      </c>
      <c r="M130" s="29">
        <f t="shared" si="42"/>
        <v>-168394.99191295949</v>
      </c>
      <c r="N130" s="29">
        <f t="shared" si="42"/>
        <v>-461163.79999004729</v>
      </c>
      <c r="O130" s="29">
        <f t="shared" si="42"/>
        <v>211187.85887046601</v>
      </c>
      <c r="P130" s="29">
        <f t="shared" si="42"/>
        <v>-439152.77485264401</v>
      </c>
      <c r="Q130" s="29">
        <f t="shared" si="42"/>
        <v>-555058.90961353213</v>
      </c>
      <c r="R130" s="29">
        <f t="shared" si="42"/>
        <v>465736.54316138668</v>
      </c>
      <c r="S130" s="29">
        <f t="shared" si="42"/>
        <v>0</v>
      </c>
      <c r="T130" s="29">
        <f t="shared" si="42"/>
        <v>0</v>
      </c>
      <c r="U130" s="29">
        <f t="shared" si="42"/>
        <v>0</v>
      </c>
      <c r="V130" s="29">
        <f t="shared" si="42"/>
        <v>0</v>
      </c>
      <c r="W130" s="29">
        <f t="shared" si="42"/>
        <v>0</v>
      </c>
      <c r="X130" s="29">
        <f t="shared" si="42"/>
        <v>0</v>
      </c>
      <c r="Y130" s="29">
        <f t="shared" si="42"/>
        <v>0</v>
      </c>
      <c r="Z130" s="29">
        <f t="shared" si="42"/>
        <v>0</v>
      </c>
      <c r="AA130" s="29">
        <f t="shared" si="42"/>
        <v>0</v>
      </c>
      <c r="AB130" s="29">
        <f t="shared" si="42"/>
        <v>0</v>
      </c>
      <c r="AC130" s="32">
        <f t="shared" si="43"/>
        <v>-946846.07433733018</v>
      </c>
      <c r="AD130" s="33">
        <f>AC130/G139</f>
        <v>-7.367497163719833E-4</v>
      </c>
    </row>
    <row r="131" spans="2:30" ht="15" x14ac:dyDescent="0.2">
      <c r="B131" s="25" t="s">
        <v>49</v>
      </c>
      <c r="C131" s="28" t="s">
        <v>21</v>
      </c>
      <c r="D131" s="124" t="s">
        <v>82</v>
      </c>
      <c r="E131" s="55"/>
      <c r="F131" s="6">
        <f>MATCH($D131,FAC_TOTALS_APTA!$A$2:$BD$2,)</f>
        <v>18</v>
      </c>
      <c r="G131" s="117">
        <f t="shared" ref="G131:H131" si="49">(G19+G47+G75)/3</f>
        <v>4.0542048950675769</v>
      </c>
      <c r="H131" s="117">
        <f t="shared" si="49"/>
        <v>2.9101786693385496</v>
      </c>
      <c r="I131" s="30">
        <f t="shared" si="47"/>
        <v>-0.28218263638349195</v>
      </c>
      <c r="J131" s="31" t="str">
        <f t="shared" si="40"/>
        <v>_log</v>
      </c>
      <c r="K131" s="31" t="str">
        <f t="shared" si="41"/>
        <v>GAS_PRICE_2018_log_FAC</v>
      </c>
      <c r="L131" s="6">
        <f>MATCH($K131,FAC_TOTALS_APTA!$A$2:$BB$2,)</f>
        <v>36</v>
      </c>
      <c r="M131" s="29">
        <f t="shared" si="42"/>
        <v>-6047809.7026924575</v>
      </c>
      <c r="N131" s="29">
        <f t="shared" si="42"/>
        <v>-7884452.5282199373</v>
      </c>
      <c r="O131" s="29">
        <f t="shared" si="42"/>
        <v>-38955975.797718801</v>
      </c>
      <c r="P131" s="29">
        <f t="shared" si="42"/>
        <v>-15385147.938025005</v>
      </c>
      <c r="Q131" s="29">
        <f t="shared" si="42"/>
        <v>10162349.612258116</v>
      </c>
      <c r="R131" s="29">
        <f t="shared" si="42"/>
        <v>12198852.369893527</v>
      </c>
      <c r="S131" s="29">
        <f t="shared" si="42"/>
        <v>0</v>
      </c>
      <c r="T131" s="29">
        <f t="shared" si="42"/>
        <v>0</v>
      </c>
      <c r="U131" s="29">
        <f t="shared" si="42"/>
        <v>0</v>
      </c>
      <c r="V131" s="29">
        <f t="shared" si="42"/>
        <v>0</v>
      </c>
      <c r="W131" s="29">
        <f t="shared" si="42"/>
        <v>0</v>
      </c>
      <c r="X131" s="29">
        <f t="shared" si="42"/>
        <v>0</v>
      </c>
      <c r="Y131" s="29">
        <f t="shared" si="42"/>
        <v>0</v>
      </c>
      <c r="Z131" s="29">
        <f t="shared" si="42"/>
        <v>0</v>
      </c>
      <c r="AA131" s="29">
        <f t="shared" si="42"/>
        <v>0</v>
      </c>
      <c r="AB131" s="29">
        <f t="shared" si="42"/>
        <v>0</v>
      </c>
      <c r="AC131" s="32">
        <f t="shared" si="43"/>
        <v>-45912183.984504566</v>
      </c>
      <c r="AD131" s="33">
        <f>AC131/G139</f>
        <v>-3.5724696384547748E-2</v>
      </c>
    </row>
    <row r="132" spans="2:30" ht="15" x14ac:dyDescent="0.2">
      <c r="B132" s="25" t="s">
        <v>46</v>
      </c>
      <c r="C132" s="28" t="s">
        <v>21</v>
      </c>
      <c r="D132" s="104" t="s">
        <v>14</v>
      </c>
      <c r="E132" s="55"/>
      <c r="F132" s="6">
        <f>MATCH($D132,FAC_TOTALS_APTA!$A$2:$BD$2,)</f>
        <v>19</v>
      </c>
      <c r="G132" s="117">
        <f t="shared" ref="G132:H132" si="50">(G20+G48+G76)/3</f>
        <v>29229.388134630335</v>
      </c>
      <c r="H132" s="117">
        <f t="shared" si="50"/>
        <v>32239.894463378965</v>
      </c>
      <c r="I132" s="30">
        <f t="shared" si="47"/>
        <v>0.10299587233513963</v>
      </c>
      <c r="J132" s="31" t="str">
        <f t="shared" si="40"/>
        <v>_log</v>
      </c>
      <c r="K132" s="31" t="str">
        <f t="shared" si="41"/>
        <v>TOTAL_MED_INC_INDIV_2018_log_FAC</v>
      </c>
      <c r="L132" s="6">
        <f>MATCH($K132,FAC_TOTALS_APTA!$A$2:$BB$2,)</f>
        <v>37</v>
      </c>
      <c r="M132" s="29">
        <f t="shared" si="42"/>
        <v>-458577.19995103678</v>
      </c>
      <c r="N132" s="29">
        <f t="shared" si="42"/>
        <v>-692938.41740410367</v>
      </c>
      <c r="O132" s="29">
        <f t="shared" si="42"/>
        <v>-3078766.7153986879</v>
      </c>
      <c r="P132" s="29">
        <f t="shared" si="42"/>
        <v>-1895525.4782706413</v>
      </c>
      <c r="Q132" s="29">
        <f t="shared" si="42"/>
        <v>-1442426.8698589066</v>
      </c>
      <c r="R132" s="29">
        <f t="shared" si="42"/>
        <v>-1615583.5032646821</v>
      </c>
      <c r="S132" s="29">
        <f t="shared" si="42"/>
        <v>0</v>
      </c>
      <c r="T132" s="29">
        <f t="shared" si="42"/>
        <v>0</v>
      </c>
      <c r="U132" s="29">
        <f t="shared" si="42"/>
        <v>0</v>
      </c>
      <c r="V132" s="29">
        <f t="shared" si="42"/>
        <v>0</v>
      </c>
      <c r="W132" s="29">
        <f t="shared" si="42"/>
        <v>0</v>
      </c>
      <c r="X132" s="29">
        <f t="shared" si="42"/>
        <v>0</v>
      </c>
      <c r="Y132" s="29">
        <f t="shared" si="42"/>
        <v>0</v>
      </c>
      <c r="Z132" s="29">
        <f t="shared" si="42"/>
        <v>0</v>
      </c>
      <c r="AA132" s="29">
        <f t="shared" si="42"/>
        <v>0</v>
      </c>
      <c r="AB132" s="29">
        <f t="shared" si="42"/>
        <v>0</v>
      </c>
      <c r="AC132" s="32">
        <f t="shared" si="43"/>
        <v>-9183818.1841480583</v>
      </c>
      <c r="AD132" s="33">
        <f>AC132/G139</f>
        <v>-7.1460141471446584E-3</v>
      </c>
    </row>
    <row r="133" spans="2:30" ht="15" x14ac:dyDescent="0.2">
      <c r="B133" s="25" t="s">
        <v>62</v>
      </c>
      <c r="C133" s="28"/>
      <c r="D133" s="104" t="s">
        <v>9</v>
      </c>
      <c r="E133" s="55"/>
      <c r="F133" s="6">
        <f>MATCH($D133,FAC_TOTALS_APTA!$A$2:$BD$2,)</f>
        <v>20</v>
      </c>
      <c r="G133" s="117">
        <f t="shared" ref="G133:H133" si="51">(G21+G49+G77)/3</f>
        <v>8.515598330480282</v>
      </c>
      <c r="H133" s="117">
        <f t="shared" si="51"/>
        <v>7.7583839280241831</v>
      </c>
      <c r="I133" s="30">
        <f t="shared" si="47"/>
        <v>-8.8920868865522418E-2</v>
      </c>
      <c r="J133" s="31" t="str">
        <f t="shared" si="40"/>
        <v/>
      </c>
      <c r="K133" s="31" t="str">
        <f t="shared" si="41"/>
        <v>PCT_HH_NO_VEH_FAC</v>
      </c>
      <c r="L133" s="6">
        <f>MATCH($K133,FAC_TOTALS_APTA!$A$2:$BB$2,)</f>
        <v>38</v>
      </c>
      <c r="M133" s="29">
        <f t="shared" si="42"/>
        <v>-541945.72777336545</v>
      </c>
      <c r="N133" s="29">
        <f t="shared" si="42"/>
        <v>-77367.059605299277</v>
      </c>
      <c r="O133" s="29">
        <f t="shared" si="42"/>
        <v>-376048.15917222342</v>
      </c>
      <c r="P133" s="29">
        <f t="shared" si="42"/>
        <v>-322310.39584173373</v>
      </c>
      <c r="Q133" s="29">
        <f t="shared" si="42"/>
        <v>-402223.52387772111</v>
      </c>
      <c r="R133" s="29">
        <f t="shared" si="42"/>
        <v>-352311.37910463026</v>
      </c>
      <c r="S133" s="29">
        <f t="shared" si="42"/>
        <v>0</v>
      </c>
      <c r="T133" s="29">
        <f t="shared" si="42"/>
        <v>0</v>
      </c>
      <c r="U133" s="29">
        <f t="shared" si="42"/>
        <v>0</v>
      </c>
      <c r="V133" s="29">
        <f t="shared" si="42"/>
        <v>0</v>
      </c>
      <c r="W133" s="29">
        <f t="shared" si="42"/>
        <v>0</v>
      </c>
      <c r="X133" s="29">
        <f t="shared" si="42"/>
        <v>0</v>
      </c>
      <c r="Y133" s="29">
        <f t="shared" si="42"/>
        <v>0</v>
      </c>
      <c r="Z133" s="29">
        <f t="shared" si="42"/>
        <v>0</v>
      </c>
      <c r="AA133" s="29">
        <f t="shared" si="42"/>
        <v>0</v>
      </c>
      <c r="AB133" s="29">
        <f t="shared" si="42"/>
        <v>0</v>
      </c>
      <c r="AC133" s="32">
        <f t="shared" si="43"/>
        <v>-2072206.2453749732</v>
      </c>
      <c r="AD133" s="33">
        <f>AC133/G139</f>
        <v>-1.6124029078461929E-3</v>
      </c>
    </row>
    <row r="134" spans="2:30" ht="15" x14ac:dyDescent="0.2">
      <c r="B134" s="25" t="s">
        <v>47</v>
      </c>
      <c r="C134" s="28"/>
      <c r="D134" s="104" t="s">
        <v>28</v>
      </c>
      <c r="E134" s="55"/>
      <c r="F134" s="6">
        <f>MATCH($D134,FAC_TOTALS_APTA!$A$2:$BD$2,)</f>
        <v>21</v>
      </c>
      <c r="G134" s="117">
        <f t="shared" ref="G134:H134" si="52">(G22+G50+G78)/3</f>
        <v>4.3029927913012971</v>
      </c>
      <c r="H134" s="117">
        <f t="shared" si="52"/>
        <v>5.5715536170074671</v>
      </c>
      <c r="I134" s="30">
        <f t="shared" si="47"/>
        <v>0.29480895907393245</v>
      </c>
      <c r="J134" s="31" t="str">
        <f t="shared" si="40"/>
        <v/>
      </c>
      <c r="K134" s="31" t="str">
        <f t="shared" si="41"/>
        <v>JTW_HOME_PCT_FAC</v>
      </c>
      <c r="L134" s="6">
        <f>MATCH($K134,FAC_TOTALS_APTA!$A$2:$BB$2,)</f>
        <v>39</v>
      </c>
      <c r="M134" s="29">
        <f t="shared" si="42"/>
        <v>-97602.278074055328</v>
      </c>
      <c r="N134" s="29">
        <f t="shared" si="42"/>
        <v>-1382198.9693883022</v>
      </c>
      <c r="O134" s="29">
        <f t="shared" si="42"/>
        <v>-1205505.2882688616</v>
      </c>
      <c r="P134" s="29">
        <f t="shared" si="42"/>
        <v>-4305980.6184716737</v>
      </c>
      <c r="Q134" s="29">
        <f t="shared" si="42"/>
        <v>-1703947.0487875149</v>
      </c>
      <c r="R134" s="29">
        <f t="shared" si="42"/>
        <v>-2216452.1534317373</v>
      </c>
      <c r="S134" s="29">
        <f t="shared" si="42"/>
        <v>0</v>
      </c>
      <c r="T134" s="29">
        <f t="shared" si="42"/>
        <v>0</v>
      </c>
      <c r="U134" s="29">
        <f t="shared" si="42"/>
        <v>0</v>
      </c>
      <c r="V134" s="29">
        <f t="shared" si="42"/>
        <v>0</v>
      </c>
      <c r="W134" s="29">
        <f t="shared" si="42"/>
        <v>0</v>
      </c>
      <c r="X134" s="29">
        <f t="shared" si="42"/>
        <v>0</v>
      </c>
      <c r="Y134" s="29">
        <f t="shared" si="42"/>
        <v>0</v>
      </c>
      <c r="Z134" s="29">
        <f t="shared" si="42"/>
        <v>0</v>
      </c>
      <c r="AA134" s="29">
        <f t="shared" si="42"/>
        <v>0</v>
      </c>
      <c r="AB134" s="29">
        <f t="shared" si="42"/>
        <v>0</v>
      </c>
      <c r="AC134" s="32">
        <f t="shared" si="43"/>
        <v>-10911686.356422145</v>
      </c>
      <c r="AD134" s="33">
        <f>AC134/G139</f>
        <v>-8.4904844051451999E-3</v>
      </c>
    </row>
    <row r="135" spans="2:30" ht="15" x14ac:dyDescent="0.2">
      <c r="B135" s="25" t="s">
        <v>63</v>
      </c>
      <c r="C135" s="28"/>
      <c r="D135" s="126" t="s">
        <v>89</v>
      </c>
      <c r="E135" s="55"/>
      <c r="F135" s="6">
        <f>MATCH($D135,FAC_TOTALS_APTA!$A$2:$BD$2,)</f>
        <v>24</v>
      </c>
      <c r="G135" s="117">
        <f t="shared" ref="G135:H135" si="53">(G23+G51+G79)/3</f>
        <v>0.16833258313568933</v>
      </c>
      <c r="H135" s="117">
        <f t="shared" si="53"/>
        <v>4.4350497535739466</v>
      </c>
      <c r="I135" s="229">
        <f>H135-G135</f>
        <v>4.2667171704382572</v>
      </c>
      <c r="J135" s="31" t="str">
        <f t="shared" si="40"/>
        <v/>
      </c>
      <c r="K135" s="31" t="str">
        <f t="shared" si="41"/>
        <v>YEARS_SINCE_TNC_BUS_HINY_FAC</v>
      </c>
      <c r="L135" s="6">
        <f>MATCH($K135,FAC_TOTALS_APTA!$A$2:$BB$2,)</f>
        <v>42</v>
      </c>
      <c r="M135" s="29">
        <f t="shared" si="42"/>
        <v>-13298220.787631633</v>
      </c>
      <c r="N135" s="29">
        <f t="shared" si="42"/>
        <v>-15797430.872857811</v>
      </c>
      <c r="O135" s="29">
        <f t="shared" si="42"/>
        <v>-26423136.920310717</v>
      </c>
      <c r="P135" s="29">
        <f t="shared" si="42"/>
        <v>-27545171.279206108</v>
      </c>
      <c r="Q135" s="29">
        <f t="shared" si="42"/>
        <v>-26544882.994749259</v>
      </c>
      <c r="R135" s="29">
        <f t="shared" si="42"/>
        <v>-26320347.770043969</v>
      </c>
      <c r="S135" s="29">
        <f t="shared" si="42"/>
        <v>0</v>
      </c>
      <c r="T135" s="29">
        <f t="shared" si="42"/>
        <v>0</v>
      </c>
      <c r="U135" s="29">
        <f t="shared" si="42"/>
        <v>0</v>
      </c>
      <c r="V135" s="29">
        <f t="shared" si="42"/>
        <v>0</v>
      </c>
      <c r="W135" s="29">
        <f t="shared" si="42"/>
        <v>0</v>
      </c>
      <c r="X135" s="29">
        <f t="shared" si="42"/>
        <v>0</v>
      </c>
      <c r="Y135" s="29">
        <f t="shared" si="42"/>
        <v>0</v>
      </c>
      <c r="Z135" s="29">
        <f t="shared" si="42"/>
        <v>0</v>
      </c>
      <c r="AA135" s="29">
        <f t="shared" si="42"/>
        <v>0</v>
      </c>
      <c r="AB135" s="29">
        <f t="shared" si="42"/>
        <v>0</v>
      </c>
      <c r="AC135" s="32">
        <f t="shared" si="43"/>
        <v>-135929190.62479949</v>
      </c>
      <c r="AD135" s="33">
        <f>AC135/G139</f>
        <v>-0.10576776453298745</v>
      </c>
    </row>
    <row r="136" spans="2:30" ht="15" x14ac:dyDescent="0.2">
      <c r="B136" s="25" t="s">
        <v>64</v>
      </c>
      <c r="C136" s="28"/>
      <c r="D136" s="104" t="s">
        <v>43</v>
      </c>
      <c r="E136" s="55"/>
      <c r="F136" s="6">
        <f>MATCH($D136,FAC_TOTALS_APTA!$A$2:$BD$2,)</f>
        <v>28</v>
      </c>
      <c r="G136" s="117">
        <f t="shared" ref="G136:H136" si="54">(G24+G52+G80)/3</f>
        <v>0.11126505002499437</v>
      </c>
      <c r="H136" s="117">
        <f t="shared" si="54"/>
        <v>0.80027031712167673</v>
      </c>
      <c r="I136" s="228">
        <f>H136-G136</f>
        <v>0.68900526709668242</v>
      </c>
      <c r="J136" s="31" t="str">
        <f t="shared" si="40"/>
        <v/>
      </c>
      <c r="K136" s="31" t="str">
        <f t="shared" si="41"/>
        <v>BIKE_SHARE_FAC</v>
      </c>
      <c r="L136" s="6">
        <f>MATCH($K136,FAC_TOTALS_APTA!$A$2:$BB$2,)</f>
        <v>46</v>
      </c>
      <c r="M136" s="29">
        <f t="shared" si="42"/>
        <v>-216332.33823466333</v>
      </c>
      <c r="N136" s="29">
        <f t="shared" si="42"/>
        <v>-2952406.7938430621</v>
      </c>
      <c r="O136" s="29">
        <f t="shared" si="42"/>
        <v>-3002355.192224477</v>
      </c>
      <c r="P136" s="29">
        <f t="shared" si="42"/>
        <v>-2712476.7784797316</v>
      </c>
      <c r="Q136" s="29">
        <f t="shared" si="42"/>
        <v>-547786.14377953671</v>
      </c>
      <c r="R136" s="29">
        <f t="shared" si="42"/>
        <v>-570625.46048501844</v>
      </c>
      <c r="S136" s="29">
        <f t="shared" si="42"/>
        <v>0</v>
      </c>
      <c r="T136" s="29">
        <f t="shared" si="42"/>
        <v>0</v>
      </c>
      <c r="U136" s="29">
        <f t="shared" si="42"/>
        <v>0</v>
      </c>
      <c r="V136" s="29">
        <f t="shared" si="42"/>
        <v>0</v>
      </c>
      <c r="W136" s="29">
        <f t="shared" si="42"/>
        <v>0</v>
      </c>
      <c r="X136" s="29">
        <f t="shared" si="42"/>
        <v>0</v>
      </c>
      <c r="Y136" s="29">
        <f t="shared" si="42"/>
        <v>0</v>
      </c>
      <c r="Z136" s="29">
        <f t="shared" si="42"/>
        <v>0</v>
      </c>
      <c r="AA136" s="29">
        <f t="shared" si="42"/>
        <v>0</v>
      </c>
      <c r="AB136" s="29">
        <f t="shared" si="42"/>
        <v>0</v>
      </c>
      <c r="AC136" s="32">
        <f t="shared" si="43"/>
        <v>-10001982.707046488</v>
      </c>
      <c r="AD136" s="33">
        <f>AC136/G139</f>
        <v>-7.7826355542861591E-3</v>
      </c>
    </row>
    <row r="137" spans="2:30" ht="15" x14ac:dyDescent="0.2">
      <c r="B137" s="8" t="s">
        <v>65</v>
      </c>
      <c r="C137" s="27"/>
      <c r="D137" s="129" t="s">
        <v>44</v>
      </c>
      <c r="E137" s="56"/>
      <c r="F137" s="7">
        <f>MATCH($D137,FAC_TOTALS_APTA!$A$2:$BD$2,)</f>
        <v>29</v>
      </c>
      <c r="G137" s="117">
        <f t="shared" ref="G137:H137" si="55">(G25+G53+G81)/3</f>
        <v>0</v>
      </c>
      <c r="H137" s="117">
        <f t="shared" si="55"/>
        <v>0.33793504613474523</v>
      </c>
      <c r="I137" s="233">
        <f>H137-G137</f>
        <v>0.33793504613474523</v>
      </c>
      <c r="J137" s="37" t="str">
        <f t="shared" si="40"/>
        <v/>
      </c>
      <c r="K137" s="37" t="str">
        <f t="shared" si="41"/>
        <v>scooter_flag_FAC</v>
      </c>
      <c r="L137" s="7">
        <f>MATCH($K137,FAC_TOTALS_APTA!$A$2:$BB$2,)</f>
        <v>47</v>
      </c>
      <c r="M137" s="29">
        <f t="shared" si="42"/>
        <v>0</v>
      </c>
      <c r="N137" s="29">
        <f t="shared" si="42"/>
        <v>0</v>
      </c>
      <c r="O137" s="29">
        <f t="shared" si="42"/>
        <v>0</v>
      </c>
      <c r="P137" s="29">
        <f t="shared" si="42"/>
        <v>0</v>
      </c>
      <c r="Q137" s="29">
        <f t="shared" si="42"/>
        <v>0</v>
      </c>
      <c r="R137" s="29">
        <f t="shared" si="42"/>
        <v>-20913825.926734794</v>
      </c>
      <c r="S137" s="29">
        <f t="shared" si="42"/>
        <v>0</v>
      </c>
      <c r="T137" s="29">
        <f t="shared" si="42"/>
        <v>0</v>
      </c>
      <c r="U137" s="29">
        <f t="shared" si="42"/>
        <v>0</v>
      </c>
      <c r="V137" s="29">
        <f t="shared" si="42"/>
        <v>0</v>
      </c>
      <c r="W137" s="29">
        <f t="shared" si="42"/>
        <v>0</v>
      </c>
      <c r="X137" s="29">
        <f t="shared" si="42"/>
        <v>0</v>
      </c>
      <c r="Y137" s="29">
        <f t="shared" si="42"/>
        <v>0</v>
      </c>
      <c r="Z137" s="29">
        <f t="shared" si="42"/>
        <v>0</v>
      </c>
      <c r="AA137" s="29">
        <f t="shared" si="42"/>
        <v>0</v>
      </c>
      <c r="AB137" s="29">
        <f t="shared" si="42"/>
        <v>0</v>
      </c>
      <c r="AC137" s="39">
        <f t="shared" si="43"/>
        <v>-20913825.926734794</v>
      </c>
      <c r="AD137" s="40">
        <f>AC137/G139</f>
        <v>-1.6273242016194317E-2</v>
      </c>
    </row>
    <row r="138" spans="2:30" ht="15" x14ac:dyDescent="0.2">
      <c r="B138" s="41" t="s">
        <v>53</v>
      </c>
      <c r="C138" s="42"/>
      <c r="D138" s="41" t="s">
        <v>45</v>
      </c>
      <c r="E138" s="43"/>
      <c r="F138" s="44"/>
      <c r="G138" s="117">
        <f t="shared" ref="G138:H138" si="56">(G26+G54+G82)/3</f>
        <v>0</v>
      </c>
      <c r="H138" s="117">
        <f t="shared" si="56"/>
        <v>0</v>
      </c>
      <c r="I138" s="46"/>
      <c r="J138" s="47"/>
      <c r="K138" s="47" t="str">
        <f t="shared" si="41"/>
        <v>New_Reporter_FAC</v>
      </c>
      <c r="L138" s="44">
        <f>MATCH($K138,FAC_TOTALS_APTA!$A$2:$BB$2,)</f>
        <v>51</v>
      </c>
      <c r="M138" s="29">
        <f t="shared" si="42"/>
        <v>0</v>
      </c>
      <c r="N138" s="29">
        <f t="shared" si="42"/>
        <v>0</v>
      </c>
      <c r="O138" s="29">
        <f t="shared" si="42"/>
        <v>0</v>
      </c>
      <c r="P138" s="29">
        <f t="shared" si="42"/>
        <v>0</v>
      </c>
      <c r="Q138" s="29">
        <f t="shared" si="42"/>
        <v>0</v>
      </c>
      <c r="R138" s="29">
        <f t="shared" si="42"/>
        <v>0</v>
      </c>
      <c r="S138" s="29">
        <f t="shared" si="42"/>
        <v>0</v>
      </c>
      <c r="T138" s="29">
        <f t="shared" si="42"/>
        <v>0</v>
      </c>
      <c r="U138" s="29">
        <f t="shared" si="42"/>
        <v>0</v>
      </c>
      <c r="V138" s="29">
        <f t="shared" si="42"/>
        <v>0</v>
      </c>
      <c r="W138" s="29">
        <f t="shared" si="42"/>
        <v>0</v>
      </c>
      <c r="X138" s="29">
        <f t="shared" si="42"/>
        <v>0</v>
      </c>
      <c r="Y138" s="29">
        <f t="shared" si="42"/>
        <v>0</v>
      </c>
      <c r="Z138" s="29">
        <f t="shared" si="42"/>
        <v>0</v>
      </c>
      <c r="AA138" s="29">
        <f t="shared" si="42"/>
        <v>0</v>
      </c>
      <c r="AB138" s="29">
        <f t="shared" si="42"/>
        <v>0</v>
      </c>
      <c r="AC138" s="48">
        <f>SUM(M138:AB138)</f>
        <v>0</v>
      </c>
      <c r="AD138" s="49">
        <f>AC138/G140</f>
        <v>0</v>
      </c>
    </row>
    <row r="139" spans="2:30" ht="15" x14ac:dyDescent="0.2">
      <c r="B139" s="25" t="s">
        <v>66</v>
      </c>
      <c r="C139" s="28"/>
      <c r="D139" s="6" t="s">
        <v>6</v>
      </c>
      <c r="E139" s="55"/>
      <c r="F139" s="6">
        <f>MATCH($D139,FAC_TOTALS_APTA!$A$2:$BB$2,)</f>
        <v>10</v>
      </c>
      <c r="G139" s="117">
        <f t="shared" ref="G139:H139" si="57">(G27+G55+G83)/3</f>
        <v>1285166527.1076531</v>
      </c>
      <c r="H139" s="117">
        <f t="shared" si="57"/>
        <v>1104407743.0985448</v>
      </c>
      <c r="I139" s="112">
        <f t="shared" ref="I139:I140" si="58">H139/G139-1</f>
        <v>-0.14065008712599847</v>
      </c>
      <c r="J139" s="31"/>
      <c r="K139" s="31"/>
      <c r="L139" s="6"/>
      <c r="M139" s="29">
        <f t="shared" ref="M139:AB139" si="59">SUM(M125:M132)</f>
        <v>-5293503.3290545726</v>
      </c>
      <c r="N139" s="29">
        <f t="shared" si="59"/>
        <v>-1038356.3907059539</v>
      </c>
      <c r="O139" s="29">
        <f t="shared" si="59"/>
        <v>-35758250.825641721</v>
      </c>
      <c r="P139" s="29">
        <f t="shared" si="59"/>
        <v>-12459474.277140731</v>
      </c>
      <c r="Q139" s="29">
        <f t="shared" si="59"/>
        <v>25508452.038626149</v>
      </c>
      <c r="R139" s="29">
        <f t="shared" si="59"/>
        <v>26261454.831905805</v>
      </c>
      <c r="S139" s="29">
        <f t="shared" si="59"/>
        <v>0</v>
      </c>
      <c r="T139" s="29">
        <f t="shared" si="59"/>
        <v>0</v>
      </c>
      <c r="U139" s="29">
        <f t="shared" si="59"/>
        <v>0</v>
      </c>
      <c r="V139" s="29">
        <f t="shared" si="59"/>
        <v>0</v>
      </c>
      <c r="W139" s="29">
        <f t="shared" si="59"/>
        <v>0</v>
      </c>
      <c r="X139" s="29">
        <f t="shared" si="59"/>
        <v>0</v>
      </c>
      <c r="Y139" s="29">
        <f t="shared" si="59"/>
        <v>0</v>
      </c>
      <c r="Z139" s="29">
        <f t="shared" si="59"/>
        <v>0</v>
      </c>
      <c r="AA139" s="29">
        <f t="shared" si="59"/>
        <v>0</v>
      </c>
      <c r="AB139" s="29">
        <f t="shared" si="59"/>
        <v>0</v>
      </c>
      <c r="AC139" s="32">
        <f>H139-G139</f>
        <v>-180758784.0091083</v>
      </c>
      <c r="AD139" s="33">
        <f>I139</f>
        <v>-0.14065008712599847</v>
      </c>
    </row>
    <row r="140" spans="2:30" ht="16" thickBot="1" x14ac:dyDescent="0.25">
      <c r="B140" s="9" t="s">
        <v>50</v>
      </c>
      <c r="C140" s="23"/>
      <c r="D140" s="23" t="s">
        <v>4</v>
      </c>
      <c r="E140" s="23"/>
      <c r="F140" s="23">
        <f>MATCH($D140,FAC_TOTALS_APTA!$A$2:$BB$2,)</f>
        <v>8</v>
      </c>
      <c r="G140" s="117">
        <f t="shared" ref="G140:H140" si="60">(G28+G56+G84)/3</f>
        <v>1270276622.9999959</v>
      </c>
      <c r="H140" s="117">
        <f t="shared" si="60"/>
        <v>1083129239</v>
      </c>
      <c r="I140" s="113">
        <f t="shared" si="58"/>
        <v>-0.14732805485943079</v>
      </c>
      <c r="J140" s="50"/>
      <c r="K140" s="50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51">
        <f>H140-G140</f>
        <v>-187147383.99999595</v>
      </c>
      <c r="AD140" s="52">
        <f>I140</f>
        <v>-0.14732805485943079</v>
      </c>
    </row>
    <row r="141" spans="2:30" ht="17" thickTop="1" thickBot="1" x14ac:dyDescent="0.25">
      <c r="B141" s="57" t="s">
        <v>67</v>
      </c>
      <c r="C141" s="58"/>
      <c r="D141" s="58"/>
      <c r="E141" s="59"/>
      <c r="F141" s="58"/>
      <c r="G141" s="154"/>
      <c r="H141" s="154"/>
      <c r="I141" s="60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2">
        <f>AD140-AD139</f>
        <v>-6.6779677334323218E-3</v>
      </c>
    </row>
    <row r="142" spans="2:30" ht="15" thickTop="1" x14ac:dyDescent="0.2"/>
  </sheetData>
  <mergeCells count="10">
    <mergeCell ref="G120:I120"/>
    <mergeCell ref="AC120:AD120"/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41"/>
  <sheetViews>
    <sheetView showGridLines="0" tabSelected="1" topLeftCell="A118" workbookViewId="0">
      <selection activeCell="AD138" sqref="AD138"/>
    </sheetView>
  </sheetViews>
  <sheetFormatPr baseColWidth="10" defaultColWidth="11" defaultRowHeight="14" x14ac:dyDescent="0.2"/>
  <cols>
    <col min="1" max="1" width="11" style="10"/>
    <col min="2" max="2" width="32.5" style="11" bestFit="1" customWidth="1"/>
    <col min="3" max="3" width="5.33203125" style="12" customWidth="1"/>
    <col min="4" max="4" width="25.33203125" style="12" customWidth="1"/>
    <col min="5" max="5" width="5.1640625" style="13" bestFit="1" customWidth="1"/>
    <col min="6" max="6" width="11" style="12" customWidth="1"/>
    <col min="7" max="8" width="11.6640625" style="12" bestFit="1" customWidth="1"/>
    <col min="9" max="9" width="6.6640625" style="14" bestFit="1" customWidth="1"/>
    <col min="10" max="10" width="11" style="12" hidden="1" customWidth="1"/>
    <col min="11" max="11" width="24.5" style="12" hidden="1" customWidth="1"/>
    <col min="12" max="12" width="12.5" style="12" hidden="1" customWidth="1"/>
    <col min="13" max="13" width="13.5" style="12" hidden="1" customWidth="1"/>
    <col min="14" max="14" width="13" style="12" hidden="1" customWidth="1"/>
    <col min="15" max="15" width="11" style="12" hidden="1" customWidth="1"/>
    <col min="16" max="28" width="11.5" style="12" hidden="1" customWidth="1"/>
    <col min="29" max="29" width="16.5" style="12" customWidth="1"/>
    <col min="30" max="30" width="12" style="12" customWidth="1"/>
    <col min="31" max="31" width="15.33203125" style="10" customWidth="1"/>
    <col min="32" max="16384" width="11" style="12"/>
  </cols>
  <sheetData>
    <row r="1" spans="1:31" ht="15" x14ac:dyDescent="0.2">
      <c r="B1" s="11" t="s">
        <v>36</v>
      </c>
      <c r="C1" s="12">
        <v>2002</v>
      </c>
    </row>
    <row r="2" spans="1:31" ht="15" x14ac:dyDescent="0.2">
      <c r="B2" s="11" t="s">
        <v>37</v>
      </c>
      <c r="C2" s="12">
        <v>2012</v>
      </c>
      <c r="D2" s="10"/>
    </row>
    <row r="3" spans="1:31" s="10" customFormat="1" ht="15" x14ac:dyDescent="0.2">
      <c r="B3" s="18" t="s">
        <v>25</v>
      </c>
      <c r="E3" s="6"/>
      <c r="I3" s="17"/>
    </row>
    <row r="4" spans="1:31" ht="15" x14ac:dyDescent="0.2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ht="15" x14ac:dyDescent="0.2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6" thickBot="1" x14ac:dyDescent="0.25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5" thickTop="1" x14ac:dyDescent="0.2">
      <c r="B8" s="25"/>
      <c r="C8" s="6"/>
      <c r="D8" s="62"/>
      <c r="E8" s="6"/>
      <c r="F8" s="6"/>
      <c r="G8" s="240" t="s">
        <v>51</v>
      </c>
      <c r="H8" s="240"/>
      <c r="I8" s="240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40" t="s">
        <v>55</v>
      </c>
      <c r="AD8" s="240"/>
    </row>
    <row r="9" spans="1:31" ht="15" x14ac:dyDescent="0.2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ht="15" x14ac:dyDescent="0.2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49932404.401087999</v>
      </c>
      <c r="H13" s="29">
        <f>VLOOKUP(H11,FAC_TOTALS_APTA!$A$4:$BD$126,$F13,FALSE)</f>
        <v>60228514.526974499</v>
      </c>
      <c r="I13" s="30">
        <f>IFERROR(H13/G13-1,"-")</f>
        <v>0.20620096807639721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52907869.729852498</v>
      </c>
      <c r="N13" s="29">
        <f>IF(N11=0,0,VLOOKUP(N11,FAC_TOTALS_APTA!$A$4:$BD$126,$L13,FALSE))</f>
        <v>20110817.4288042</v>
      </c>
      <c r="O13" s="29">
        <f>IF(O11=0,0,VLOOKUP(O11,FAC_TOTALS_APTA!$A$4:$BD$126,$L13,FALSE))</f>
        <v>7897513.6845846903</v>
      </c>
      <c r="P13" s="29">
        <f>IF(P11=0,0,VLOOKUP(P11,FAC_TOTALS_APTA!$A$4:$BD$126,$L13,FALSE))</f>
        <v>38487982.437890097</v>
      </c>
      <c r="Q13" s="29">
        <f>IF(Q11=0,0,VLOOKUP(Q11,FAC_TOTALS_APTA!$A$4:$BD$126,$L13,FALSE))</f>
        <v>66275237.442195699</v>
      </c>
      <c r="R13" s="29">
        <f>IF(R11=0,0,VLOOKUP(R11,FAC_TOTALS_APTA!$A$4:$BD$126,$L13,FALSE))</f>
        <v>28743799.177805599</v>
      </c>
      <c r="S13" s="29">
        <f>IF(S11=0,0,VLOOKUP(S11,FAC_TOTALS_APTA!$A$4:$BD$126,$L13,FALSE))</f>
        <v>3863411.1025754502</v>
      </c>
      <c r="T13" s="29">
        <f>IF(T11=0,0,VLOOKUP(T11,FAC_TOTALS_APTA!$A$4:$BD$126,$L13,FALSE))</f>
        <v>-3614236.9424456302</v>
      </c>
      <c r="U13" s="29">
        <f>IF(U11=0,0,VLOOKUP(U11,FAC_TOTALS_APTA!$A$4:$BD$126,$L13,FALSE))</f>
        <v>5120848.5620247498</v>
      </c>
      <c r="V13" s="29">
        <f>IF(V11=0,0,VLOOKUP(V11,FAC_TOTALS_APTA!$A$4:$BD$126,$L13,FALSE))</f>
        <v>33133268.3049125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252926510.92819986</v>
      </c>
      <c r="AD13" s="33">
        <f>AC13/G27</f>
        <v>0.24638361933259556</v>
      </c>
      <c r="AE13" s="6"/>
    </row>
    <row r="14" spans="1:31" s="13" customFormat="1" ht="15" x14ac:dyDescent="0.2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1.64428480391638</v>
      </c>
      <c r="H14" s="54">
        <f>VLOOKUP(H11,FAC_TOTALS_APTA!$A$4:$BD$126,$F14,FALSE)</f>
        <v>1.87757629079359</v>
      </c>
      <c r="I14" s="30">
        <f t="shared" ref="I14:I25" si="1">IFERROR(H14/G14-1,"-")</f>
        <v>0.14188021826970187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954635.71280785406</v>
      </c>
      <c r="N14" s="29">
        <f>IF(N11=0,0,VLOOKUP(N11,FAC_TOTALS_APTA!$A$4:$BD$126,$L14,FALSE))</f>
        <v>6288260.0700812098</v>
      </c>
      <c r="O14" s="29">
        <f>IF(O11=0,0,VLOOKUP(O11,FAC_TOTALS_APTA!$A$4:$BD$126,$L14,FALSE))</f>
        <v>-3029852.5129537499</v>
      </c>
      <c r="P14" s="29">
        <f>IF(P11=0,0,VLOOKUP(P11,FAC_TOTALS_APTA!$A$4:$BD$126,$L14,FALSE))</f>
        <v>-6623356.3325889697</v>
      </c>
      <c r="Q14" s="29">
        <f>IF(Q11=0,0,VLOOKUP(Q11,FAC_TOTALS_APTA!$A$4:$BD$126,$L14,FALSE))</f>
        <v>-2623517.2869072501</v>
      </c>
      <c r="R14" s="29">
        <f>IF(R11=0,0,VLOOKUP(R11,FAC_TOTALS_APTA!$A$4:$BD$126,$L14,FALSE))</f>
        <v>-11093609.661896899</v>
      </c>
      <c r="S14" s="29">
        <f>IF(S11=0,0,VLOOKUP(S11,FAC_TOTALS_APTA!$A$4:$BD$126,$L14,FALSE))</f>
        <v>-23450327.4580874</v>
      </c>
      <c r="T14" s="29">
        <f>IF(T11=0,0,VLOOKUP(T11,FAC_TOTALS_APTA!$A$4:$BD$126,$L14,FALSE))</f>
        <v>-130934.765528424</v>
      </c>
      <c r="U14" s="29">
        <f>IF(U11=0,0,VLOOKUP(U11,FAC_TOTALS_APTA!$A$4:$BD$126,$L14,FALSE))</f>
        <v>-3231817.53006837</v>
      </c>
      <c r="V14" s="29">
        <f>IF(V11=0,0,VLOOKUP(V11,FAC_TOTALS_APTA!$A$4:$BD$126,$L14,FALSE))</f>
        <v>-1998482.4610954199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-44939002.226237416</v>
      </c>
      <c r="AD14" s="33">
        <f>AC14/G27</f>
        <v>-4.3776486604992955E-2</v>
      </c>
      <c r="AE14" s="6"/>
    </row>
    <row r="15" spans="1:31" s="13" customFormat="1" ht="15" x14ac:dyDescent="0.2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ht="15" x14ac:dyDescent="0.2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117">
        <f>VLOOKUP(G11,FAC_TOTALS_APTA!$A$4:$BD$126,$F16,FALSE)</f>
        <v>0</v>
      </c>
      <c r="H16" s="117">
        <f>VLOOKUP(H11,FAC_TOTALS_APTA!$A$4:$BD$126,$F16,FALSE)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MATCH($K16,FAC_TOTALS_APTA!$A$2:$BB$2,)</f>
        <v>40</v>
      </c>
      <c r="M16" s="117">
        <f>IF(M12=0,0,VLOOKUP(M12,FAC_TOTALS_APTA!$A$4:$BD$126,$L16,FALSE))</f>
        <v>0</v>
      </c>
      <c r="N16" s="117">
        <f>IF(N12=0,0,VLOOKUP(N12,FAC_TOTALS_APTA!$A$4:$BD$126,$L16,FALSE))</f>
        <v>0</v>
      </c>
      <c r="O16" s="117">
        <f>IF(O12=0,0,VLOOKUP(O12,FAC_TOTALS_APTA!$A$4:$BD$126,$L16,FALSE))</f>
        <v>0</v>
      </c>
      <c r="P16" s="117">
        <f>IF(P12=0,0,VLOOKUP(P12,FAC_TOTALS_APTA!$A$4:$BD$126,$L16,FALSE))</f>
        <v>0</v>
      </c>
      <c r="Q16" s="117">
        <f>IF(Q12=0,0,VLOOKUP(Q12,FAC_TOTALS_APTA!$A$4:$BD$126,$L16,FALSE))</f>
        <v>0</v>
      </c>
      <c r="R16" s="117">
        <f>IF(R12=0,0,VLOOKUP(R12,FAC_TOTALS_APTA!$A$4:$BD$126,$L16,FALSE))</f>
        <v>0</v>
      </c>
      <c r="S16" s="117">
        <f>IF(S12=0,0,VLOOKUP(S12,FAC_TOTALS_APTA!$A$4:$BD$126,$L16,FALSE))</f>
        <v>0</v>
      </c>
      <c r="T16" s="117">
        <f>IF(T12=0,0,VLOOKUP(T12,FAC_TOTALS_APTA!$A$4:$BD$126,$L16,FALSE))</f>
        <v>0</v>
      </c>
      <c r="U16" s="117">
        <f>IF(U12=0,0,VLOOKUP(U12,FAC_TOTALS_APTA!$A$4:$BD$126,$L16,FALSE))</f>
        <v>0</v>
      </c>
      <c r="V16" s="117">
        <f>IF(V12=0,0,VLOOKUP(V12,FAC_TOTALS_APTA!$A$4:$BD$126,$L16,FALSE))</f>
        <v>0</v>
      </c>
      <c r="W16" s="117">
        <f>IF(W12=0,0,VLOOKUP(W12,FAC_TOTALS_APTA!$A$4:$BD$126,$L16,FALSE))</f>
        <v>0</v>
      </c>
      <c r="X16" s="117">
        <f>IF(X12=0,0,VLOOKUP(X12,FAC_TOTALS_APTA!$A$4:$BD$126,$L16,FALSE))</f>
        <v>0</v>
      </c>
      <c r="Y16" s="117">
        <f>IF(Y12=0,0,VLOOKUP(Y12,FAC_TOTALS_APTA!$A$4:$BD$126,$L16,FALSE))</f>
        <v>0</v>
      </c>
      <c r="Z16" s="117">
        <f>IF(Z12=0,0,VLOOKUP(Z12,FAC_TOTALS_APTA!$A$4:$BD$126,$L16,FALSE))</f>
        <v>0</v>
      </c>
      <c r="AA16" s="117">
        <f>IF(AA12=0,0,VLOOKUP(AA12,FAC_TOTALS_APTA!$A$4:$BD$126,$L16,FALSE))</f>
        <v>0</v>
      </c>
      <c r="AB16" s="117">
        <f>IF(AB12=0,0,VLOOKUP(AB12,FAC_TOTALS_APTA!$A$4:$BD$126,$L16,FALSE))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ht="15" x14ac:dyDescent="0.2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8455732.9469062109</v>
      </c>
      <c r="H17" s="29">
        <f>VLOOKUP(H11,FAC_TOTALS_APTA!$A$4:$BD$126,$F17,FALSE)</f>
        <v>9265369.1436843593</v>
      </c>
      <c r="I17" s="30">
        <f t="shared" si="1"/>
        <v>9.5749972457961574E-2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5109044.0259117102</v>
      </c>
      <c r="N17" s="29">
        <f>IF(N11=0,0,VLOOKUP(N11,FAC_TOTALS_APTA!$A$4:$BD$126,$L17,FALSE))</f>
        <v>6122847.9377800198</v>
      </c>
      <c r="O17" s="29">
        <f>IF(O11=0,0,VLOOKUP(O11,FAC_TOTALS_APTA!$A$4:$BD$126,$L17,FALSE))</f>
        <v>6652285.7228964204</v>
      </c>
      <c r="P17" s="29">
        <f>IF(P11=0,0,VLOOKUP(P11,FAC_TOTALS_APTA!$A$4:$BD$126,$L17,FALSE))</f>
        <v>8773115.0986231994</v>
      </c>
      <c r="Q17" s="29">
        <f>IF(Q11=0,0,VLOOKUP(Q11,FAC_TOTALS_APTA!$A$4:$BD$126,$L17,FALSE))</f>
        <v>2516214.3775887801</v>
      </c>
      <c r="R17" s="29">
        <f>IF(R11=0,0,VLOOKUP(R11,FAC_TOTALS_APTA!$A$4:$BD$126,$L17,FALSE))</f>
        <v>2128584.3128940798</v>
      </c>
      <c r="S17" s="29">
        <f>IF(S11=0,0,VLOOKUP(S11,FAC_TOTALS_APTA!$A$4:$BD$126,$L17,FALSE))</f>
        <v>-697589.33382026898</v>
      </c>
      <c r="T17" s="29">
        <f>IF(T11=0,0,VLOOKUP(T11,FAC_TOTALS_APTA!$A$4:$BD$126,$L17,FALSE))</f>
        <v>921481.10288370599</v>
      </c>
      <c r="U17" s="29">
        <f>IF(U11=0,0,VLOOKUP(U11,FAC_TOTALS_APTA!$A$4:$BD$126,$L17,FALSE))</f>
        <v>3558528.6564936</v>
      </c>
      <c r="V17" s="29">
        <f>IF(V11=0,0,VLOOKUP(V11,FAC_TOTALS_APTA!$A$4:$BD$126,$L17,FALSE))</f>
        <v>4514044.59008813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39598556.491339371</v>
      </c>
      <c r="AD17" s="33">
        <f>AC17/G27</f>
        <v>3.8574191502811953E-2</v>
      </c>
      <c r="AE17" s="6"/>
    </row>
    <row r="18" spans="1:31" s="13" customFormat="1" ht="15" x14ac:dyDescent="0.2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0.44345565364207301</v>
      </c>
      <c r="H18" s="54">
        <f>VLOOKUP(H11,FAC_TOTALS_APTA!$A$4:$BD$126,$F18,FALSE)</f>
        <v>0.44667552967074198</v>
      </c>
      <c r="I18" s="30">
        <f t="shared" si="1"/>
        <v>7.2608749087408331E-3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-2790897.2210295</v>
      </c>
      <c r="N18" s="29">
        <f>IF(N11=0,0,VLOOKUP(N11,FAC_TOTALS_APTA!$A$4:$BD$126,$L18,FALSE))</f>
        <v>-761930.09194121195</v>
      </c>
      <c r="O18" s="29">
        <f>IF(O11=0,0,VLOOKUP(O11,FAC_TOTALS_APTA!$A$4:$BD$126,$L18,FALSE))</f>
        <v>-546858.80763554899</v>
      </c>
      <c r="P18" s="29">
        <f>IF(P11=0,0,VLOOKUP(P11,FAC_TOTALS_APTA!$A$4:$BD$126,$L18,FALSE))</f>
        <v>-9297.9888733987991</v>
      </c>
      <c r="Q18" s="29">
        <f>IF(Q11=0,0,VLOOKUP(Q11,FAC_TOTALS_APTA!$A$4:$BD$126,$L18,FALSE))</f>
        <v>-4550519.6211145502</v>
      </c>
      <c r="R18" s="29">
        <f>IF(R11=0,0,VLOOKUP(R11,FAC_TOTALS_APTA!$A$4:$BD$126,$L18,FALSE))</f>
        <v>2001990.89345888</v>
      </c>
      <c r="S18" s="29">
        <f>IF(S11=0,0,VLOOKUP(S11,FAC_TOTALS_APTA!$A$4:$BD$126,$L18,FALSE))</f>
        <v>721034.36435633304</v>
      </c>
      <c r="T18" s="29">
        <f>IF(T11=0,0,VLOOKUP(T11,FAC_TOTALS_APTA!$A$4:$BD$126,$L18,FALSE))</f>
        <v>9023447.5112702902</v>
      </c>
      <c r="U18" s="29">
        <f>IF(U11=0,0,VLOOKUP(U11,FAC_TOTALS_APTA!$A$4:$BD$126,$L18,FALSE))</f>
        <v>-2934944.9346888498</v>
      </c>
      <c r="V18" s="29">
        <f>IF(V11=0,0,VLOOKUP(V11,FAC_TOTALS_APTA!$A$4:$BD$126,$L18,FALSE))</f>
        <v>-2655213.90673187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-2503189.8029294261</v>
      </c>
      <c r="AD18" s="33">
        <f>AC18/G27</f>
        <v>-2.4384354224428403E-3</v>
      </c>
      <c r="AE18" s="6"/>
    </row>
    <row r="19" spans="1:31" s="13" customFormat="1" ht="15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1.9562821014237</v>
      </c>
      <c r="H19" s="34">
        <f>VLOOKUP(H11,FAC_TOTALS_APTA!$A$4:$BD$126,$F19,FALSE)</f>
        <v>4.0850684443871499</v>
      </c>
      <c r="I19" s="30">
        <f t="shared" si="1"/>
        <v>1.0881796349382373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16589414.0764565</v>
      </c>
      <c r="N19" s="29">
        <f>IF(N11=0,0,VLOOKUP(N11,FAC_TOTALS_APTA!$A$4:$BD$126,$L19,FALSE))</f>
        <v>17595757.875653598</v>
      </c>
      <c r="O19" s="29">
        <f>IF(O11=0,0,VLOOKUP(O11,FAC_TOTALS_APTA!$A$4:$BD$126,$L19,FALSE))</f>
        <v>23847854.022976901</v>
      </c>
      <c r="P19" s="29">
        <f>IF(P11=0,0,VLOOKUP(P11,FAC_TOTALS_APTA!$A$4:$BD$126,$L19,FALSE))</f>
        <v>14197292.1724982</v>
      </c>
      <c r="Q19" s="29">
        <f>IF(Q11=0,0,VLOOKUP(Q11,FAC_TOTALS_APTA!$A$4:$BD$126,$L19,FALSE))</f>
        <v>7876550.3835509596</v>
      </c>
      <c r="R19" s="29">
        <f>IF(R11=0,0,VLOOKUP(R11,FAC_TOTALS_APTA!$A$4:$BD$126,$L19,FALSE))</f>
        <v>19908572.390547499</v>
      </c>
      <c r="S19" s="29">
        <f>IF(S11=0,0,VLOOKUP(S11,FAC_TOTALS_APTA!$A$4:$BD$126,$L19,FALSE))</f>
        <v>-53689810.907522298</v>
      </c>
      <c r="T19" s="29">
        <f>IF(T11=0,0,VLOOKUP(T11,FAC_TOTALS_APTA!$A$4:$BD$126,$L19,FALSE))</f>
        <v>25011456.4309613</v>
      </c>
      <c r="U19" s="29">
        <f>IF(U11=0,0,VLOOKUP(U11,FAC_TOTALS_APTA!$A$4:$BD$126,$L19,FALSE))</f>
        <v>36872819.469543003</v>
      </c>
      <c r="V19" s="29">
        <f>IF(V11=0,0,VLOOKUP(V11,FAC_TOTALS_APTA!$A$4:$BD$126,$L19,FALSE))</f>
        <v>1368764.80127204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109578670.7159377</v>
      </c>
      <c r="AD19" s="33">
        <f>AC19/G27</f>
        <v>0.10674400794747715</v>
      </c>
      <c r="AE19" s="6"/>
    </row>
    <row r="20" spans="1:31" s="13" customFormat="1" ht="15" x14ac:dyDescent="0.2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43683.908616914901</v>
      </c>
      <c r="H20" s="54">
        <f>VLOOKUP(H11,FAC_TOTALS_APTA!$A$4:$BD$126,$F20,FALSE)</f>
        <v>35332.063055995401</v>
      </c>
      <c r="I20" s="30">
        <f t="shared" si="1"/>
        <v>-0.19118814742885837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2182484.8376568402</v>
      </c>
      <c r="N20" s="29">
        <f>IF(N11=0,0,VLOOKUP(N11,FAC_TOTALS_APTA!$A$4:$BD$126,$L20,FALSE))</f>
        <v>2961073.8115839902</v>
      </c>
      <c r="O20" s="29">
        <f>IF(O11=0,0,VLOOKUP(O11,FAC_TOTALS_APTA!$A$4:$BD$126,$L20,FALSE))</f>
        <v>2886342.1904317201</v>
      </c>
      <c r="P20" s="29">
        <f>IF(P11=0,0,VLOOKUP(P11,FAC_TOTALS_APTA!$A$4:$BD$126,$L20,FALSE))</f>
        <v>4609569.4325866299</v>
      </c>
      <c r="Q20" s="29">
        <f>IF(Q11=0,0,VLOOKUP(Q11,FAC_TOTALS_APTA!$A$4:$BD$126,$L20,FALSE))</f>
        <v>-1391021.55222641</v>
      </c>
      <c r="R20" s="29">
        <f>IF(R11=0,0,VLOOKUP(R11,FAC_TOTALS_APTA!$A$4:$BD$126,$L20,FALSE))</f>
        <v>76777.215070985403</v>
      </c>
      <c r="S20" s="29">
        <f>IF(S11=0,0,VLOOKUP(S11,FAC_TOTALS_APTA!$A$4:$BD$126,$L20,FALSE))</f>
        <v>4905990.0751179401</v>
      </c>
      <c r="T20" s="29">
        <f>IF(T11=0,0,VLOOKUP(T11,FAC_TOTALS_APTA!$A$4:$BD$126,$L20,FALSE))</f>
        <v>2661130.0168197802</v>
      </c>
      <c r="U20" s="29">
        <f>IF(U11=0,0,VLOOKUP(U11,FAC_TOTALS_APTA!$A$4:$BD$126,$L20,FALSE))</f>
        <v>1886352.9856807301</v>
      </c>
      <c r="V20" s="29">
        <f>IF(V11=0,0,VLOOKUP(V11,FAC_TOTALS_APTA!$A$4:$BD$126,$L20,FALSE))</f>
        <v>1068338.2640080201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21847037.276730224</v>
      </c>
      <c r="AD20" s="33">
        <f>AC20/G27</f>
        <v>2.1281881824807867E-2</v>
      </c>
      <c r="AE20" s="6"/>
    </row>
    <row r="21" spans="1:31" s="13" customFormat="1" ht="15" x14ac:dyDescent="0.2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11.084471518324801</v>
      </c>
      <c r="H21" s="29">
        <f>VLOOKUP(H11,FAC_TOTALS_APTA!$A$4:$BD$126,$F21,FALSE)</f>
        <v>11.244313444527</v>
      </c>
      <c r="I21" s="30">
        <f t="shared" si="1"/>
        <v>1.4420347053799576E-2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-223889.860754439</v>
      </c>
      <c r="N21" s="29">
        <f>IF(N11=0,0,VLOOKUP(N11,FAC_TOTALS_APTA!$A$4:$BD$126,$L21,FALSE))</f>
        <v>-220782.35278385601</v>
      </c>
      <c r="O21" s="29">
        <f>IF(O11=0,0,VLOOKUP(O11,FAC_TOTALS_APTA!$A$4:$BD$126,$L21,FALSE))</f>
        <v>-247548.420011749</v>
      </c>
      <c r="P21" s="29">
        <f>IF(P11=0,0,VLOOKUP(P11,FAC_TOTALS_APTA!$A$4:$BD$126,$L21,FALSE))</f>
        <v>-197179.93108661001</v>
      </c>
      <c r="Q21" s="29">
        <f>IF(Q11=0,0,VLOOKUP(Q11,FAC_TOTALS_APTA!$A$4:$BD$126,$L21,FALSE))</f>
        <v>-401673.18840727501</v>
      </c>
      <c r="R21" s="29">
        <f>IF(R11=0,0,VLOOKUP(R11,FAC_TOTALS_APTA!$A$4:$BD$126,$L21,FALSE))</f>
        <v>431928.20986938901</v>
      </c>
      <c r="S21" s="29">
        <f>IF(S11=0,0,VLOOKUP(S11,FAC_TOTALS_APTA!$A$4:$BD$126,$L21,FALSE))</f>
        <v>381828.06358722801</v>
      </c>
      <c r="T21" s="29">
        <f>IF(T11=0,0,VLOOKUP(T11,FAC_TOTALS_APTA!$A$4:$BD$126,$L21,FALSE))</f>
        <v>878898.60497828003</v>
      </c>
      <c r="U21" s="29">
        <f>IF(U11=0,0,VLOOKUP(U11,FAC_TOTALS_APTA!$A$4:$BD$126,$L21,FALSE))</f>
        <v>947163.06849404704</v>
      </c>
      <c r="V21" s="29">
        <f>IF(V11=0,0,VLOOKUP(V11,FAC_TOTALS_APTA!$A$4:$BD$126,$L21,FALSE))</f>
        <v>-373645.08994880598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975099.10393620888</v>
      </c>
      <c r="AD21" s="33">
        <f>AC21/G27</f>
        <v>9.4987451317025073E-4</v>
      </c>
      <c r="AE21" s="6"/>
    </row>
    <row r="22" spans="1:31" s="13" customFormat="1" ht="15" x14ac:dyDescent="0.2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3.902560944093</v>
      </c>
      <c r="H22" s="34">
        <f>VLOOKUP(H11,FAC_TOTALS_APTA!$A$4:$BD$126,$F22,FALSE)</f>
        <v>4.8858900437047801</v>
      </c>
      <c r="I22" s="30">
        <f t="shared" si="1"/>
        <v>0.25197020974141826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0</v>
      </c>
      <c r="N22" s="29">
        <f>IF(N11=0,0,VLOOKUP(N11,FAC_TOTALS_APTA!$A$4:$BD$126,$L22,FALSE))</f>
        <v>0</v>
      </c>
      <c r="O22" s="29">
        <f>IF(O11=0,0,VLOOKUP(O11,FAC_TOTALS_APTA!$A$4:$BD$126,$L22,FALSE))</f>
        <v>0</v>
      </c>
      <c r="P22" s="29">
        <f>IF(P11=0,0,VLOOKUP(P11,FAC_TOTALS_APTA!$A$4:$BD$126,$L22,FALSE))</f>
        <v>-2873764.0559148602</v>
      </c>
      <c r="Q22" s="29">
        <f>IF(Q11=0,0,VLOOKUP(Q11,FAC_TOTALS_APTA!$A$4:$BD$126,$L22,FALSE))</f>
        <v>-2432030.26920097</v>
      </c>
      <c r="R22" s="29">
        <f>IF(R11=0,0,VLOOKUP(R11,FAC_TOTALS_APTA!$A$4:$BD$126,$L22,FALSE))</f>
        <v>-1017422.58941077</v>
      </c>
      <c r="S22" s="29">
        <f>IF(S11=0,0,VLOOKUP(S11,FAC_TOTALS_APTA!$A$4:$BD$126,$L22,FALSE))</f>
        <v>-1992265.4054424199</v>
      </c>
      <c r="T22" s="29">
        <f>IF(T11=0,0,VLOOKUP(T11,FAC_TOTALS_APTA!$A$4:$BD$126,$L22,FALSE))</f>
        <v>-2719614.3752265801</v>
      </c>
      <c r="U22" s="29">
        <f>IF(U11=0,0,VLOOKUP(U11,FAC_TOTALS_APTA!$A$4:$BD$126,$L22,FALSE))</f>
        <v>472907.01048427197</v>
      </c>
      <c r="V22" s="29">
        <f>IF(V11=0,0,VLOOKUP(V11,FAC_TOTALS_APTA!$A$4:$BD$126,$L22,FALSE))</f>
        <v>-757020.62808226398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-11319210.31279359</v>
      </c>
      <c r="AD22" s="33">
        <f>AC22/G27</f>
        <v>-1.1026396539525359E-2</v>
      </c>
      <c r="AE22" s="6"/>
    </row>
    <row r="23" spans="1:31" s="13" customFormat="1" ht="15" x14ac:dyDescent="0.2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</v>
      </c>
      <c r="H23" s="34">
        <f>VLOOKUP(H11,FAC_TOTALS_APTA!$A$4:$BD$126,$F23,FALSE)</f>
        <v>0.619991742491807</v>
      </c>
      <c r="I23" s="30" t="str">
        <f t="shared" si="1"/>
        <v>-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0</v>
      </c>
      <c r="N23" s="29">
        <f>IF(N11=0,0,VLOOKUP(N11,FAC_TOTALS_APTA!$A$4:$BD$126,$L23,FALSE))</f>
        <v>0</v>
      </c>
      <c r="O23" s="29">
        <f>IF(O11=0,0,VLOOKUP(O11,FAC_TOTALS_APTA!$A$4:$BD$126,$L23,FALSE))</f>
        <v>0</v>
      </c>
      <c r="P23" s="29">
        <f>IF(P11=0,0,VLOOKUP(P11,FAC_TOTALS_APTA!$A$4:$BD$126,$L23,FALSE))</f>
        <v>0</v>
      </c>
      <c r="Q23" s="29">
        <f>IF(Q11=0,0,VLOOKUP(Q11,FAC_TOTALS_APTA!$A$4:$BD$126,$L23,FALSE))</f>
        <v>0</v>
      </c>
      <c r="R23" s="29">
        <f>IF(R11=0,0,VLOOKUP(R11,FAC_TOTALS_APTA!$A$4:$BD$126,$L23,FALSE))</f>
        <v>0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403017.32747810002</v>
      </c>
      <c r="V23" s="29">
        <f>IF(V11=0,0,VLOOKUP(V11,FAC_TOTALS_APTA!$A$4:$BD$126,$L23,FALSE))</f>
        <v>1741558.22373934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2144575.5512174401</v>
      </c>
      <c r="AD23" s="33">
        <f>AC23/G27</f>
        <v>2.0890980716179119E-3</v>
      </c>
      <c r="AE23" s="6"/>
    </row>
    <row r="24" spans="1:31" s="13" customFormat="1" ht="15" x14ac:dyDescent="0.2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</v>
      </c>
      <c r="H24" s="34">
        <f>VLOOKUP(H11,FAC_TOTALS_APTA!$A$4:$BD$126,$F24,FALSE)</f>
        <v>0.36463924263986802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0</v>
      </c>
      <c r="O24" s="29">
        <f>IF(O11=0,0,VLOOKUP(O11,FAC_TOTALS_APTA!$A$4:$BD$126,$L24,FALSE))</f>
        <v>0</v>
      </c>
      <c r="P24" s="29">
        <f>IF(P11=0,0,VLOOKUP(P11,FAC_TOTALS_APTA!$A$4:$BD$126,$L24,FALSE))</f>
        <v>0</v>
      </c>
      <c r="Q24" s="29">
        <f>IF(Q11=0,0,VLOOKUP(Q11,FAC_TOTALS_APTA!$A$4:$BD$126,$L24,FALSE))</f>
        <v>0</v>
      </c>
      <c r="R24" s="29">
        <f>IF(R11=0,0,VLOOKUP(R11,FAC_TOTALS_APTA!$A$4:$BD$126,$L24,FALSE))</f>
        <v>-3064394.8661025702</v>
      </c>
      <c r="S24" s="29">
        <f>IF(S11=0,0,VLOOKUP(S11,FAC_TOTALS_APTA!$A$4:$BD$126,$L24,FALSE))</f>
        <v>0</v>
      </c>
      <c r="T24" s="29">
        <f>IF(T11=0,0,VLOOKUP(T11,FAC_TOTALS_APTA!$A$4:$BD$126,$L24,FALSE))</f>
        <v>-320113.36026384903</v>
      </c>
      <c r="U24" s="29">
        <f>IF(U11=0,0,VLOOKUP(U11,FAC_TOTALS_APTA!$A$4:$BD$126,$L24,FALSE))</f>
        <v>-2558655.7175046899</v>
      </c>
      <c r="V24" s="29">
        <f>IF(V11=0,0,VLOOKUP(V11,FAC_TOTALS_APTA!$A$4:$BD$126,$L24,FALSE))</f>
        <v>-116302.366001175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-6059466.3098722836</v>
      </c>
      <c r="AD24" s="33">
        <f>AC24/G27</f>
        <v>-5.9027155167378879E-3</v>
      </c>
      <c r="AE24" s="6"/>
    </row>
    <row r="25" spans="1:31" s="13" customFormat="1" ht="15" x14ac:dyDescent="0.2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0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ht="15" x14ac:dyDescent="0.2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7695887</v>
      </c>
      <c r="O26" s="45">
        <f>IF(O11=0,0,VLOOKUP(O11,FAC_TOTALS_APTA!$A$4:$BD$126,$L26,FALSE))</f>
        <v>7901667.9999999898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11348341</v>
      </c>
      <c r="T26" s="45">
        <f>IF(T11=0,0,VLOOKUP(T11,FAC_TOTALS_APTA!$A$4:$BD$126,$L26,FALSE))</f>
        <v>42035535.999999903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68981431.999999896</v>
      </c>
      <c r="AD26" s="49">
        <f>AC26/G28</f>
        <v>5.3517991241650222E-2</v>
      </c>
      <c r="AE26" s="6"/>
    </row>
    <row r="27" spans="1:31" s="105" customFormat="1" ht="15" x14ac:dyDescent="0.2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1026555708.58699</v>
      </c>
      <c r="H27" s="110">
        <f>VLOOKUP(H11,FAC_TOTALS_APTA!$A$4:$BB$126,$F27,FALSE)</f>
        <v>1698382992.73049</v>
      </c>
      <c r="I27" s="112">
        <f t="shared" ref="I27:I28" si="8">H27/G27-1</f>
        <v>0.65444795496606956</v>
      </c>
      <c r="J27" s="31"/>
      <c r="K27" s="31"/>
      <c r="L27" s="6"/>
      <c r="M27" s="29">
        <f t="shared" ref="M27:AB27" si="9">SUM(M13:M20)</f>
        <v>74952551.161655903</v>
      </c>
      <c r="N27" s="29">
        <f t="shared" si="9"/>
        <v>52316827.031961806</v>
      </c>
      <c r="O27" s="29">
        <f t="shared" si="9"/>
        <v>37707284.300300434</v>
      </c>
      <c r="P27" s="29">
        <f t="shared" si="9"/>
        <v>59435304.820135765</v>
      </c>
      <c r="Q27" s="29">
        <f t="shared" si="9"/>
        <v>68102943.743087232</v>
      </c>
      <c r="R27" s="29">
        <f t="shared" si="9"/>
        <v>41766114.327880144</v>
      </c>
      <c r="S27" s="29">
        <f t="shared" si="9"/>
        <v>-68347292.157380238</v>
      </c>
      <c r="T27" s="29">
        <f t="shared" si="9"/>
        <v>33872343.353961021</v>
      </c>
      <c r="U27" s="29">
        <f t="shared" si="9"/>
        <v>41271787.208984859</v>
      </c>
      <c r="V27" s="29">
        <f t="shared" si="9"/>
        <v>35430719.592453405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671827284.14349997</v>
      </c>
      <c r="AD27" s="33">
        <f>I27</f>
        <v>0.65444795496606956</v>
      </c>
      <c r="AE27" s="104"/>
    </row>
    <row r="28" spans="1:31" ht="16" thickBot="1" x14ac:dyDescent="0.25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1288939109.99999</v>
      </c>
      <c r="H28" s="111">
        <f>VLOOKUP(H11,FAC_TOTALS_APTA!$A$4:$BB$126,$F28,FALSE)</f>
        <v>1684310471</v>
      </c>
      <c r="I28" s="113">
        <f t="shared" si="8"/>
        <v>0.30674169007100205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395371361.00001001</v>
      </c>
      <c r="AD28" s="52">
        <f>I28</f>
        <v>0.30674169007100205</v>
      </c>
    </row>
    <row r="29" spans="1:31" ht="17" thickTop="1" thickBot="1" x14ac:dyDescent="0.25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-0.34770626489506751</v>
      </c>
    </row>
    <row r="30" spans="1:31" ht="15" thickTop="1" x14ac:dyDescent="0.2"/>
    <row r="31" spans="1:31" s="10" customFormat="1" ht="15" x14ac:dyDescent="0.2">
      <c r="B31" s="18" t="s">
        <v>25</v>
      </c>
      <c r="E31" s="6"/>
      <c r="I31" s="17"/>
    </row>
    <row r="32" spans="1:31" ht="15" x14ac:dyDescent="0.2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ht="15" x14ac:dyDescent="0.2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6" thickBot="1" x14ac:dyDescent="0.25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5" thickTop="1" x14ac:dyDescent="0.2">
      <c r="B36" s="25"/>
      <c r="C36" s="6"/>
      <c r="D36" s="62"/>
      <c r="E36" s="6"/>
      <c r="F36" s="6"/>
      <c r="G36" s="240" t="s">
        <v>51</v>
      </c>
      <c r="H36" s="240"/>
      <c r="I36" s="240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40" t="s">
        <v>55</v>
      </c>
      <c r="AD36" s="240"/>
    </row>
    <row r="37" spans="2:31" ht="15" x14ac:dyDescent="0.2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ht="15" x14ac:dyDescent="0.2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2988066.6864974699</v>
      </c>
      <c r="H41" s="29">
        <f>VLOOKUP(H39,FAC_TOTALS_APTA!$A$4:$BD$126,$F41,FALSE)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693473.45967018697</v>
      </c>
      <c r="N41" s="29">
        <f>IF(N39=0,0,VLOOKUP(N39,FAC_TOTALS_APTA!$A$4:$BD$126,$L41,FALSE))</f>
        <v>946826.61306130304</v>
      </c>
      <c r="O41" s="29">
        <f>IF(O39=0,0,VLOOKUP(O39,FAC_TOTALS_APTA!$A$4:$BD$126,$L41,FALSE))</f>
        <v>2076157.1689295401</v>
      </c>
      <c r="P41" s="29">
        <f>IF(P39=0,0,VLOOKUP(P39,FAC_TOTALS_APTA!$A$4:$BD$126,$L41,FALSE))</f>
        <v>2622980.0333889201</v>
      </c>
      <c r="Q41" s="29">
        <f>IF(Q39=0,0,VLOOKUP(Q39,FAC_TOTALS_APTA!$A$4:$BD$126,$L41,FALSE))</f>
        <v>3666355.5711446898</v>
      </c>
      <c r="R41" s="29">
        <f>IF(R39=0,0,VLOOKUP(R39,FAC_TOTALS_APTA!$A$4:$BD$126,$L41,FALSE))</f>
        <v>7587347.5180446897</v>
      </c>
      <c r="S41" s="29">
        <f>IF(S39=0,0,VLOOKUP(S39,FAC_TOTALS_APTA!$A$4:$BD$126,$L41,FALSE))</f>
        <v>448247.01338715298</v>
      </c>
      <c r="T41" s="29">
        <f>IF(T39=0,0,VLOOKUP(T39,FAC_TOTALS_APTA!$A$4:$BD$126,$L41,FALSE))</f>
        <v>-865955.93537137203</v>
      </c>
      <c r="U41" s="29">
        <f>IF(U39=0,0,VLOOKUP(U39,FAC_TOTALS_APTA!$A$4:$BD$126,$L41,FALSE))</f>
        <v>3381870.8603427098</v>
      </c>
      <c r="V41" s="29">
        <f>IF(V39=0,0,VLOOKUP(V39,FAC_TOTALS_APTA!$A$4:$BD$126,$L41,FALSE))</f>
        <v>4073600.0161037799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24630902.318701603</v>
      </c>
      <c r="AD41" s="33">
        <f>AC41/G55</f>
        <v>0.60187556607853188</v>
      </c>
      <c r="AE41" s="102"/>
    </row>
    <row r="42" spans="2:31" ht="15" x14ac:dyDescent="0.2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1.22446132506114</v>
      </c>
      <c r="H42" s="54">
        <f>VLOOKUP(H39,FAC_TOTALS_APTA!$A$4:$BD$126,$F42,FALSE)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1929086.8654708399</v>
      </c>
      <c r="N42" s="29">
        <f>IF(N39=0,0,VLOOKUP(N39,FAC_TOTALS_APTA!$A$4:$BD$126,$L42,FALSE))</f>
        <v>584588.19611110596</v>
      </c>
      <c r="O42" s="29">
        <f>IF(O39=0,0,VLOOKUP(O39,FAC_TOTALS_APTA!$A$4:$BD$126,$L42,FALSE))</f>
        <v>353762.26574223902</v>
      </c>
      <c r="P42" s="29">
        <f>IF(P39=0,0,VLOOKUP(P39,FAC_TOTALS_APTA!$A$4:$BD$126,$L42,FALSE))</f>
        <v>262317.61242443603</v>
      </c>
      <c r="Q42" s="29">
        <f>IF(Q39=0,0,VLOOKUP(Q39,FAC_TOTALS_APTA!$A$4:$BD$126,$L42,FALSE))</f>
        <v>-857499.94812990399</v>
      </c>
      <c r="R42" s="29">
        <f>IF(R39=0,0,VLOOKUP(R39,FAC_TOTALS_APTA!$A$4:$BD$126,$L42,FALSE))</f>
        <v>-352870.39158880099</v>
      </c>
      <c r="S42" s="29">
        <f>IF(S39=0,0,VLOOKUP(S39,FAC_TOTALS_APTA!$A$4:$BD$126,$L42,FALSE))</f>
        <v>-2575539.0539262602</v>
      </c>
      <c r="T42" s="29">
        <f>IF(T39=0,0,VLOOKUP(T39,FAC_TOTALS_APTA!$A$4:$BD$126,$L42,FALSE))</f>
        <v>-273583.08117056702</v>
      </c>
      <c r="U42" s="29">
        <f>IF(U39=0,0,VLOOKUP(U39,FAC_TOTALS_APTA!$A$4:$BD$126,$L42,FALSE))</f>
        <v>-189316.12991875899</v>
      </c>
      <c r="V42" s="29">
        <f>IF(V39=0,0,VLOOKUP(V39,FAC_TOTALS_APTA!$A$4:$BD$126,$L42,FALSE))</f>
        <v>229545.79699928701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4">SUM(M42:AB42)</f>
        <v>-889507.86798638327</v>
      </c>
      <c r="AD42" s="33">
        <f>AC42/G55</f>
        <v>-2.1735827808838235E-2</v>
      </c>
      <c r="AE42" s="102"/>
    </row>
    <row r="43" spans="2:31" ht="15" x14ac:dyDescent="0.2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4"/>
        <v>0</v>
      </c>
      <c r="AD43" s="122">
        <f>AC43/G56</f>
        <v>0</v>
      </c>
      <c r="AE43" s="102"/>
    </row>
    <row r="44" spans="2:31" ht="15" x14ac:dyDescent="0.2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117">
        <f>VLOOKUP(G39,FAC_TOTALS_APTA!$A$4:$BD$126,$F44,FALSE)</f>
        <v>0</v>
      </c>
      <c r="H44" s="117">
        <f>VLOOKUP(H39,FAC_TOTALS_APTA!$A$4:$BD$126,$F44,FALSE)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MATCH($K44,FAC_TOTALS_APTA!$A$2:$BB$2,)</f>
        <v>40</v>
      </c>
      <c r="M44" s="117">
        <f>IF(M40=0,0,VLOOKUP(M40,FAC_TOTALS_APTA!$A$4:$BD$126,$L44,FALSE))</f>
        <v>0</v>
      </c>
      <c r="N44" s="117">
        <f>IF(N40=0,0,VLOOKUP(N40,FAC_TOTALS_APTA!$A$4:$BD$126,$L44,FALSE))</f>
        <v>0</v>
      </c>
      <c r="O44" s="117">
        <f>IF(O40=0,0,VLOOKUP(O40,FAC_TOTALS_APTA!$A$4:$BD$126,$L44,FALSE))</f>
        <v>0</v>
      </c>
      <c r="P44" s="117">
        <f>IF(P40=0,0,VLOOKUP(P40,FAC_TOTALS_APTA!$A$4:$BD$126,$L44,FALSE))</f>
        <v>0</v>
      </c>
      <c r="Q44" s="117">
        <f>IF(Q40=0,0,VLOOKUP(Q40,FAC_TOTALS_APTA!$A$4:$BD$126,$L44,FALSE))</f>
        <v>0</v>
      </c>
      <c r="R44" s="117">
        <f>IF(R40=0,0,VLOOKUP(R40,FAC_TOTALS_APTA!$A$4:$BD$126,$L44,FALSE))</f>
        <v>0</v>
      </c>
      <c r="S44" s="117">
        <f>IF(S40=0,0,VLOOKUP(S40,FAC_TOTALS_APTA!$A$4:$BD$126,$L44,FALSE))</f>
        <v>0</v>
      </c>
      <c r="T44" s="117">
        <f>IF(T40=0,0,VLOOKUP(T40,FAC_TOTALS_APTA!$A$4:$BD$126,$L44,FALSE))</f>
        <v>0</v>
      </c>
      <c r="U44" s="117">
        <f>IF(U40=0,0,VLOOKUP(U40,FAC_TOTALS_APTA!$A$4:$BD$126,$L44,FALSE))</f>
        <v>0</v>
      </c>
      <c r="V44" s="117">
        <f>IF(V40=0,0,VLOOKUP(V40,FAC_TOTALS_APTA!$A$4:$BD$126,$L44,FALSE))</f>
        <v>0</v>
      </c>
      <c r="W44" s="117">
        <f>IF(W40=0,0,VLOOKUP(W40,FAC_TOTALS_APTA!$A$4:$BD$126,$L44,FALSE))</f>
        <v>0</v>
      </c>
      <c r="X44" s="117">
        <f>IF(X40=0,0,VLOOKUP(X40,FAC_TOTALS_APTA!$A$4:$BD$126,$L44,FALSE))</f>
        <v>0</v>
      </c>
      <c r="Y44" s="117">
        <f>IF(Y40=0,0,VLOOKUP(Y40,FAC_TOTALS_APTA!$A$4:$BD$126,$L44,FALSE))</f>
        <v>0</v>
      </c>
      <c r="Z44" s="117">
        <f>IF(Z40=0,0,VLOOKUP(Z40,FAC_TOTALS_APTA!$A$4:$BD$126,$L44,FALSE))</f>
        <v>0</v>
      </c>
      <c r="AA44" s="117">
        <f>IF(AA40=0,0,VLOOKUP(AA40,FAC_TOTALS_APTA!$A$4:$BD$126,$L44,FALSE))</f>
        <v>0</v>
      </c>
      <c r="AB44" s="117">
        <f>IF(AB40=0,0,VLOOKUP(AB40,FAC_TOTALS_APTA!$A$4:$BD$126,$L44,FALSE))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ht="15" x14ac:dyDescent="0.2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2748238.4134659702</v>
      </c>
      <c r="H45" s="29">
        <f>VLOOKUP(H39,FAC_TOTALS_APTA!$A$4:$BD$126,$F45,FALSE)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MATCH($K45,FAC_TOTALS_APTA!$A$2:$BB$2,)</f>
        <v>34</v>
      </c>
      <c r="M45" s="29">
        <f>IF(M39=0,0,VLOOKUP(M39,FAC_TOTALS_APTA!$A$4:$BD$126,$L45,FALSE))</f>
        <v>187597.89796113301</v>
      </c>
      <c r="N45" s="29">
        <f>IF(N39=0,0,VLOOKUP(N39,FAC_TOTALS_APTA!$A$4:$BD$126,$L45,FALSE))</f>
        <v>203831.16969836099</v>
      </c>
      <c r="O45" s="29">
        <f>IF(O39=0,0,VLOOKUP(O39,FAC_TOTALS_APTA!$A$4:$BD$126,$L45,FALSE))</f>
        <v>256743.39376755999</v>
      </c>
      <c r="P45" s="29">
        <f>IF(P39=0,0,VLOOKUP(P39,FAC_TOTALS_APTA!$A$4:$BD$126,$L45,FALSE))</f>
        <v>334190.443451208</v>
      </c>
      <c r="Q45" s="29">
        <f>IF(Q39=0,0,VLOOKUP(Q39,FAC_TOTALS_APTA!$A$4:$BD$126,$L45,FALSE))</f>
        <v>106569.45527329</v>
      </c>
      <c r="R45" s="29">
        <f>IF(R39=0,0,VLOOKUP(R39,FAC_TOTALS_APTA!$A$4:$BD$126,$L45,FALSE))</f>
        <v>30527.811634964499</v>
      </c>
      <c r="S45" s="29">
        <f>IF(S39=0,0,VLOOKUP(S39,FAC_TOTALS_APTA!$A$4:$BD$126,$L45,FALSE))</f>
        <v>-104814.98432473501</v>
      </c>
      <c r="T45" s="29">
        <f>IF(T39=0,0,VLOOKUP(T39,FAC_TOTALS_APTA!$A$4:$BD$126,$L45,FALSE))</f>
        <v>38935.937534370401</v>
      </c>
      <c r="U45" s="29">
        <f>IF(U39=0,0,VLOOKUP(U39,FAC_TOTALS_APTA!$A$4:$BD$126,$L45,FALSE))</f>
        <v>100930.723753578</v>
      </c>
      <c r="V45" s="29">
        <f>IF(V39=0,0,VLOOKUP(V39,FAC_TOTALS_APTA!$A$4:$BD$126,$L45,FALSE))</f>
        <v>158610.86911169399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4"/>
        <v>1313122.7178614237</v>
      </c>
      <c r="AD45" s="33">
        <f>AC45/G55</f>
        <v>3.2087191484793588E-2</v>
      </c>
      <c r="AE45" s="102"/>
    </row>
    <row r="46" spans="2:31" ht="15" x14ac:dyDescent="0.2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0.38666408222786403</v>
      </c>
      <c r="H46" s="54">
        <f>VLOOKUP(H39,FAC_TOTALS_APTA!$A$4:$BD$126,$F46,FALSE)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MATCH($K46,FAC_TOTALS_APTA!$A$2:$BB$2,)</f>
        <v>35</v>
      </c>
      <c r="M46" s="29">
        <f>IF(M39=0,0,VLOOKUP(M39,FAC_TOTALS_APTA!$A$4:$BD$126,$L46,FALSE))</f>
        <v>-53978.051059906</v>
      </c>
      <c r="N46" s="29">
        <f>IF(N39=0,0,VLOOKUP(N39,FAC_TOTALS_APTA!$A$4:$BD$126,$L46,FALSE))</f>
        <v>-60788.505854066701</v>
      </c>
      <c r="O46" s="29">
        <f>IF(O39=0,0,VLOOKUP(O39,FAC_TOTALS_APTA!$A$4:$BD$126,$L46,FALSE))</f>
        <v>-86756.898699233396</v>
      </c>
      <c r="P46" s="29">
        <f>IF(P39=0,0,VLOOKUP(P39,FAC_TOTALS_APTA!$A$4:$BD$126,$L46,FALSE))</f>
        <v>-8052.0275806150803</v>
      </c>
      <c r="Q46" s="29">
        <f>IF(Q39=0,0,VLOOKUP(Q39,FAC_TOTALS_APTA!$A$4:$BD$126,$L46,FALSE))</f>
        <v>-162299.95357277899</v>
      </c>
      <c r="R46" s="29">
        <f>IF(R39=0,0,VLOOKUP(R39,FAC_TOTALS_APTA!$A$4:$BD$126,$L46,FALSE))</f>
        <v>19425.9869630789</v>
      </c>
      <c r="S46" s="29">
        <f>IF(S39=0,0,VLOOKUP(S39,FAC_TOTALS_APTA!$A$4:$BD$126,$L46,FALSE))</f>
        <v>83265.521733964095</v>
      </c>
      <c r="T46" s="29">
        <f>IF(T39=0,0,VLOOKUP(T39,FAC_TOTALS_APTA!$A$4:$BD$126,$L46,FALSE))</f>
        <v>54420.922181218702</v>
      </c>
      <c r="U46" s="29">
        <f>IF(U39=0,0,VLOOKUP(U39,FAC_TOTALS_APTA!$A$4:$BD$126,$L46,FALSE))</f>
        <v>-73725.583589195099</v>
      </c>
      <c r="V46" s="29">
        <f>IF(V39=0,0,VLOOKUP(V39,FAC_TOTALS_APTA!$A$4:$BD$126,$L46,FALSE))</f>
        <v>-212866.34786692599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4"/>
        <v>-501354.93734445953</v>
      </c>
      <c r="AD46" s="33">
        <f>AC46/G55</f>
        <v>-1.2251004157949587E-2</v>
      </c>
      <c r="AE46" s="102"/>
    </row>
    <row r="47" spans="2:31" ht="15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1.95863721745606</v>
      </c>
      <c r="H47" s="34">
        <f>VLOOKUP(H39,FAC_TOTALS_APTA!$A$4:$BD$126,$F47,FALSE)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MATCH($K47,FAC_TOTALS_APTA!$A$2:$BB$2,)</f>
        <v>36</v>
      </c>
      <c r="M47" s="29">
        <f>IF(M39=0,0,VLOOKUP(M39,FAC_TOTALS_APTA!$A$4:$BD$126,$L47,FALSE))</f>
        <v>584218.77311463305</v>
      </c>
      <c r="N47" s="29">
        <f>IF(N39=0,0,VLOOKUP(N39,FAC_TOTALS_APTA!$A$4:$BD$126,$L47,FALSE))</f>
        <v>623702.62051699695</v>
      </c>
      <c r="O47" s="29">
        <f>IF(O39=0,0,VLOOKUP(O39,FAC_TOTALS_APTA!$A$4:$BD$126,$L47,FALSE))</f>
        <v>911541.59859383502</v>
      </c>
      <c r="P47" s="29">
        <f>IF(P39=0,0,VLOOKUP(P39,FAC_TOTALS_APTA!$A$4:$BD$126,$L47,FALSE))</f>
        <v>583723.50735011604</v>
      </c>
      <c r="Q47" s="29">
        <f>IF(Q39=0,0,VLOOKUP(Q39,FAC_TOTALS_APTA!$A$4:$BD$126,$L47,FALSE))</f>
        <v>435320.867037674</v>
      </c>
      <c r="R47" s="29">
        <f>IF(R39=0,0,VLOOKUP(R39,FAC_TOTALS_APTA!$A$4:$BD$126,$L47,FALSE))</f>
        <v>841994.91413452302</v>
      </c>
      <c r="S47" s="29">
        <f>IF(S39=0,0,VLOOKUP(S39,FAC_TOTALS_APTA!$A$4:$BD$126,$L47,FALSE))</f>
        <v>-2896017.4736665199</v>
      </c>
      <c r="T47" s="29">
        <f>IF(T39=0,0,VLOOKUP(T39,FAC_TOTALS_APTA!$A$4:$BD$126,$L47,FALSE))</f>
        <v>1235515.74490337</v>
      </c>
      <c r="U47" s="29">
        <f>IF(U39=0,0,VLOOKUP(U39,FAC_TOTALS_APTA!$A$4:$BD$126,$L47,FALSE))</f>
        <v>1603733.4241670601</v>
      </c>
      <c r="V47" s="29">
        <f>IF(V39=0,0,VLOOKUP(V39,FAC_TOTALS_APTA!$A$4:$BD$126,$L47,FALSE))</f>
        <v>27603.196556662198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4"/>
        <v>3951337.1727083512</v>
      </c>
      <c r="AD47" s="33">
        <f>AC47/G55</f>
        <v>9.6554046896823148E-2</v>
      </c>
      <c r="AE47" s="102"/>
    </row>
    <row r="48" spans="2:31" ht="15" x14ac:dyDescent="0.2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35513.769785103097</v>
      </c>
      <c r="H48" s="54">
        <f>VLOOKUP(H39,FAC_TOTALS_APTA!$A$4:$BD$126,$F48,FALSE)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64115.5759467916</v>
      </c>
      <c r="N48" s="29">
        <f>IF(N39=0,0,VLOOKUP(N39,FAC_TOTALS_APTA!$A$4:$BD$126,$L48,FALSE))</f>
        <v>92834.576767792401</v>
      </c>
      <c r="O48" s="29">
        <f>IF(O39=0,0,VLOOKUP(O39,FAC_TOTALS_APTA!$A$4:$BD$126,$L48,FALSE))</f>
        <v>88237.492509030097</v>
      </c>
      <c r="P48" s="29">
        <f>IF(P39=0,0,VLOOKUP(P39,FAC_TOTALS_APTA!$A$4:$BD$126,$L48,FALSE))</f>
        <v>166655.372231721</v>
      </c>
      <c r="Q48" s="29">
        <f>IF(Q39=0,0,VLOOKUP(Q39,FAC_TOTALS_APTA!$A$4:$BD$126,$L48,FALSE))</f>
        <v>-78400.121494224499</v>
      </c>
      <c r="R48" s="29">
        <f>IF(R39=0,0,VLOOKUP(R39,FAC_TOTALS_APTA!$A$4:$BD$126,$L48,FALSE))</f>
        <v>42487.420000694001</v>
      </c>
      <c r="S48" s="29">
        <f>IF(S39=0,0,VLOOKUP(S39,FAC_TOTALS_APTA!$A$4:$BD$126,$L48,FALSE))</f>
        <v>224503.06740348</v>
      </c>
      <c r="T48" s="29">
        <f>IF(T39=0,0,VLOOKUP(T39,FAC_TOTALS_APTA!$A$4:$BD$126,$L48,FALSE))</f>
        <v>136124.24312668099</v>
      </c>
      <c r="U48" s="29">
        <f>IF(U39=0,0,VLOOKUP(U39,FAC_TOTALS_APTA!$A$4:$BD$126,$L48,FALSE))</f>
        <v>105520.59091725601</v>
      </c>
      <c r="V48" s="29">
        <f>IF(V39=0,0,VLOOKUP(V39,FAC_TOTALS_APTA!$A$4:$BD$126,$L48,FALSE))</f>
        <v>74830.500093231705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4"/>
        <v>916908.71750245325</v>
      </c>
      <c r="AD48" s="33">
        <f>AC48/G55</f>
        <v>2.2405389224012025E-2</v>
      </c>
      <c r="AE48" s="102"/>
    </row>
    <row r="49" spans="1:31" ht="15" x14ac:dyDescent="0.2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7.6754355225931601</v>
      </c>
      <c r="H49" s="29">
        <f>VLOOKUP(H39,FAC_TOTALS_APTA!$A$4:$BD$126,$F49,FALSE)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MATCH($K49,FAC_TOTALS_APTA!$A$2:$BB$2,)</f>
        <v>38</v>
      </c>
      <c r="M49" s="29">
        <f>IF(M39=0,0,VLOOKUP(M39,FAC_TOTALS_APTA!$A$4:$BD$126,$L49,FALSE))</f>
        <v>4185.4147600492597</v>
      </c>
      <c r="N49" s="29">
        <f>IF(N39=0,0,VLOOKUP(N39,FAC_TOTALS_APTA!$A$4:$BD$126,$L49,FALSE))</f>
        <v>4376.9832941320001</v>
      </c>
      <c r="O49" s="29">
        <f>IF(O39=0,0,VLOOKUP(O39,FAC_TOTALS_APTA!$A$4:$BD$126,$L49,FALSE))</f>
        <v>2219.7325067516399</v>
      </c>
      <c r="P49" s="29">
        <f>IF(P39=0,0,VLOOKUP(P39,FAC_TOTALS_APTA!$A$4:$BD$126,$L49,FALSE))</f>
        <v>12955.852845011799</v>
      </c>
      <c r="Q49" s="29">
        <f>IF(Q39=0,0,VLOOKUP(Q39,FAC_TOTALS_APTA!$A$4:$BD$126,$L49,FALSE))</f>
        <v>-33436.145336348301</v>
      </c>
      <c r="R49" s="29">
        <f>IF(R39=0,0,VLOOKUP(R39,FAC_TOTALS_APTA!$A$4:$BD$126,$L49,FALSE))</f>
        <v>18157.3599973532</v>
      </c>
      <c r="S49" s="29">
        <f>IF(S39=0,0,VLOOKUP(S39,FAC_TOTALS_APTA!$A$4:$BD$126,$L49,FALSE))</f>
        <v>58557.665044865702</v>
      </c>
      <c r="T49" s="29">
        <f>IF(T39=0,0,VLOOKUP(T39,FAC_TOTALS_APTA!$A$4:$BD$126,$L49,FALSE))</f>
        <v>6350.7845276410098</v>
      </c>
      <c r="U49" s="29">
        <f>IF(U39=0,0,VLOOKUP(U39,FAC_TOTALS_APTA!$A$4:$BD$126,$L49,FALSE))</f>
        <v>67883.125155435104</v>
      </c>
      <c r="V49" s="29">
        <f>IF(V39=0,0,VLOOKUP(V39,FAC_TOTALS_APTA!$A$4:$BD$126,$L49,FALSE))</f>
        <v>-1610.3961634965101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4"/>
        <v>139640.3766313949</v>
      </c>
      <c r="AD49" s="33">
        <f>AC49/G55</f>
        <v>3.4122229727908166E-3</v>
      </c>
      <c r="AE49" s="102"/>
    </row>
    <row r="50" spans="1:31" ht="15" x14ac:dyDescent="0.2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3.5501668442365699</v>
      </c>
      <c r="H50" s="34">
        <f>VLOOKUP(H39,FAC_TOTALS_APTA!$A$4:$BD$126,$F50,FALSE)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MATCH($K50,FAC_TOTALS_APTA!$A$2:$BB$2,)</f>
        <v>39</v>
      </c>
      <c r="M50" s="29">
        <f>IF(M39=0,0,VLOOKUP(M39,FAC_TOTALS_APTA!$A$4:$BD$126,$L50,FALSE))</f>
        <v>0</v>
      </c>
      <c r="N50" s="29">
        <f>IF(N39=0,0,VLOOKUP(N39,FAC_TOTALS_APTA!$A$4:$BD$126,$L50,FALSE))</f>
        <v>0</v>
      </c>
      <c r="O50" s="29">
        <f>IF(O39=0,0,VLOOKUP(O39,FAC_TOTALS_APTA!$A$4:$BD$126,$L50,FALSE))</f>
        <v>0</v>
      </c>
      <c r="P50" s="29">
        <f>IF(P39=0,0,VLOOKUP(P39,FAC_TOTALS_APTA!$A$4:$BD$126,$L50,FALSE))</f>
        <v>-30045.689495368501</v>
      </c>
      <c r="Q50" s="29">
        <f>IF(Q39=0,0,VLOOKUP(Q39,FAC_TOTALS_APTA!$A$4:$BD$126,$L50,FALSE))</f>
        <v>-178205.09618947899</v>
      </c>
      <c r="R50" s="29">
        <f>IF(R39=0,0,VLOOKUP(R39,FAC_TOTALS_APTA!$A$4:$BD$126,$L50,FALSE))</f>
        <v>17459.664284445</v>
      </c>
      <c r="S50" s="29">
        <f>IF(S39=0,0,VLOOKUP(S39,FAC_TOTALS_APTA!$A$4:$BD$126,$L50,FALSE))</f>
        <v>-48964.772773186698</v>
      </c>
      <c r="T50" s="29">
        <f>IF(T39=0,0,VLOOKUP(T39,FAC_TOTALS_APTA!$A$4:$BD$126,$L50,FALSE))</f>
        <v>49356.5890273845</v>
      </c>
      <c r="U50" s="29">
        <f>IF(U39=0,0,VLOOKUP(U39,FAC_TOTALS_APTA!$A$4:$BD$126,$L50,FALSE))</f>
        <v>-56461.545478209599</v>
      </c>
      <c r="V50" s="29">
        <f>IF(V39=0,0,VLOOKUP(V39,FAC_TOTALS_APTA!$A$4:$BD$126,$L50,FALSE))</f>
        <v>-170433.93246865299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4"/>
        <v>-417294.78309306729</v>
      </c>
      <c r="AD50" s="33">
        <f>AC50/G55</f>
        <v>-1.0196927848845357E-2</v>
      </c>
      <c r="AE50" s="102"/>
    </row>
    <row r="51" spans="1:31" ht="15" x14ac:dyDescent="0.2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0</v>
      </c>
      <c r="O51" s="29">
        <f>IF(O39=0,0,VLOOKUP(O39,FAC_TOTALS_APTA!$A$4:$BD$126,$L51,FALSE))</f>
        <v>0</v>
      </c>
      <c r="P51" s="29">
        <f>IF(P39=0,0,VLOOKUP(P39,FAC_TOTALS_APTA!$A$4:$BD$126,$L51,FALSE))</f>
        <v>0</v>
      </c>
      <c r="Q51" s="29">
        <f>IF(Q39=0,0,VLOOKUP(Q39,FAC_TOTALS_APTA!$A$4:$BD$126,$L51,FALSE))</f>
        <v>0</v>
      </c>
      <c r="R51" s="29">
        <f>IF(R39=0,0,VLOOKUP(R39,FAC_TOTALS_APTA!$A$4:$BD$126,$L51,FALSE))</f>
        <v>0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ht="15" x14ac:dyDescent="0.2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0.31724360697922399</v>
      </c>
      <c r="H52" s="34">
        <f>VLOOKUP(H39,FAC_TOTALS_APTA!$A$4:$BD$126,$F52,FALSE)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MATCH($K52,FAC_TOTALS_APTA!$A$2:$BB$2,)</f>
        <v>46</v>
      </c>
      <c r="M52" s="29">
        <f>IF(M39=0,0,VLOOKUP(M39,FAC_TOTALS_APTA!$A$4:$BD$126,$L52,FALSE))</f>
        <v>0</v>
      </c>
      <c r="N52" s="29">
        <f>IF(N39=0,0,VLOOKUP(N39,FAC_TOTALS_APTA!$A$4:$BD$126,$L52,FALSE))</f>
        <v>0</v>
      </c>
      <c r="O52" s="29">
        <f>IF(O39=0,0,VLOOKUP(O39,FAC_TOTALS_APTA!$A$4:$BD$126,$L52,FALSE))</f>
        <v>0</v>
      </c>
      <c r="P52" s="29">
        <f>IF(P39=0,0,VLOOKUP(P39,FAC_TOTALS_APTA!$A$4:$BD$126,$L52,FALSE))</f>
        <v>0</v>
      </c>
      <c r="Q52" s="29">
        <f>IF(Q39=0,0,VLOOKUP(Q39,FAC_TOTALS_APTA!$A$4:$BD$126,$L52,FALSE))</f>
        <v>0</v>
      </c>
      <c r="R52" s="29">
        <f>IF(R39=0,0,VLOOKUP(R39,FAC_TOTALS_APTA!$A$4:$BD$126,$L52,FALSE))</f>
        <v>0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-46562.146382553001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4"/>
        <v>-46562.146382553001</v>
      </c>
      <c r="AD52" s="33">
        <f>AC52/G55</f>
        <v>-1.137782848927633E-3</v>
      </c>
      <c r="AE52" s="102"/>
    </row>
    <row r="53" spans="1:31" ht="15" x14ac:dyDescent="0.2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0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ht="15" x14ac:dyDescent="0.2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MATCH($K54,FAC_TOTALS_APTA!$A$2:$BB$2,)</f>
        <v>51</v>
      </c>
      <c r="M54" s="45">
        <f>IF(M39=0,0,VLOOKUP(M39,FAC_TOTALS_APTA!$A$4:$BD$126,$L54,FALSE))</f>
        <v>459964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1675486</v>
      </c>
      <c r="R54" s="45">
        <f>IF(R39=0,0,VLOOKUP(R39,FAC_TOTALS_APTA!$A$4:$BD$126,$L54,FALSE))</f>
        <v>4486638.9999999898</v>
      </c>
      <c r="S54" s="45">
        <f>IF(S39=0,0,VLOOKUP(S39,FAC_TOTALS_APTA!$A$4:$BD$126,$L54,FALSE))</f>
        <v>0</v>
      </c>
      <c r="T54" s="45">
        <f>IF(T39=0,0,VLOOKUP(T39,FAC_TOTALS_APTA!$A$4:$BD$126,$L54,FALSE))</f>
        <v>1165687</v>
      </c>
      <c r="U54" s="45">
        <f>IF(U39=0,0,VLOOKUP(U39,FAC_TOTALS_APTA!$A$4:$BD$126,$L54,FALSE))</f>
        <v>469328</v>
      </c>
      <c r="V54" s="45">
        <f>IF(V39=0,0,VLOOKUP(V39,FAC_TOTALS_APTA!$A$4:$BD$126,$L54,FALSE))</f>
        <v>1651310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40923579.069976397</v>
      </c>
      <c r="H55" s="110">
        <f>VLOOKUP(H39,FAC_TOTALS_APTA!$A$4:$BB$126,$F55,FALSE)</f>
        <v>78843745.131297097</v>
      </c>
      <c r="I55" s="112">
        <f t="shared" ref="I55" si="16">H55/G55-1</f>
        <v>0.92660922927781875</v>
      </c>
      <c r="J55" s="31"/>
      <c r="K55" s="31"/>
      <c r="L55" s="6"/>
      <c r="M55" s="29">
        <f t="shared" ref="M55:AB55" si="17">SUM(M41:M48)</f>
        <v>3404514.5211036787</v>
      </c>
      <c r="N55" s="29">
        <f t="shared" si="17"/>
        <v>2390994.6703014928</v>
      </c>
      <c r="O55" s="29">
        <f t="shared" si="17"/>
        <v>3599685.0208429708</v>
      </c>
      <c r="P55" s="29">
        <f t="shared" si="17"/>
        <v>3961814.9412657861</v>
      </c>
      <c r="Q55" s="29">
        <f t="shared" si="17"/>
        <v>3110045.8702587467</v>
      </c>
      <c r="R55" s="29">
        <f t="shared" si="17"/>
        <v>8168913.2591891494</v>
      </c>
      <c r="S55" s="29">
        <f t="shared" si="17"/>
        <v>-4820355.9093929175</v>
      </c>
      <c r="T55" s="29">
        <f t="shared" si="17"/>
        <v>325457.83120370121</v>
      </c>
      <c r="U55" s="29">
        <f t="shared" si="17"/>
        <v>4929013.8856726494</v>
      </c>
      <c r="V55" s="29">
        <f t="shared" si="17"/>
        <v>4351324.0309977289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37920166.0613207</v>
      </c>
      <c r="AD55" s="33">
        <f>I55</f>
        <v>0.92660922927781875</v>
      </c>
      <c r="AE55" s="106"/>
    </row>
    <row r="56" spans="1:31" ht="16" thickBot="1" x14ac:dyDescent="0.25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47103514.999999903</v>
      </c>
      <c r="H56" s="111">
        <f>VLOOKUP(H39,FAC_TOTALS_APTA!$A$4:$BB$126,$F56,FALSE)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7" thickTop="1" thickBot="1" x14ac:dyDescent="0.25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-0.19269007271380922</v>
      </c>
    </row>
    <row r="58" spans="1:31" ht="15" thickTop="1" x14ac:dyDescent="0.2"/>
    <row r="59" spans="1:31" s="10" customFormat="1" ht="15" x14ac:dyDescent="0.2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ht="15" x14ac:dyDescent="0.2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ht="15" x14ac:dyDescent="0.2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6" thickBot="1" x14ac:dyDescent="0.25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5" thickTop="1" x14ac:dyDescent="0.2">
      <c r="B64" s="74"/>
      <c r="C64" s="76"/>
      <c r="D64" s="62"/>
      <c r="E64" s="76"/>
      <c r="F64" s="76"/>
      <c r="G64" s="241" t="s">
        <v>51</v>
      </c>
      <c r="H64" s="241"/>
      <c r="I64" s="241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241" t="s">
        <v>55</v>
      </c>
      <c r="AD64" s="241"/>
    </row>
    <row r="65" spans="2:33" ht="15" x14ac:dyDescent="0.2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25" hidden="1" customHeight="1" x14ac:dyDescent="0.2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25" hidden="1" customHeight="1" x14ac:dyDescent="0.2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25" hidden="1" customHeight="1" x14ac:dyDescent="0.2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ht="15" x14ac:dyDescent="0.2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 t="e">
        <f>IF(S67=0,0,VLOOKUP(S67,FAC_TOTALS_APTA!$A$4:$BD$126,$L69,FALSE))</f>
        <v>#N/A</v>
      </c>
      <c r="T69" s="87" t="e">
        <f>IF(T67=0,0,VLOOKUP(T67,FAC_TOTALS_APTA!$A$4:$BD$126,$L69,FALSE))</f>
        <v>#N/A</v>
      </c>
      <c r="U69" s="87" t="e">
        <f>IF(U67=0,0,VLOOKUP(U67,FAC_TOTALS_APTA!$A$4:$BD$126,$L69,FALSE))</f>
        <v>#N/A</v>
      </c>
      <c r="V69" s="87" t="e">
        <f>IF(V67=0,0,VLOOKUP(V67,FAC_TOTALS_APTA!$A$4:$BD$126,$L69,FALSE))</f>
        <v>#N/A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ht="15" x14ac:dyDescent="0.2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 t="e">
        <f>IF(S67=0,0,VLOOKUP(S67,FAC_TOTALS_APTA!$A$4:$BD$126,$L70,FALSE))</f>
        <v>#N/A</v>
      </c>
      <c r="T70" s="87" t="e">
        <f>IF(T67=0,0,VLOOKUP(T67,FAC_TOTALS_APTA!$A$4:$BD$126,$L70,FALSE))</f>
        <v>#N/A</v>
      </c>
      <c r="U70" s="87" t="e">
        <f>IF(U67=0,0,VLOOKUP(U67,FAC_TOTALS_APTA!$A$4:$BD$126,$L70,FALSE))</f>
        <v>#N/A</v>
      </c>
      <c r="V70" s="87" t="e">
        <f>IF(V67=0,0,VLOOKUP(V67,FAC_TOTALS_APTA!$A$4:$BD$126,$L70,FALSE))</f>
        <v>#N/A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ht="15" x14ac:dyDescent="0.2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 t="e">
        <f>IF(S67=0,0,VLOOKUP(S67,FAC_TOTALS_APTA!$A$4:$BD$126,$L71,FALSE))</f>
        <v>#N/A</v>
      </c>
      <c r="T71" s="117" t="e">
        <f>IF(T67=0,0,VLOOKUP(T67,FAC_TOTALS_APTA!$A$4:$BD$126,$L71,FALSE))</f>
        <v>#N/A</v>
      </c>
      <c r="U71" s="117" t="e">
        <f>IF(U67=0,0,VLOOKUP(U67,FAC_TOTALS_APTA!$A$4:$BD$126,$L71,FALSE))</f>
        <v>#N/A</v>
      </c>
      <c r="V71" s="117" t="e">
        <f>IF(V67=0,0,VLOOKUP(V67,FAC_TOTALS_APTA!$A$4:$BD$126,$L71,FALSE))</f>
        <v>#N/A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3"/>
        <v>#N/A</v>
      </c>
      <c r="AD71" s="122" t="e">
        <f>AC71/G84</f>
        <v>#N/A</v>
      </c>
    </row>
    <row r="72" spans="2:33" ht="15" x14ac:dyDescent="0.2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117" t="e">
        <f>VLOOKUP(G67,FAC_TOTALS_APTA!$A$4:$BD$126,$F72,FALSE)</f>
        <v>#N/A</v>
      </c>
      <c r="H72" s="117" t="e">
        <f>VLOOKUP(H67,FAC_TOTALS_APTA!$A$4:$BD$126,$F72,FALSE)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MATCH($K72,FAC_TOTALS_APTA!$A$2:$BB$2,)</f>
        <v>40</v>
      </c>
      <c r="M72" s="117">
        <f>IF(M68=0,0,VLOOKUP(M68,FAC_TOTALS_APTA!$A$4:$BD$126,$L72,FALSE))</f>
        <v>0</v>
      </c>
      <c r="N72" s="117">
        <f>IF(N68=0,0,VLOOKUP(N68,FAC_TOTALS_APTA!$A$4:$BD$126,$L72,FALSE))</f>
        <v>0</v>
      </c>
      <c r="O72" s="117">
        <f>IF(O68=0,0,VLOOKUP(O68,FAC_TOTALS_APTA!$A$4:$BD$126,$L72,FALSE))</f>
        <v>0</v>
      </c>
      <c r="P72" s="117">
        <f>IF(P68=0,0,VLOOKUP(P68,FAC_TOTALS_APTA!$A$4:$BD$126,$L72,FALSE))</f>
        <v>0</v>
      </c>
      <c r="Q72" s="117">
        <f>IF(Q68=0,0,VLOOKUP(Q68,FAC_TOTALS_APTA!$A$4:$BD$126,$L72,FALSE))</f>
        <v>0</v>
      </c>
      <c r="R72" s="117">
        <f>IF(R68=0,0,VLOOKUP(R68,FAC_TOTALS_APTA!$A$4:$BD$126,$L72,FALSE))</f>
        <v>0</v>
      </c>
      <c r="S72" s="117">
        <f>IF(S68=0,0,VLOOKUP(S68,FAC_TOTALS_APTA!$A$4:$BD$126,$L72,FALSE))</f>
        <v>0</v>
      </c>
      <c r="T72" s="117">
        <f>IF(T68=0,0,VLOOKUP(T68,FAC_TOTALS_APTA!$A$4:$BD$126,$L72,FALSE))</f>
        <v>0</v>
      </c>
      <c r="U72" s="117">
        <f>IF(U68=0,0,VLOOKUP(U68,FAC_TOTALS_APTA!$A$4:$BD$126,$L72,FALSE))</f>
        <v>0</v>
      </c>
      <c r="V72" s="117">
        <f>IF(V68=0,0,VLOOKUP(V68,FAC_TOTALS_APTA!$A$4:$BD$126,$L72,FALSE))</f>
        <v>0</v>
      </c>
      <c r="W72" s="117">
        <f>IF(W68=0,0,VLOOKUP(W68,FAC_TOTALS_APTA!$A$4:$BD$126,$L72,FALSE))</f>
        <v>0</v>
      </c>
      <c r="X72" s="117">
        <f>IF(X68=0,0,VLOOKUP(X68,FAC_TOTALS_APTA!$A$4:$BD$126,$L72,FALSE))</f>
        <v>0</v>
      </c>
      <c r="Y72" s="117">
        <f>IF(Y68=0,0,VLOOKUP(Y68,FAC_TOTALS_APTA!$A$4:$BD$126,$L72,FALSE))</f>
        <v>0</v>
      </c>
      <c r="Z72" s="117">
        <f>IF(Z68=0,0,VLOOKUP(Z68,FAC_TOTALS_APTA!$A$4:$BD$126,$L72,FALSE))</f>
        <v>0</v>
      </c>
      <c r="AA72" s="117">
        <f>IF(AA68=0,0,VLOOKUP(AA68,FAC_TOTALS_APTA!$A$4:$BD$126,$L72,FALSE))</f>
        <v>0</v>
      </c>
      <c r="AB72" s="117">
        <f>IF(AB68=0,0,VLOOKUP(AB68,FAC_TOTALS_APTA!$A$4:$BD$126,$L72,FALSE))</f>
        <v>0</v>
      </c>
      <c r="AC72" s="121">
        <f t="shared" si="23"/>
        <v>0</v>
      </c>
      <c r="AD72" s="122" t="e">
        <f>AC72/G84</f>
        <v>#N/A</v>
      </c>
    </row>
    <row r="73" spans="2:33" ht="15" x14ac:dyDescent="0.2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 t="e">
        <f>IF(S67=0,0,VLOOKUP(S67,FAC_TOTALS_APTA!$A$4:$BD$126,$L73,FALSE))</f>
        <v>#N/A</v>
      </c>
      <c r="T73" s="87" t="e">
        <f>IF(T67=0,0,VLOOKUP(T67,FAC_TOTALS_APTA!$A$4:$BD$126,$L73,FALSE))</f>
        <v>#N/A</v>
      </c>
      <c r="U73" s="87" t="e">
        <f>IF(U67=0,0,VLOOKUP(U67,FAC_TOTALS_APTA!$A$4:$BD$126,$L73,FALSE))</f>
        <v>#N/A</v>
      </c>
      <c r="V73" s="87" t="e">
        <f>IF(V67=0,0,VLOOKUP(V67,FAC_TOTALS_APTA!$A$4:$BD$126,$L73,FALSE))</f>
        <v>#N/A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3"/>
        <v>#N/A</v>
      </c>
      <c r="AD73" s="92" t="e">
        <f>AC73/G83</f>
        <v>#N/A</v>
      </c>
    </row>
    <row r="74" spans="2:33" ht="15" x14ac:dyDescent="0.2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 t="e">
        <f>IF(S67=0,0,VLOOKUP(S67,FAC_TOTALS_APTA!$A$4:$BD$126,$L74,FALSE))</f>
        <v>#N/A</v>
      </c>
      <c r="T74" s="87" t="e">
        <f>IF(T67=0,0,VLOOKUP(T67,FAC_TOTALS_APTA!$A$4:$BD$126,$L74,FALSE))</f>
        <v>#N/A</v>
      </c>
      <c r="U74" s="87" t="e">
        <f>IF(U67=0,0,VLOOKUP(U67,FAC_TOTALS_APTA!$A$4:$BD$126,$L74,FALSE))</f>
        <v>#N/A</v>
      </c>
      <c r="V74" s="87" t="e">
        <f>IF(V67=0,0,VLOOKUP(V67,FAC_TOTALS_APTA!$A$4:$BD$126,$L74,FALSE))</f>
        <v>#N/A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3"/>
        <v>#N/A</v>
      </c>
      <c r="AD74" s="92" t="e">
        <f>AC74/G83</f>
        <v>#N/A</v>
      </c>
    </row>
    <row r="75" spans="2:33" ht="15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 t="e">
        <f>IF(S67=0,0,VLOOKUP(S67,FAC_TOTALS_APTA!$A$4:$BD$126,$L75,FALSE))</f>
        <v>#N/A</v>
      </c>
      <c r="T75" s="87" t="e">
        <f>IF(T67=0,0,VLOOKUP(T67,FAC_TOTALS_APTA!$A$4:$BD$126,$L75,FALSE))</f>
        <v>#N/A</v>
      </c>
      <c r="U75" s="87" t="e">
        <f>IF(U67=0,0,VLOOKUP(U67,FAC_TOTALS_APTA!$A$4:$BD$126,$L75,FALSE))</f>
        <v>#N/A</v>
      </c>
      <c r="V75" s="87" t="e">
        <f>IF(V67=0,0,VLOOKUP(V67,FAC_TOTALS_APTA!$A$4:$BD$126,$L75,FALSE))</f>
        <v>#N/A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3"/>
        <v>#N/A</v>
      </c>
      <c r="AD75" s="92" t="e">
        <f>AC75/G83</f>
        <v>#N/A</v>
      </c>
    </row>
    <row r="76" spans="2:33" ht="15" x14ac:dyDescent="0.2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 t="e">
        <f>IF(S67=0,0,VLOOKUP(S67,FAC_TOTALS_APTA!$A$4:$BD$126,$L76,FALSE))</f>
        <v>#N/A</v>
      </c>
      <c r="T76" s="87" t="e">
        <f>IF(T67=0,0,VLOOKUP(T67,FAC_TOTALS_APTA!$A$4:$BD$126,$L76,FALSE))</f>
        <v>#N/A</v>
      </c>
      <c r="U76" s="87" t="e">
        <f>IF(U67=0,0,VLOOKUP(U67,FAC_TOTALS_APTA!$A$4:$BD$126,$L76,FALSE))</f>
        <v>#N/A</v>
      </c>
      <c r="V76" s="87" t="e">
        <f>IF(V67=0,0,VLOOKUP(V67,FAC_TOTALS_APTA!$A$4:$BD$126,$L76,FALSE))</f>
        <v>#N/A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3"/>
        <v>#N/A</v>
      </c>
      <c r="AD76" s="92" t="e">
        <f>AC76/G83</f>
        <v>#N/A</v>
      </c>
    </row>
    <row r="77" spans="2:33" ht="15" x14ac:dyDescent="0.2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 t="e">
        <f>IF(S67=0,0,VLOOKUP(S67,FAC_TOTALS_APTA!$A$4:$BD$126,$L77,FALSE))</f>
        <v>#N/A</v>
      </c>
      <c r="T77" s="87" t="e">
        <f>IF(T67=0,0,VLOOKUP(T67,FAC_TOTALS_APTA!$A$4:$BD$126,$L77,FALSE))</f>
        <v>#N/A</v>
      </c>
      <c r="U77" s="87" t="e">
        <f>IF(U67=0,0,VLOOKUP(U67,FAC_TOTALS_APTA!$A$4:$BD$126,$L77,FALSE))</f>
        <v>#N/A</v>
      </c>
      <c r="V77" s="87" t="e">
        <f>IF(V67=0,0,VLOOKUP(V67,FAC_TOTALS_APTA!$A$4:$BD$126,$L77,FALSE))</f>
        <v>#N/A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3"/>
        <v>#N/A</v>
      </c>
      <c r="AD77" s="92" t="e">
        <f>AC77/G83</f>
        <v>#N/A</v>
      </c>
    </row>
    <row r="78" spans="2:33" ht="15" x14ac:dyDescent="0.2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 t="e">
        <f>IF(S67=0,0,VLOOKUP(S67,FAC_TOTALS_APTA!$A$4:$BD$126,$L78,FALSE))</f>
        <v>#N/A</v>
      </c>
      <c r="T78" s="87" t="e">
        <f>IF(T67=0,0,VLOOKUP(T67,FAC_TOTALS_APTA!$A$4:$BD$126,$L78,FALSE))</f>
        <v>#N/A</v>
      </c>
      <c r="U78" s="87" t="e">
        <f>IF(U67=0,0,VLOOKUP(U67,FAC_TOTALS_APTA!$A$4:$BD$126,$L78,FALSE))</f>
        <v>#N/A</v>
      </c>
      <c r="V78" s="87" t="e">
        <f>IF(V67=0,0,VLOOKUP(V67,FAC_TOTALS_APTA!$A$4:$BD$126,$L78,FALSE))</f>
        <v>#N/A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3"/>
        <v>#N/A</v>
      </c>
      <c r="AD78" s="92" t="e">
        <f>AC78/G83</f>
        <v>#N/A</v>
      </c>
    </row>
    <row r="79" spans="2:33" ht="15" x14ac:dyDescent="0.2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 t="e">
        <f>IF(S67=0,0,VLOOKUP(S67,FAC_TOTALS_APTA!$A$4:$BD$126,$L79,FALSE))</f>
        <v>#N/A</v>
      </c>
      <c r="T79" s="87" t="e">
        <f>IF(T67=0,0,VLOOKUP(T67,FAC_TOTALS_APTA!$A$4:$BD$126,$L79,FALSE))</f>
        <v>#N/A</v>
      </c>
      <c r="U79" s="87" t="e">
        <f>IF(U67=0,0,VLOOKUP(U67,FAC_TOTALS_APTA!$A$4:$BD$126,$L79,FALSE))</f>
        <v>#N/A</v>
      </c>
      <c r="V79" s="87" t="e">
        <f>IF(V67=0,0,VLOOKUP(V67,FAC_TOTALS_APTA!$A$4:$BD$126,$L79,FALSE))</f>
        <v>#N/A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ht="15" x14ac:dyDescent="0.2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 t="e">
        <f>IF(S67=0,0,VLOOKUP(S67,FAC_TOTALS_APTA!$A$4:$BD$126,$L80,FALSE))</f>
        <v>#N/A</v>
      </c>
      <c r="T80" s="87" t="e">
        <f>IF(T67=0,0,VLOOKUP(T67,FAC_TOTALS_APTA!$A$4:$BD$126,$L80,FALSE))</f>
        <v>#N/A</v>
      </c>
      <c r="U80" s="87" t="e">
        <f>IF(U67=0,0,VLOOKUP(U67,FAC_TOTALS_APTA!$A$4:$BD$126,$L80,FALSE))</f>
        <v>#N/A</v>
      </c>
      <c r="V80" s="87" t="e">
        <f>IF(V67=0,0,VLOOKUP(V67,FAC_TOTALS_APTA!$A$4:$BD$126,$L80,FALSE))</f>
        <v>#N/A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ht="15" x14ac:dyDescent="0.2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 t="e">
        <f>IF(S67=0,0,VLOOKUP(S67,FAC_TOTALS_APTA!$A$4:$BD$126,$L81,FALSE))</f>
        <v>#N/A</v>
      </c>
      <c r="T81" s="99" t="e">
        <f>IF(T67=0,0,VLOOKUP(T67,FAC_TOTALS_APTA!$A$4:$BD$126,$L81,FALSE))</f>
        <v>#N/A</v>
      </c>
      <c r="U81" s="99" t="e">
        <f>IF(U67=0,0,VLOOKUP(U67,FAC_TOTALS_APTA!$A$4:$BD$126,$L81,FALSE))</f>
        <v>#N/A</v>
      </c>
      <c r="V81" s="99" t="e">
        <f>IF(V67=0,0,VLOOKUP(V67,FAC_TOTALS_APTA!$A$4:$BD$126,$L81,FALSE))</f>
        <v>#N/A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ht="15" x14ac:dyDescent="0.2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 t="e">
        <f>IF(S67=0,0,VLOOKUP(S67,FAC_TOTALS_APTA!$A$4:$BD$126,$L82,FALSE))</f>
        <v>#N/A</v>
      </c>
      <c r="T82" s="45" t="e">
        <f>IF(T67=0,0,VLOOKUP(T67,FAC_TOTALS_APTA!$A$4:$BD$126,$L82,FALSE))</f>
        <v>#N/A</v>
      </c>
      <c r="U82" s="45" t="e">
        <f>IF(U67=0,0,VLOOKUP(U67,FAC_TOTALS_APTA!$A$4:$BD$126,$L82,FALSE))</f>
        <v>#N/A</v>
      </c>
      <c r="V82" s="45" t="e">
        <f>IF(V67=0,0,VLOOKUP(V67,FAC_TOTALS_APTA!$A$4:$BD$126,$L82,FALSE))</f>
        <v>#N/A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ht="15" x14ac:dyDescent="0.2">
      <c r="A83" s="106"/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6" thickBot="1" x14ac:dyDescent="0.25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7" thickTop="1" thickBot="1" x14ac:dyDescent="0.25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5" thickTop="1" x14ac:dyDescent="0.2"/>
    <row r="87" spans="1:33" s="10" customFormat="1" ht="15" x14ac:dyDescent="0.2">
      <c r="B87" s="18" t="s">
        <v>25</v>
      </c>
      <c r="E87" s="6"/>
      <c r="I87" s="17"/>
    </row>
    <row r="88" spans="1:33" ht="15" x14ac:dyDescent="0.2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ht="15" x14ac:dyDescent="0.2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6" thickBot="1" x14ac:dyDescent="0.25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5" thickTop="1" x14ac:dyDescent="0.2">
      <c r="B92" s="25"/>
      <c r="C92" s="6"/>
      <c r="D92" s="62"/>
      <c r="E92" s="6"/>
      <c r="F92" s="6"/>
      <c r="G92" s="240" t="s">
        <v>51</v>
      </c>
      <c r="H92" s="240"/>
      <c r="I92" s="240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40" t="s">
        <v>55</v>
      </c>
      <c r="AD92" s="240"/>
    </row>
    <row r="93" spans="1:33" ht="15" x14ac:dyDescent="0.2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ht="15" x14ac:dyDescent="0.2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474570591.99999899</v>
      </c>
      <c r="H97" s="29">
        <f>VLOOKUP(H95,FAC_TOTALS_APTA!$A$4:$BD$126,$F97,FALSE)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81201777.364868104</v>
      </c>
      <c r="N97" s="29">
        <f>IF(N95=0,0,VLOOKUP(N95,FAC_TOTALS_APTA!$A$4:$BD$126,$L97,FALSE))</f>
        <v>47852710.975230202</v>
      </c>
      <c r="O97" s="29">
        <f>IF(O95=0,0,VLOOKUP(O95,FAC_TOTALS_APTA!$A$4:$BD$126,$L97,FALSE))</f>
        <v>16441465.0097242</v>
      </c>
      <c r="P97" s="29">
        <f>IF(P95=0,0,VLOOKUP(P95,FAC_TOTALS_APTA!$A$4:$BD$126,$L97,FALSE))</f>
        <v>37473752.325089</v>
      </c>
      <c r="Q97" s="29">
        <f>IF(Q95=0,0,VLOOKUP(Q95,FAC_TOTALS_APTA!$A$4:$BD$126,$L97,FALSE))</f>
        <v>10030752.2893505</v>
      </c>
      <c r="R97" s="29">
        <f>IF(R95=0,0,VLOOKUP(R95,FAC_TOTALS_APTA!$A$4:$BD$126,$L97,FALSE))</f>
        <v>51078172.192987204</v>
      </c>
      <c r="S97" s="29">
        <f>IF(S95=0,0,VLOOKUP(S95,FAC_TOTALS_APTA!$A$4:$BD$126,$L97,FALSE))</f>
        <v>12580115.627014499</v>
      </c>
      <c r="T97" s="29">
        <f>IF(T95=0,0,VLOOKUP(T95,FAC_TOTALS_APTA!$A$4:$BD$126,$L97,FALSE))</f>
        <v>-31209822.575968899</v>
      </c>
      <c r="U97" s="29">
        <f>IF(U95=0,0,VLOOKUP(U95,FAC_TOTALS_APTA!$A$4:$BD$126,$L97,FALSE))</f>
        <v>-32694987.2521003</v>
      </c>
      <c r="V97" s="29">
        <f>IF(V95=0,0,VLOOKUP(V95,FAC_TOTALS_APTA!$A$4:$BD$126,$L97,FALSE))</f>
        <v>-1658358.71290109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191095577.24329346</v>
      </c>
      <c r="AD97" s="33">
        <f>AC97/G111</f>
        <v>9.362556812891927E-2</v>
      </c>
    </row>
    <row r="98" spans="1:31" ht="15" x14ac:dyDescent="0.2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1.7610024585999999</v>
      </c>
      <c r="H98" s="54">
        <f>VLOOKUP(H95,FAC_TOTALS_APTA!$A$4:$BD$126,$F98,FALSE)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-41094920.521033697</v>
      </c>
      <c r="N98" s="29">
        <f>IF(N95=0,0,VLOOKUP(N95,FAC_TOTALS_APTA!$A$4:$BD$126,$L98,FALSE))</f>
        <v>6472751.5470821401</v>
      </c>
      <c r="O98" s="29">
        <f>IF(O95=0,0,VLOOKUP(O95,FAC_TOTALS_APTA!$A$4:$BD$126,$L98,FALSE))</f>
        <v>79447538.232779205</v>
      </c>
      <c r="P98" s="29">
        <f>IF(P95=0,0,VLOOKUP(P95,FAC_TOTALS_APTA!$A$4:$BD$126,$L98,FALSE))</f>
        <v>7040713.7469410198</v>
      </c>
      <c r="Q98" s="29">
        <f>IF(Q95=0,0,VLOOKUP(Q95,FAC_TOTALS_APTA!$A$4:$BD$126,$L98,FALSE))</f>
        <v>22560177.272261299</v>
      </c>
      <c r="R98" s="29">
        <f>IF(R95=0,0,VLOOKUP(R95,FAC_TOTALS_APTA!$A$4:$BD$126,$L98,FALSE))</f>
        <v>-9367005.5807770006</v>
      </c>
      <c r="S98" s="29">
        <f>IF(S95=0,0,VLOOKUP(S95,FAC_TOTALS_APTA!$A$4:$BD$126,$L98,FALSE))</f>
        <v>-31290351.634305201</v>
      </c>
      <c r="T98" s="29">
        <f>IF(T95=0,0,VLOOKUP(T95,FAC_TOTALS_APTA!$A$4:$BD$126,$L98,FALSE))</f>
        <v>-521729.58026579599</v>
      </c>
      <c r="U98" s="29">
        <f>IF(U95=0,0,VLOOKUP(U95,FAC_TOTALS_APTA!$A$4:$BD$126,$L98,FALSE))</f>
        <v>-37916112.569449201</v>
      </c>
      <c r="V98" s="29">
        <f>IF(V95=0,0,VLOOKUP(V95,FAC_TOTALS_APTA!$A$4:$BD$126,$L98,FALSE))</f>
        <v>15722548.4908044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2">SUM(M98:AB98)</f>
        <v>11053609.404037174</v>
      </c>
      <c r="AD98" s="33">
        <f>AC98/G111</f>
        <v>5.4156170187579008E-3</v>
      </c>
    </row>
    <row r="99" spans="1:31" ht="15" x14ac:dyDescent="0.2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2"/>
        <v>0</v>
      </c>
      <c r="AD99" s="122">
        <f>AC99/G112</f>
        <v>0</v>
      </c>
    </row>
    <row r="100" spans="1:31" ht="15" x14ac:dyDescent="0.2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117">
        <f>VLOOKUP(G95,FAC_TOTALS_APTA!$A$4:$BD$126,$F100,FALSE)</f>
        <v>0</v>
      </c>
      <c r="H100" s="117">
        <f>VLOOKUP(H95,FAC_TOTALS_APTA!$A$4:$BD$126,$F100,FALSE)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MATCH($K100,FAC_TOTALS_APTA!$A$2:$BB$2,)</f>
        <v>40</v>
      </c>
      <c r="M100" s="117">
        <f>IF(M96=0,0,VLOOKUP(M96,FAC_TOTALS_APTA!$A$4:$BD$126,$L100,FALSE))</f>
        <v>0</v>
      </c>
      <c r="N100" s="117">
        <f>IF(N96=0,0,VLOOKUP(N96,FAC_TOTALS_APTA!$A$4:$BD$126,$L100,FALSE))</f>
        <v>0</v>
      </c>
      <c r="O100" s="117">
        <f>IF(O96=0,0,VLOOKUP(O96,FAC_TOTALS_APTA!$A$4:$BD$126,$L100,FALSE))</f>
        <v>0</v>
      </c>
      <c r="P100" s="117">
        <f>IF(P96=0,0,VLOOKUP(P96,FAC_TOTALS_APTA!$A$4:$BD$126,$L100,FALSE))</f>
        <v>0</v>
      </c>
      <c r="Q100" s="117">
        <f>IF(Q96=0,0,VLOOKUP(Q96,FAC_TOTALS_APTA!$A$4:$BD$126,$L100,FALSE))</f>
        <v>0</v>
      </c>
      <c r="R100" s="117">
        <f>IF(R96=0,0,VLOOKUP(R96,FAC_TOTALS_APTA!$A$4:$BD$126,$L100,FALSE))</f>
        <v>0</v>
      </c>
      <c r="S100" s="117">
        <f>IF(S96=0,0,VLOOKUP(S96,FAC_TOTALS_APTA!$A$4:$BD$126,$L100,FALSE))</f>
        <v>0</v>
      </c>
      <c r="T100" s="117">
        <f>IF(T96=0,0,VLOOKUP(T96,FAC_TOTALS_APTA!$A$4:$BD$126,$L100,FALSE))</f>
        <v>0</v>
      </c>
      <c r="U100" s="117">
        <f>IF(U96=0,0,VLOOKUP(U96,FAC_TOTALS_APTA!$A$4:$BD$126,$L100,FALSE))</f>
        <v>0</v>
      </c>
      <c r="V100" s="117">
        <f>IF(V96=0,0,VLOOKUP(V96,FAC_TOTALS_APTA!$A$4:$BD$126,$L100,FALSE))</f>
        <v>0</v>
      </c>
      <c r="W100" s="117">
        <f>IF(W96=0,0,VLOOKUP(W96,FAC_TOTALS_APTA!$A$4:$BD$126,$L100,FALSE))</f>
        <v>0</v>
      </c>
      <c r="X100" s="117">
        <f>IF(X96=0,0,VLOOKUP(X96,FAC_TOTALS_APTA!$A$4:$BD$126,$L100,FALSE))</f>
        <v>0</v>
      </c>
      <c r="Y100" s="117">
        <f>IF(Y96=0,0,VLOOKUP(Y96,FAC_TOTALS_APTA!$A$4:$BD$126,$L100,FALSE))</f>
        <v>0</v>
      </c>
      <c r="Z100" s="117">
        <f>IF(Z96=0,0,VLOOKUP(Z96,FAC_TOTALS_APTA!$A$4:$BD$126,$L100,FALSE))</f>
        <v>0</v>
      </c>
      <c r="AA100" s="117">
        <f>IF(AA96=0,0,VLOOKUP(AA96,FAC_TOTALS_APTA!$A$4:$BD$126,$L100,FALSE))</f>
        <v>0</v>
      </c>
      <c r="AB100" s="117">
        <f>IF(AB96=0,0,VLOOKUP(AB96,FAC_TOTALS_APTA!$A$4:$BD$126,$L100,FALSE))</f>
        <v>0</v>
      </c>
      <c r="AC100" s="121">
        <f t="shared" si="32"/>
        <v>0</v>
      </c>
      <c r="AD100" s="122">
        <f>AC100/G112</f>
        <v>0</v>
      </c>
    </row>
    <row r="101" spans="1:31" ht="15" x14ac:dyDescent="0.2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25697520.3899999</v>
      </c>
      <c r="H101" s="29">
        <f>VLOOKUP(H95,FAC_TOTALS_APTA!$A$4:$BD$126,$F101,FALSE)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MATCH($K101,FAC_TOTALS_APTA!$A$2:$BB$2,)</f>
        <v>34</v>
      </c>
      <c r="M101" s="29">
        <f>IF(M95=0,0,VLOOKUP(M95,FAC_TOTALS_APTA!$A$4:$BD$126,$L101,FALSE))</f>
        <v>5896951.5566774504</v>
      </c>
      <c r="N101" s="29">
        <f>IF(N95=0,0,VLOOKUP(N95,FAC_TOTALS_APTA!$A$4:$BD$126,$L101,FALSE))</f>
        <v>8657032.4365650192</v>
      </c>
      <c r="O101" s="29">
        <f>IF(O95=0,0,VLOOKUP(O95,FAC_TOTALS_APTA!$A$4:$BD$126,$L101,FALSE))</f>
        <v>8906941.2282657791</v>
      </c>
      <c r="P101" s="29">
        <f>IF(P95=0,0,VLOOKUP(P95,FAC_TOTALS_APTA!$A$4:$BD$126,$L101,FALSE))</f>
        <v>11479028.805366101</v>
      </c>
      <c r="Q101" s="29">
        <f>IF(Q95=0,0,VLOOKUP(Q95,FAC_TOTALS_APTA!$A$4:$BD$126,$L101,FALSE))</f>
        <v>1211206.1142944701</v>
      </c>
      <c r="R101" s="29">
        <f>IF(R95=0,0,VLOOKUP(R95,FAC_TOTALS_APTA!$A$4:$BD$126,$L101,FALSE))</f>
        <v>5229831.6836532904</v>
      </c>
      <c r="S101" s="29">
        <f>IF(S95=0,0,VLOOKUP(S95,FAC_TOTALS_APTA!$A$4:$BD$126,$L101,FALSE))</f>
        <v>-4896849.1895022197</v>
      </c>
      <c r="T101" s="29">
        <f>IF(T95=0,0,VLOOKUP(T95,FAC_TOTALS_APTA!$A$4:$BD$126,$L101,FALSE))</f>
        <v>-3871658.2992396201</v>
      </c>
      <c r="U101" s="29">
        <f>IF(U95=0,0,VLOOKUP(U95,FAC_TOTALS_APTA!$A$4:$BD$126,$L101,FALSE))</f>
        <v>2864270.6987647698</v>
      </c>
      <c r="V101" s="29">
        <f>IF(V95=0,0,VLOOKUP(V95,FAC_TOTALS_APTA!$A$4:$BD$126,$L101,FALSE))</f>
        <v>5108297.5528038098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2"/>
        <v>40585052.587648846</v>
      </c>
      <c r="AD101" s="33">
        <f>AC101/G111</f>
        <v>1.9884283356401137E-2</v>
      </c>
    </row>
    <row r="102" spans="1:31" ht="15" x14ac:dyDescent="0.2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0.70319922136740198</v>
      </c>
      <c r="H102" s="54">
        <f>VLOOKUP(H95,FAC_TOTALS_APTA!$A$4:$BD$126,$F102,FALSE)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MATCH($K102,FAC_TOTALS_APTA!$A$2:$BB$2,)</f>
        <v>35</v>
      </c>
      <c r="M102" s="29">
        <f>IF(M95=0,0,VLOOKUP(M95,FAC_TOTALS_APTA!$A$4:$BD$126,$L102,FALSE))</f>
        <v>-985093.36547678499</v>
      </c>
      <c r="N102" s="29">
        <f>IF(N95=0,0,VLOOKUP(N95,FAC_TOTALS_APTA!$A$4:$BD$126,$L102,FALSE))</f>
        <v>-2859432.9159941101</v>
      </c>
      <c r="O102" s="29">
        <f>IF(O95=0,0,VLOOKUP(O95,FAC_TOTALS_APTA!$A$4:$BD$126,$L102,FALSE))</f>
        <v>-1975940.35481168</v>
      </c>
      <c r="P102" s="29">
        <f>IF(P95=0,0,VLOOKUP(P95,FAC_TOTALS_APTA!$A$4:$BD$126,$L102,FALSE))</f>
        <v>4768372.1693831896</v>
      </c>
      <c r="Q102" s="29">
        <f>IF(Q95=0,0,VLOOKUP(Q95,FAC_TOTALS_APTA!$A$4:$BD$126,$L102,FALSE))</f>
        <v>-1072566.54359086</v>
      </c>
      <c r="R102" s="29">
        <f>IF(R95=0,0,VLOOKUP(R95,FAC_TOTALS_APTA!$A$4:$BD$126,$L102,FALSE))</f>
        <v>-1283193.6899163499</v>
      </c>
      <c r="S102" s="29">
        <f>IF(S95=0,0,VLOOKUP(S95,FAC_TOTALS_APTA!$A$4:$BD$126,$L102,FALSE))</f>
        <v>9504079.9799146894</v>
      </c>
      <c r="T102" s="29">
        <f>IF(T95=0,0,VLOOKUP(T95,FAC_TOTALS_APTA!$A$4:$BD$126,$L102,FALSE))</f>
        <v>5348933.5978822103</v>
      </c>
      <c r="U102" s="29">
        <f>IF(U95=0,0,VLOOKUP(U95,FAC_TOTALS_APTA!$A$4:$BD$126,$L102,FALSE))</f>
        <v>-149876.16132322501</v>
      </c>
      <c r="V102" s="29">
        <f>IF(V95=0,0,VLOOKUP(V95,FAC_TOTALS_APTA!$A$4:$BD$126,$L102,FALSE))</f>
        <v>-5526182.8793954803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2"/>
        <v>5769099.836671601</v>
      </c>
      <c r="AD102" s="33">
        <f>AC102/G111</f>
        <v>2.8265188425222448E-3</v>
      </c>
    </row>
    <row r="103" spans="1:31" ht="15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1.974</v>
      </c>
      <c r="H103" s="34">
        <f>VLOOKUP(H95,FAC_TOTALS_APTA!$A$4:$BD$126,$F103,FALSE)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25680877.3535286</v>
      </c>
      <c r="N103" s="29">
        <f>IF(N95=0,0,VLOOKUP(N95,FAC_TOTALS_APTA!$A$4:$BD$126,$L103,FALSE))</f>
        <v>27138290.020596799</v>
      </c>
      <c r="O103" s="29">
        <f>IF(O95=0,0,VLOOKUP(O95,FAC_TOTALS_APTA!$A$4:$BD$126,$L103,FALSE))</f>
        <v>37453314.278848797</v>
      </c>
      <c r="P103" s="29">
        <f>IF(P95=0,0,VLOOKUP(P95,FAC_TOTALS_APTA!$A$4:$BD$126,$L103,FALSE))</f>
        <v>27478265.346121602</v>
      </c>
      <c r="Q103" s="29">
        <f>IF(Q95=0,0,VLOOKUP(Q95,FAC_TOTALS_APTA!$A$4:$BD$126,$L103,FALSE))</f>
        <v>9387905.4959320202</v>
      </c>
      <c r="R103" s="29">
        <f>IF(R95=0,0,VLOOKUP(R95,FAC_TOTALS_APTA!$A$4:$BD$126,$L103,FALSE))</f>
        <v>38889838.616813302</v>
      </c>
      <c r="S103" s="29">
        <f>IF(S95=0,0,VLOOKUP(S95,FAC_TOTALS_APTA!$A$4:$BD$126,$L103,FALSE))</f>
        <v>-98028104.886085495</v>
      </c>
      <c r="T103" s="29">
        <f>IF(T95=0,0,VLOOKUP(T95,FAC_TOTALS_APTA!$A$4:$BD$126,$L103,FALSE))</f>
        <v>43097996.489911601</v>
      </c>
      <c r="U103" s="29">
        <f>IF(U95=0,0,VLOOKUP(U95,FAC_TOTALS_APTA!$A$4:$BD$126,$L103,FALSE))</f>
        <v>67909704.757130206</v>
      </c>
      <c r="V103" s="29">
        <f>IF(V95=0,0,VLOOKUP(V95,FAC_TOTALS_APTA!$A$4:$BD$126,$L103,FALSE))</f>
        <v>3542939.3836026001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2"/>
        <v>182551026.85640001</v>
      </c>
      <c r="AD103" s="33">
        <f>AC103/G111</f>
        <v>8.9439242124311799E-2</v>
      </c>
    </row>
    <row r="104" spans="1:31" ht="15" x14ac:dyDescent="0.2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42439.074999999903</v>
      </c>
      <c r="H104" s="54">
        <f>VLOOKUP(H95,FAC_TOTALS_APTA!$A$4:$BD$126,$F104,FALSE)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4453018.9969555195</v>
      </c>
      <c r="N104" s="29">
        <f>IF(N95=0,0,VLOOKUP(N95,FAC_TOTALS_APTA!$A$4:$BD$126,$L104,FALSE))</f>
        <v>5701787.4496473502</v>
      </c>
      <c r="O104" s="29">
        <f>IF(O95=0,0,VLOOKUP(O95,FAC_TOTALS_APTA!$A$4:$BD$126,$L104,FALSE))</f>
        <v>5480945.9184672404</v>
      </c>
      <c r="P104" s="29">
        <f>IF(P95=0,0,VLOOKUP(P95,FAC_TOTALS_APTA!$A$4:$BD$126,$L104,FALSE))</f>
        <v>10051621.4525289</v>
      </c>
      <c r="Q104" s="29">
        <f>IF(Q95=0,0,VLOOKUP(Q95,FAC_TOTALS_APTA!$A$4:$BD$126,$L104,FALSE))</f>
        <v>-3212442.81229176</v>
      </c>
      <c r="R104" s="29">
        <f>IF(R95=0,0,VLOOKUP(R95,FAC_TOTALS_APTA!$A$4:$BD$126,$L104,FALSE))</f>
        <v>-300095.77864945302</v>
      </c>
      <c r="S104" s="29">
        <f>IF(S95=0,0,VLOOKUP(S95,FAC_TOTALS_APTA!$A$4:$BD$126,$L104,FALSE))</f>
        <v>6787103.57389249</v>
      </c>
      <c r="T104" s="29">
        <f>IF(T95=0,0,VLOOKUP(T95,FAC_TOTALS_APTA!$A$4:$BD$126,$L104,FALSE))</f>
        <v>1535777.0514583299</v>
      </c>
      <c r="U104" s="29">
        <f>IF(U95=0,0,VLOOKUP(U95,FAC_TOTALS_APTA!$A$4:$BD$126,$L104,FALSE))</f>
        <v>6143147.4423682196</v>
      </c>
      <c r="V104" s="29">
        <f>IF(V95=0,0,VLOOKUP(V95,FAC_TOTALS_APTA!$A$4:$BD$126,$L104,FALSE))</f>
        <v>1105726.30840537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2"/>
        <v>37746589.602782205</v>
      </c>
      <c r="AD104" s="33">
        <f>AC104/G111</f>
        <v>1.8493603815802957E-2</v>
      </c>
    </row>
    <row r="105" spans="1:31" ht="15" x14ac:dyDescent="0.2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31.71</v>
      </c>
      <c r="H105" s="29">
        <f>VLOOKUP(H95,FAC_TOTALS_APTA!$A$4:$BD$126,$F105,FALSE)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MATCH($K105,FAC_TOTALS_APTA!$A$2:$BB$2,)</f>
        <v>38</v>
      </c>
      <c r="M105" s="29">
        <f>IF(M95=0,0,VLOOKUP(M95,FAC_TOTALS_APTA!$A$4:$BD$126,$L105,FALSE))</f>
        <v>-1421224.99046516</v>
      </c>
      <c r="N105" s="29">
        <f>IF(N95=0,0,VLOOKUP(N95,FAC_TOTALS_APTA!$A$4:$BD$126,$L105,FALSE))</f>
        <v>-1441200.5153258799</v>
      </c>
      <c r="O105" s="29">
        <f>IF(O95=0,0,VLOOKUP(O95,FAC_TOTALS_APTA!$A$4:$BD$126,$L105,FALSE))</f>
        <v>-1354982.1614389301</v>
      </c>
      <c r="P105" s="29">
        <f>IF(P95=0,0,VLOOKUP(P95,FAC_TOTALS_APTA!$A$4:$BD$126,$L105,FALSE))</f>
        <v>-2509138.3604138498</v>
      </c>
      <c r="Q105" s="29">
        <f>IF(Q95=0,0,VLOOKUP(Q95,FAC_TOTALS_APTA!$A$4:$BD$126,$L105,FALSE))</f>
        <v>1147311.7581470299</v>
      </c>
      <c r="R105" s="29">
        <f>IF(R95=0,0,VLOOKUP(R95,FAC_TOTALS_APTA!$A$4:$BD$126,$L105,FALSE))</f>
        <v>110182.915319865</v>
      </c>
      <c r="S105" s="29">
        <f>IF(S95=0,0,VLOOKUP(S95,FAC_TOTALS_APTA!$A$4:$BD$126,$L105,FALSE))</f>
        <v>1072654.0121361299</v>
      </c>
      <c r="T105" s="29">
        <f>IF(T95=0,0,VLOOKUP(T95,FAC_TOTALS_APTA!$A$4:$BD$126,$L105,FALSE))</f>
        <v>1741817.68856386</v>
      </c>
      <c r="U105" s="29">
        <f>IF(U95=0,0,VLOOKUP(U95,FAC_TOTALS_APTA!$A$4:$BD$126,$L105,FALSE))</f>
        <v>2084872.8421551301</v>
      </c>
      <c r="V105" s="29">
        <f>IF(V95=0,0,VLOOKUP(V95,FAC_TOTALS_APTA!$A$4:$BD$126,$L105,FALSE))</f>
        <v>1209488.08503877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2"/>
        <v>639781.27371696429</v>
      </c>
      <c r="AD105" s="33">
        <f>AC105/G111</f>
        <v>3.134551102338324E-4</v>
      </c>
    </row>
    <row r="106" spans="1:31" ht="15" x14ac:dyDescent="0.2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3.5</v>
      </c>
      <c r="H106" s="34">
        <f>VLOOKUP(H95,FAC_TOTALS_APTA!$A$4:$BD$126,$F106,FALSE)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MATCH($K106,FAC_TOTALS_APTA!$A$2:$BB$2,)</f>
        <v>39</v>
      </c>
      <c r="M106" s="29">
        <f>IF(M95=0,0,VLOOKUP(M95,FAC_TOTALS_APTA!$A$4:$BD$126,$L106,FALSE))</f>
        <v>0</v>
      </c>
      <c r="N106" s="29">
        <f>IF(N95=0,0,VLOOKUP(N95,FAC_TOTALS_APTA!$A$4:$BD$126,$L106,FALSE))</f>
        <v>0</v>
      </c>
      <c r="O106" s="29">
        <f>IF(O95=0,0,VLOOKUP(O95,FAC_TOTALS_APTA!$A$4:$BD$126,$L106,FALSE))</f>
        <v>0</v>
      </c>
      <c r="P106" s="29">
        <f>IF(P95=0,0,VLOOKUP(P95,FAC_TOTALS_APTA!$A$4:$BD$126,$L106,FALSE))</f>
        <v>-3832240.4015222299</v>
      </c>
      <c r="Q106" s="29">
        <f>IF(Q95=0,0,VLOOKUP(Q95,FAC_TOTALS_APTA!$A$4:$BD$126,$L106,FALSE))</f>
        <v>1992104.1586678999</v>
      </c>
      <c r="R106" s="29">
        <f>IF(R95=0,0,VLOOKUP(R95,FAC_TOTALS_APTA!$A$4:$BD$126,$L106,FALSE))</f>
        <v>-2103257.0535033699</v>
      </c>
      <c r="S106" s="29">
        <f>IF(S95=0,0,VLOOKUP(S95,FAC_TOTALS_APTA!$A$4:$BD$126,$L106,FALSE))</f>
        <v>-4308282.4909054302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-4395129.8811775297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2"/>
        <v>-12646805.668440659</v>
      </c>
      <c r="AD106" s="33">
        <f>AC106/G111</f>
        <v>-6.196189272430418E-3</v>
      </c>
    </row>
    <row r="107" spans="1:31" ht="15" x14ac:dyDescent="0.2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0</v>
      </c>
      <c r="H107" s="34">
        <f>VLOOKUP(H95,FAC_TOTALS_APTA!$A$4:$BD$126,$F107,FALSE)</f>
        <v>1</v>
      </c>
      <c r="I107" s="30" t="str">
        <f t="shared" si="29"/>
        <v>-</v>
      </c>
      <c r="J107" s="31"/>
      <c r="K107" s="31" t="str">
        <f t="shared" si="31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0</v>
      </c>
      <c r="N107" s="29">
        <f>IF(N95=0,0,VLOOKUP(N95,FAC_TOTALS_APTA!$A$4:$BD$126,$L107,FALSE))</f>
        <v>0</v>
      </c>
      <c r="O107" s="29">
        <f>IF(O95=0,0,VLOOKUP(O95,FAC_TOTALS_APTA!$A$4:$BD$126,$L107,FALSE))</f>
        <v>0</v>
      </c>
      <c r="P107" s="29">
        <f>IF(P95=0,0,VLOOKUP(P95,FAC_TOTALS_APTA!$A$4:$BD$126,$L107,FALSE))</f>
        <v>0</v>
      </c>
      <c r="Q107" s="29">
        <f>IF(Q95=0,0,VLOOKUP(Q95,FAC_TOTALS_APTA!$A$4:$BD$126,$L107,FALSE))</f>
        <v>0</v>
      </c>
      <c r="R107" s="29">
        <f>IF(R95=0,0,VLOOKUP(R95,FAC_TOTALS_APTA!$A$4:$BD$126,$L107,FALSE))</f>
        <v>0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6269990.3531798599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2"/>
        <v>6269990.3531798599</v>
      </c>
      <c r="AD107" s="33">
        <f>AC107/G111</f>
        <v>3.0719256690694007E-3</v>
      </c>
    </row>
    <row r="108" spans="1:31" ht="15" x14ac:dyDescent="0.2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MATCH($K108,FAC_TOTALS_APTA!$A$2:$BB$2,)</f>
        <v>46</v>
      </c>
      <c r="M108" s="29">
        <f>IF(M95=0,0,VLOOKUP(M95,FAC_TOTALS_APTA!$A$4:$BD$126,$L108,FALSE))</f>
        <v>0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2"/>
        <v>0</v>
      </c>
      <c r="AD108" s="33">
        <f>AC108/G111</f>
        <v>0</v>
      </c>
    </row>
    <row r="109" spans="1:31" ht="15" x14ac:dyDescent="0.2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2"/>
        <v>0</v>
      </c>
      <c r="AD109" s="40">
        <f>AC109/G111</f>
        <v>0</v>
      </c>
    </row>
    <row r="110" spans="1:31" ht="15" x14ac:dyDescent="0.2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2041061870.8359799</v>
      </c>
      <c r="H111" s="117">
        <f>VLOOKUP(H95,FAC_TOTALS_APTA!$A$4:$BB$126,$F111,FALSE)</f>
        <v>2509543465.19137</v>
      </c>
      <c r="I111" s="112">
        <f t="shared" ref="I111" si="34">H111/G111-1</f>
        <v>0.22952836513648123</v>
      </c>
      <c r="J111" s="31"/>
      <c r="K111" s="31"/>
      <c r="L111" s="6"/>
      <c r="M111" s="29">
        <f t="shared" ref="M111:AB111" si="35">SUM(M97:M104)</f>
        <v>75152611.385519192</v>
      </c>
      <c r="N111" s="29">
        <f t="shared" si="35"/>
        <v>92963139.513127401</v>
      </c>
      <c r="O111" s="29">
        <f t="shared" si="35"/>
        <v>145754264.31327355</v>
      </c>
      <c r="P111" s="29">
        <f t="shared" si="35"/>
        <v>98291753.845429808</v>
      </c>
      <c r="Q111" s="29">
        <f t="shared" si="35"/>
        <v>38905031.815955669</v>
      </c>
      <c r="R111" s="29">
        <f t="shared" si="35"/>
        <v>84247547.44411099</v>
      </c>
      <c r="S111" s="29">
        <f t="shared" si="35"/>
        <v>-105344006.52907124</v>
      </c>
      <c r="T111" s="29">
        <f t="shared" si="35"/>
        <v>14379496.683777824</v>
      </c>
      <c r="U111" s="29">
        <f t="shared" si="35"/>
        <v>6156146.9153904719</v>
      </c>
      <c r="V111" s="29">
        <f t="shared" si="35"/>
        <v>18294970.143319611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468481594.35539007</v>
      </c>
      <c r="AD111" s="33">
        <f>I111</f>
        <v>0.22952836513648123</v>
      </c>
      <c r="AE111" s="106"/>
    </row>
    <row r="112" spans="1:31" ht="16" thickBot="1" x14ac:dyDescent="0.25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2028458449</v>
      </c>
      <c r="H112" s="114">
        <f>VLOOKUP(H95,FAC_TOTALS_APTA!$A$4:$BB$126,$F112,FALSE)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7" thickTop="1" thickBot="1" x14ac:dyDescent="0.25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0.21467224564960152</v>
      </c>
    </row>
    <row r="114" spans="2:30" ht="15" thickTop="1" x14ac:dyDescent="0.2"/>
    <row r="117" spans="2:30" ht="15" x14ac:dyDescent="0.2">
      <c r="B117" s="18" t="s">
        <v>15</v>
      </c>
      <c r="C117" s="19">
        <v>1</v>
      </c>
      <c r="D117" s="10"/>
      <c r="E117" s="6"/>
      <c r="F117" s="10"/>
      <c r="G117" s="10"/>
      <c r="H117" s="10"/>
      <c r="I117" s="17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2:30" ht="16" thickBot="1" x14ac:dyDescent="0.25">
      <c r="B118" s="20" t="s">
        <v>111</v>
      </c>
      <c r="C118" s="21">
        <v>0</v>
      </c>
      <c r="D118" s="22"/>
      <c r="E118" s="23"/>
      <c r="F118" s="22"/>
      <c r="G118" s="22"/>
      <c r="H118" s="22"/>
      <c r="I118" s="2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2:30" ht="15" thickTop="1" x14ac:dyDescent="0.2">
      <c r="B119" s="25"/>
      <c r="C119" s="6"/>
      <c r="D119" s="62"/>
      <c r="E119" s="6"/>
      <c r="F119" s="6"/>
      <c r="G119" s="240" t="s">
        <v>51</v>
      </c>
      <c r="H119" s="240"/>
      <c r="I119" s="240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40" t="s">
        <v>55</v>
      </c>
      <c r="AD119" s="240"/>
    </row>
    <row r="120" spans="2:30" ht="15" x14ac:dyDescent="0.2">
      <c r="B120" s="8" t="s">
        <v>18</v>
      </c>
      <c r="C120" s="27" t="s">
        <v>19</v>
      </c>
      <c r="D120" s="7" t="s">
        <v>20</v>
      </c>
      <c r="E120" s="7"/>
      <c r="F120" s="7"/>
      <c r="G120" s="27">
        <f>$C$1</f>
        <v>2002</v>
      </c>
      <c r="H120" s="27">
        <f>$C$2</f>
        <v>2012</v>
      </c>
      <c r="I120" s="27" t="s">
        <v>22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 t="s">
        <v>24</v>
      </c>
      <c r="AD120" s="27" t="s">
        <v>22</v>
      </c>
    </row>
    <row r="121" spans="2:30" x14ac:dyDescent="0.2">
      <c r="B121" s="25"/>
      <c r="C121" s="28"/>
      <c r="D121" s="6"/>
      <c r="E121" s="6"/>
      <c r="F121" s="6"/>
      <c r="G121" s="6"/>
      <c r="H121" s="6"/>
      <c r="I121" s="28"/>
      <c r="J121" s="6"/>
      <c r="K121" s="6"/>
      <c r="L121" s="6"/>
      <c r="M121" s="6">
        <v>1</v>
      </c>
      <c r="N121" s="6">
        <v>2</v>
      </c>
      <c r="O121" s="6">
        <v>3</v>
      </c>
      <c r="P121" s="6">
        <v>4</v>
      </c>
      <c r="Q121" s="6">
        <v>5</v>
      </c>
      <c r="R121" s="6">
        <v>6</v>
      </c>
      <c r="S121" s="6">
        <v>7</v>
      </c>
      <c r="T121" s="6">
        <v>8</v>
      </c>
      <c r="U121" s="6">
        <v>9</v>
      </c>
      <c r="V121" s="6">
        <v>10</v>
      </c>
      <c r="W121" s="6">
        <v>11</v>
      </c>
      <c r="X121" s="6">
        <v>12</v>
      </c>
      <c r="Y121" s="6">
        <v>13</v>
      </c>
      <c r="Z121" s="6">
        <v>14</v>
      </c>
      <c r="AA121" s="6">
        <v>15</v>
      </c>
      <c r="AB121" s="6">
        <v>16</v>
      </c>
      <c r="AC121" s="6"/>
      <c r="AD121" s="6"/>
    </row>
    <row r="122" spans="2:30" x14ac:dyDescent="0.2">
      <c r="B122" s="25"/>
      <c r="C122" s="28"/>
      <c r="D122" s="6"/>
      <c r="E122" s="6"/>
      <c r="F122" s="6"/>
      <c r="G122" s="6" t="str">
        <f>CONCATENATE($C117,"_",$C118,"_",G120)</f>
        <v>1_0_2002</v>
      </c>
      <c r="H122" s="6" t="str">
        <f>CONCATENATE($C117,"_",$C118,"_",H120)</f>
        <v>1_0_2012</v>
      </c>
      <c r="I122" s="28"/>
      <c r="J122" s="6"/>
      <c r="K122" s="6"/>
      <c r="L122" s="6"/>
      <c r="M122" s="6" t="str">
        <f>IF($G120+M121&gt;$H120,0,CONCATENATE($C117,"_",$C118,"_",$G120+M121))</f>
        <v>1_0_2003</v>
      </c>
      <c r="N122" s="6" t="str">
        <f t="shared" ref="N122:AB122" si="37">IF($G120+N121&gt;$H120,0,CONCATENATE($C117,"_",$C118,"_",$G120+N121))</f>
        <v>1_0_2004</v>
      </c>
      <c r="O122" s="6" t="str">
        <f t="shared" si="37"/>
        <v>1_0_2005</v>
      </c>
      <c r="P122" s="6" t="str">
        <f t="shared" si="37"/>
        <v>1_0_2006</v>
      </c>
      <c r="Q122" s="6" t="str">
        <f t="shared" si="37"/>
        <v>1_0_2007</v>
      </c>
      <c r="R122" s="6" t="str">
        <f t="shared" si="37"/>
        <v>1_0_2008</v>
      </c>
      <c r="S122" s="6" t="str">
        <f t="shared" si="37"/>
        <v>1_0_2009</v>
      </c>
      <c r="T122" s="6" t="str">
        <f t="shared" si="37"/>
        <v>1_0_2010</v>
      </c>
      <c r="U122" s="6" t="str">
        <f t="shared" si="37"/>
        <v>1_0_2011</v>
      </c>
      <c r="V122" s="6" t="str">
        <f t="shared" si="37"/>
        <v>1_0_2012</v>
      </c>
      <c r="W122" s="6">
        <f t="shared" si="37"/>
        <v>0</v>
      </c>
      <c r="X122" s="6">
        <f t="shared" si="37"/>
        <v>0</v>
      </c>
      <c r="Y122" s="6">
        <f t="shared" si="37"/>
        <v>0</v>
      </c>
      <c r="Z122" s="6">
        <f t="shared" si="37"/>
        <v>0</v>
      </c>
      <c r="AA122" s="6">
        <f t="shared" si="37"/>
        <v>0</v>
      </c>
      <c r="AB122" s="6">
        <f t="shared" si="37"/>
        <v>0</v>
      </c>
      <c r="AC122" s="6"/>
      <c r="AD122" s="6"/>
    </row>
    <row r="123" spans="2:30" x14ac:dyDescent="0.2">
      <c r="B123" s="25"/>
      <c r="C123" s="28"/>
      <c r="D123" s="6"/>
      <c r="E123" s="6"/>
      <c r="F123" s="6" t="s">
        <v>23</v>
      </c>
      <c r="G123" s="29"/>
      <c r="H123" s="29"/>
      <c r="I123" s="28"/>
      <c r="J123" s="6"/>
      <c r="K123" s="6"/>
      <c r="L123" s="6" t="s">
        <v>23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2:30" ht="15" x14ac:dyDescent="0.2">
      <c r="B124" s="115" t="s">
        <v>31</v>
      </c>
      <c r="C124" s="116" t="s">
        <v>21</v>
      </c>
      <c r="D124" s="104" t="s">
        <v>91</v>
      </c>
      <c r="E124" s="55"/>
      <c r="F124" s="6">
        <f>MATCH($D124,FAC_TOTALS_APTA!$A$2:$BD$2,)</f>
        <v>13</v>
      </c>
      <c r="G124" s="29">
        <f>(G13+G41)/2</f>
        <v>26460235.543792736</v>
      </c>
      <c r="H124" s="29">
        <f>(H13+H41)/2</f>
        <v>32184731.857448626</v>
      </c>
      <c r="I124" s="30">
        <f>IFERROR(H124/G124-1,"-")</f>
        <v>0.21634336187905889</v>
      </c>
      <c r="J124" s="31" t="str">
        <f>IF(C124="Log","_log","")</f>
        <v>_log</v>
      </c>
      <c r="K124" s="31" t="str">
        <f>CONCATENATE(D124,J124,"_FAC")</f>
        <v>VRM_ADJ_RAIL_log_FAC</v>
      </c>
      <c r="L124" s="6">
        <f>MATCH($K124,FAC_TOTALS_APTA!$A$2:$BB$2,)</f>
        <v>31</v>
      </c>
      <c r="M124" s="29">
        <f>(M13+M41)/2</f>
        <v>26800671.594761342</v>
      </c>
      <c r="N124" s="29">
        <f t="shared" ref="N124:AB124" si="38">(N13+N41)/2</f>
        <v>10528822.020932751</v>
      </c>
      <c r="O124" s="29">
        <f t="shared" si="38"/>
        <v>4986835.4267571149</v>
      </c>
      <c r="P124" s="29">
        <f t="shared" si="38"/>
        <v>20555481.235639509</v>
      </c>
      <c r="Q124" s="29">
        <f t="shared" si="38"/>
        <v>34970796.506670192</v>
      </c>
      <c r="R124" s="29">
        <f t="shared" si="38"/>
        <v>18165573.347925145</v>
      </c>
      <c r="S124" s="29">
        <f t="shared" si="38"/>
        <v>2155829.0579813016</v>
      </c>
      <c r="T124" s="29">
        <f t="shared" si="38"/>
        <v>-2240096.4389085011</v>
      </c>
      <c r="U124" s="29">
        <f t="shared" si="38"/>
        <v>4251359.7111837296</v>
      </c>
      <c r="V124" s="29">
        <f t="shared" si="38"/>
        <v>18603434.160508141</v>
      </c>
      <c r="W124" s="29">
        <f t="shared" si="38"/>
        <v>0</v>
      </c>
      <c r="X124" s="29">
        <f t="shared" si="38"/>
        <v>0</v>
      </c>
      <c r="Y124" s="29">
        <f t="shared" si="38"/>
        <v>0</v>
      </c>
      <c r="Z124" s="29">
        <f t="shared" si="38"/>
        <v>0</v>
      </c>
      <c r="AA124" s="29">
        <f t="shared" si="38"/>
        <v>0</v>
      </c>
      <c r="AB124" s="29">
        <f t="shared" si="38"/>
        <v>0</v>
      </c>
      <c r="AC124" s="32">
        <f>SUM(M124:AB124)</f>
        <v>138778706.6234507</v>
      </c>
      <c r="AD124" s="33">
        <f>AC124/G138</f>
        <v>0.26001198941865955</v>
      </c>
    </row>
    <row r="125" spans="2:30" ht="15" x14ac:dyDescent="0.2">
      <c r="B125" s="115" t="s">
        <v>52</v>
      </c>
      <c r="C125" s="116" t="s">
        <v>21</v>
      </c>
      <c r="D125" s="104" t="s">
        <v>92</v>
      </c>
      <c r="E125" s="55"/>
      <c r="F125" s="6">
        <f>MATCH($D125,FAC_TOTALS_APTA!$A$2:$BD$2,)</f>
        <v>15</v>
      </c>
      <c r="G125" s="29">
        <f t="shared" ref="G125:H139" si="39">(G14+G42)/2</f>
        <v>1.43437306448876</v>
      </c>
      <c r="H125" s="29">
        <f t="shared" si="39"/>
        <v>1.52357862593466</v>
      </c>
      <c r="I125" s="30">
        <f t="shared" ref="I125" si="40">IFERROR(H125/G125-1,"-")</f>
        <v>6.2191325014663956E-2</v>
      </c>
      <c r="J125" s="31" t="str">
        <f t="shared" ref="J125:J133" si="41">IF(C125="Log","_log","")</f>
        <v>_log</v>
      </c>
      <c r="K125" s="31" t="str">
        <f t="shared" ref="K125:K137" si="42">CONCATENATE(D125,J125,"_FAC")</f>
        <v>FARE_per_UPT_cleaned_2018_RAIL_log_FAC</v>
      </c>
      <c r="L125" s="6">
        <f>MATCH($K125,FAC_TOTALS_APTA!$A$2:$BB$2,)</f>
        <v>33</v>
      </c>
      <c r="M125" s="29">
        <f t="shared" ref="M125:AB137" si="43">(M14+M42)/2</f>
        <v>1441861.2891393469</v>
      </c>
      <c r="N125" s="29">
        <f t="shared" si="43"/>
        <v>3436424.133096158</v>
      </c>
      <c r="O125" s="29">
        <f t="shared" si="43"/>
        <v>-1338045.1236057554</v>
      </c>
      <c r="P125" s="29">
        <f t="shared" si="43"/>
        <v>-3180519.3600822669</v>
      </c>
      <c r="Q125" s="29">
        <f t="shared" si="43"/>
        <v>-1740508.617518577</v>
      </c>
      <c r="R125" s="29">
        <f t="shared" si="43"/>
        <v>-5723240.0267428504</v>
      </c>
      <c r="S125" s="29">
        <f t="shared" si="43"/>
        <v>-13012933.256006829</v>
      </c>
      <c r="T125" s="29">
        <f t="shared" si="43"/>
        <v>-202258.92334949551</v>
      </c>
      <c r="U125" s="29">
        <f t="shared" si="43"/>
        <v>-1710566.8299935646</v>
      </c>
      <c r="V125" s="29">
        <f t="shared" si="43"/>
        <v>-884468.33204806643</v>
      </c>
      <c r="W125" s="29">
        <f t="shared" si="43"/>
        <v>0</v>
      </c>
      <c r="X125" s="29">
        <f t="shared" si="43"/>
        <v>0</v>
      </c>
      <c r="Y125" s="29">
        <f t="shared" si="43"/>
        <v>0</v>
      </c>
      <c r="Z125" s="29">
        <f t="shared" si="43"/>
        <v>0</v>
      </c>
      <c r="AA125" s="29">
        <f t="shared" si="43"/>
        <v>0</v>
      </c>
      <c r="AB125" s="29">
        <f t="shared" si="43"/>
        <v>0</v>
      </c>
      <c r="AC125" s="32">
        <f t="shared" ref="AC125:AC136" si="44">SUM(M125:AB125)</f>
        <v>-22914255.047111899</v>
      </c>
      <c r="AD125" s="33">
        <f>AC125/G138</f>
        <v>-4.2931521598712975E-2</v>
      </c>
    </row>
    <row r="126" spans="2:30" ht="15" x14ac:dyDescent="0.2">
      <c r="B126" s="115" t="s">
        <v>80</v>
      </c>
      <c r="C126" s="116"/>
      <c r="D126" s="104" t="s">
        <v>78</v>
      </c>
      <c r="E126" s="118"/>
      <c r="F126" s="104">
        <f>MATCH($D126,FAC_TOTALS_APTA!$A$2:$BD$2,)</f>
        <v>23</v>
      </c>
      <c r="G126" s="29">
        <f t="shared" si="39"/>
        <v>0</v>
      </c>
      <c r="H126" s="29">
        <f t="shared" si="39"/>
        <v>0</v>
      </c>
      <c r="I126" s="235">
        <f>H126-G126</f>
        <v>0</v>
      </c>
      <c r="J126" s="120" t="str">
        <f t="shared" si="41"/>
        <v/>
      </c>
      <c r="K126" s="120" t="str">
        <f t="shared" si="42"/>
        <v>RESTRUCTURE_FAC</v>
      </c>
      <c r="L126" s="104">
        <f>MATCH($K126,FAC_TOTALS_APTA!$A$2:$BB$2,)</f>
        <v>41</v>
      </c>
      <c r="M126" s="29">
        <f t="shared" si="43"/>
        <v>0</v>
      </c>
      <c r="N126" s="29">
        <f t="shared" si="43"/>
        <v>0</v>
      </c>
      <c r="O126" s="29">
        <f t="shared" si="43"/>
        <v>0</v>
      </c>
      <c r="P126" s="29">
        <f t="shared" si="43"/>
        <v>0</v>
      </c>
      <c r="Q126" s="29">
        <f t="shared" si="43"/>
        <v>0</v>
      </c>
      <c r="R126" s="29">
        <f t="shared" si="43"/>
        <v>0</v>
      </c>
      <c r="S126" s="29">
        <f t="shared" si="43"/>
        <v>0</v>
      </c>
      <c r="T126" s="29">
        <f t="shared" si="43"/>
        <v>0</v>
      </c>
      <c r="U126" s="29">
        <f t="shared" si="43"/>
        <v>0</v>
      </c>
      <c r="V126" s="29">
        <f t="shared" si="43"/>
        <v>0</v>
      </c>
      <c r="W126" s="29">
        <f t="shared" si="43"/>
        <v>0</v>
      </c>
      <c r="X126" s="29">
        <f t="shared" si="43"/>
        <v>0</v>
      </c>
      <c r="Y126" s="29">
        <f t="shared" si="43"/>
        <v>0</v>
      </c>
      <c r="Z126" s="29">
        <f t="shared" si="43"/>
        <v>0</v>
      </c>
      <c r="AA126" s="29">
        <f t="shared" si="43"/>
        <v>0</v>
      </c>
      <c r="AB126" s="29">
        <f t="shared" si="43"/>
        <v>0</v>
      </c>
      <c r="AC126" s="121">
        <f t="shared" si="44"/>
        <v>0</v>
      </c>
      <c r="AD126" s="122">
        <f>AC126/G139</f>
        <v>0</v>
      </c>
    </row>
    <row r="127" spans="2:30" ht="15" x14ac:dyDescent="0.2">
      <c r="B127" s="115" t="s">
        <v>81</v>
      </c>
      <c r="C127" s="116"/>
      <c r="D127" s="104" t="s">
        <v>77</v>
      </c>
      <c r="E127" s="118"/>
      <c r="F127" s="104">
        <f>MATCH($D127,FAC_TOTALS_APTA!$A$2:$BD$2,)</f>
        <v>22</v>
      </c>
      <c r="G127" s="29">
        <f t="shared" si="39"/>
        <v>0</v>
      </c>
      <c r="H127" s="29">
        <f t="shared" si="39"/>
        <v>0</v>
      </c>
      <c r="I127" s="235">
        <f>H127-G127</f>
        <v>0</v>
      </c>
      <c r="J127" s="31" t="str">
        <f t="shared" si="41"/>
        <v/>
      </c>
      <c r="K127" s="31" t="str">
        <f t="shared" si="42"/>
        <v>MAINTENANCE_WMATA_FAC</v>
      </c>
      <c r="L127" s="6">
        <f>MATCH($K127,FAC_TOTALS_APTA!$A$2:$BB$2,)</f>
        <v>40</v>
      </c>
      <c r="M127" s="29">
        <f t="shared" si="43"/>
        <v>0</v>
      </c>
      <c r="N127" s="29">
        <f t="shared" si="43"/>
        <v>0</v>
      </c>
      <c r="O127" s="29">
        <f t="shared" si="43"/>
        <v>0</v>
      </c>
      <c r="P127" s="29">
        <f t="shared" si="43"/>
        <v>0</v>
      </c>
      <c r="Q127" s="29">
        <f t="shared" si="43"/>
        <v>0</v>
      </c>
      <c r="R127" s="29">
        <f t="shared" si="43"/>
        <v>0</v>
      </c>
      <c r="S127" s="29">
        <f t="shared" si="43"/>
        <v>0</v>
      </c>
      <c r="T127" s="29">
        <f t="shared" si="43"/>
        <v>0</v>
      </c>
      <c r="U127" s="29">
        <f t="shared" si="43"/>
        <v>0</v>
      </c>
      <c r="V127" s="29">
        <f t="shared" si="43"/>
        <v>0</v>
      </c>
      <c r="W127" s="29">
        <f t="shared" si="43"/>
        <v>0</v>
      </c>
      <c r="X127" s="29">
        <f t="shared" si="43"/>
        <v>0</v>
      </c>
      <c r="Y127" s="29">
        <f t="shared" si="43"/>
        <v>0</v>
      </c>
      <c r="Z127" s="29">
        <f t="shared" si="43"/>
        <v>0</v>
      </c>
      <c r="AA127" s="29">
        <f t="shared" si="43"/>
        <v>0</v>
      </c>
      <c r="AB127" s="29">
        <f t="shared" si="43"/>
        <v>0</v>
      </c>
      <c r="AC127" s="32">
        <f t="shared" si="44"/>
        <v>0</v>
      </c>
      <c r="AD127" s="33">
        <f>AC127/G139</f>
        <v>0</v>
      </c>
    </row>
    <row r="128" spans="2:30" ht="15" x14ac:dyDescent="0.2">
      <c r="B128" s="115" t="s">
        <v>48</v>
      </c>
      <c r="C128" s="116" t="s">
        <v>21</v>
      </c>
      <c r="D128" s="104" t="s">
        <v>8</v>
      </c>
      <c r="E128" s="55"/>
      <c r="F128" s="6">
        <f>MATCH($D128,FAC_TOTALS_APTA!$A$2:$BD$2,)</f>
        <v>16</v>
      </c>
      <c r="G128" s="29">
        <f t="shared" si="39"/>
        <v>5601985.680186091</v>
      </c>
      <c r="H128" s="29">
        <f t="shared" si="39"/>
        <v>6069608.4785043495</v>
      </c>
      <c r="I128" s="30">
        <f t="shared" ref="I128:I133" si="45">IFERROR(H128/G128-1,"-")</f>
        <v>8.3474472270111955E-2</v>
      </c>
      <c r="J128" s="31" t="str">
        <f t="shared" si="41"/>
        <v>_log</v>
      </c>
      <c r="K128" s="31" t="str">
        <f t="shared" si="42"/>
        <v>POP_EMP_log_FAC</v>
      </c>
      <c r="L128" s="6">
        <f>MATCH($K128,FAC_TOTALS_APTA!$A$2:$BB$2,)</f>
        <v>34</v>
      </c>
      <c r="M128" s="29">
        <f t="shared" si="43"/>
        <v>2648320.9619364217</v>
      </c>
      <c r="N128" s="29">
        <f t="shared" si="43"/>
        <v>3163339.5537391906</v>
      </c>
      <c r="O128" s="29">
        <f t="shared" si="43"/>
        <v>3454514.5583319901</v>
      </c>
      <c r="P128" s="29">
        <f t="shared" si="43"/>
        <v>4553652.7710372033</v>
      </c>
      <c r="Q128" s="29">
        <f t="shared" si="43"/>
        <v>1311391.9164310351</v>
      </c>
      <c r="R128" s="29">
        <f t="shared" si="43"/>
        <v>1079556.0622645221</v>
      </c>
      <c r="S128" s="29">
        <f t="shared" si="43"/>
        <v>-401202.15907250199</v>
      </c>
      <c r="T128" s="29">
        <f t="shared" si="43"/>
        <v>480208.52020903816</v>
      </c>
      <c r="U128" s="29">
        <f t="shared" si="43"/>
        <v>1829729.690123589</v>
      </c>
      <c r="V128" s="29">
        <f t="shared" si="43"/>
        <v>2336327.7295999122</v>
      </c>
      <c r="W128" s="29">
        <f t="shared" si="43"/>
        <v>0</v>
      </c>
      <c r="X128" s="29">
        <f t="shared" si="43"/>
        <v>0</v>
      </c>
      <c r="Y128" s="29">
        <f t="shared" si="43"/>
        <v>0</v>
      </c>
      <c r="Z128" s="29">
        <f t="shared" si="43"/>
        <v>0</v>
      </c>
      <c r="AA128" s="29">
        <f t="shared" si="43"/>
        <v>0</v>
      </c>
      <c r="AB128" s="29">
        <f t="shared" si="43"/>
        <v>0</v>
      </c>
      <c r="AC128" s="32">
        <f t="shared" si="44"/>
        <v>20455839.604600403</v>
      </c>
      <c r="AD128" s="33">
        <f>AC128/G138</f>
        <v>3.8325501658208978E-2</v>
      </c>
    </row>
    <row r="129" spans="1:31" ht="15" x14ac:dyDescent="0.2">
      <c r="B129" s="25" t="s">
        <v>73</v>
      </c>
      <c r="C129" s="116"/>
      <c r="D129" s="104" t="s">
        <v>72</v>
      </c>
      <c r="E129" s="55"/>
      <c r="F129" s="6">
        <f>MATCH($D129,FAC_TOTALS_APTA!$A$2:$BD$2,)</f>
        <v>17</v>
      </c>
      <c r="G129" s="29">
        <f t="shared" si="39"/>
        <v>0.41505986793496852</v>
      </c>
      <c r="H129" s="29">
        <f t="shared" si="39"/>
        <v>0.39707337968392198</v>
      </c>
      <c r="I129" s="30">
        <f t="shared" si="45"/>
        <v>-4.3334684079513686E-2</v>
      </c>
      <c r="J129" s="31" t="str">
        <f t="shared" si="41"/>
        <v/>
      </c>
      <c r="K129" s="31" t="str">
        <f t="shared" si="42"/>
        <v>TSD_POP_EMP_PCT_FAC</v>
      </c>
      <c r="L129" s="6">
        <f>MATCH($K129,FAC_TOTALS_APTA!$A$2:$BB$2,)</f>
        <v>35</v>
      </c>
      <c r="M129" s="29">
        <f t="shared" si="43"/>
        <v>-1422437.636044703</v>
      </c>
      <c r="N129" s="29">
        <f t="shared" si="43"/>
        <v>-411359.29889763932</v>
      </c>
      <c r="O129" s="29">
        <f t="shared" si="43"/>
        <v>-316807.85316739121</v>
      </c>
      <c r="P129" s="29">
        <f t="shared" si="43"/>
        <v>-8675.0082270069397</v>
      </c>
      <c r="Q129" s="29">
        <f t="shared" si="43"/>
        <v>-2356409.7873436646</v>
      </c>
      <c r="R129" s="29">
        <f t="shared" si="43"/>
        <v>1010708.4402109794</v>
      </c>
      <c r="S129" s="29">
        <f t="shared" si="43"/>
        <v>402149.94304514857</v>
      </c>
      <c r="T129" s="29">
        <f t="shared" si="43"/>
        <v>4538934.2167257546</v>
      </c>
      <c r="U129" s="29">
        <f t="shared" si="43"/>
        <v>-1504335.2591390226</v>
      </c>
      <c r="V129" s="29">
        <f t="shared" si="43"/>
        <v>-1434040.127299398</v>
      </c>
      <c r="W129" s="29">
        <f t="shared" si="43"/>
        <v>0</v>
      </c>
      <c r="X129" s="29">
        <f t="shared" si="43"/>
        <v>0</v>
      </c>
      <c r="Y129" s="29">
        <f t="shared" si="43"/>
        <v>0</v>
      </c>
      <c r="Z129" s="29">
        <f t="shared" si="43"/>
        <v>0</v>
      </c>
      <c r="AA129" s="29">
        <f t="shared" si="43"/>
        <v>0</v>
      </c>
      <c r="AB129" s="29">
        <f t="shared" si="43"/>
        <v>0</v>
      </c>
      <c r="AC129" s="32">
        <f t="shared" si="44"/>
        <v>-1502272.3701369432</v>
      </c>
      <c r="AD129" s="33">
        <f>AC129/G138</f>
        <v>-2.8146164286415591E-3</v>
      </c>
    </row>
    <row r="130" spans="1:31" ht="15" x14ac:dyDescent="0.2">
      <c r="B130" s="115" t="s">
        <v>49</v>
      </c>
      <c r="C130" s="116" t="s">
        <v>21</v>
      </c>
      <c r="D130" s="124" t="s">
        <v>82</v>
      </c>
      <c r="E130" s="55"/>
      <c r="F130" s="6">
        <f>MATCH($D130,FAC_TOTALS_APTA!$A$2:$BD$2,)</f>
        <v>18</v>
      </c>
      <c r="G130" s="29">
        <f t="shared" si="39"/>
        <v>1.9574596594398801</v>
      </c>
      <c r="H130" s="29">
        <f t="shared" si="39"/>
        <v>4.0444108179354901</v>
      </c>
      <c r="I130" s="30">
        <f t="shared" si="45"/>
        <v>1.0661528315187776</v>
      </c>
      <c r="J130" s="31" t="str">
        <f t="shared" si="41"/>
        <v>_log</v>
      </c>
      <c r="K130" s="31" t="str">
        <f t="shared" si="42"/>
        <v>GAS_PRICE_2018_log_FAC</v>
      </c>
      <c r="L130" s="6">
        <f>MATCH($K130,FAC_TOTALS_APTA!$A$2:$BB$2,)</f>
        <v>36</v>
      </c>
      <c r="M130" s="29">
        <f t="shared" si="43"/>
        <v>8586816.4247855674</v>
      </c>
      <c r="N130" s="29">
        <f t="shared" si="43"/>
        <v>9109730.2480852976</v>
      </c>
      <c r="O130" s="29">
        <f t="shared" si="43"/>
        <v>12379697.810785368</v>
      </c>
      <c r="P130" s="29">
        <f t="shared" si="43"/>
        <v>7390507.8399241585</v>
      </c>
      <c r="Q130" s="29">
        <f t="shared" si="43"/>
        <v>4155935.625294317</v>
      </c>
      <c r="R130" s="29">
        <f t="shared" si="43"/>
        <v>10375283.652341012</v>
      </c>
      <c r="S130" s="29">
        <f t="shared" si="43"/>
        <v>-28292914.190594409</v>
      </c>
      <c r="T130" s="29">
        <f t="shared" si="43"/>
        <v>13123486.087932335</v>
      </c>
      <c r="U130" s="29">
        <f t="shared" si="43"/>
        <v>19238276.446855031</v>
      </c>
      <c r="V130" s="29">
        <f t="shared" si="43"/>
        <v>698183.9989143511</v>
      </c>
      <c r="W130" s="29">
        <f t="shared" si="43"/>
        <v>0</v>
      </c>
      <c r="X130" s="29">
        <f t="shared" si="43"/>
        <v>0</v>
      </c>
      <c r="Y130" s="29">
        <f t="shared" si="43"/>
        <v>0</v>
      </c>
      <c r="Z130" s="29">
        <f t="shared" si="43"/>
        <v>0</v>
      </c>
      <c r="AA130" s="29">
        <f t="shared" si="43"/>
        <v>0</v>
      </c>
      <c r="AB130" s="29">
        <f t="shared" si="43"/>
        <v>0</v>
      </c>
      <c r="AC130" s="32">
        <f t="shared" si="44"/>
        <v>56765003.944323033</v>
      </c>
      <c r="AD130" s="33">
        <f>AC130/G138</f>
        <v>0.10635335898444977</v>
      </c>
    </row>
    <row r="131" spans="1:31" ht="15" x14ac:dyDescent="0.2">
      <c r="B131" s="115" t="s">
        <v>46</v>
      </c>
      <c r="C131" s="116" t="s">
        <v>21</v>
      </c>
      <c r="D131" s="104" t="s">
        <v>14</v>
      </c>
      <c r="E131" s="55"/>
      <c r="F131" s="6">
        <f>MATCH($D131,FAC_TOTALS_APTA!$A$2:$BD$2,)</f>
        <v>19</v>
      </c>
      <c r="G131" s="29">
        <f t="shared" si="39"/>
        <v>39598.839201009003</v>
      </c>
      <c r="H131" s="29">
        <f t="shared" si="39"/>
        <v>32203.8750405959</v>
      </c>
      <c r="I131" s="30">
        <f t="shared" si="45"/>
        <v>-0.18674699333673084</v>
      </c>
      <c r="J131" s="31" t="str">
        <f t="shared" si="41"/>
        <v>_log</v>
      </c>
      <c r="K131" s="31" t="str">
        <f t="shared" si="42"/>
        <v>TOTAL_MED_INC_INDIV_2018_log_FAC</v>
      </c>
      <c r="L131" s="6">
        <f>MATCH($K131,FAC_TOTALS_APTA!$A$2:$BB$2,)</f>
        <v>37</v>
      </c>
      <c r="M131" s="29">
        <f t="shared" si="43"/>
        <v>1123300.2068018159</v>
      </c>
      <c r="N131" s="29">
        <f t="shared" si="43"/>
        <v>1526954.1941758913</v>
      </c>
      <c r="O131" s="29">
        <f t="shared" si="43"/>
        <v>1487289.8414703752</v>
      </c>
      <c r="P131" s="29">
        <f t="shared" si="43"/>
        <v>2388112.4024091754</v>
      </c>
      <c r="Q131" s="29">
        <f t="shared" si="43"/>
        <v>-734710.83686031727</v>
      </c>
      <c r="R131" s="29">
        <f t="shared" si="43"/>
        <v>59632.317535839698</v>
      </c>
      <c r="S131" s="29">
        <f t="shared" si="43"/>
        <v>2565246.5712607102</v>
      </c>
      <c r="T131" s="29">
        <f t="shared" si="43"/>
        <v>1398627.1299732307</v>
      </c>
      <c r="U131" s="29">
        <f t="shared" si="43"/>
        <v>995936.78829899302</v>
      </c>
      <c r="V131" s="29">
        <f t="shared" si="43"/>
        <v>571584.38205062586</v>
      </c>
      <c r="W131" s="29">
        <f t="shared" si="43"/>
        <v>0</v>
      </c>
      <c r="X131" s="29">
        <f t="shared" si="43"/>
        <v>0</v>
      </c>
      <c r="Y131" s="29">
        <f t="shared" si="43"/>
        <v>0</v>
      </c>
      <c r="Z131" s="29">
        <f t="shared" si="43"/>
        <v>0</v>
      </c>
      <c r="AA131" s="29">
        <f t="shared" si="43"/>
        <v>0</v>
      </c>
      <c r="AB131" s="29">
        <f t="shared" si="43"/>
        <v>0</v>
      </c>
      <c r="AC131" s="32">
        <f t="shared" si="44"/>
        <v>11381972.997116338</v>
      </c>
      <c r="AD131" s="33">
        <f>AC131/G138</f>
        <v>2.1324953333940331E-2</v>
      </c>
    </row>
    <row r="132" spans="1:31" ht="15" x14ac:dyDescent="0.2">
      <c r="B132" s="115" t="s">
        <v>62</v>
      </c>
      <c r="C132" s="116"/>
      <c r="D132" s="104" t="s">
        <v>9</v>
      </c>
      <c r="E132" s="55"/>
      <c r="F132" s="6">
        <f>MATCH($D132,FAC_TOTALS_APTA!$A$2:$BD$2,)</f>
        <v>20</v>
      </c>
      <c r="G132" s="29">
        <f t="shared" si="39"/>
        <v>9.3799535204589795</v>
      </c>
      <c r="H132" s="29">
        <f t="shared" si="39"/>
        <v>9.8033770619576703</v>
      </c>
      <c r="I132" s="30">
        <f t="shared" si="45"/>
        <v>4.5141326188359532E-2</v>
      </c>
      <c r="J132" s="31" t="str">
        <f t="shared" si="41"/>
        <v/>
      </c>
      <c r="K132" s="31" t="str">
        <f t="shared" si="42"/>
        <v>PCT_HH_NO_VEH_FAC</v>
      </c>
      <c r="L132" s="6">
        <f>MATCH($K132,FAC_TOTALS_APTA!$A$2:$BB$2,)</f>
        <v>38</v>
      </c>
      <c r="M132" s="29">
        <f t="shared" si="43"/>
        <v>-109852.22299719487</v>
      </c>
      <c r="N132" s="29">
        <f t="shared" si="43"/>
        <v>-108202.68474486201</v>
      </c>
      <c r="O132" s="29">
        <f t="shared" si="43"/>
        <v>-122664.34375249868</v>
      </c>
      <c r="P132" s="29">
        <f t="shared" si="43"/>
        <v>-92112.039120799105</v>
      </c>
      <c r="Q132" s="29">
        <f t="shared" si="43"/>
        <v>-217554.66687181167</v>
      </c>
      <c r="R132" s="29">
        <f t="shared" si="43"/>
        <v>225042.78493337112</v>
      </c>
      <c r="S132" s="29">
        <f t="shared" si="43"/>
        <v>220192.86431604685</v>
      </c>
      <c r="T132" s="29">
        <f t="shared" si="43"/>
        <v>442624.69475296052</v>
      </c>
      <c r="U132" s="29">
        <f t="shared" si="43"/>
        <v>507523.09682474105</v>
      </c>
      <c r="V132" s="29">
        <f t="shared" si="43"/>
        <v>-187627.74305615126</v>
      </c>
      <c r="W132" s="29">
        <f t="shared" si="43"/>
        <v>0</v>
      </c>
      <c r="X132" s="29">
        <f t="shared" si="43"/>
        <v>0</v>
      </c>
      <c r="Y132" s="29">
        <f t="shared" si="43"/>
        <v>0</v>
      </c>
      <c r="Z132" s="29">
        <f t="shared" si="43"/>
        <v>0</v>
      </c>
      <c r="AA132" s="29">
        <f t="shared" si="43"/>
        <v>0</v>
      </c>
      <c r="AB132" s="29">
        <f t="shared" si="43"/>
        <v>0</v>
      </c>
      <c r="AC132" s="32">
        <f t="shared" si="44"/>
        <v>557369.74028380192</v>
      </c>
      <c r="AD132" s="33">
        <f>AC132/G138</f>
        <v>1.044272702484345E-3</v>
      </c>
    </row>
    <row r="133" spans="1:31" ht="15" x14ac:dyDescent="0.2">
      <c r="B133" s="115" t="s">
        <v>47</v>
      </c>
      <c r="C133" s="116"/>
      <c r="D133" s="104" t="s">
        <v>28</v>
      </c>
      <c r="E133" s="55"/>
      <c r="F133" s="6">
        <f>MATCH($D133,FAC_TOTALS_APTA!$A$2:$BD$2,)</f>
        <v>21</v>
      </c>
      <c r="G133" s="29">
        <f t="shared" si="39"/>
        <v>3.726363894164785</v>
      </c>
      <c r="H133" s="29">
        <f t="shared" si="39"/>
        <v>4.6553879169173848</v>
      </c>
      <c r="I133" s="30">
        <f t="shared" si="45"/>
        <v>0.24931113791849047</v>
      </c>
      <c r="J133" s="31" t="str">
        <f t="shared" si="41"/>
        <v/>
      </c>
      <c r="K133" s="31" t="str">
        <f t="shared" si="42"/>
        <v>JTW_HOME_PCT_FAC</v>
      </c>
      <c r="L133" s="6">
        <f>MATCH($K133,FAC_TOTALS_APTA!$A$2:$BB$2,)</f>
        <v>39</v>
      </c>
      <c r="M133" s="29">
        <f t="shared" si="43"/>
        <v>0</v>
      </c>
      <c r="N133" s="29">
        <f t="shared" si="43"/>
        <v>0</v>
      </c>
      <c r="O133" s="29">
        <f t="shared" si="43"/>
        <v>0</v>
      </c>
      <c r="P133" s="29">
        <f t="shared" si="43"/>
        <v>-1451904.8727051143</v>
      </c>
      <c r="Q133" s="29">
        <f t="shared" si="43"/>
        <v>-1305117.6826952244</v>
      </c>
      <c r="R133" s="29">
        <f t="shared" si="43"/>
        <v>-499981.46256316249</v>
      </c>
      <c r="S133" s="29">
        <f t="shared" si="43"/>
        <v>-1020615.0891078033</v>
      </c>
      <c r="T133" s="29">
        <f t="shared" si="43"/>
        <v>-1335128.8930995979</v>
      </c>
      <c r="U133" s="29">
        <f t="shared" si="43"/>
        <v>208222.73250303118</v>
      </c>
      <c r="V133" s="29">
        <f t="shared" si="43"/>
        <v>-463727.28027545847</v>
      </c>
      <c r="W133" s="29">
        <f t="shared" si="43"/>
        <v>0</v>
      </c>
      <c r="X133" s="29">
        <f t="shared" si="43"/>
        <v>0</v>
      </c>
      <c r="Y133" s="29">
        <f t="shared" si="43"/>
        <v>0</v>
      </c>
      <c r="Z133" s="29">
        <f t="shared" si="43"/>
        <v>0</v>
      </c>
      <c r="AA133" s="29">
        <f t="shared" si="43"/>
        <v>0</v>
      </c>
      <c r="AB133" s="29">
        <f t="shared" si="43"/>
        <v>0</v>
      </c>
      <c r="AC133" s="32">
        <f t="shared" si="44"/>
        <v>-5868252.5479433294</v>
      </c>
      <c r="AD133" s="33">
        <f>AC133/G138</f>
        <v>-1.0994597489237819E-2</v>
      </c>
    </row>
    <row r="134" spans="1:31" ht="15" x14ac:dyDescent="0.2">
      <c r="B134" s="115" t="s">
        <v>63</v>
      </c>
      <c r="C134" s="116"/>
      <c r="D134" s="126" t="s">
        <v>93</v>
      </c>
      <c r="E134" s="55"/>
      <c r="F134" s="6">
        <f>MATCH($D134,FAC_TOTALS_APTA!$A$2:$BD$2,)</f>
        <v>26</v>
      </c>
      <c r="G134" s="29">
        <f t="shared" si="39"/>
        <v>0</v>
      </c>
      <c r="H134" s="29">
        <f t="shared" si="39"/>
        <v>0.3099958712459035</v>
      </c>
      <c r="I134" s="228">
        <f>H134-G134</f>
        <v>0.3099958712459035</v>
      </c>
      <c r="J134" s="31"/>
      <c r="K134" s="31" t="str">
        <f t="shared" si="42"/>
        <v>YEARS_SINCE_TNC_RAIL_HINY_FAC</v>
      </c>
      <c r="L134" s="6">
        <f>MATCH($K134,FAC_TOTALS_APTA!$A$2:$BB$2,)</f>
        <v>44</v>
      </c>
      <c r="M134" s="29">
        <f t="shared" si="43"/>
        <v>0</v>
      </c>
      <c r="N134" s="29">
        <f t="shared" si="43"/>
        <v>0</v>
      </c>
      <c r="O134" s="29">
        <f t="shared" si="43"/>
        <v>0</v>
      </c>
      <c r="P134" s="29">
        <f t="shared" si="43"/>
        <v>0</v>
      </c>
      <c r="Q134" s="29">
        <f t="shared" si="43"/>
        <v>0</v>
      </c>
      <c r="R134" s="29">
        <f t="shared" si="43"/>
        <v>0</v>
      </c>
      <c r="S134" s="29">
        <f t="shared" si="43"/>
        <v>0</v>
      </c>
      <c r="T134" s="29">
        <f t="shared" si="43"/>
        <v>0</v>
      </c>
      <c r="U134" s="29">
        <f t="shared" si="43"/>
        <v>201508.66373905001</v>
      </c>
      <c r="V134" s="29">
        <f t="shared" si="43"/>
        <v>870779.11186966999</v>
      </c>
      <c r="W134" s="29">
        <f t="shared" si="43"/>
        <v>0</v>
      </c>
      <c r="X134" s="29">
        <f t="shared" si="43"/>
        <v>0</v>
      </c>
      <c r="Y134" s="29">
        <f t="shared" si="43"/>
        <v>0</v>
      </c>
      <c r="Z134" s="29">
        <f t="shared" si="43"/>
        <v>0</v>
      </c>
      <c r="AA134" s="29">
        <f t="shared" si="43"/>
        <v>0</v>
      </c>
      <c r="AB134" s="29">
        <f t="shared" si="43"/>
        <v>0</v>
      </c>
      <c r="AC134" s="32">
        <f t="shared" si="44"/>
        <v>1072287.77560872</v>
      </c>
      <c r="AD134" s="33">
        <f>AC134/G138</f>
        <v>2.0090090515241898E-3</v>
      </c>
    </row>
    <row r="135" spans="1:31" ht="15" x14ac:dyDescent="0.2">
      <c r="B135" s="115" t="s">
        <v>64</v>
      </c>
      <c r="C135" s="116"/>
      <c r="D135" s="104" t="s">
        <v>43</v>
      </c>
      <c r="E135" s="55"/>
      <c r="F135" s="6">
        <f>MATCH($D135,FAC_TOTALS_APTA!$A$2:$BD$2,)</f>
        <v>28</v>
      </c>
      <c r="G135" s="29">
        <f t="shared" si="39"/>
        <v>0.158621803489612</v>
      </c>
      <c r="H135" s="29">
        <f t="shared" si="39"/>
        <v>0.35272192431866201</v>
      </c>
      <c r="I135" s="228">
        <f>H135-G135</f>
        <v>0.19410012082905001</v>
      </c>
      <c r="J135" s="31" t="str">
        <f t="shared" ref="J135:J136" si="46">IF(C135="Log","_log","")</f>
        <v/>
      </c>
      <c r="K135" s="31" t="str">
        <f t="shared" si="42"/>
        <v>BIKE_SHARE_FAC</v>
      </c>
      <c r="L135" s="6">
        <f>MATCH($K135,FAC_TOTALS_APTA!$A$2:$BB$2,)</f>
        <v>46</v>
      </c>
      <c r="M135" s="29">
        <f t="shared" si="43"/>
        <v>0</v>
      </c>
      <c r="N135" s="29">
        <f t="shared" si="43"/>
        <v>0</v>
      </c>
      <c r="O135" s="29">
        <f t="shared" si="43"/>
        <v>0</v>
      </c>
      <c r="P135" s="29">
        <f t="shared" si="43"/>
        <v>0</v>
      </c>
      <c r="Q135" s="29">
        <f t="shared" si="43"/>
        <v>0</v>
      </c>
      <c r="R135" s="29">
        <f t="shared" si="43"/>
        <v>-1532197.4330512851</v>
      </c>
      <c r="S135" s="29">
        <f t="shared" si="43"/>
        <v>0</v>
      </c>
      <c r="T135" s="29">
        <f t="shared" si="43"/>
        <v>-160056.68013192451</v>
      </c>
      <c r="U135" s="29">
        <f t="shared" si="43"/>
        <v>-1279327.858752345</v>
      </c>
      <c r="V135" s="29">
        <f t="shared" si="43"/>
        <v>-81432.256191863999</v>
      </c>
      <c r="W135" s="29">
        <f t="shared" si="43"/>
        <v>0</v>
      </c>
      <c r="X135" s="29">
        <f t="shared" si="43"/>
        <v>0</v>
      </c>
      <c r="Y135" s="29">
        <f t="shared" si="43"/>
        <v>0</v>
      </c>
      <c r="Z135" s="29">
        <f t="shared" si="43"/>
        <v>0</v>
      </c>
      <c r="AA135" s="29">
        <f t="shared" si="43"/>
        <v>0</v>
      </c>
      <c r="AB135" s="29">
        <f t="shared" si="43"/>
        <v>0</v>
      </c>
      <c r="AC135" s="32">
        <f t="shared" si="44"/>
        <v>-3053014.2281274186</v>
      </c>
      <c r="AD135" s="33">
        <f>AC135/G138</f>
        <v>-5.7200439641850965E-3</v>
      </c>
    </row>
    <row r="136" spans="1:31" ht="15" x14ac:dyDescent="0.2">
      <c r="B136" s="127" t="s">
        <v>65</v>
      </c>
      <c r="C136" s="128"/>
      <c r="D136" s="129" t="s">
        <v>44</v>
      </c>
      <c r="E136" s="56"/>
      <c r="F136" s="7">
        <f>MATCH($D136,FAC_TOTALS_APTA!$A$2:$BD$2,)</f>
        <v>29</v>
      </c>
      <c r="G136" s="29">
        <f t="shared" si="39"/>
        <v>0</v>
      </c>
      <c r="H136" s="29">
        <f t="shared" si="39"/>
        <v>0</v>
      </c>
      <c r="I136" s="228">
        <f>H136-G136</f>
        <v>0</v>
      </c>
      <c r="J136" s="37" t="str">
        <f t="shared" si="46"/>
        <v/>
      </c>
      <c r="K136" s="37" t="str">
        <f t="shared" si="42"/>
        <v>scooter_flag_FAC</v>
      </c>
      <c r="L136" s="7">
        <f>MATCH($K136,FAC_TOTALS_APTA!$A$2:$BB$2,)</f>
        <v>47</v>
      </c>
      <c r="M136" s="29">
        <f t="shared" si="43"/>
        <v>0</v>
      </c>
      <c r="N136" s="29">
        <f t="shared" si="43"/>
        <v>0</v>
      </c>
      <c r="O136" s="29">
        <f t="shared" si="43"/>
        <v>0</v>
      </c>
      <c r="P136" s="29">
        <f t="shared" si="43"/>
        <v>0</v>
      </c>
      <c r="Q136" s="29">
        <f t="shared" si="43"/>
        <v>0</v>
      </c>
      <c r="R136" s="29">
        <f t="shared" si="43"/>
        <v>0</v>
      </c>
      <c r="S136" s="29">
        <f t="shared" si="43"/>
        <v>0</v>
      </c>
      <c r="T136" s="29">
        <f t="shared" si="43"/>
        <v>0</v>
      </c>
      <c r="U136" s="29">
        <f t="shared" si="43"/>
        <v>0</v>
      </c>
      <c r="V136" s="29">
        <f t="shared" si="43"/>
        <v>0</v>
      </c>
      <c r="W136" s="29">
        <f t="shared" si="43"/>
        <v>0</v>
      </c>
      <c r="X136" s="29">
        <f t="shared" si="43"/>
        <v>0</v>
      </c>
      <c r="Y136" s="29">
        <f t="shared" si="43"/>
        <v>0</v>
      </c>
      <c r="Z136" s="29">
        <f t="shared" si="43"/>
        <v>0</v>
      </c>
      <c r="AA136" s="29">
        <f t="shared" si="43"/>
        <v>0</v>
      </c>
      <c r="AB136" s="29">
        <f t="shared" si="43"/>
        <v>0</v>
      </c>
      <c r="AC136" s="39">
        <f t="shared" si="44"/>
        <v>0</v>
      </c>
      <c r="AD136" s="40">
        <f>AC136/G138</f>
        <v>0</v>
      </c>
    </row>
    <row r="137" spans="1:31" ht="15" x14ac:dyDescent="0.2">
      <c r="B137" s="41" t="s">
        <v>53</v>
      </c>
      <c r="C137" s="42"/>
      <c r="D137" s="41" t="s">
        <v>45</v>
      </c>
      <c r="E137" s="43"/>
      <c r="F137" s="44"/>
      <c r="G137" s="29">
        <f t="shared" si="39"/>
        <v>0</v>
      </c>
      <c r="H137" s="29">
        <f t="shared" si="39"/>
        <v>0</v>
      </c>
      <c r="I137" s="46"/>
      <c r="J137" s="47"/>
      <c r="K137" s="47" t="str">
        <f t="shared" si="42"/>
        <v>New_Reporter_FAC</v>
      </c>
      <c r="L137" s="44">
        <f>MATCH($K137,FAC_TOTALS_APTA!$A$2:$BB$2,)</f>
        <v>51</v>
      </c>
      <c r="M137" s="29">
        <f t="shared" si="43"/>
        <v>229982</v>
      </c>
      <c r="N137" s="29">
        <f t="shared" si="43"/>
        <v>3847943.5</v>
      </c>
      <c r="O137" s="29">
        <f t="shared" si="43"/>
        <v>3950833.9999999949</v>
      </c>
      <c r="P137" s="29">
        <f t="shared" si="43"/>
        <v>0</v>
      </c>
      <c r="Q137" s="29">
        <f t="shared" si="43"/>
        <v>837743</v>
      </c>
      <c r="R137" s="29">
        <f t="shared" si="43"/>
        <v>2243319.4999999949</v>
      </c>
      <c r="S137" s="29">
        <f t="shared" si="43"/>
        <v>5674170.5</v>
      </c>
      <c r="T137" s="29">
        <f t="shared" si="43"/>
        <v>21600611.499999952</v>
      </c>
      <c r="U137" s="29">
        <f t="shared" si="43"/>
        <v>234664</v>
      </c>
      <c r="V137" s="29">
        <f t="shared" si="43"/>
        <v>825655</v>
      </c>
      <c r="W137" s="29">
        <f t="shared" si="43"/>
        <v>0</v>
      </c>
      <c r="X137" s="29">
        <f t="shared" si="43"/>
        <v>0</v>
      </c>
      <c r="Y137" s="29">
        <f t="shared" si="43"/>
        <v>0</v>
      </c>
      <c r="Z137" s="29">
        <f t="shared" si="43"/>
        <v>0</v>
      </c>
      <c r="AA137" s="29">
        <f t="shared" si="43"/>
        <v>0</v>
      </c>
      <c r="AB137" s="29">
        <f t="shared" si="43"/>
        <v>0</v>
      </c>
      <c r="AC137" s="48">
        <f>SUM(M137:AB137)</f>
        <v>39444922.99999994</v>
      </c>
      <c r="AD137" s="208">
        <f>AC137/G139</f>
        <v>5.9047402024318255E-2</v>
      </c>
    </row>
    <row r="138" spans="1:31" s="107" customFormat="1" ht="15.75" customHeight="1" x14ac:dyDescent="0.2">
      <c r="A138" s="106"/>
      <c r="B138" s="25" t="s">
        <v>66</v>
      </c>
      <c r="C138" s="28"/>
      <c r="D138" s="6" t="s">
        <v>6</v>
      </c>
      <c r="E138" s="55"/>
      <c r="F138" s="6">
        <f>MATCH($D138,FAC_TOTALS_APTA!$A$2:$BB$2,)</f>
        <v>10</v>
      </c>
      <c r="G138" s="29">
        <f t="shared" si="39"/>
        <v>533739643.82848322</v>
      </c>
      <c r="H138" s="29">
        <f t="shared" si="39"/>
        <v>888613368.93089354</v>
      </c>
      <c r="I138" s="112">
        <f t="shared" ref="I138:I139" si="47">H138/G138-1</f>
        <v>0.66488170628833543</v>
      </c>
      <c r="J138" s="31"/>
      <c r="K138" s="31"/>
      <c r="L138" s="6"/>
      <c r="M138" s="29">
        <f t="shared" ref="M138:AB138" si="48">SUM(M124:M131)</f>
        <v>39178532.841379791</v>
      </c>
      <c r="N138" s="29">
        <f t="shared" si="48"/>
        <v>27353910.851131652</v>
      </c>
      <c r="O138" s="29">
        <f t="shared" si="48"/>
        <v>20653484.660571702</v>
      </c>
      <c r="P138" s="29">
        <f t="shared" si="48"/>
        <v>31698559.880700774</v>
      </c>
      <c r="Q138" s="29">
        <f t="shared" si="48"/>
        <v>35606494.80667299</v>
      </c>
      <c r="R138" s="29">
        <f t="shared" si="48"/>
        <v>24967513.793534651</v>
      </c>
      <c r="S138" s="29">
        <f t="shared" si="48"/>
        <v>-36583824.033386581</v>
      </c>
      <c r="T138" s="29">
        <f t="shared" si="48"/>
        <v>17098900.59258236</v>
      </c>
      <c r="U138" s="29">
        <f t="shared" si="48"/>
        <v>23100400.547328755</v>
      </c>
      <c r="V138" s="29">
        <f t="shared" si="48"/>
        <v>19891021.811725564</v>
      </c>
      <c r="W138" s="29">
        <f t="shared" si="48"/>
        <v>0</v>
      </c>
      <c r="X138" s="29">
        <f t="shared" si="48"/>
        <v>0</v>
      </c>
      <c r="Y138" s="29">
        <f t="shared" si="48"/>
        <v>0</v>
      </c>
      <c r="Z138" s="29">
        <f t="shared" si="48"/>
        <v>0</v>
      </c>
      <c r="AA138" s="29">
        <f t="shared" si="48"/>
        <v>0</v>
      </c>
      <c r="AB138" s="29">
        <f t="shared" si="48"/>
        <v>0</v>
      </c>
      <c r="AC138" s="32">
        <f>H138-G138</f>
        <v>354873725.10241032</v>
      </c>
      <c r="AD138" s="33">
        <f>I138</f>
        <v>0.66488170628833543</v>
      </c>
      <c r="AE138" s="106"/>
    </row>
    <row r="139" spans="1:31" ht="16" thickBot="1" x14ac:dyDescent="0.25">
      <c r="B139" s="9" t="s">
        <v>50</v>
      </c>
      <c r="C139" s="23"/>
      <c r="D139" s="23" t="s">
        <v>4</v>
      </c>
      <c r="E139" s="23"/>
      <c r="F139" s="23">
        <f>MATCH($D139,FAC_TOTALS_APTA!$A$2:$BB$2,)</f>
        <v>8</v>
      </c>
      <c r="G139" s="29">
        <f t="shared" si="39"/>
        <v>668021312.49999499</v>
      </c>
      <c r="H139" s="29">
        <f t="shared" si="39"/>
        <v>882992079</v>
      </c>
      <c r="I139" s="113">
        <f t="shared" si="47"/>
        <v>0.32180225761884906</v>
      </c>
      <c r="J139" s="50"/>
      <c r="K139" s="50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51">
        <f>H139-G139</f>
        <v>214970766.50000501</v>
      </c>
      <c r="AD139" s="52">
        <f>I139</f>
        <v>0.32180225761884906</v>
      </c>
    </row>
    <row r="140" spans="1:31" ht="17" thickTop="1" thickBot="1" x14ac:dyDescent="0.25">
      <c r="B140" s="57" t="s">
        <v>67</v>
      </c>
      <c r="C140" s="58"/>
      <c r="D140" s="58"/>
      <c r="E140" s="59"/>
      <c r="F140" s="58"/>
      <c r="G140" s="58"/>
      <c r="H140" s="58"/>
      <c r="I140" s="60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2">
        <f>AD139-AD138</f>
        <v>-0.34307944866948636</v>
      </c>
    </row>
    <row r="141" spans="1:31" ht="15" thickTop="1" x14ac:dyDescent="0.2"/>
  </sheetData>
  <mergeCells count="10">
    <mergeCell ref="G119:I119"/>
    <mergeCell ref="AC119:AD119"/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1"/>
  <sheetViews>
    <sheetView showGridLines="0" topLeftCell="A114" workbookViewId="0">
      <selection activeCell="A117" sqref="A117:XFD140"/>
    </sheetView>
  </sheetViews>
  <sheetFormatPr baseColWidth="10" defaultColWidth="11" defaultRowHeight="14" x14ac:dyDescent="0.2"/>
  <cols>
    <col min="1" max="1" width="11" style="10"/>
    <col min="2" max="2" width="32.5" style="11" bestFit="1" customWidth="1"/>
    <col min="3" max="3" width="5.33203125" style="12" customWidth="1"/>
    <col min="4" max="4" width="25.33203125" style="12" customWidth="1"/>
    <col min="5" max="5" width="5.1640625" style="13" bestFit="1" customWidth="1"/>
    <col min="6" max="6" width="11" style="12" customWidth="1"/>
    <col min="7" max="8" width="11.6640625" style="12" bestFit="1" customWidth="1"/>
    <col min="9" max="9" width="28.33203125" style="14" customWidth="1"/>
    <col min="10" max="10" width="11" style="12" customWidth="1"/>
    <col min="11" max="11" width="24.5" style="12" customWidth="1"/>
    <col min="12" max="12" width="12.5" style="12" customWidth="1"/>
    <col min="13" max="13" width="13.5" style="12" customWidth="1"/>
    <col min="14" max="14" width="13" style="12" customWidth="1"/>
    <col min="15" max="15" width="11" style="12" customWidth="1"/>
    <col min="16" max="28" width="11.5" style="12" customWidth="1"/>
    <col min="29" max="29" width="16.5" style="12" customWidth="1"/>
    <col min="30" max="30" width="12" style="12" customWidth="1"/>
    <col min="31" max="31" width="15.33203125" style="10" customWidth="1"/>
    <col min="32" max="16384" width="11" style="12"/>
  </cols>
  <sheetData>
    <row r="1" spans="1:31" ht="15" x14ac:dyDescent="0.2">
      <c r="B1" s="11" t="s">
        <v>36</v>
      </c>
      <c r="C1" s="12">
        <v>2012</v>
      </c>
    </row>
    <row r="2" spans="1:31" ht="15" x14ac:dyDescent="0.2">
      <c r="B2" s="11" t="s">
        <v>37</v>
      </c>
      <c r="C2" s="12">
        <v>2018</v>
      </c>
      <c r="D2" s="10"/>
    </row>
    <row r="3" spans="1:31" s="10" customFormat="1" ht="15" x14ac:dyDescent="0.2">
      <c r="B3" s="18" t="s">
        <v>25</v>
      </c>
      <c r="E3" s="6"/>
      <c r="I3" s="17"/>
    </row>
    <row r="4" spans="1:31" ht="15" x14ac:dyDescent="0.2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ht="15" x14ac:dyDescent="0.2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6" thickBot="1" x14ac:dyDescent="0.25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5" thickTop="1" x14ac:dyDescent="0.2">
      <c r="B8" s="25"/>
      <c r="C8" s="6"/>
      <c r="D8" s="62"/>
      <c r="E8" s="6"/>
      <c r="F8" s="6"/>
      <c r="G8" s="240" t="s">
        <v>51</v>
      </c>
      <c r="H8" s="240"/>
      <c r="I8" s="240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40" t="s">
        <v>55</v>
      </c>
      <c r="AD8" s="240"/>
    </row>
    <row r="9" spans="1:31" ht="15" x14ac:dyDescent="0.2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x14ac:dyDescent="0.2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x14ac:dyDescent="0.2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x14ac:dyDescent="0.2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ht="15" x14ac:dyDescent="0.2">
      <c r="A13" s="6"/>
      <c r="B13" s="115" t="s">
        <v>31</v>
      </c>
      <c r="C13" s="116" t="s">
        <v>21</v>
      </c>
      <c r="D13" s="104" t="s">
        <v>91</v>
      </c>
      <c r="E13" s="55"/>
      <c r="F13" s="6">
        <f>MATCH($D13,FAC_TOTALS_APTA!$A$2:$BD$2,)</f>
        <v>13</v>
      </c>
      <c r="G13" s="29">
        <f>VLOOKUP(G11,FAC_TOTALS_APTA!$A$4:$BD$126,$F13,FALSE)</f>
        <v>60228514.526974499</v>
      </c>
      <c r="H13" s="29">
        <f>VLOOKUP(H11,FAC_TOTALS_APTA!$A$4:$BD$126,$F13,FALSE)</f>
        <v>67315268.821722701</v>
      </c>
      <c r="I13" s="30">
        <f>IFERROR(H13/G13-1,"-")</f>
        <v>0.11766443769046075</v>
      </c>
      <c r="J13" s="31" t="str">
        <f>IF(C13="Log","_log","")</f>
        <v>_log</v>
      </c>
      <c r="K13" s="31" t="str">
        <f>CONCATENATE(D13,J13,"_FAC")</f>
        <v>VRM_ADJ_RAIL_log_FAC</v>
      </c>
      <c r="L13" s="6">
        <f>MATCH($K13,FAC_TOTALS_APTA!$A$2:$BB$2,)</f>
        <v>31</v>
      </c>
      <c r="M13" s="29">
        <f>IF(M11=0,0,VLOOKUP(M11,FAC_TOTALS_APTA!$A$4:$BD$126,$L13,FALSE))</f>
        <v>30928332.9025825</v>
      </c>
      <c r="N13" s="29">
        <f>IF(N11=0,0,VLOOKUP(N11,FAC_TOTALS_APTA!$A$4:$BD$126,$L13,FALSE))</f>
        <v>42467872.4405858</v>
      </c>
      <c r="O13" s="29">
        <f>IF(O11=0,0,VLOOKUP(O11,FAC_TOTALS_APTA!$A$4:$BD$126,$L13,FALSE))</f>
        <v>21287278.176963702</v>
      </c>
      <c r="P13" s="29">
        <f>IF(P11=0,0,VLOOKUP(P11,FAC_TOTALS_APTA!$A$4:$BD$126,$L13,FALSE))</f>
        <v>27078558.9672332</v>
      </c>
      <c r="Q13" s="29">
        <f>IF(Q11=0,0,VLOOKUP(Q11,FAC_TOTALS_APTA!$A$4:$BD$126,$L13,FALSE))</f>
        <v>34512551.220556296</v>
      </c>
      <c r="R13" s="29">
        <f>IF(R11=0,0,VLOOKUP(R11,FAC_TOTALS_APTA!$A$4:$BD$126,$L13,FALSE))</f>
        <v>12907421.5227501</v>
      </c>
      <c r="S13" s="29">
        <f>IF(S11=0,0,VLOOKUP(S11,FAC_TOTALS_APTA!$A$4:$BD$126,$L13,FALSE))</f>
        <v>0</v>
      </c>
      <c r="T13" s="29">
        <f>IF(T11=0,0,VLOOKUP(T11,FAC_TOTALS_APTA!$A$4:$BD$126,$L13,FALSE))</f>
        <v>0</v>
      </c>
      <c r="U13" s="29">
        <f>IF(U11=0,0,VLOOKUP(U11,FAC_TOTALS_APTA!$A$4:$BD$126,$L13,FALSE))</f>
        <v>0</v>
      </c>
      <c r="V13" s="29">
        <f>IF(V11=0,0,VLOOKUP(V11,FAC_TOTALS_APTA!$A$4:$BD$126,$L13,FALSE))</f>
        <v>0</v>
      </c>
      <c r="W13" s="29">
        <f>IF(W11=0,0,VLOOKUP(W11,FAC_TOTALS_APTA!$A$4:$BD$126,$L13,FALSE))</f>
        <v>0</v>
      </c>
      <c r="X13" s="29">
        <f>IF(X11=0,0,VLOOKUP(X11,FAC_TOTALS_APTA!$A$4:$BD$126,$L13,FALSE))</f>
        <v>0</v>
      </c>
      <c r="Y13" s="29">
        <f>IF(Y11=0,0,VLOOKUP(Y11,FAC_TOTALS_APTA!$A$4:$BD$126,$L13,FALSE))</f>
        <v>0</v>
      </c>
      <c r="Z13" s="29">
        <f>IF(Z11=0,0,VLOOKUP(Z11,FAC_TOTALS_APTA!$A$4:$BD$126,$L13,FALSE))</f>
        <v>0</v>
      </c>
      <c r="AA13" s="29">
        <f>IF(AA11=0,0,VLOOKUP(AA11,FAC_TOTALS_APTA!$A$4:$BD$126,$L13,FALSE))</f>
        <v>0</v>
      </c>
      <c r="AB13" s="29">
        <f>IF(AB11=0,0,VLOOKUP(AB11,FAC_TOTALS_APTA!$A$4:$BD$126,$L13,FALSE))</f>
        <v>0</v>
      </c>
      <c r="AC13" s="32">
        <f>SUM(M13:AB13)</f>
        <v>169182015.23067161</v>
      </c>
      <c r="AD13" s="33">
        <f>AC13/G27</f>
        <v>9.961358301090717E-2</v>
      </c>
      <c r="AE13" s="6"/>
    </row>
    <row r="14" spans="1:31" s="13" customFormat="1" ht="15" x14ac:dyDescent="0.2">
      <c r="A14" s="6"/>
      <c r="B14" s="115" t="s">
        <v>52</v>
      </c>
      <c r="C14" s="116" t="s">
        <v>21</v>
      </c>
      <c r="D14" s="104" t="s">
        <v>92</v>
      </c>
      <c r="E14" s="55"/>
      <c r="F14" s="6">
        <f>MATCH($D14,FAC_TOTALS_APTA!$A$2:$BD$2,)</f>
        <v>15</v>
      </c>
      <c r="G14" s="54">
        <f>VLOOKUP(G11,FAC_TOTALS_APTA!$A$4:$BD$126,$F14,FALSE)</f>
        <v>1.87757629079359</v>
      </c>
      <c r="H14" s="54">
        <f>VLOOKUP(H11,FAC_TOTALS_APTA!$A$4:$BD$126,$F14,FALSE)</f>
        <v>2.11628653933517</v>
      </c>
      <c r="I14" s="30">
        <f t="shared" ref="I14:I25" si="1">IFERROR(H14/G14-1,"-")</f>
        <v>0.1271374429428298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FARE_per_UPT_cleaned_2018_RAIL_log_FAC</v>
      </c>
      <c r="L14" s="6">
        <f>MATCH($K14,FAC_TOTALS_APTA!$A$2:$BB$2,)</f>
        <v>33</v>
      </c>
      <c r="M14" s="29">
        <f>IF(M11=0,0,VLOOKUP(M11,FAC_TOTALS_APTA!$A$4:$BD$126,$L14,FALSE))</f>
        <v>-25418315.9769114</v>
      </c>
      <c r="N14" s="29">
        <f>IF(N11=0,0,VLOOKUP(N11,FAC_TOTALS_APTA!$A$4:$BD$126,$L14,FALSE))</f>
        <v>4708428.9750439301</v>
      </c>
      <c r="O14" s="29">
        <f>IF(O11=0,0,VLOOKUP(O11,FAC_TOTALS_APTA!$A$4:$BD$126,$L14,FALSE))</f>
        <v>-24779479.867503501</v>
      </c>
      <c r="P14" s="29">
        <f>IF(P11=0,0,VLOOKUP(P11,FAC_TOTALS_APTA!$A$4:$BD$126,$L14,FALSE))</f>
        <v>-7662114.35662721</v>
      </c>
      <c r="Q14" s="29">
        <f>IF(Q11=0,0,VLOOKUP(Q11,FAC_TOTALS_APTA!$A$4:$BD$126,$L14,FALSE))</f>
        <v>6111718.0029884903</v>
      </c>
      <c r="R14" s="29">
        <f>IF(R11=0,0,VLOOKUP(R11,FAC_TOTALS_APTA!$A$4:$BD$126,$L14,FALSE))</f>
        <v>1457531.6585596099</v>
      </c>
      <c r="S14" s="29">
        <f>IF(S11=0,0,VLOOKUP(S11,FAC_TOTALS_APTA!$A$4:$BD$126,$L14,FALSE))</f>
        <v>0</v>
      </c>
      <c r="T14" s="29">
        <f>IF(T11=0,0,VLOOKUP(T11,FAC_TOTALS_APTA!$A$4:$BD$126,$L14,FALSE))</f>
        <v>0</v>
      </c>
      <c r="U14" s="29">
        <f>IF(U11=0,0,VLOOKUP(U11,FAC_TOTALS_APTA!$A$4:$BD$126,$L14,FALSE))</f>
        <v>0</v>
      </c>
      <c r="V14" s="29">
        <f>IF(V11=0,0,VLOOKUP(V11,FAC_TOTALS_APTA!$A$4:$BD$126,$L14,FALSE))</f>
        <v>0</v>
      </c>
      <c r="W14" s="29">
        <f>IF(W11=0,0,VLOOKUP(W11,FAC_TOTALS_APTA!$A$4:$BD$126,$L14,FALSE))</f>
        <v>0</v>
      </c>
      <c r="X14" s="29">
        <f>IF(X11=0,0,VLOOKUP(X11,FAC_TOTALS_APTA!$A$4:$BD$126,$L14,FALSE))</f>
        <v>0</v>
      </c>
      <c r="Y14" s="29">
        <f>IF(Y11=0,0,VLOOKUP(Y11,FAC_TOTALS_APTA!$A$4:$BD$126,$L14,FALSE))</f>
        <v>0</v>
      </c>
      <c r="Z14" s="29">
        <f>IF(Z11=0,0,VLOOKUP(Z11,FAC_TOTALS_APTA!$A$4:$BD$126,$L14,FALSE))</f>
        <v>0</v>
      </c>
      <c r="AA14" s="29">
        <f>IF(AA11=0,0,VLOOKUP(AA11,FAC_TOTALS_APTA!$A$4:$BD$126,$L14,FALSE))</f>
        <v>0</v>
      </c>
      <c r="AB14" s="29">
        <f>IF(AB11=0,0,VLOOKUP(AB11,FAC_TOTALS_APTA!$A$4:$BD$126,$L14,FALSE))</f>
        <v>0</v>
      </c>
      <c r="AC14" s="32">
        <f t="shared" ref="AC14:AC25" si="4">SUM(M14:AB14)</f>
        <v>-45582231.564450078</v>
      </c>
      <c r="AD14" s="33">
        <f>AC14/G27</f>
        <v>-2.6838605755918184E-2</v>
      </c>
      <c r="AE14" s="6"/>
    </row>
    <row r="15" spans="1:31" s="13" customFormat="1" ht="15" x14ac:dyDescent="0.2">
      <c r="A15" s="6"/>
      <c r="B15" s="115" t="s">
        <v>80</v>
      </c>
      <c r="C15" s="116"/>
      <c r="D15" s="104" t="s">
        <v>78</v>
      </c>
      <c r="E15" s="118"/>
      <c r="F15" s="104">
        <f>MATCH($D15,FAC_TOTALS_APTA!$A$2:$BD$2,)</f>
        <v>23</v>
      </c>
      <c r="G15" s="117">
        <f>VLOOKUP(G11,FAC_TOTALS_APTA!$A$4:$BD$126,$F15,FALSE)</f>
        <v>0</v>
      </c>
      <c r="H15" s="117">
        <f>VLOOKUP(H11,FAC_TOTALS_APTA!$A$4:$BD$126,$F15,FALSE)</f>
        <v>0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MATCH($K15,FAC_TOTALS_APTA!$A$2:$BB$2,)</f>
        <v>41</v>
      </c>
      <c r="M15" s="117">
        <f>IF(M11=0,0,VLOOKUP(M11,FAC_TOTALS_APTA!$A$4:$BD$126,$L15,FALSE))</f>
        <v>0</v>
      </c>
      <c r="N15" s="117">
        <f>IF(N11=0,0,VLOOKUP(N11,FAC_TOTALS_APTA!$A$4:$BD$126,$L15,FALSE))</f>
        <v>0</v>
      </c>
      <c r="O15" s="117">
        <f>IF(O11=0,0,VLOOKUP(O11,FAC_TOTALS_APTA!$A$4:$BD$126,$L15,FALSE))</f>
        <v>0</v>
      </c>
      <c r="P15" s="117">
        <f>IF(P11=0,0,VLOOKUP(P11,FAC_TOTALS_APTA!$A$4:$BD$126,$L15,FALSE))</f>
        <v>0</v>
      </c>
      <c r="Q15" s="117">
        <f>IF(Q11=0,0,VLOOKUP(Q11,FAC_TOTALS_APTA!$A$4:$BD$126,$L15,FALSE))</f>
        <v>0</v>
      </c>
      <c r="R15" s="117">
        <f>IF(R11=0,0,VLOOKUP(R11,FAC_TOTALS_APTA!$A$4:$BD$126,$L15,FALSE))</f>
        <v>0</v>
      </c>
      <c r="S15" s="117">
        <f>IF(S11=0,0,VLOOKUP(S11,FAC_TOTALS_APTA!$A$4:$BD$126,$L15,FALSE))</f>
        <v>0</v>
      </c>
      <c r="T15" s="117">
        <f>IF(T11=0,0,VLOOKUP(T11,FAC_TOTALS_APTA!$A$4:$BD$126,$L15,FALSE))</f>
        <v>0</v>
      </c>
      <c r="U15" s="117">
        <f>IF(U11=0,0,VLOOKUP(U11,FAC_TOTALS_APTA!$A$4:$BD$126,$L15,FALSE))</f>
        <v>0</v>
      </c>
      <c r="V15" s="117">
        <f>IF(V11=0,0,VLOOKUP(V11,FAC_TOTALS_APTA!$A$4:$BD$126,$L15,FALSE))</f>
        <v>0</v>
      </c>
      <c r="W15" s="117">
        <f>IF(W11=0,0,VLOOKUP(W11,FAC_TOTALS_APTA!$A$4:$BD$126,$L15,FALSE))</f>
        <v>0</v>
      </c>
      <c r="X15" s="117">
        <f>IF(X11=0,0,VLOOKUP(X11,FAC_TOTALS_APTA!$A$4:$BD$126,$L15,FALSE))</f>
        <v>0</v>
      </c>
      <c r="Y15" s="117">
        <f>IF(Y11=0,0,VLOOKUP(Y11,FAC_TOTALS_APTA!$A$4:$BD$126,$L15,FALSE))</f>
        <v>0</v>
      </c>
      <c r="Z15" s="117">
        <f>IF(Z11=0,0,VLOOKUP(Z11,FAC_TOTALS_APTA!$A$4:$BD$126,$L15,FALSE))</f>
        <v>0</v>
      </c>
      <c r="AA15" s="117">
        <f>IF(AA11=0,0,VLOOKUP(AA11,FAC_TOTALS_APTA!$A$4:$BD$126,$L15,FALSE))</f>
        <v>0</v>
      </c>
      <c r="AB15" s="117">
        <f>IF(AB11=0,0,VLOOKUP(AB11,FAC_TOTALS_APTA!$A$4:$BD$126,$L15,FALSE))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ht="15" x14ac:dyDescent="0.2">
      <c r="A16" s="6"/>
      <c r="B16" s="115" t="s">
        <v>81</v>
      </c>
      <c r="C16" s="116"/>
      <c r="D16" s="104" t="s">
        <v>77</v>
      </c>
      <c r="E16" s="118"/>
      <c r="F16" s="104">
        <f>MATCH($D16,FAC_TOTALS_APTA!$A$2:$BD$2,)</f>
        <v>22</v>
      </c>
      <c r="G16" s="54">
        <f>VLOOKUP(G11,FAC_TOTALS_APTA!$A$4:$BD$126,$F16,FALSE)</f>
        <v>0</v>
      </c>
      <c r="H16" s="54">
        <f>VLOOKUP(H11,FAC_TOTALS_APTA!$A$4:$BD$126,$F16,FALSE)</f>
        <v>9.1007693143801194E-2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MATCH($K16,FAC_TOTALS_APTA!$A$2:$BB$2,)</f>
        <v>40</v>
      </c>
      <c r="M16" s="29">
        <f>IF(M11=0,0,VLOOKUP(M11,FAC_TOTALS_APTA!$A$4:$BD$126,$L16,FALSE))</f>
        <v>0</v>
      </c>
      <c r="N16" s="29">
        <f>IF(N11=0,0,VLOOKUP(N11,FAC_TOTALS_APTA!$A$4:$BD$126,$L16,FALSE))</f>
        <v>0</v>
      </c>
      <c r="O16" s="29">
        <f>IF(O11=0,0,VLOOKUP(O11,FAC_TOTALS_APTA!$A$4:$BD$126,$L16,FALSE))</f>
        <v>-17663190.0209723</v>
      </c>
      <c r="P16" s="29">
        <f>IF(P11=0,0,VLOOKUP(P11,FAC_TOTALS_APTA!$A$4:$BD$126,$L16,FALSE))</f>
        <v>-16979244.2720038</v>
      </c>
      <c r="Q16" s="29">
        <f>IF(Q11=0,0,VLOOKUP(Q11,FAC_TOTALS_APTA!$A$4:$BD$126,$L16,FALSE))</f>
        <v>0</v>
      </c>
      <c r="R16" s="29">
        <f>IF(R11=0,0,VLOOKUP(R11,FAC_TOTALS_APTA!$A$4:$BD$126,$L16,FALSE))</f>
        <v>16179783.717286499</v>
      </c>
      <c r="S16" s="29">
        <f>IF(S11=0,0,VLOOKUP(S11,FAC_TOTALS_APTA!$A$4:$BD$126,$L16,FALSE))</f>
        <v>0</v>
      </c>
      <c r="T16" s="29">
        <f>IF(T11=0,0,VLOOKUP(T11,FAC_TOTALS_APTA!$A$4:$BD$126,$L16,FALSE))</f>
        <v>0</v>
      </c>
      <c r="U16" s="29">
        <f>IF(U11=0,0,VLOOKUP(U11,FAC_TOTALS_APTA!$A$4:$BD$126,$L16,FALSE))</f>
        <v>0</v>
      </c>
      <c r="V16" s="29">
        <f>IF(V11=0,0,VLOOKUP(V11,FAC_TOTALS_APTA!$A$4:$BD$126,$L16,FALSE))</f>
        <v>0</v>
      </c>
      <c r="W16" s="29">
        <f>IF(W11=0,0,VLOOKUP(W11,FAC_TOTALS_APTA!$A$4:$BD$126,$L16,FALSE))</f>
        <v>0</v>
      </c>
      <c r="X16" s="29">
        <f>IF(X11=0,0,VLOOKUP(X11,FAC_TOTALS_APTA!$A$4:$BD$126,$L16,FALSE))</f>
        <v>0</v>
      </c>
      <c r="Y16" s="29">
        <f>IF(Y11=0,0,VLOOKUP(Y11,FAC_TOTALS_APTA!$A$4:$BD$126,$L16,FALSE))</f>
        <v>0</v>
      </c>
      <c r="Z16" s="29">
        <f>IF(Z11=0,0,VLOOKUP(Z11,FAC_TOTALS_APTA!$A$4:$BD$126,$L16,FALSE))</f>
        <v>0</v>
      </c>
      <c r="AA16" s="29">
        <f>IF(AA11=0,0,VLOOKUP(AA11,FAC_TOTALS_APTA!$A$4:$BD$126,$L16,FALSE))</f>
        <v>0</v>
      </c>
      <c r="AB16" s="29">
        <f>IF(AB11=0,0,VLOOKUP(AB11,FAC_TOTALS_APTA!$A$4:$BD$126,$L16,FALSE))</f>
        <v>0</v>
      </c>
      <c r="AC16" s="32">
        <f t="shared" ref="AC16" si="7">SUM(M16:AB16)</f>
        <v>-18462650.575689599</v>
      </c>
      <c r="AD16" s="33">
        <f>AC16/G28</f>
        <v>-1.0961548297403893E-2</v>
      </c>
      <c r="AE16" s="6"/>
    </row>
    <row r="17" spans="1:31" s="13" customFormat="1" ht="15" x14ac:dyDescent="0.2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MATCH($D17,FAC_TOTALS_APTA!$A$2:$BD$2,)</f>
        <v>16</v>
      </c>
      <c r="G17" s="29">
        <f>VLOOKUP(G11,FAC_TOTALS_APTA!$A$4:$BD$126,$F17,FALSE)</f>
        <v>9265369.1436843593</v>
      </c>
      <c r="H17" s="29">
        <f>VLOOKUP(H11,FAC_TOTALS_APTA!$A$4:$BD$126,$F17,FALSE)</f>
        <v>9822983.8105922006</v>
      </c>
      <c r="I17" s="30">
        <f t="shared" si="1"/>
        <v>6.0182671436025181E-2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MATCH($K17,FAC_TOTALS_APTA!$A$2:$BB$2,)</f>
        <v>34</v>
      </c>
      <c r="M17" s="29">
        <f>IF(M11=0,0,VLOOKUP(M11,FAC_TOTALS_APTA!$A$4:$BD$126,$L17,FALSE))</f>
        <v>4089940.9442238398</v>
      </c>
      <c r="N17" s="29">
        <f>IF(N11=0,0,VLOOKUP(N11,FAC_TOTALS_APTA!$A$4:$BD$126,$L17,FALSE))</f>
        <v>4826180.0641054502</v>
      </c>
      <c r="O17" s="29">
        <f>IF(O11=0,0,VLOOKUP(O11,FAC_TOTALS_APTA!$A$4:$BD$126,$L17,FALSE))</f>
        <v>4469579.5223895004</v>
      </c>
      <c r="P17" s="29">
        <f>IF(P11=0,0,VLOOKUP(P11,FAC_TOTALS_APTA!$A$4:$BD$126,$L17,FALSE))</f>
        <v>3367002.8527270202</v>
      </c>
      <c r="Q17" s="29">
        <f>IF(Q11=0,0,VLOOKUP(Q11,FAC_TOTALS_APTA!$A$4:$BD$126,$L17,FALSE))</f>
        <v>4119662.5505955699</v>
      </c>
      <c r="R17" s="29">
        <f>IF(R11=0,0,VLOOKUP(R11,FAC_TOTALS_APTA!$A$4:$BD$126,$L17,FALSE))</f>
        <v>3594796.0866791201</v>
      </c>
      <c r="S17" s="29">
        <f>IF(S11=0,0,VLOOKUP(S11,FAC_TOTALS_APTA!$A$4:$BD$126,$L17,FALSE))</f>
        <v>0</v>
      </c>
      <c r="T17" s="29">
        <f>IF(T11=0,0,VLOOKUP(T11,FAC_TOTALS_APTA!$A$4:$BD$126,$L17,FALSE))</f>
        <v>0</v>
      </c>
      <c r="U17" s="29">
        <f>IF(U11=0,0,VLOOKUP(U11,FAC_TOTALS_APTA!$A$4:$BD$126,$L17,FALSE))</f>
        <v>0</v>
      </c>
      <c r="V17" s="29">
        <f>IF(V11=0,0,VLOOKUP(V11,FAC_TOTALS_APTA!$A$4:$BD$126,$L17,FALSE))</f>
        <v>0</v>
      </c>
      <c r="W17" s="29">
        <f>IF(W11=0,0,VLOOKUP(W11,FAC_TOTALS_APTA!$A$4:$BD$126,$L17,FALSE))</f>
        <v>0</v>
      </c>
      <c r="X17" s="29">
        <f>IF(X11=0,0,VLOOKUP(X11,FAC_TOTALS_APTA!$A$4:$BD$126,$L17,FALSE))</f>
        <v>0</v>
      </c>
      <c r="Y17" s="29">
        <f>IF(Y11=0,0,VLOOKUP(Y11,FAC_TOTALS_APTA!$A$4:$BD$126,$L17,FALSE))</f>
        <v>0</v>
      </c>
      <c r="Z17" s="29">
        <f>IF(Z11=0,0,VLOOKUP(Z11,FAC_TOTALS_APTA!$A$4:$BD$126,$L17,FALSE))</f>
        <v>0</v>
      </c>
      <c r="AA17" s="29">
        <f>IF(AA11=0,0,VLOOKUP(AA11,FAC_TOTALS_APTA!$A$4:$BD$126,$L17,FALSE))</f>
        <v>0</v>
      </c>
      <c r="AB17" s="29">
        <f>IF(AB11=0,0,VLOOKUP(AB11,FAC_TOTALS_APTA!$A$4:$BD$126,$L17,FALSE))</f>
        <v>0</v>
      </c>
      <c r="AC17" s="32">
        <f t="shared" si="4"/>
        <v>24467162.0207205</v>
      </c>
      <c r="AD17" s="33">
        <f>AC17/G27</f>
        <v>1.4406151101045029E-2</v>
      </c>
      <c r="AE17" s="6"/>
    </row>
    <row r="18" spans="1:31" s="13" customFormat="1" ht="15" x14ac:dyDescent="0.2">
      <c r="A18" s="6"/>
      <c r="B18" s="25" t="s">
        <v>73</v>
      </c>
      <c r="C18" s="116"/>
      <c r="D18" s="104" t="s">
        <v>72</v>
      </c>
      <c r="E18" s="55"/>
      <c r="F18" s="6">
        <f>MATCH($D18,FAC_TOTALS_APTA!$A$2:$BD$2,)</f>
        <v>17</v>
      </c>
      <c r="G18" s="54">
        <f>VLOOKUP(G11,FAC_TOTALS_APTA!$A$4:$BD$126,$F18,FALSE)</f>
        <v>0.44667552967074198</v>
      </c>
      <c r="H18" s="54">
        <f>VLOOKUP(H11,FAC_TOTALS_APTA!$A$4:$BD$126,$F18,FALSE)</f>
        <v>0.44702194057060202</v>
      </c>
      <c r="I18" s="30">
        <f t="shared" si="1"/>
        <v>7.7553140221353623E-4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MATCH($K18,FAC_TOTALS_APTA!$A$2:$BB$2,)</f>
        <v>35</v>
      </c>
      <c r="M18" s="29">
        <f>IF(M11=0,0,VLOOKUP(M11,FAC_TOTALS_APTA!$A$4:$BD$126,$L18,FALSE))</f>
        <v>181375.68883743999</v>
      </c>
      <c r="N18" s="29">
        <f>IF(N11=0,0,VLOOKUP(N11,FAC_TOTALS_APTA!$A$4:$BD$126,$L18,FALSE))</f>
        <v>-246296.95296733899</v>
      </c>
      <c r="O18" s="29">
        <f>IF(O11=0,0,VLOOKUP(O11,FAC_TOTALS_APTA!$A$4:$BD$126,$L18,FALSE))</f>
        <v>564069.60275118798</v>
      </c>
      <c r="P18" s="29">
        <f>IF(P11=0,0,VLOOKUP(P11,FAC_TOTALS_APTA!$A$4:$BD$126,$L18,FALSE))</f>
        <v>-152596.82559662199</v>
      </c>
      <c r="Q18" s="29">
        <f>IF(Q11=0,0,VLOOKUP(Q11,FAC_TOTALS_APTA!$A$4:$BD$126,$L18,FALSE))</f>
        <v>-757988.05677281297</v>
      </c>
      <c r="R18" s="29">
        <f>IF(R11=0,0,VLOOKUP(R11,FAC_TOTALS_APTA!$A$4:$BD$126,$L18,FALSE))</f>
        <v>527495.52619181795</v>
      </c>
      <c r="S18" s="29">
        <f>IF(S11=0,0,VLOOKUP(S11,FAC_TOTALS_APTA!$A$4:$BD$126,$L18,FALSE))</f>
        <v>0</v>
      </c>
      <c r="T18" s="29">
        <f>IF(T11=0,0,VLOOKUP(T11,FAC_TOTALS_APTA!$A$4:$BD$126,$L18,FALSE))</f>
        <v>0</v>
      </c>
      <c r="U18" s="29">
        <f>IF(U11=0,0,VLOOKUP(U11,FAC_TOTALS_APTA!$A$4:$BD$126,$L18,FALSE))</f>
        <v>0</v>
      </c>
      <c r="V18" s="29">
        <f>IF(V11=0,0,VLOOKUP(V11,FAC_TOTALS_APTA!$A$4:$BD$126,$L18,FALSE))</f>
        <v>0</v>
      </c>
      <c r="W18" s="29">
        <f>IF(W11=0,0,VLOOKUP(W11,FAC_TOTALS_APTA!$A$4:$BD$126,$L18,FALSE))</f>
        <v>0</v>
      </c>
      <c r="X18" s="29">
        <f>IF(X11=0,0,VLOOKUP(X11,FAC_TOTALS_APTA!$A$4:$BD$126,$L18,FALSE))</f>
        <v>0</v>
      </c>
      <c r="Y18" s="29">
        <f>IF(Y11=0,0,VLOOKUP(Y11,FAC_TOTALS_APTA!$A$4:$BD$126,$L18,FALSE))</f>
        <v>0</v>
      </c>
      <c r="Z18" s="29">
        <f>IF(Z11=0,0,VLOOKUP(Z11,FAC_TOTALS_APTA!$A$4:$BD$126,$L18,FALSE))</f>
        <v>0</v>
      </c>
      <c r="AA18" s="29">
        <f>IF(AA11=0,0,VLOOKUP(AA11,FAC_TOTALS_APTA!$A$4:$BD$126,$L18,FALSE))</f>
        <v>0</v>
      </c>
      <c r="AB18" s="29">
        <f>IF(AB11=0,0,VLOOKUP(AB11,FAC_TOTALS_APTA!$A$4:$BD$126,$L18,FALSE))</f>
        <v>0</v>
      </c>
      <c r="AC18" s="32">
        <f t="shared" si="4"/>
        <v>116058.98244367202</v>
      </c>
      <c r="AD18" s="33">
        <f>AC18/G27</f>
        <v>6.8334988598233671E-5</v>
      </c>
      <c r="AE18" s="6"/>
    </row>
    <row r="19" spans="1:31" s="13" customFormat="1" ht="15" x14ac:dyDescent="0.2">
      <c r="A19" s="6"/>
      <c r="B19" s="115" t="s">
        <v>49</v>
      </c>
      <c r="C19" s="116" t="s">
        <v>21</v>
      </c>
      <c r="D19" s="124" t="s">
        <v>82</v>
      </c>
      <c r="E19" s="55"/>
      <c r="F19" s="6">
        <f>MATCH($D19,FAC_TOTALS_APTA!$A$2:$BD$2,)</f>
        <v>18</v>
      </c>
      <c r="G19" s="34">
        <f>VLOOKUP(G11,FAC_TOTALS_APTA!$A$4:$BD$126,$F19,FALSE)</f>
        <v>4.0850684443871499</v>
      </c>
      <c r="H19" s="34">
        <f>VLOOKUP(H11,FAC_TOTALS_APTA!$A$4:$BD$126,$F19,FALSE)</f>
        <v>2.9200642266077401</v>
      </c>
      <c r="I19" s="30">
        <f t="shared" si="1"/>
        <v>-0.28518597268060852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MATCH($K19,FAC_TOTALS_APTA!$A$2:$BB$2,)</f>
        <v>36</v>
      </c>
      <c r="M19" s="29">
        <f>IF(M11=0,0,VLOOKUP(M11,FAC_TOTALS_APTA!$A$4:$BD$126,$L19,FALSE))</f>
        <v>-7688488.7470450997</v>
      </c>
      <c r="N19" s="29">
        <f>IF(N11=0,0,VLOOKUP(N11,FAC_TOTALS_APTA!$A$4:$BD$126,$L19,FALSE))</f>
        <v>-10549663.558173001</v>
      </c>
      <c r="O19" s="29">
        <f>IF(O11=0,0,VLOOKUP(O11,FAC_TOTALS_APTA!$A$4:$BD$126,$L19,FALSE))</f>
        <v>-56606695.626608498</v>
      </c>
      <c r="P19" s="29">
        <f>IF(P11=0,0,VLOOKUP(P11,FAC_TOTALS_APTA!$A$4:$BD$126,$L19,FALSE))</f>
        <v>-20943595.364367999</v>
      </c>
      <c r="Q19" s="29">
        <f>IF(Q11=0,0,VLOOKUP(Q11,FAC_TOTALS_APTA!$A$4:$BD$126,$L19,FALSE))</f>
        <v>14808840.901087901</v>
      </c>
      <c r="R19" s="29">
        <f>IF(R11=0,0,VLOOKUP(R11,FAC_TOTALS_APTA!$A$4:$BD$126,$L19,FALSE))</f>
        <v>17716162.434973098</v>
      </c>
      <c r="S19" s="29">
        <f>IF(S11=0,0,VLOOKUP(S11,FAC_TOTALS_APTA!$A$4:$BD$126,$L19,FALSE))</f>
        <v>0</v>
      </c>
      <c r="T19" s="29">
        <f>IF(T11=0,0,VLOOKUP(T11,FAC_TOTALS_APTA!$A$4:$BD$126,$L19,FALSE))</f>
        <v>0</v>
      </c>
      <c r="U19" s="29">
        <f>IF(U11=0,0,VLOOKUP(U11,FAC_TOTALS_APTA!$A$4:$BD$126,$L19,FALSE))</f>
        <v>0</v>
      </c>
      <c r="V19" s="29">
        <f>IF(V11=0,0,VLOOKUP(V11,FAC_TOTALS_APTA!$A$4:$BD$126,$L19,FALSE))</f>
        <v>0</v>
      </c>
      <c r="W19" s="29">
        <f>IF(W11=0,0,VLOOKUP(W11,FAC_TOTALS_APTA!$A$4:$BD$126,$L19,FALSE))</f>
        <v>0</v>
      </c>
      <c r="X19" s="29">
        <f>IF(X11=0,0,VLOOKUP(X11,FAC_TOTALS_APTA!$A$4:$BD$126,$L19,FALSE))</f>
        <v>0</v>
      </c>
      <c r="Y19" s="29">
        <f>IF(Y11=0,0,VLOOKUP(Y11,FAC_TOTALS_APTA!$A$4:$BD$126,$L19,FALSE))</f>
        <v>0</v>
      </c>
      <c r="Z19" s="29">
        <f>IF(Z11=0,0,VLOOKUP(Z11,FAC_TOTALS_APTA!$A$4:$BD$126,$L19,FALSE))</f>
        <v>0</v>
      </c>
      <c r="AA19" s="29">
        <f>IF(AA11=0,0,VLOOKUP(AA11,FAC_TOTALS_APTA!$A$4:$BD$126,$L19,FALSE))</f>
        <v>0</v>
      </c>
      <c r="AB19" s="29">
        <f>IF(AB11=0,0,VLOOKUP(AB11,FAC_TOTALS_APTA!$A$4:$BD$126,$L19,FALSE))</f>
        <v>0</v>
      </c>
      <c r="AC19" s="32">
        <f t="shared" si="4"/>
        <v>-63263439.96013359</v>
      </c>
      <c r="AD19" s="33">
        <f>AC19/G27</f>
        <v>-3.7249218951742429E-2</v>
      </c>
      <c r="AE19" s="6"/>
    </row>
    <row r="20" spans="1:31" s="13" customFormat="1" ht="15" x14ac:dyDescent="0.2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MATCH($D20,FAC_TOTALS_APTA!$A$2:$BD$2,)</f>
        <v>19</v>
      </c>
      <c r="G20" s="54">
        <f>VLOOKUP(G11,FAC_TOTALS_APTA!$A$4:$BD$126,$F20,FALSE)</f>
        <v>35332.063055995401</v>
      </c>
      <c r="H20" s="54">
        <f>VLOOKUP(H11,FAC_TOTALS_APTA!$A$4:$BD$126,$F20,FALSE)</f>
        <v>39392.249431887001</v>
      </c>
      <c r="I20" s="30">
        <f t="shared" si="1"/>
        <v>0.11491506650650107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MATCH($K20,FAC_TOTALS_APTA!$A$2:$BB$2,)</f>
        <v>37</v>
      </c>
      <c r="M20" s="29">
        <f>IF(M11=0,0,VLOOKUP(M11,FAC_TOTALS_APTA!$A$4:$BD$126,$L20,FALSE))</f>
        <v>-1032013.52275504</v>
      </c>
      <c r="N20" s="29">
        <f>IF(N11=0,0,VLOOKUP(N11,FAC_TOTALS_APTA!$A$4:$BD$126,$L20,FALSE))</f>
        <v>-625573.77290861902</v>
      </c>
      <c r="O20" s="29">
        <f>IF(O11=0,0,VLOOKUP(O11,FAC_TOTALS_APTA!$A$4:$BD$126,$L20,FALSE))</f>
        <v>-3622274.0100973402</v>
      </c>
      <c r="P20" s="29">
        <f>IF(P11=0,0,VLOOKUP(P11,FAC_TOTALS_APTA!$A$4:$BD$126,$L20,FALSE))</f>
        <v>-2643521.1162513802</v>
      </c>
      <c r="Q20" s="29">
        <f>IF(Q11=0,0,VLOOKUP(Q11,FAC_TOTALS_APTA!$A$4:$BD$126,$L20,FALSE))</f>
        <v>-2674976.0365660698</v>
      </c>
      <c r="R20" s="29">
        <f>IF(R11=0,0,VLOOKUP(R11,FAC_TOTALS_APTA!$A$4:$BD$126,$L20,FALSE))</f>
        <v>-2824762.9309299001</v>
      </c>
      <c r="S20" s="29">
        <f>IF(S11=0,0,VLOOKUP(S11,FAC_TOTALS_APTA!$A$4:$BD$126,$L20,FALSE))</f>
        <v>0</v>
      </c>
      <c r="T20" s="29">
        <f>IF(T11=0,0,VLOOKUP(T11,FAC_TOTALS_APTA!$A$4:$BD$126,$L20,FALSE))</f>
        <v>0</v>
      </c>
      <c r="U20" s="29">
        <f>IF(U11=0,0,VLOOKUP(U11,FAC_TOTALS_APTA!$A$4:$BD$126,$L20,FALSE))</f>
        <v>0</v>
      </c>
      <c r="V20" s="29">
        <f>IF(V11=0,0,VLOOKUP(V11,FAC_TOTALS_APTA!$A$4:$BD$126,$L20,FALSE))</f>
        <v>0</v>
      </c>
      <c r="W20" s="29">
        <f>IF(W11=0,0,VLOOKUP(W11,FAC_TOTALS_APTA!$A$4:$BD$126,$L20,FALSE))</f>
        <v>0</v>
      </c>
      <c r="X20" s="29">
        <f>IF(X11=0,0,VLOOKUP(X11,FAC_TOTALS_APTA!$A$4:$BD$126,$L20,FALSE))</f>
        <v>0</v>
      </c>
      <c r="Y20" s="29">
        <f>IF(Y11=0,0,VLOOKUP(Y11,FAC_TOTALS_APTA!$A$4:$BD$126,$L20,FALSE))</f>
        <v>0</v>
      </c>
      <c r="Z20" s="29">
        <f>IF(Z11=0,0,VLOOKUP(Z11,FAC_TOTALS_APTA!$A$4:$BD$126,$L20,FALSE))</f>
        <v>0</v>
      </c>
      <c r="AA20" s="29">
        <f>IF(AA11=0,0,VLOOKUP(AA11,FAC_TOTALS_APTA!$A$4:$BD$126,$L20,FALSE))</f>
        <v>0</v>
      </c>
      <c r="AB20" s="29">
        <f>IF(AB11=0,0,VLOOKUP(AB11,FAC_TOTALS_APTA!$A$4:$BD$126,$L20,FALSE))</f>
        <v>0</v>
      </c>
      <c r="AC20" s="32">
        <f t="shared" si="4"/>
        <v>-13423121.389508348</v>
      </c>
      <c r="AD20" s="33">
        <f>AC20/G27</f>
        <v>-7.9034713883515753E-3</v>
      </c>
      <c r="AE20" s="6"/>
    </row>
    <row r="21" spans="1:31" s="13" customFormat="1" ht="15" x14ac:dyDescent="0.2">
      <c r="A21" s="6"/>
      <c r="B21" s="115" t="s">
        <v>62</v>
      </c>
      <c r="C21" s="116"/>
      <c r="D21" s="104" t="s">
        <v>9</v>
      </c>
      <c r="E21" s="55"/>
      <c r="F21" s="6">
        <f>MATCH($D21,FAC_TOTALS_APTA!$A$2:$BD$2,)</f>
        <v>20</v>
      </c>
      <c r="G21" s="29">
        <f>VLOOKUP(G11,FAC_TOTALS_APTA!$A$4:$BD$126,$F21,FALSE)</f>
        <v>11.244313444527</v>
      </c>
      <c r="H21" s="29">
        <f>VLOOKUP(H11,FAC_TOTALS_APTA!$A$4:$BD$126,$F21,FALSE)</f>
        <v>10.4497030009138</v>
      </c>
      <c r="I21" s="30">
        <f t="shared" si="1"/>
        <v>-7.0667759977819267E-2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MATCH($K21,FAC_TOTALS_APTA!$A$2:$BB$2,)</f>
        <v>38</v>
      </c>
      <c r="M21" s="29">
        <f>IF(M11=0,0,VLOOKUP(M11,FAC_TOTALS_APTA!$A$4:$BD$126,$L21,FALSE))</f>
        <v>-1125450.88728879</v>
      </c>
      <c r="N21" s="29">
        <f>IF(N11=0,0,VLOOKUP(N11,FAC_TOTALS_APTA!$A$4:$BD$126,$L21,FALSE))</f>
        <v>-127828.778849293</v>
      </c>
      <c r="O21" s="29">
        <f>IF(O11=0,0,VLOOKUP(O11,FAC_TOTALS_APTA!$A$4:$BD$126,$L21,FALSE))</f>
        <v>-42533.618109505798</v>
      </c>
      <c r="P21" s="29">
        <f>IF(P11=0,0,VLOOKUP(P11,FAC_TOTALS_APTA!$A$4:$BD$126,$L21,FALSE))</f>
        <v>-343072.77100964898</v>
      </c>
      <c r="Q21" s="29">
        <f>IF(Q11=0,0,VLOOKUP(Q11,FAC_TOTALS_APTA!$A$4:$BD$126,$L21,FALSE))</f>
        <v>-568861.355994944</v>
      </c>
      <c r="R21" s="29">
        <f>IF(R11=0,0,VLOOKUP(R11,FAC_TOTALS_APTA!$A$4:$BD$126,$L21,FALSE))</f>
        <v>-487302.73841011402</v>
      </c>
      <c r="S21" s="29">
        <f>IF(S11=0,0,VLOOKUP(S11,FAC_TOTALS_APTA!$A$4:$BD$126,$L21,FALSE))</f>
        <v>0</v>
      </c>
      <c r="T21" s="29">
        <f>IF(T11=0,0,VLOOKUP(T11,FAC_TOTALS_APTA!$A$4:$BD$126,$L21,FALSE))</f>
        <v>0</v>
      </c>
      <c r="U21" s="29">
        <f>IF(U11=0,0,VLOOKUP(U11,FAC_TOTALS_APTA!$A$4:$BD$126,$L21,FALSE))</f>
        <v>0</v>
      </c>
      <c r="V21" s="29">
        <f>IF(V11=0,0,VLOOKUP(V11,FAC_TOTALS_APTA!$A$4:$BD$126,$L21,FALSE))</f>
        <v>0</v>
      </c>
      <c r="W21" s="29">
        <f>IF(W11=0,0,VLOOKUP(W11,FAC_TOTALS_APTA!$A$4:$BD$126,$L21,FALSE))</f>
        <v>0</v>
      </c>
      <c r="X21" s="29">
        <f>IF(X11=0,0,VLOOKUP(X11,FAC_TOTALS_APTA!$A$4:$BD$126,$L21,FALSE))</f>
        <v>0</v>
      </c>
      <c r="Y21" s="29">
        <f>IF(Y11=0,0,VLOOKUP(Y11,FAC_TOTALS_APTA!$A$4:$BD$126,$L21,FALSE))</f>
        <v>0</v>
      </c>
      <c r="Z21" s="29">
        <f>IF(Z11=0,0,VLOOKUP(Z11,FAC_TOTALS_APTA!$A$4:$BD$126,$L21,FALSE))</f>
        <v>0</v>
      </c>
      <c r="AA21" s="29">
        <f>IF(AA11=0,0,VLOOKUP(AA11,FAC_TOTALS_APTA!$A$4:$BD$126,$L21,FALSE))</f>
        <v>0</v>
      </c>
      <c r="AB21" s="29">
        <f>IF(AB11=0,0,VLOOKUP(AB11,FAC_TOTALS_APTA!$A$4:$BD$126,$L21,FALSE))</f>
        <v>0</v>
      </c>
      <c r="AC21" s="32">
        <f t="shared" si="4"/>
        <v>-2695050.1496622958</v>
      </c>
      <c r="AD21" s="33">
        <f>AC21/G27</f>
        <v>-1.586832982429637E-3</v>
      </c>
      <c r="AE21" s="6"/>
    </row>
    <row r="22" spans="1:31" s="13" customFormat="1" ht="15" x14ac:dyDescent="0.2">
      <c r="A22" s="6"/>
      <c r="B22" s="115" t="s">
        <v>47</v>
      </c>
      <c r="C22" s="116"/>
      <c r="D22" s="104" t="s">
        <v>28</v>
      </c>
      <c r="E22" s="55"/>
      <c r="F22" s="6">
        <f>MATCH($D22,FAC_TOTALS_APTA!$A$2:$BD$2,)</f>
        <v>21</v>
      </c>
      <c r="G22" s="34">
        <f>VLOOKUP(G11,FAC_TOTALS_APTA!$A$4:$BD$126,$F22,FALSE)</f>
        <v>4.8858900437047801</v>
      </c>
      <c r="H22" s="34">
        <f>VLOOKUP(H11,FAC_TOTALS_APTA!$A$4:$BD$126,$F22,FALSE)</f>
        <v>6.0631175541013302</v>
      </c>
      <c r="I22" s="30">
        <f t="shared" si="1"/>
        <v>0.24094433150687622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MATCH($K22,FAC_TOTALS_APTA!$A$2:$BB$2,)</f>
        <v>39</v>
      </c>
      <c r="M22" s="29">
        <f>IF(M11=0,0,VLOOKUP(M11,FAC_TOTALS_APTA!$A$4:$BD$126,$L22,FALSE))</f>
        <v>-37519.051632841598</v>
      </c>
      <c r="N22" s="29">
        <f>IF(N11=0,0,VLOOKUP(N11,FAC_TOTALS_APTA!$A$4:$BD$126,$L22,FALSE))</f>
        <v>-3144341.86031667</v>
      </c>
      <c r="O22" s="29">
        <f>IF(O11=0,0,VLOOKUP(O11,FAC_TOTALS_APTA!$A$4:$BD$126,$L22,FALSE))</f>
        <v>-414223.92942585301</v>
      </c>
      <c r="P22" s="29">
        <f>IF(P11=0,0,VLOOKUP(P11,FAC_TOTALS_APTA!$A$4:$BD$126,$L22,FALSE))</f>
        <v>-6565759.1512884405</v>
      </c>
      <c r="Q22" s="29">
        <f>IF(Q11=0,0,VLOOKUP(Q11,FAC_TOTALS_APTA!$A$4:$BD$126,$L22,FALSE))</f>
        <v>-1944410.6428077801</v>
      </c>
      <c r="R22" s="29">
        <f>IF(R11=0,0,VLOOKUP(R11,FAC_TOTALS_APTA!$A$4:$BD$126,$L22,FALSE))</f>
        <v>-3021030.5999476798</v>
      </c>
      <c r="S22" s="29">
        <f>IF(S11=0,0,VLOOKUP(S11,FAC_TOTALS_APTA!$A$4:$BD$126,$L22,FALSE))</f>
        <v>0</v>
      </c>
      <c r="T22" s="29">
        <f>IF(T11=0,0,VLOOKUP(T11,FAC_TOTALS_APTA!$A$4:$BD$126,$L22,FALSE))</f>
        <v>0</v>
      </c>
      <c r="U22" s="29">
        <f>IF(U11=0,0,VLOOKUP(U11,FAC_TOTALS_APTA!$A$4:$BD$126,$L22,FALSE))</f>
        <v>0</v>
      </c>
      <c r="V22" s="29">
        <f>IF(V11=0,0,VLOOKUP(V11,FAC_TOTALS_APTA!$A$4:$BD$126,$L22,FALSE))</f>
        <v>0</v>
      </c>
      <c r="W22" s="29">
        <f>IF(W11=0,0,VLOOKUP(W11,FAC_TOTALS_APTA!$A$4:$BD$126,$L22,FALSE))</f>
        <v>0</v>
      </c>
      <c r="X22" s="29">
        <f>IF(X11=0,0,VLOOKUP(X11,FAC_TOTALS_APTA!$A$4:$BD$126,$L22,FALSE))</f>
        <v>0</v>
      </c>
      <c r="Y22" s="29">
        <f>IF(Y11=0,0,VLOOKUP(Y11,FAC_TOTALS_APTA!$A$4:$BD$126,$L22,FALSE))</f>
        <v>0</v>
      </c>
      <c r="Z22" s="29">
        <f>IF(Z11=0,0,VLOOKUP(Z11,FAC_TOTALS_APTA!$A$4:$BD$126,$L22,FALSE))</f>
        <v>0</v>
      </c>
      <c r="AA22" s="29">
        <f>IF(AA11=0,0,VLOOKUP(AA11,FAC_TOTALS_APTA!$A$4:$BD$126,$L22,FALSE))</f>
        <v>0</v>
      </c>
      <c r="AB22" s="29">
        <f>IF(AB11=0,0,VLOOKUP(AB11,FAC_TOTALS_APTA!$A$4:$BD$126,$L22,FALSE))</f>
        <v>0</v>
      </c>
      <c r="AC22" s="32">
        <f t="shared" si="4"/>
        <v>-15127285.235419264</v>
      </c>
      <c r="AD22" s="33">
        <f>AC22/G27</f>
        <v>-8.9068751277938379E-3</v>
      </c>
      <c r="AE22" s="6"/>
    </row>
    <row r="23" spans="1:31" s="13" customFormat="1" ht="15" x14ac:dyDescent="0.2">
      <c r="A23" s="6"/>
      <c r="B23" s="115" t="s">
        <v>63</v>
      </c>
      <c r="C23" s="116"/>
      <c r="D23" s="126" t="s">
        <v>93</v>
      </c>
      <c r="E23" s="55"/>
      <c r="F23" s="6">
        <f>MATCH($D23,FAC_TOTALS_APTA!$A$2:$BD$2,)</f>
        <v>26</v>
      </c>
      <c r="G23" s="34">
        <f>VLOOKUP(G11,FAC_TOTALS_APTA!$A$4:$BD$126,$F23,FALSE)</f>
        <v>0.619991742491807</v>
      </c>
      <c r="H23" s="34">
        <f>VLOOKUP(H11,FAC_TOTALS_APTA!$A$4:$BD$126,$F23,FALSE)</f>
        <v>6.4966078729516701</v>
      </c>
      <c r="I23" s="30">
        <f t="shared" si="1"/>
        <v>9.4785393541552221</v>
      </c>
      <c r="J23" s="31"/>
      <c r="K23" s="31" t="str">
        <f t="shared" si="3"/>
        <v>YEARS_SINCE_TNC_RAIL_HINY_FAC</v>
      </c>
      <c r="L23" s="6">
        <f>MATCH($K23,FAC_TOTALS_APTA!$A$2:$BB$2,)</f>
        <v>44</v>
      </c>
      <c r="M23" s="29">
        <f>IF(M11=0,0,VLOOKUP(M11,FAC_TOTALS_APTA!$A$4:$BD$126,$L23,FALSE))</f>
        <v>3343956.59359182</v>
      </c>
      <c r="N23" s="29">
        <f>IF(N11=0,0,VLOOKUP(N11,FAC_TOTALS_APTA!$A$4:$BD$126,$L23,FALSE))</f>
        <v>3476504.80811512</v>
      </c>
      <c r="O23" s="29">
        <f>IF(O11=0,0,VLOOKUP(O11,FAC_TOTALS_APTA!$A$4:$BD$126,$L23,FALSE))</f>
        <v>3796379.6261591702</v>
      </c>
      <c r="P23" s="29">
        <f>IF(P11=0,0,VLOOKUP(P11,FAC_TOTALS_APTA!$A$4:$BD$126,$L23,FALSE))</f>
        <v>3756944.1570180701</v>
      </c>
      <c r="Q23" s="29">
        <f>IF(Q11=0,0,VLOOKUP(Q11,FAC_TOTALS_APTA!$A$4:$BD$126,$L23,FALSE))</f>
        <v>3702666.8193412502</v>
      </c>
      <c r="R23" s="29">
        <f>IF(R11=0,0,VLOOKUP(R11,FAC_TOTALS_APTA!$A$4:$BD$126,$L23,FALSE))</f>
        <v>3634099.0340764299</v>
      </c>
      <c r="S23" s="29">
        <f>IF(S11=0,0,VLOOKUP(S11,FAC_TOTALS_APTA!$A$4:$BD$126,$L23,FALSE))</f>
        <v>0</v>
      </c>
      <c r="T23" s="29">
        <f>IF(T11=0,0,VLOOKUP(T11,FAC_TOTALS_APTA!$A$4:$BD$126,$L23,FALSE))</f>
        <v>0</v>
      </c>
      <c r="U23" s="29">
        <f>IF(U11=0,0,VLOOKUP(U11,FAC_TOTALS_APTA!$A$4:$BD$126,$L23,FALSE))</f>
        <v>0</v>
      </c>
      <c r="V23" s="29">
        <f>IF(V11=0,0,VLOOKUP(V11,FAC_TOTALS_APTA!$A$4:$BD$126,$L23,FALSE))</f>
        <v>0</v>
      </c>
      <c r="W23" s="29">
        <f>IF(W11=0,0,VLOOKUP(W11,FAC_TOTALS_APTA!$A$4:$BD$126,$L23,FALSE))</f>
        <v>0</v>
      </c>
      <c r="X23" s="29">
        <f>IF(X11=0,0,VLOOKUP(X11,FAC_TOTALS_APTA!$A$4:$BD$126,$L23,FALSE))</f>
        <v>0</v>
      </c>
      <c r="Y23" s="29">
        <f>IF(Y11=0,0,VLOOKUP(Y11,FAC_TOTALS_APTA!$A$4:$BD$126,$L23,FALSE))</f>
        <v>0</v>
      </c>
      <c r="Z23" s="29">
        <f>IF(Z11=0,0,VLOOKUP(Z11,FAC_TOTALS_APTA!$A$4:$BD$126,$L23,FALSE))</f>
        <v>0</v>
      </c>
      <c r="AA23" s="29">
        <f>IF(AA11=0,0,VLOOKUP(AA11,FAC_TOTALS_APTA!$A$4:$BD$126,$L23,FALSE))</f>
        <v>0</v>
      </c>
      <c r="AB23" s="29">
        <f>IF(AB11=0,0,VLOOKUP(AB11,FAC_TOTALS_APTA!$A$4:$BD$126,$L23,FALSE))</f>
        <v>0</v>
      </c>
      <c r="AC23" s="32">
        <f t="shared" si="4"/>
        <v>21710551.038301859</v>
      </c>
      <c r="AD23" s="33">
        <f>AC23/G27</f>
        <v>1.2783071386859456E-2</v>
      </c>
      <c r="AE23" s="6"/>
    </row>
    <row r="24" spans="1:31" s="13" customFormat="1" ht="15" x14ac:dyDescent="0.2">
      <c r="A24" s="6"/>
      <c r="B24" s="115" t="s">
        <v>64</v>
      </c>
      <c r="C24" s="116"/>
      <c r="D24" s="104" t="s">
        <v>43</v>
      </c>
      <c r="E24" s="55"/>
      <c r="F24" s="6">
        <f>MATCH($D24,FAC_TOTALS_APTA!$A$2:$BD$2,)</f>
        <v>28</v>
      </c>
      <c r="G24" s="34">
        <f>VLOOKUP(G11,FAC_TOTALS_APTA!$A$4:$BD$126,$F24,FALSE)</f>
        <v>0.36463924263986802</v>
      </c>
      <c r="H24" s="34">
        <f>VLOOKUP(H11,FAC_TOTALS_APTA!$A$4:$BD$126,$F24,FALSE)</f>
        <v>1</v>
      </c>
      <c r="I24" s="30">
        <f t="shared" si="1"/>
        <v>1.7424365868037937</v>
      </c>
      <c r="J24" s="31" t="str">
        <f t="shared" si="2"/>
        <v/>
      </c>
      <c r="K24" s="31" t="str">
        <f t="shared" si="3"/>
        <v>BIKE_SHARE_FAC</v>
      </c>
      <c r="L24" s="6">
        <f>MATCH($K24,FAC_TOTALS_APTA!$A$2:$BB$2,)</f>
        <v>46</v>
      </c>
      <c r="M24" s="29">
        <f>IF(M11=0,0,VLOOKUP(M11,FAC_TOTALS_APTA!$A$4:$BD$126,$L24,FALSE))</f>
        <v>0</v>
      </c>
      <c r="N24" s="29">
        <f>IF(N11=0,0,VLOOKUP(N11,FAC_TOTALS_APTA!$A$4:$BD$126,$L24,FALSE))</f>
        <v>-4355750.7564673098</v>
      </c>
      <c r="O24" s="29">
        <f>IF(O11=0,0,VLOOKUP(O11,FAC_TOTALS_APTA!$A$4:$BD$126,$L24,FALSE))</f>
        <v>-5575138.7001102101</v>
      </c>
      <c r="P24" s="29">
        <f>IF(P11=0,0,VLOOKUP(P11,FAC_TOTALS_APTA!$A$4:$BD$126,$L24,FALSE))</f>
        <v>-2008756.5832966401</v>
      </c>
      <c r="Q24" s="29">
        <f>IF(Q11=0,0,VLOOKUP(Q11,FAC_TOTALS_APTA!$A$4:$BD$126,$L24,FALSE))</f>
        <v>0</v>
      </c>
      <c r="R24" s="29">
        <f>IF(R11=0,0,VLOOKUP(R11,FAC_TOTALS_APTA!$A$4:$BD$126,$L24,FALSE))</f>
        <v>-93322.357991928104</v>
      </c>
      <c r="S24" s="29">
        <f>IF(S11=0,0,VLOOKUP(S11,FAC_TOTALS_APTA!$A$4:$BD$126,$L24,FALSE))</f>
        <v>0</v>
      </c>
      <c r="T24" s="29">
        <f>IF(T11=0,0,VLOOKUP(T11,FAC_TOTALS_APTA!$A$4:$BD$126,$L24,FALSE))</f>
        <v>0</v>
      </c>
      <c r="U24" s="29">
        <f>IF(U11=0,0,VLOOKUP(U11,FAC_TOTALS_APTA!$A$4:$BD$126,$L24,FALSE))</f>
        <v>0</v>
      </c>
      <c r="V24" s="29">
        <f>IF(V11=0,0,VLOOKUP(V11,FAC_TOTALS_APTA!$A$4:$BD$126,$L24,FALSE))</f>
        <v>0</v>
      </c>
      <c r="W24" s="29">
        <f>IF(W11=0,0,VLOOKUP(W11,FAC_TOTALS_APTA!$A$4:$BD$126,$L24,FALSE))</f>
        <v>0</v>
      </c>
      <c r="X24" s="29">
        <f>IF(X11=0,0,VLOOKUP(X11,FAC_TOTALS_APTA!$A$4:$BD$126,$L24,FALSE))</f>
        <v>0</v>
      </c>
      <c r="Y24" s="29">
        <f>IF(Y11=0,0,VLOOKUP(Y11,FAC_TOTALS_APTA!$A$4:$BD$126,$L24,FALSE))</f>
        <v>0</v>
      </c>
      <c r="Z24" s="29">
        <f>IF(Z11=0,0,VLOOKUP(Z11,FAC_TOTALS_APTA!$A$4:$BD$126,$L24,FALSE))</f>
        <v>0</v>
      </c>
      <c r="AA24" s="29">
        <f>IF(AA11=0,0,VLOOKUP(AA11,FAC_TOTALS_APTA!$A$4:$BD$126,$L24,FALSE))</f>
        <v>0</v>
      </c>
      <c r="AB24" s="29">
        <f>IF(AB11=0,0,VLOOKUP(AB11,FAC_TOTALS_APTA!$A$4:$BD$126,$L24,FALSE))</f>
        <v>0</v>
      </c>
      <c r="AC24" s="32">
        <f t="shared" si="4"/>
        <v>-12032968.397866089</v>
      </c>
      <c r="AD24" s="33">
        <f>AC24/G27</f>
        <v>-7.0849557781550131E-3</v>
      </c>
      <c r="AE24" s="6"/>
    </row>
    <row r="25" spans="1:31" s="13" customFormat="1" ht="15" x14ac:dyDescent="0.2">
      <c r="A25" s="6"/>
      <c r="B25" s="127" t="s">
        <v>65</v>
      </c>
      <c r="C25" s="128"/>
      <c r="D25" s="129" t="s">
        <v>44</v>
      </c>
      <c r="E25" s="56"/>
      <c r="F25" s="7">
        <f>MATCH($D25,FAC_TOTALS_APTA!$A$2:$BD$2,)</f>
        <v>29</v>
      </c>
      <c r="G25" s="35">
        <f>VLOOKUP(G11,FAC_TOTALS_APTA!$A$4:$BD$126,$F25,FALSE)</f>
        <v>0</v>
      </c>
      <c r="H25" s="35">
        <f>VLOOKUP(H11,FAC_TOTALS_APTA!$A$4:$BD$126,$F25,FALSE)</f>
        <v>0.64384680764332902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MATCH($K25,FAC_TOTALS_APTA!$A$2:$BB$2,)</f>
        <v>47</v>
      </c>
      <c r="M25" s="38">
        <f>IF(M11=0,0,VLOOKUP(M11,FAC_TOTALS_APTA!$A$4:$BD$126,$L25,FALSE))</f>
        <v>0</v>
      </c>
      <c r="N25" s="38">
        <f>IF(N11=0,0,VLOOKUP(N11,FAC_TOTALS_APTA!$A$4:$BD$126,$L25,FALSE))</f>
        <v>0</v>
      </c>
      <c r="O25" s="38">
        <f>IF(O11=0,0,VLOOKUP(O11,FAC_TOTALS_APTA!$A$4:$BD$126,$L25,FALSE))</f>
        <v>0</v>
      </c>
      <c r="P25" s="38">
        <f>IF(P11=0,0,VLOOKUP(P11,FAC_TOTALS_APTA!$A$4:$BD$126,$L25,FALSE))</f>
        <v>0</v>
      </c>
      <c r="Q25" s="38">
        <f>IF(Q11=0,0,VLOOKUP(Q11,FAC_TOTALS_APTA!$A$4:$BD$126,$L25,FALSE))</f>
        <v>0</v>
      </c>
      <c r="R25" s="38">
        <f>IF(R11=0,0,VLOOKUP(R11,FAC_TOTALS_APTA!$A$4:$BD$126,$L25,FALSE))</f>
        <v>-41042204.800437197</v>
      </c>
      <c r="S25" s="38">
        <f>IF(S11=0,0,VLOOKUP(S11,FAC_TOTALS_APTA!$A$4:$BD$126,$L25,FALSE))</f>
        <v>0</v>
      </c>
      <c r="T25" s="38">
        <f>IF(T11=0,0,VLOOKUP(T11,FAC_TOTALS_APTA!$A$4:$BD$126,$L25,FALSE))</f>
        <v>0</v>
      </c>
      <c r="U25" s="38">
        <f>IF(U11=0,0,VLOOKUP(U11,FAC_TOTALS_APTA!$A$4:$BD$126,$L25,FALSE))</f>
        <v>0</v>
      </c>
      <c r="V25" s="38">
        <f>IF(V11=0,0,VLOOKUP(V11,FAC_TOTALS_APTA!$A$4:$BD$126,$L25,FALSE))</f>
        <v>0</v>
      </c>
      <c r="W25" s="38">
        <f>IF(W11=0,0,VLOOKUP(W11,FAC_TOTALS_APTA!$A$4:$BD$126,$L25,FALSE))</f>
        <v>0</v>
      </c>
      <c r="X25" s="38">
        <f>IF(X11=0,0,VLOOKUP(X11,FAC_TOTALS_APTA!$A$4:$BD$126,$L25,FALSE))</f>
        <v>0</v>
      </c>
      <c r="Y25" s="38">
        <f>IF(Y11=0,0,VLOOKUP(Y11,FAC_TOTALS_APTA!$A$4:$BD$126,$L25,FALSE))</f>
        <v>0</v>
      </c>
      <c r="Z25" s="38">
        <f>IF(Z11=0,0,VLOOKUP(Z11,FAC_TOTALS_APTA!$A$4:$BD$126,$L25,FALSE))</f>
        <v>0</v>
      </c>
      <c r="AA25" s="38">
        <f>IF(AA11=0,0,VLOOKUP(AA11,FAC_TOTALS_APTA!$A$4:$BD$126,$L25,FALSE))</f>
        <v>0</v>
      </c>
      <c r="AB25" s="38">
        <f>IF(AB11=0,0,VLOOKUP(AB11,FAC_TOTALS_APTA!$A$4:$BD$126,$L25,FALSE))</f>
        <v>0</v>
      </c>
      <c r="AC25" s="39">
        <f t="shared" si="4"/>
        <v>-41042204.800437197</v>
      </c>
      <c r="AD25" s="40">
        <f>AC25/G27</f>
        <v>-2.4165459131484622E-2</v>
      </c>
      <c r="AE25" s="6"/>
    </row>
    <row r="26" spans="1:31" s="13" customFormat="1" ht="15" x14ac:dyDescent="0.2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MATCH($K26,FAC_TOTALS_APTA!$A$2:$BB$2,)</f>
        <v>51</v>
      </c>
      <c r="M26" s="45">
        <f>IF(M11=0,0,VLOOKUP(M11,FAC_TOTALS_APTA!$A$4:$BD$126,$L26,FALSE))</f>
        <v>0</v>
      </c>
      <c r="N26" s="45">
        <f>IF(N11=0,0,VLOOKUP(N11,FAC_TOTALS_APTA!$A$4:$BD$126,$L26,FALSE))</f>
        <v>0</v>
      </c>
      <c r="O26" s="45">
        <f>IF(O11=0,0,VLOOKUP(O11,FAC_TOTALS_APTA!$A$4:$BD$126,$L26,FALSE))</f>
        <v>0</v>
      </c>
      <c r="P26" s="45">
        <f>IF(P11=0,0,VLOOKUP(P11,FAC_TOTALS_APTA!$A$4:$BD$126,$L26,FALSE))</f>
        <v>0</v>
      </c>
      <c r="Q26" s="45">
        <f>IF(Q11=0,0,VLOOKUP(Q11,FAC_TOTALS_APTA!$A$4:$BD$126,$L26,FALSE))</f>
        <v>0</v>
      </c>
      <c r="R26" s="45">
        <f>IF(R11=0,0,VLOOKUP(R11,FAC_TOTALS_APTA!$A$4:$BD$126,$L26,FALSE))</f>
        <v>0</v>
      </c>
      <c r="S26" s="45">
        <f>IF(S11=0,0,VLOOKUP(S11,FAC_TOTALS_APTA!$A$4:$BD$126,$L26,FALSE))</f>
        <v>0</v>
      </c>
      <c r="T26" s="45">
        <f>IF(T11=0,0,VLOOKUP(T11,FAC_TOTALS_APTA!$A$4:$BD$126,$L26,FALSE))</f>
        <v>0</v>
      </c>
      <c r="U26" s="45">
        <f>IF(U11=0,0,VLOOKUP(U11,FAC_TOTALS_APTA!$A$4:$BD$126,$L26,FALSE))</f>
        <v>0</v>
      </c>
      <c r="V26" s="45">
        <f>IF(V11=0,0,VLOOKUP(V11,FAC_TOTALS_APTA!$A$4:$BD$126,$L26,FALSE))</f>
        <v>0</v>
      </c>
      <c r="W26" s="45">
        <f>IF(W11=0,0,VLOOKUP(W11,FAC_TOTALS_APTA!$A$4:$BD$126,$L26,FALSE))</f>
        <v>0</v>
      </c>
      <c r="X26" s="45">
        <f>IF(X11=0,0,VLOOKUP(X11,FAC_TOTALS_APTA!$A$4:$BD$126,$L26,FALSE))</f>
        <v>0</v>
      </c>
      <c r="Y26" s="45">
        <f>IF(Y11=0,0,VLOOKUP(Y11,FAC_TOTALS_APTA!$A$4:$BD$126,$L26,FALSE))</f>
        <v>0</v>
      </c>
      <c r="Z26" s="45">
        <f>IF(Z11=0,0,VLOOKUP(Z11,FAC_TOTALS_APTA!$A$4:$BD$126,$L26,FALSE))</f>
        <v>0</v>
      </c>
      <c r="AA26" s="45">
        <f>IF(AA11=0,0,VLOOKUP(AA11,FAC_TOTALS_APTA!$A$4:$BD$126,$L26,FALSE))</f>
        <v>0</v>
      </c>
      <c r="AB26" s="45">
        <f>IF(AB11=0,0,VLOOKUP(AB11,FAC_TOTALS_APTA!$A$4:$BD$126,$L26,FALSE))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ht="15" x14ac:dyDescent="0.2">
      <c r="A27" s="104"/>
      <c r="B27" s="25" t="s">
        <v>66</v>
      </c>
      <c r="C27" s="28"/>
      <c r="D27" s="104" t="s">
        <v>6</v>
      </c>
      <c r="E27" s="55"/>
      <c r="F27" s="6">
        <f>MATCH($D27,FAC_TOTALS_APTA!$A$2:$BB$2,)</f>
        <v>10</v>
      </c>
      <c r="G27" s="110">
        <f>VLOOKUP(G11,FAC_TOTALS_APTA!$A$4:$BD$126,$F27,FALSE)</f>
        <v>1698382992.73049</v>
      </c>
      <c r="H27" s="110">
        <f>VLOOKUP(H11,FAC_TOTALS_APTA!$A$4:$BB$126,$F27,FALSE)</f>
        <v>1701949048.0040801</v>
      </c>
      <c r="I27" s="112">
        <f t="shared" ref="I27:I28" si="9">H27/G27-1</f>
        <v>2.0996767447940545E-3</v>
      </c>
      <c r="J27" s="31"/>
      <c r="K27" s="31"/>
      <c r="L27" s="6"/>
      <c r="M27" s="29">
        <f t="shared" ref="M27:AB27" si="10">SUM(M13:M20)</f>
        <v>1060831.2889322415</v>
      </c>
      <c r="N27" s="29">
        <f t="shared" si="10"/>
        <v>40580947.195686221</v>
      </c>
      <c r="O27" s="29">
        <f t="shared" si="10"/>
        <v>-76350712.223077253</v>
      </c>
      <c r="P27" s="29">
        <f t="shared" si="10"/>
        <v>-17935510.114886791</v>
      </c>
      <c r="Q27" s="29">
        <f t="shared" si="10"/>
        <v>56119808.581889369</v>
      </c>
      <c r="R27" s="29">
        <f t="shared" si="10"/>
        <v>49558428.015510343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3566055.2735900879</v>
      </c>
      <c r="AD27" s="33">
        <f>I27</f>
        <v>2.0996767447940545E-3</v>
      </c>
      <c r="AE27" s="104"/>
    </row>
    <row r="28" spans="1:31" ht="16" thickBot="1" x14ac:dyDescent="0.25">
      <c r="B28" s="9" t="s">
        <v>50</v>
      </c>
      <c r="C28" s="23"/>
      <c r="D28" s="148" t="s">
        <v>4</v>
      </c>
      <c r="E28" s="23"/>
      <c r="F28" s="23">
        <f>MATCH($D28,FAC_TOTALS_APTA!$A$2:$BB$2,)</f>
        <v>8</v>
      </c>
      <c r="G28" s="111">
        <f>VLOOKUP(G11,FAC_TOTALS_APTA!$A$4:$BB$126,$F28,FALSE)</f>
        <v>1684310471</v>
      </c>
      <c r="H28" s="111">
        <f>VLOOKUP(H11,FAC_TOTALS_APTA!$A$4:$BB$126,$F28,FALSE)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7" thickTop="1" thickBot="1" x14ac:dyDescent="0.25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-3.0672697472639454E-2</v>
      </c>
    </row>
    <row r="30" spans="1:31" ht="15" thickTop="1" x14ac:dyDescent="0.2"/>
    <row r="31" spans="1:31" s="10" customFormat="1" ht="15" x14ac:dyDescent="0.2">
      <c r="B31" s="18" t="s">
        <v>25</v>
      </c>
      <c r="E31" s="6"/>
      <c r="I31" s="17"/>
    </row>
    <row r="32" spans="1:31" ht="15" x14ac:dyDescent="0.2">
      <c r="B32" s="15" t="s">
        <v>16</v>
      </c>
      <c r="C32" s="16" t="s">
        <v>17</v>
      </c>
      <c r="D32" s="10"/>
      <c r="E32" s="6"/>
      <c r="F32" s="103"/>
      <c r="G32" s="103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ht="15" x14ac:dyDescent="0.2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6" thickBot="1" x14ac:dyDescent="0.25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5" thickTop="1" x14ac:dyDescent="0.2">
      <c r="B36" s="25"/>
      <c r="C36" s="6"/>
      <c r="D36" s="62"/>
      <c r="E36" s="6"/>
      <c r="F36" s="6"/>
      <c r="G36" s="240" t="s">
        <v>51</v>
      </c>
      <c r="H36" s="240"/>
      <c r="I36" s="240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40" t="s">
        <v>55</v>
      </c>
      <c r="AD36" s="240"/>
    </row>
    <row r="37" spans="2:30" ht="15" x14ac:dyDescent="0.2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ht="15" x14ac:dyDescent="0.2">
      <c r="B41" s="115" t="s">
        <v>31</v>
      </c>
      <c r="C41" s="116" t="s">
        <v>21</v>
      </c>
      <c r="D41" s="104" t="s">
        <v>91</v>
      </c>
      <c r="E41" s="55"/>
      <c r="F41" s="6">
        <f>MATCH($D41,FAC_TOTALS_APTA!$A$2:$BD$2,)</f>
        <v>13</v>
      </c>
      <c r="G41" s="29">
        <f>VLOOKUP(G39,FAC_TOTALS_APTA!$A$4:$BD$126,$F41,FALSE)</f>
        <v>4140949.1879227501</v>
      </c>
      <c r="H41" s="29">
        <f>VLOOKUP(H39,FAC_TOTALS_APTA!$A$4:$BD$126,$F41,FALSE)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VRM_ADJ_RAIL_log_FAC</v>
      </c>
      <c r="L41" s="6">
        <f>MATCH($K41,FAC_TOTALS_APTA!$A$2:$BB$2,)</f>
        <v>31</v>
      </c>
      <c r="M41" s="29">
        <f>IF(M39=0,0,VLOOKUP(M39,FAC_TOTALS_APTA!$A$4:$BD$126,$L41,FALSE))</f>
        <v>7317815.7330658399</v>
      </c>
      <c r="N41" s="29">
        <f>IF(N39=0,0,VLOOKUP(N39,FAC_TOTALS_APTA!$A$4:$BD$126,$L41,FALSE))</f>
        <v>1612479.8005779099</v>
      </c>
      <c r="O41" s="29">
        <f>IF(O39=0,0,VLOOKUP(O39,FAC_TOTALS_APTA!$A$4:$BD$126,$L41,FALSE))</f>
        <v>782706.69840199302</v>
      </c>
      <c r="P41" s="29">
        <f>IF(P39=0,0,VLOOKUP(P39,FAC_TOTALS_APTA!$A$4:$BD$126,$L41,FALSE))</f>
        <v>1944925.4558483399</v>
      </c>
      <c r="Q41" s="29">
        <f>IF(Q39=0,0,VLOOKUP(Q39,FAC_TOTALS_APTA!$A$4:$BD$126,$L41,FALSE))</f>
        <v>183029.61229588601</v>
      </c>
      <c r="R41" s="29">
        <f>IF(R39=0,0,VLOOKUP(R39,FAC_TOTALS_APTA!$A$4:$BD$126,$L41,FALSE))</f>
        <v>2235770.3991232701</v>
      </c>
      <c r="S41" s="29">
        <f>IF(S39=0,0,VLOOKUP(S39,FAC_TOTALS_APTA!$A$4:$BD$126,$L41,FALSE))</f>
        <v>0</v>
      </c>
      <c r="T41" s="29">
        <f>IF(T39=0,0,VLOOKUP(T39,FAC_TOTALS_APTA!$A$4:$BD$126,$L41,FALSE))</f>
        <v>0</v>
      </c>
      <c r="U41" s="29">
        <f>IF(U39=0,0,VLOOKUP(U39,FAC_TOTALS_APTA!$A$4:$BD$126,$L41,FALSE))</f>
        <v>0</v>
      </c>
      <c r="V41" s="29">
        <f>IF(V39=0,0,VLOOKUP(V39,FAC_TOTALS_APTA!$A$4:$BD$126,$L41,FALSE))</f>
        <v>0</v>
      </c>
      <c r="W41" s="29">
        <f>IF(W39=0,0,VLOOKUP(W39,FAC_TOTALS_APTA!$A$4:$BD$126,$L41,FALSE))</f>
        <v>0</v>
      </c>
      <c r="X41" s="29">
        <f>IF(X39=0,0,VLOOKUP(X39,FAC_TOTALS_APTA!$A$4:$BD$126,$L41,FALSE))</f>
        <v>0</v>
      </c>
      <c r="Y41" s="29">
        <f>IF(Y39=0,0,VLOOKUP(Y39,FAC_TOTALS_APTA!$A$4:$BD$126,$L41,FALSE))</f>
        <v>0</v>
      </c>
      <c r="Z41" s="29">
        <f>IF(Z39=0,0,VLOOKUP(Z39,FAC_TOTALS_APTA!$A$4:$BD$126,$L41,FALSE))</f>
        <v>0</v>
      </c>
      <c r="AA41" s="29">
        <f>IF(AA39=0,0,VLOOKUP(AA39,FAC_TOTALS_APTA!$A$4:$BD$126,$L41,FALSE))</f>
        <v>0</v>
      </c>
      <c r="AB41" s="29">
        <f>IF(AB39=0,0,VLOOKUP(AB39,FAC_TOTALS_APTA!$A$4:$BD$126,$L41,FALSE))</f>
        <v>0</v>
      </c>
      <c r="AC41" s="32">
        <f>SUM(M41:AB41)</f>
        <v>14076727.69931324</v>
      </c>
      <c r="AD41" s="33">
        <f>AC41/G55</f>
        <v>0.17853956170995575</v>
      </c>
    </row>
    <row r="42" spans="2:30" ht="15" x14ac:dyDescent="0.2">
      <c r="B42" s="115" t="s">
        <v>52</v>
      </c>
      <c r="C42" s="116" t="s">
        <v>21</v>
      </c>
      <c r="D42" s="104" t="s">
        <v>92</v>
      </c>
      <c r="E42" s="55"/>
      <c r="F42" s="6">
        <f>MATCH($D42,FAC_TOTALS_APTA!$A$2:$BD$2,)</f>
        <v>15</v>
      </c>
      <c r="G42" s="54">
        <f>VLOOKUP(G39,FAC_TOTALS_APTA!$A$4:$BD$126,$F42,FALSE)</f>
        <v>1.16958096107573</v>
      </c>
      <c r="H42" s="54">
        <f>VLOOKUP(H39,FAC_TOTALS_APTA!$A$4:$BD$126,$F42,FALSE)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FARE_per_UPT_cleaned_2018_RAIL_log_FAC</v>
      </c>
      <c r="L42" s="6">
        <f>MATCH($K42,FAC_TOTALS_APTA!$A$2:$BB$2,)</f>
        <v>33</v>
      </c>
      <c r="M42" s="29">
        <f>IF(M39=0,0,VLOOKUP(M39,FAC_TOTALS_APTA!$A$4:$BD$126,$L42,FALSE))</f>
        <v>-928315.93422743003</v>
      </c>
      <c r="N42" s="29">
        <f>IF(N39=0,0,VLOOKUP(N39,FAC_TOTALS_APTA!$A$4:$BD$126,$L42,FALSE))</f>
        <v>54041.148785272999</v>
      </c>
      <c r="O42" s="29">
        <f>IF(O39=0,0,VLOOKUP(O39,FAC_TOTALS_APTA!$A$4:$BD$126,$L42,FALSE))</f>
        <v>-421530.20225797303</v>
      </c>
      <c r="P42" s="29">
        <f>IF(P39=0,0,VLOOKUP(P39,FAC_TOTALS_APTA!$A$4:$BD$126,$L42,FALSE))</f>
        <v>744474.71613174898</v>
      </c>
      <c r="Q42" s="29">
        <f>IF(Q39=0,0,VLOOKUP(Q39,FAC_TOTALS_APTA!$A$4:$BD$126,$L42,FALSE))</f>
        <v>-271231.09133099701</v>
      </c>
      <c r="R42" s="29">
        <f>IF(R39=0,0,VLOOKUP(R39,FAC_TOTALS_APTA!$A$4:$BD$126,$L42,FALSE))</f>
        <v>150411.50714174399</v>
      </c>
      <c r="S42" s="29">
        <f>IF(S39=0,0,VLOOKUP(S39,FAC_TOTALS_APTA!$A$4:$BD$126,$L42,FALSE))</f>
        <v>0</v>
      </c>
      <c r="T42" s="29">
        <f>IF(T39=0,0,VLOOKUP(T39,FAC_TOTALS_APTA!$A$4:$BD$126,$L42,FALSE))</f>
        <v>0</v>
      </c>
      <c r="U42" s="29">
        <f>IF(U39=0,0,VLOOKUP(U39,FAC_TOTALS_APTA!$A$4:$BD$126,$L42,FALSE))</f>
        <v>0</v>
      </c>
      <c r="V42" s="29">
        <f>IF(V39=0,0,VLOOKUP(V39,FAC_TOTALS_APTA!$A$4:$BD$126,$L42,FALSE))</f>
        <v>0</v>
      </c>
      <c r="W42" s="29">
        <f>IF(W39=0,0,VLOOKUP(W39,FAC_TOTALS_APTA!$A$4:$BD$126,$L42,FALSE))</f>
        <v>0</v>
      </c>
      <c r="X42" s="29">
        <f>IF(X39=0,0,VLOOKUP(X39,FAC_TOTALS_APTA!$A$4:$BD$126,$L42,FALSE))</f>
        <v>0</v>
      </c>
      <c r="Y42" s="29">
        <f>IF(Y39=0,0,VLOOKUP(Y39,FAC_TOTALS_APTA!$A$4:$BD$126,$L42,FALSE))</f>
        <v>0</v>
      </c>
      <c r="Z42" s="29">
        <f>IF(Z39=0,0,VLOOKUP(Z39,FAC_TOTALS_APTA!$A$4:$BD$126,$L42,FALSE))</f>
        <v>0</v>
      </c>
      <c r="AA42" s="29">
        <f>IF(AA39=0,0,VLOOKUP(AA39,FAC_TOTALS_APTA!$A$4:$BD$126,$L42,FALSE))</f>
        <v>0</v>
      </c>
      <c r="AB42" s="29">
        <f>IF(AB39=0,0,VLOOKUP(AB39,FAC_TOTALS_APTA!$A$4:$BD$126,$L42,FALSE))</f>
        <v>0</v>
      </c>
      <c r="AC42" s="32">
        <f t="shared" ref="AC42:AC53" si="15">SUM(M42:AB42)</f>
        <v>-672149.85575763416</v>
      </c>
      <c r="AD42" s="33">
        <f>AC42/G55</f>
        <v>-8.525087876512143E-3</v>
      </c>
    </row>
    <row r="43" spans="2:30" ht="15" x14ac:dyDescent="0.2">
      <c r="B43" s="115" t="s">
        <v>80</v>
      </c>
      <c r="C43" s="116"/>
      <c r="D43" s="104" t="s">
        <v>78</v>
      </c>
      <c r="E43" s="118"/>
      <c r="F43" s="104">
        <f>MATCH($D43,FAC_TOTALS_APTA!$A$2:$BD$2,)</f>
        <v>23</v>
      </c>
      <c r="G43" s="117">
        <f>VLOOKUP(G39,FAC_TOTALS_APTA!$A$4:$BD$126,$F43,FALSE)</f>
        <v>0</v>
      </c>
      <c r="H43" s="117">
        <f>VLOOKUP(H39,FAC_TOTALS_APTA!$A$4:$BD$126,$F43,FALSE)</f>
        <v>0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>
        <f>MATCH($K43,FAC_TOTALS_APTA!$A$2:$BB$2,)</f>
        <v>41</v>
      </c>
      <c r="M43" s="117">
        <f>IF(M39=0,0,VLOOKUP(M39,FAC_TOTALS_APTA!$A$4:$BD$126,$L43,FALSE))</f>
        <v>0</v>
      </c>
      <c r="N43" s="117">
        <f>IF(N39=0,0,VLOOKUP(N39,FAC_TOTALS_APTA!$A$4:$BD$126,$L43,FALSE))</f>
        <v>0</v>
      </c>
      <c r="O43" s="117">
        <f>IF(O39=0,0,VLOOKUP(O39,FAC_TOTALS_APTA!$A$4:$BD$126,$L43,FALSE))</f>
        <v>0</v>
      </c>
      <c r="P43" s="117">
        <f>IF(P39=0,0,VLOOKUP(P39,FAC_TOTALS_APTA!$A$4:$BD$126,$L43,FALSE))</f>
        <v>0</v>
      </c>
      <c r="Q43" s="117">
        <f>IF(Q39=0,0,VLOOKUP(Q39,FAC_TOTALS_APTA!$A$4:$BD$126,$L43,FALSE))</f>
        <v>0</v>
      </c>
      <c r="R43" s="117">
        <f>IF(R39=0,0,VLOOKUP(R39,FAC_TOTALS_APTA!$A$4:$BD$126,$L43,FALSE))</f>
        <v>0</v>
      </c>
      <c r="S43" s="117">
        <f>IF(S39=0,0,VLOOKUP(S39,FAC_TOTALS_APTA!$A$4:$BD$126,$L43,FALSE))</f>
        <v>0</v>
      </c>
      <c r="T43" s="117">
        <f>IF(T39=0,0,VLOOKUP(T39,FAC_TOTALS_APTA!$A$4:$BD$126,$L43,FALSE))</f>
        <v>0</v>
      </c>
      <c r="U43" s="117">
        <f>IF(U39=0,0,VLOOKUP(U39,FAC_TOTALS_APTA!$A$4:$BD$126,$L43,FALSE))</f>
        <v>0</v>
      </c>
      <c r="V43" s="117">
        <f>IF(V39=0,0,VLOOKUP(V39,FAC_TOTALS_APTA!$A$4:$BD$126,$L43,FALSE))</f>
        <v>0</v>
      </c>
      <c r="W43" s="117">
        <f>IF(W39=0,0,VLOOKUP(W39,FAC_TOTALS_APTA!$A$4:$BD$126,$L43,FALSE))</f>
        <v>0</v>
      </c>
      <c r="X43" s="117">
        <f>IF(X39=0,0,VLOOKUP(X39,FAC_TOTALS_APTA!$A$4:$BD$126,$L43,FALSE))</f>
        <v>0</v>
      </c>
      <c r="Y43" s="117">
        <f>IF(Y39=0,0,VLOOKUP(Y39,FAC_TOTALS_APTA!$A$4:$BD$126,$L43,FALSE))</f>
        <v>0</v>
      </c>
      <c r="Z43" s="117">
        <f>IF(Z39=0,0,VLOOKUP(Z39,FAC_TOTALS_APTA!$A$4:$BD$126,$L43,FALSE))</f>
        <v>0</v>
      </c>
      <c r="AA43" s="117">
        <f>IF(AA39=0,0,VLOOKUP(AA39,FAC_TOTALS_APTA!$A$4:$BD$126,$L43,FALSE))</f>
        <v>0</v>
      </c>
      <c r="AB43" s="117">
        <f>IF(AB39=0,0,VLOOKUP(AB39,FAC_TOTALS_APTA!$A$4:$BD$126,$L43,FALSE))</f>
        <v>0</v>
      </c>
      <c r="AC43" s="121">
        <f t="shared" si="15"/>
        <v>0</v>
      </c>
      <c r="AD43" s="122">
        <f>AC43/G56</f>
        <v>0</v>
      </c>
    </row>
    <row r="44" spans="2:30" ht="15" x14ac:dyDescent="0.2">
      <c r="B44" s="115" t="s">
        <v>81</v>
      </c>
      <c r="C44" s="116"/>
      <c r="D44" s="104" t="s">
        <v>77</v>
      </c>
      <c r="E44" s="118"/>
      <c r="F44" s="104">
        <f>MATCH($D44,FAC_TOTALS_APTA!$A$2:$BD$2,)</f>
        <v>22</v>
      </c>
      <c r="G44" s="54">
        <f>VLOOKUP(G39,FAC_TOTALS_APTA!$A$4:$BD$126,$F44,FALSE)</f>
        <v>0</v>
      </c>
      <c r="H44" s="54">
        <f>VLOOKUP(H39,FAC_TOTALS_APTA!$A$4:$BD$126,$F44,FALSE)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MATCH($K44,FAC_TOTALS_APTA!$A$2:$BB$2,)</f>
        <v>40</v>
      </c>
      <c r="M44" s="29">
        <f>IF(M39=0,0,VLOOKUP(M39,FAC_TOTALS_APTA!$A$4:$BD$126,$L44,FALSE))</f>
        <v>0</v>
      </c>
      <c r="N44" s="29">
        <f>IF(N39=0,0,VLOOKUP(N39,FAC_TOTALS_APTA!$A$4:$BD$126,$L44,FALSE))</f>
        <v>0</v>
      </c>
      <c r="O44" s="29">
        <f>IF(O39=0,0,VLOOKUP(O39,FAC_TOTALS_APTA!$A$4:$BD$126,$L44,FALSE))</f>
        <v>0</v>
      </c>
      <c r="P44" s="29">
        <f>IF(P39=0,0,VLOOKUP(P39,FAC_TOTALS_APTA!$A$4:$BD$126,$L44,FALSE))</f>
        <v>0</v>
      </c>
      <c r="Q44" s="29">
        <f>IF(Q39=0,0,VLOOKUP(Q39,FAC_TOTALS_APTA!$A$4:$BD$126,$L44,FALSE))</f>
        <v>0</v>
      </c>
      <c r="R44" s="29">
        <f>IF(R39=0,0,VLOOKUP(R39,FAC_TOTALS_APTA!$A$4:$BD$126,$L44,FALSE))</f>
        <v>0</v>
      </c>
      <c r="S44" s="29">
        <f>IF(S39=0,0,VLOOKUP(S39,FAC_TOTALS_APTA!$A$4:$BD$126,$L44,FALSE))</f>
        <v>0</v>
      </c>
      <c r="T44" s="29">
        <f>IF(T39=0,0,VLOOKUP(T39,FAC_TOTALS_APTA!$A$4:$BD$126,$L44,FALSE))</f>
        <v>0</v>
      </c>
      <c r="U44" s="29">
        <f>IF(U39=0,0,VLOOKUP(U39,FAC_TOTALS_APTA!$A$4:$BD$126,$L44,FALSE))</f>
        <v>0</v>
      </c>
      <c r="V44" s="29">
        <f>IF(V39=0,0,VLOOKUP(V39,FAC_TOTALS_APTA!$A$4:$BD$126,$L44,FALSE))</f>
        <v>0</v>
      </c>
      <c r="W44" s="29">
        <f>IF(W39=0,0,VLOOKUP(W39,FAC_TOTALS_APTA!$A$4:$BD$126,$L44,FALSE))</f>
        <v>0</v>
      </c>
      <c r="X44" s="29">
        <f>IF(X39=0,0,VLOOKUP(X39,FAC_TOTALS_APTA!$A$4:$BD$126,$L44,FALSE))</f>
        <v>0</v>
      </c>
      <c r="Y44" s="29">
        <f>IF(Y39=0,0,VLOOKUP(Y39,FAC_TOTALS_APTA!$A$4:$BD$126,$L44,FALSE))</f>
        <v>0</v>
      </c>
      <c r="Z44" s="29">
        <f>IF(Z39=0,0,VLOOKUP(Z39,FAC_TOTALS_APTA!$A$4:$BD$126,$L44,FALSE))</f>
        <v>0</v>
      </c>
      <c r="AA44" s="29">
        <f>IF(AA39=0,0,VLOOKUP(AA39,FAC_TOTALS_APTA!$A$4:$BD$126,$L44,FALSE))</f>
        <v>0</v>
      </c>
      <c r="AB44" s="29">
        <f>IF(AB39=0,0,VLOOKUP(AB39,FAC_TOTALS_APTA!$A$4:$BD$126,$L44,FALSE))</f>
        <v>0</v>
      </c>
      <c r="AC44" s="32">
        <f t="shared" si="15"/>
        <v>0</v>
      </c>
      <c r="AD44" s="33">
        <f>AC44/G56</f>
        <v>0</v>
      </c>
    </row>
    <row r="45" spans="2:30" ht="15" x14ac:dyDescent="0.2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MATCH($D45,FAC_TOTALS_APTA!$A$2:$BD$2,)</f>
        <v>16</v>
      </c>
      <c r="G45" s="29">
        <f>VLOOKUP(G39,FAC_TOTALS_APTA!$A$4:$BD$126,$F45,FALSE)</f>
        <v>2873847.8133243402</v>
      </c>
      <c r="H45" s="29">
        <f>VLOOKUP(H39,FAC_TOTALS_APTA!$A$4:$BD$126,$F45,FALSE)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MATCH($K45,FAC_TOTALS_APTA!$A$2:$BB$2,)</f>
        <v>34</v>
      </c>
      <c r="M45" s="29">
        <f>IF(M39=0,0,VLOOKUP(M39,FAC_TOTALS_APTA!$A$4:$BD$126,$L45,FALSE))</f>
        <v>237456.96511281299</v>
      </c>
      <c r="N45" s="29">
        <f>IF(N39=0,0,VLOOKUP(N39,FAC_TOTALS_APTA!$A$4:$BD$126,$L45,FALSE))</f>
        <v>200350.212599502</v>
      </c>
      <c r="O45" s="29">
        <f>IF(O39=0,0,VLOOKUP(O39,FAC_TOTALS_APTA!$A$4:$BD$126,$L45,FALSE))</f>
        <v>218481.44835609701</v>
      </c>
      <c r="P45" s="29">
        <f>IF(P39=0,0,VLOOKUP(P39,FAC_TOTALS_APTA!$A$4:$BD$126,$L45,FALSE))</f>
        <v>179487.72180796799</v>
      </c>
      <c r="Q45" s="29">
        <f>IF(Q39=0,0,VLOOKUP(Q39,FAC_TOTALS_APTA!$A$4:$BD$126,$L45,FALSE))</f>
        <v>185485.68892608699</v>
      </c>
      <c r="R45" s="29">
        <f>IF(R39=0,0,VLOOKUP(R39,FAC_TOTALS_APTA!$A$4:$BD$126,$L45,FALSE))</f>
        <v>164971.57081906</v>
      </c>
      <c r="S45" s="29">
        <f>IF(S39=0,0,VLOOKUP(S39,FAC_TOTALS_APTA!$A$4:$BD$126,$L45,FALSE))</f>
        <v>0</v>
      </c>
      <c r="T45" s="29">
        <f>IF(T39=0,0,VLOOKUP(T39,FAC_TOTALS_APTA!$A$4:$BD$126,$L45,FALSE))</f>
        <v>0</v>
      </c>
      <c r="U45" s="29">
        <f>IF(U39=0,0,VLOOKUP(U39,FAC_TOTALS_APTA!$A$4:$BD$126,$L45,FALSE))</f>
        <v>0</v>
      </c>
      <c r="V45" s="29">
        <f>IF(V39=0,0,VLOOKUP(V39,FAC_TOTALS_APTA!$A$4:$BD$126,$L45,FALSE))</f>
        <v>0</v>
      </c>
      <c r="W45" s="29">
        <f>IF(W39=0,0,VLOOKUP(W39,FAC_TOTALS_APTA!$A$4:$BD$126,$L45,FALSE))</f>
        <v>0</v>
      </c>
      <c r="X45" s="29">
        <f>IF(X39=0,0,VLOOKUP(X39,FAC_TOTALS_APTA!$A$4:$BD$126,$L45,FALSE))</f>
        <v>0</v>
      </c>
      <c r="Y45" s="29">
        <f>IF(Y39=0,0,VLOOKUP(Y39,FAC_TOTALS_APTA!$A$4:$BD$126,$L45,FALSE))</f>
        <v>0</v>
      </c>
      <c r="Z45" s="29">
        <f>IF(Z39=0,0,VLOOKUP(Z39,FAC_TOTALS_APTA!$A$4:$BD$126,$L45,FALSE))</f>
        <v>0</v>
      </c>
      <c r="AA45" s="29">
        <f>IF(AA39=0,0,VLOOKUP(AA39,FAC_TOTALS_APTA!$A$4:$BD$126,$L45,FALSE))</f>
        <v>0</v>
      </c>
      <c r="AB45" s="29">
        <f>IF(AB39=0,0,VLOOKUP(AB39,FAC_TOTALS_APTA!$A$4:$BD$126,$L45,FALSE))</f>
        <v>0</v>
      </c>
      <c r="AC45" s="32">
        <f t="shared" si="15"/>
        <v>1186233.607621527</v>
      </c>
      <c r="AD45" s="33">
        <f>AC45/G55</f>
        <v>1.5045373677342612E-2</v>
      </c>
    </row>
    <row r="46" spans="2:30" ht="15" x14ac:dyDescent="0.2">
      <c r="B46" s="25" t="s">
        <v>73</v>
      </c>
      <c r="C46" s="116"/>
      <c r="D46" s="104" t="s">
        <v>72</v>
      </c>
      <c r="E46" s="55"/>
      <c r="F46" s="6">
        <f>MATCH($D46,FAC_TOTALS_APTA!$A$2:$BD$2,)</f>
        <v>17</v>
      </c>
      <c r="G46" s="54">
        <f>VLOOKUP(G39,FAC_TOTALS_APTA!$A$4:$BD$126,$F46,FALSE)</f>
        <v>0.34747122969710198</v>
      </c>
      <c r="H46" s="54">
        <f>VLOOKUP(H39,FAC_TOTALS_APTA!$A$4:$BD$126,$F46,FALSE)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MATCH($K46,FAC_TOTALS_APTA!$A$2:$BB$2,)</f>
        <v>35</v>
      </c>
      <c r="M46" s="29">
        <f>IF(M39=0,0,VLOOKUP(M39,FAC_TOTALS_APTA!$A$4:$BD$126,$L46,FALSE))</f>
        <v>-49732.827498348001</v>
      </c>
      <c r="N46" s="29">
        <f>IF(N39=0,0,VLOOKUP(N39,FAC_TOTALS_APTA!$A$4:$BD$126,$L46,FALSE))</f>
        <v>-74574.174111000393</v>
      </c>
      <c r="O46" s="29">
        <f>IF(O39=0,0,VLOOKUP(O39,FAC_TOTALS_APTA!$A$4:$BD$126,$L46,FALSE))</f>
        <v>-8089.9232157406204</v>
      </c>
      <c r="P46" s="29">
        <f>IF(P39=0,0,VLOOKUP(P39,FAC_TOTALS_APTA!$A$4:$BD$126,$L46,FALSE))</f>
        <v>-118379.375558404</v>
      </c>
      <c r="Q46" s="29">
        <f>IF(Q39=0,0,VLOOKUP(Q39,FAC_TOTALS_APTA!$A$4:$BD$126,$L46,FALSE))</f>
        <v>-89997.6697845569</v>
      </c>
      <c r="R46" s="29">
        <f>IF(R39=0,0,VLOOKUP(R39,FAC_TOTALS_APTA!$A$4:$BD$126,$L46,FALSE))</f>
        <v>93423.559331230295</v>
      </c>
      <c r="S46" s="29">
        <f>IF(S39=0,0,VLOOKUP(S39,FAC_TOTALS_APTA!$A$4:$BD$126,$L46,FALSE))</f>
        <v>0</v>
      </c>
      <c r="T46" s="29">
        <f>IF(T39=0,0,VLOOKUP(T39,FAC_TOTALS_APTA!$A$4:$BD$126,$L46,FALSE))</f>
        <v>0</v>
      </c>
      <c r="U46" s="29">
        <f>IF(U39=0,0,VLOOKUP(U39,FAC_TOTALS_APTA!$A$4:$BD$126,$L46,FALSE))</f>
        <v>0</v>
      </c>
      <c r="V46" s="29">
        <f>IF(V39=0,0,VLOOKUP(V39,FAC_TOTALS_APTA!$A$4:$BD$126,$L46,FALSE))</f>
        <v>0</v>
      </c>
      <c r="W46" s="29">
        <f>IF(W39=0,0,VLOOKUP(W39,FAC_TOTALS_APTA!$A$4:$BD$126,$L46,FALSE))</f>
        <v>0</v>
      </c>
      <c r="X46" s="29">
        <f>IF(X39=0,0,VLOOKUP(X39,FAC_TOTALS_APTA!$A$4:$BD$126,$L46,FALSE))</f>
        <v>0</v>
      </c>
      <c r="Y46" s="29">
        <f>IF(Y39=0,0,VLOOKUP(Y39,FAC_TOTALS_APTA!$A$4:$BD$126,$L46,FALSE))</f>
        <v>0</v>
      </c>
      <c r="Z46" s="29">
        <f>IF(Z39=0,0,VLOOKUP(Z39,FAC_TOTALS_APTA!$A$4:$BD$126,$L46,FALSE))</f>
        <v>0</v>
      </c>
      <c r="AA46" s="29">
        <f>IF(AA39=0,0,VLOOKUP(AA39,FAC_TOTALS_APTA!$A$4:$BD$126,$L46,FALSE))</f>
        <v>0</v>
      </c>
      <c r="AB46" s="29">
        <f>IF(AB39=0,0,VLOOKUP(AB39,FAC_TOTALS_APTA!$A$4:$BD$126,$L46,FALSE))</f>
        <v>0</v>
      </c>
      <c r="AC46" s="32">
        <f t="shared" si="15"/>
        <v>-247350.41083681962</v>
      </c>
      <c r="AD46" s="33">
        <f>AC46/G55</f>
        <v>-3.1372230025972429E-3</v>
      </c>
    </row>
    <row r="47" spans="2:30" ht="15" x14ac:dyDescent="0.2">
      <c r="B47" s="115" t="s">
        <v>49</v>
      </c>
      <c r="C47" s="116" t="s">
        <v>21</v>
      </c>
      <c r="D47" s="124" t="s">
        <v>82</v>
      </c>
      <c r="E47" s="55"/>
      <c r="F47" s="6">
        <f>MATCH($D47,FAC_TOTALS_APTA!$A$2:$BD$2,)</f>
        <v>18</v>
      </c>
      <c r="G47" s="34">
        <f>VLOOKUP(G39,FAC_TOTALS_APTA!$A$4:$BD$126,$F47,FALSE)</f>
        <v>4.0037531914838302</v>
      </c>
      <c r="H47" s="34">
        <f>VLOOKUP(H39,FAC_TOTALS_APTA!$A$4:$BD$126,$F47,FALSE)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MATCH($K47,FAC_TOTALS_APTA!$A$2:$BB$2,)</f>
        <v>36</v>
      </c>
      <c r="M47" s="29">
        <f>IF(M39=0,0,VLOOKUP(M39,FAC_TOTALS_APTA!$A$4:$BD$126,$L47,FALSE))</f>
        <v>-355006.68709221098</v>
      </c>
      <c r="N47" s="29">
        <f>IF(N39=0,0,VLOOKUP(N39,FAC_TOTALS_APTA!$A$4:$BD$126,$L47,FALSE))</f>
        <v>-527911.12530814204</v>
      </c>
      <c r="O47" s="29">
        <f>IF(O39=0,0,VLOOKUP(O39,FAC_TOTALS_APTA!$A$4:$BD$126,$L47,FALSE))</f>
        <v>-2808912.4454119201</v>
      </c>
      <c r="P47" s="29">
        <f>IF(P39=0,0,VLOOKUP(P39,FAC_TOTALS_APTA!$A$4:$BD$126,$L47,FALSE))</f>
        <v>-1010103.19122136</v>
      </c>
      <c r="Q47" s="29">
        <f>IF(Q39=0,0,VLOOKUP(Q39,FAC_TOTALS_APTA!$A$4:$BD$126,$L47,FALSE))</f>
        <v>739990.43857878598</v>
      </c>
      <c r="R47" s="29">
        <f>IF(R39=0,0,VLOOKUP(R39,FAC_TOTALS_APTA!$A$4:$BD$126,$L47,FALSE))</f>
        <v>888909.83958100004</v>
      </c>
      <c r="S47" s="29">
        <f>IF(S39=0,0,VLOOKUP(S39,FAC_TOTALS_APTA!$A$4:$BD$126,$L47,FALSE))</f>
        <v>0</v>
      </c>
      <c r="T47" s="29">
        <f>IF(T39=0,0,VLOOKUP(T39,FAC_TOTALS_APTA!$A$4:$BD$126,$L47,FALSE))</f>
        <v>0</v>
      </c>
      <c r="U47" s="29">
        <f>IF(U39=0,0,VLOOKUP(U39,FAC_TOTALS_APTA!$A$4:$BD$126,$L47,FALSE))</f>
        <v>0</v>
      </c>
      <c r="V47" s="29">
        <f>IF(V39=0,0,VLOOKUP(V39,FAC_TOTALS_APTA!$A$4:$BD$126,$L47,FALSE))</f>
        <v>0</v>
      </c>
      <c r="W47" s="29">
        <f>IF(W39=0,0,VLOOKUP(W39,FAC_TOTALS_APTA!$A$4:$BD$126,$L47,FALSE))</f>
        <v>0</v>
      </c>
      <c r="X47" s="29">
        <f>IF(X39=0,0,VLOOKUP(X39,FAC_TOTALS_APTA!$A$4:$BD$126,$L47,FALSE))</f>
        <v>0</v>
      </c>
      <c r="Y47" s="29">
        <f>IF(Y39=0,0,VLOOKUP(Y39,FAC_TOTALS_APTA!$A$4:$BD$126,$L47,FALSE))</f>
        <v>0</v>
      </c>
      <c r="Z47" s="29">
        <f>IF(Z39=0,0,VLOOKUP(Z39,FAC_TOTALS_APTA!$A$4:$BD$126,$L47,FALSE))</f>
        <v>0</v>
      </c>
      <c r="AA47" s="29">
        <f>IF(AA39=0,0,VLOOKUP(AA39,FAC_TOTALS_APTA!$A$4:$BD$126,$L47,FALSE))</f>
        <v>0</v>
      </c>
      <c r="AB47" s="29">
        <f>IF(AB39=0,0,VLOOKUP(AB39,FAC_TOTALS_APTA!$A$4:$BD$126,$L47,FALSE))</f>
        <v>0</v>
      </c>
      <c r="AC47" s="32">
        <f t="shared" si="15"/>
        <v>-3073033.1708738469</v>
      </c>
      <c r="AD47" s="33">
        <f>AC47/G55</f>
        <v>-3.8976245557036632E-2</v>
      </c>
    </row>
    <row r="48" spans="2:30" ht="15" x14ac:dyDescent="0.2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MATCH($D48,FAC_TOTALS_APTA!$A$2:$BD$2,)</f>
        <v>19</v>
      </c>
      <c r="G48" s="54">
        <f>VLOOKUP(G39,FAC_TOTALS_APTA!$A$4:$BD$126,$F48,FALSE)</f>
        <v>29075.687025196399</v>
      </c>
      <c r="H48" s="54">
        <f>VLOOKUP(H39,FAC_TOTALS_APTA!$A$4:$BD$126,$F48,FALSE)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MATCH($K48,FAC_TOTALS_APTA!$A$2:$BB$2,)</f>
        <v>37</v>
      </c>
      <c r="M48" s="29">
        <f>IF(M39=0,0,VLOOKUP(M39,FAC_TOTALS_APTA!$A$4:$BD$126,$L48,FALSE))</f>
        <v>-122865.511267774</v>
      </c>
      <c r="N48" s="29">
        <f>IF(N39=0,0,VLOOKUP(N39,FAC_TOTALS_APTA!$A$4:$BD$126,$L48,FALSE))</f>
        <v>-15792.282397749101</v>
      </c>
      <c r="O48" s="29">
        <f>IF(O39=0,0,VLOOKUP(O39,FAC_TOTALS_APTA!$A$4:$BD$126,$L48,FALSE))</f>
        <v>-306655.66740245302</v>
      </c>
      <c r="P48" s="29">
        <f>IF(P39=0,0,VLOOKUP(P39,FAC_TOTALS_APTA!$A$4:$BD$126,$L48,FALSE))</f>
        <v>-106597.938852315</v>
      </c>
      <c r="Q48" s="29">
        <f>IF(Q39=0,0,VLOOKUP(Q39,FAC_TOTALS_APTA!$A$4:$BD$126,$L48,FALSE))</f>
        <v>31951.394057781701</v>
      </c>
      <c r="R48" s="29">
        <f>IF(R39=0,0,VLOOKUP(R39,FAC_TOTALS_APTA!$A$4:$BD$126,$L48,FALSE))</f>
        <v>-21948.352394865298</v>
      </c>
      <c r="S48" s="29">
        <f>IF(S39=0,0,VLOOKUP(S39,FAC_TOTALS_APTA!$A$4:$BD$126,$L48,FALSE))</f>
        <v>0</v>
      </c>
      <c r="T48" s="29">
        <f>IF(T39=0,0,VLOOKUP(T39,FAC_TOTALS_APTA!$A$4:$BD$126,$L48,FALSE))</f>
        <v>0</v>
      </c>
      <c r="U48" s="29">
        <f>IF(U39=0,0,VLOOKUP(U39,FAC_TOTALS_APTA!$A$4:$BD$126,$L48,FALSE))</f>
        <v>0</v>
      </c>
      <c r="V48" s="29">
        <f>IF(V39=0,0,VLOOKUP(V39,FAC_TOTALS_APTA!$A$4:$BD$126,$L48,FALSE))</f>
        <v>0</v>
      </c>
      <c r="W48" s="29">
        <f>IF(W39=0,0,VLOOKUP(W39,FAC_TOTALS_APTA!$A$4:$BD$126,$L48,FALSE))</f>
        <v>0</v>
      </c>
      <c r="X48" s="29">
        <f>IF(X39=0,0,VLOOKUP(X39,FAC_TOTALS_APTA!$A$4:$BD$126,$L48,FALSE))</f>
        <v>0</v>
      </c>
      <c r="Y48" s="29">
        <f>IF(Y39=0,0,VLOOKUP(Y39,FAC_TOTALS_APTA!$A$4:$BD$126,$L48,FALSE))</f>
        <v>0</v>
      </c>
      <c r="Z48" s="29">
        <f>IF(Z39=0,0,VLOOKUP(Z39,FAC_TOTALS_APTA!$A$4:$BD$126,$L48,FALSE))</f>
        <v>0</v>
      </c>
      <c r="AA48" s="29">
        <f>IF(AA39=0,0,VLOOKUP(AA39,FAC_TOTALS_APTA!$A$4:$BD$126,$L48,FALSE))</f>
        <v>0</v>
      </c>
      <c r="AB48" s="29">
        <f>IF(AB39=0,0,VLOOKUP(AB39,FAC_TOTALS_APTA!$A$4:$BD$126,$L48,FALSE))</f>
        <v>0</v>
      </c>
      <c r="AC48" s="32">
        <f t="shared" si="15"/>
        <v>-541908.35825737461</v>
      </c>
      <c r="AD48" s="33">
        <f>AC48/G55</f>
        <v>-6.8731940289612596E-3</v>
      </c>
    </row>
    <row r="49" spans="1:31" ht="15" x14ac:dyDescent="0.2">
      <c r="B49" s="115" t="s">
        <v>62</v>
      </c>
      <c r="C49" s="116"/>
      <c r="D49" s="104" t="s">
        <v>9</v>
      </c>
      <c r="E49" s="55"/>
      <c r="F49" s="6">
        <f>MATCH($D49,FAC_TOTALS_APTA!$A$2:$BD$2,)</f>
        <v>20</v>
      </c>
      <c r="G49" s="29">
        <f>VLOOKUP(G39,FAC_TOTALS_APTA!$A$4:$BD$126,$F49,FALSE)</f>
        <v>8.3624406793883406</v>
      </c>
      <c r="H49" s="29">
        <f>VLOOKUP(H39,FAC_TOTALS_APTA!$A$4:$BD$126,$F49,FALSE)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MATCH($K49,FAC_TOTALS_APTA!$A$2:$BB$2,)</f>
        <v>38</v>
      </c>
      <c r="M49" s="29">
        <f>IF(M39=0,0,VLOOKUP(M39,FAC_TOTALS_APTA!$A$4:$BD$126,$L49,FALSE))</f>
        <v>-24916.727822163</v>
      </c>
      <c r="N49" s="29">
        <f>IF(N39=0,0,VLOOKUP(N39,FAC_TOTALS_APTA!$A$4:$BD$126,$L49,FALSE))</f>
        <v>-2039.9144132358599</v>
      </c>
      <c r="O49" s="29">
        <f>IF(O39=0,0,VLOOKUP(O39,FAC_TOTALS_APTA!$A$4:$BD$126,$L49,FALSE))</f>
        <v>-39246.296001239702</v>
      </c>
      <c r="P49" s="29">
        <f>IF(P39=0,0,VLOOKUP(P39,FAC_TOTALS_APTA!$A$4:$BD$126,$L49,FALSE))</f>
        <v>-49933.858475825597</v>
      </c>
      <c r="Q49" s="29">
        <f>IF(Q39=0,0,VLOOKUP(Q39,FAC_TOTALS_APTA!$A$4:$BD$126,$L49,FALSE))</f>
        <v>-36291.106614672397</v>
      </c>
      <c r="R49" s="29">
        <f>IF(R39=0,0,VLOOKUP(R39,FAC_TOTALS_APTA!$A$4:$BD$126,$L49,FALSE))</f>
        <v>-36907.218405738597</v>
      </c>
      <c r="S49" s="29">
        <f>IF(S39=0,0,VLOOKUP(S39,FAC_TOTALS_APTA!$A$4:$BD$126,$L49,FALSE))</f>
        <v>0</v>
      </c>
      <c r="T49" s="29">
        <f>IF(T39=0,0,VLOOKUP(T39,FAC_TOTALS_APTA!$A$4:$BD$126,$L49,FALSE))</f>
        <v>0</v>
      </c>
      <c r="U49" s="29">
        <f>IF(U39=0,0,VLOOKUP(U39,FAC_TOTALS_APTA!$A$4:$BD$126,$L49,FALSE))</f>
        <v>0</v>
      </c>
      <c r="V49" s="29">
        <f>IF(V39=0,0,VLOOKUP(V39,FAC_TOTALS_APTA!$A$4:$BD$126,$L49,FALSE))</f>
        <v>0</v>
      </c>
      <c r="W49" s="29">
        <f>IF(W39=0,0,VLOOKUP(W39,FAC_TOTALS_APTA!$A$4:$BD$126,$L49,FALSE))</f>
        <v>0</v>
      </c>
      <c r="X49" s="29">
        <f>IF(X39=0,0,VLOOKUP(X39,FAC_TOTALS_APTA!$A$4:$BD$126,$L49,FALSE))</f>
        <v>0</v>
      </c>
      <c r="Y49" s="29">
        <f>IF(Y39=0,0,VLOOKUP(Y39,FAC_TOTALS_APTA!$A$4:$BD$126,$L49,FALSE))</f>
        <v>0</v>
      </c>
      <c r="Z49" s="29">
        <f>IF(Z39=0,0,VLOOKUP(Z39,FAC_TOTALS_APTA!$A$4:$BD$126,$L49,FALSE))</f>
        <v>0</v>
      </c>
      <c r="AA49" s="29">
        <f>IF(AA39=0,0,VLOOKUP(AA39,FAC_TOTALS_APTA!$A$4:$BD$126,$L49,FALSE))</f>
        <v>0</v>
      </c>
      <c r="AB49" s="29">
        <f>IF(AB39=0,0,VLOOKUP(AB39,FAC_TOTALS_APTA!$A$4:$BD$126,$L49,FALSE))</f>
        <v>0</v>
      </c>
      <c r="AC49" s="32">
        <f t="shared" si="15"/>
        <v>-189335.12173287515</v>
      </c>
      <c r="AD49" s="33">
        <f>AC49/G55</f>
        <v>-2.4013968567522855E-3</v>
      </c>
    </row>
    <row r="50" spans="1:31" ht="15" x14ac:dyDescent="0.2">
      <c r="B50" s="115" t="s">
        <v>47</v>
      </c>
      <c r="C50" s="116"/>
      <c r="D50" s="104" t="s">
        <v>28</v>
      </c>
      <c r="E50" s="55"/>
      <c r="F50" s="6">
        <f>MATCH($D50,FAC_TOTALS_APTA!$A$2:$BD$2,)</f>
        <v>21</v>
      </c>
      <c r="G50" s="34">
        <f>VLOOKUP(G39,FAC_TOTALS_APTA!$A$4:$BD$126,$F50,FALSE)</f>
        <v>4.4248857901299896</v>
      </c>
      <c r="H50" s="34">
        <f>VLOOKUP(H39,FAC_TOTALS_APTA!$A$4:$BD$126,$F50,FALSE)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MATCH($K50,FAC_TOTALS_APTA!$A$2:$BB$2,)</f>
        <v>39</v>
      </c>
      <c r="M50" s="29">
        <f>IF(M39=0,0,VLOOKUP(M39,FAC_TOTALS_APTA!$A$4:$BD$126,$L50,FALSE))</f>
        <v>-5657.7429916910596</v>
      </c>
      <c r="N50" s="29">
        <f>IF(N39=0,0,VLOOKUP(N39,FAC_TOTALS_APTA!$A$4:$BD$126,$L50,FALSE))</f>
        <v>-56557.585500368601</v>
      </c>
      <c r="O50" s="29">
        <f>IF(O39=0,0,VLOOKUP(O39,FAC_TOTALS_APTA!$A$4:$BD$126,$L50,FALSE))</f>
        <v>-111565.233758352</v>
      </c>
      <c r="P50" s="29">
        <f>IF(P39=0,0,VLOOKUP(P39,FAC_TOTALS_APTA!$A$4:$BD$126,$L50,FALSE))</f>
        <v>-428314.197890907</v>
      </c>
      <c r="Q50" s="29">
        <f>IF(Q39=0,0,VLOOKUP(Q39,FAC_TOTALS_APTA!$A$4:$BD$126,$L50,FALSE))</f>
        <v>-212082.58880387701</v>
      </c>
      <c r="R50" s="29">
        <f>IF(R39=0,0,VLOOKUP(R39,FAC_TOTALS_APTA!$A$4:$BD$126,$L50,FALSE))</f>
        <v>-259257.07963975301</v>
      </c>
      <c r="S50" s="29">
        <f>IF(S39=0,0,VLOOKUP(S39,FAC_TOTALS_APTA!$A$4:$BD$126,$L50,FALSE))</f>
        <v>0</v>
      </c>
      <c r="T50" s="29">
        <f>IF(T39=0,0,VLOOKUP(T39,FAC_TOTALS_APTA!$A$4:$BD$126,$L50,FALSE))</f>
        <v>0</v>
      </c>
      <c r="U50" s="29">
        <f>IF(U39=0,0,VLOOKUP(U39,FAC_TOTALS_APTA!$A$4:$BD$126,$L50,FALSE))</f>
        <v>0</v>
      </c>
      <c r="V50" s="29">
        <f>IF(V39=0,0,VLOOKUP(V39,FAC_TOTALS_APTA!$A$4:$BD$126,$L50,FALSE))</f>
        <v>0</v>
      </c>
      <c r="W50" s="29">
        <f>IF(W39=0,0,VLOOKUP(W39,FAC_TOTALS_APTA!$A$4:$BD$126,$L50,FALSE))</f>
        <v>0</v>
      </c>
      <c r="X50" s="29">
        <f>IF(X39=0,0,VLOOKUP(X39,FAC_TOTALS_APTA!$A$4:$BD$126,$L50,FALSE))</f>
        <v>0</v>
      </c>
      <c r="Y50" s="29">
        <f>IF(Y39=0,0,VLOOKUP(Y39,FAC_TOTALS_APTA!$A$4:$BD$126,$L50,FALSE))</f>
        <v>0</v>
      </c>
      <c r="Z50" s="29">
        <f>IF(Z39=0,0,VLOOKUP(Z39,FAC_TOTALS_APTA!$A$4:$BD$126,$L50,FALSE))</f>
        <v>0</v>
      </c>
      <c r="AA50" s="29">
        <f>IF(AA39=0,0,VLOOKUP(AA39,FAC_TOTALS_APTA!$A$4:$BD$126,$L50,FALSE))</f>
        <v>0</v>
      </c>
      <c r="AB50" s="29">
        <f>IF(AB39=0,0,VLOOKUP(AB39,FAC_TOTALS_APTA!$A$4:$BD$126,$L50,FALSE))</f>
        <v>0</v>
      </c>
      <c r="AC50" s="32">
        <f t="shared" si="15"/>
        <v>-1073434.4285849486</v>
      </c>
      <c r="AD50" s="33">
        <f>AC50/G55</f>
        <v>-1.3614706236967526E-2</v>
      </c>
    </row>
    <row r="51" spans="1:31" ht="15" x14ac:dyDescent="0.2">
      <c r="B51" s="115" t="s">
        <v>63</v>
      </c>
      <c r="C51" s="116"/>
      <c r="D51" s="126" t="s">
        <v>69</v>
      </c>
      <c r="E51" s="55"/>
      <c r="F51" s="6">
        <f>MATCH($D51,FAC_TOTALS_APTA!$A$2:$BD$2,)</f>
        <v>27</v>
      </c>
      <c r="G51" s="34">
        <f>VLOOKUP(G39,FAC_TOTALS_APTA!$A$4:$BD$126,$F51,FALSE)</f>
        <v>0</v>
      </c>
      <c r="H51" s="34">
        <f>VLOOKUP(H39,FAC_TOTALS_APTA!$A$4:$BD$126,$F51,FALSE)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MATCH($K51,FAC_TOTALS_APTA!$A$2:$BB$2,)</f>
        <v>45</v>
      </c>
      <c r="M51" s="29">
        <f>IF(M39=0,0,VLOOKUP(M39,FAC_TOTALS_APTA!$A$4:$BD$126,$L51,FALSE))</f>
        <v>0</v>
      </c>
      <c r="N51" s="29">
        <f>IF(N39=0,0,VLOOKUP(N39,FAC_TOTALS_APTA!$A$4:$BD$126,$L51,FALSE))</f>
        <v>-404015.30903557601</v>
      </c>
      <c r="O51" s="29">
        <f>IF(O39=0,0,VLOOKUP(O39,FAC_TOTALS_APTA!$A$4:$BD$126,$L51,FALSE))</f>
        <v>-1735430.5249258699</v>
      </c>
      <c r="P51" s="29">
        <f>IF(P39=0,0,VLOOKUP(P39,FAC_TOTALS_APTA!$A$4:$BD$126,$L51,FALSE))</f>
        <v>-1873490.3760804001</v>
      </c>
      <c r="Q51" s="29">
        <f>IF(Q39=0,0,VLOOKUP(Q39,FAC_TOTALS_APTA!$A$4:$BD$126,$L51,FALSE))</f>
        <v>-1848389.6139324999</v>
      </c>
      <c r="R51" s="29">
        <f>IF(R39=0,0,VLOOKUP(R39,FAC_TOTALS_APTA!$A$4:$BD$126,$L51,FALSE))</f>
        <v>-1777125.6747965901</v>
      </c>
      <c r="S51" s="29">
        <f>IF(S39=0,0,VLOOKUP(S39,FAC_TOTALS_APTA!$A$4:$BD$126,$L51,FALSE))</f>
        <v>0</v>
      </c>
      <c r="T51" s="29">
        <f>IF(T39=0,0,VLOOKUP(T39,FAC_TOTALS_APTA!$A$4:$BD$126,$L51,FALSE))</f>
        <v>0</v>
      </c>
      <c r="U51" s="29">
        <f>IF(U39=0,0,VLOOKUP(U39,FAC_TOTALS_APTA!$A$4:$BD$126,$L51,FALSE))</f>
        <v>0</v>
      </c>
      <c r="V51" s="29">
        <f>IF(V39=0,0,VLOOKUP(V39,FAC_TOTALS_APTA!$A$4:$BD$126,$L51,FALSE))</f>
        <v>0</v>
      </c>
      <c r="W51" s="29">
        <f>IF(W39=0,0,VLOOKUP(W39,FAC_TOTALS_APTA!$A$4:$BD$126,$L51,FALSE))</f>
        <v>0</v>
      </c>
      <c r="X51" s="29">
        <f>IF(X39=0,0,VLOOKUP(X39,FAC_TOTALS_APTA!$A$4:$BD$126,$L51,FALSE))</f>
        <v>0</v>
      </c>
      <c r="Y51" s="29">
        <f>IF(Y39=0,0,VLOOKUP(Y39,FAC_TOTALS_APTA!$A$4:$BD$126,$L51,FALSE))</f>
        <v>0</v>
      </c>
      <c r="Z51" s="29">
        <f>IF(Z39=0,0,VLOOKUP(Z39,FAC_TOTALS_APTA!$A$4:$BD$126,$L51,FALSE))</f>
        <v>0</v>
      </c>
      <c r="AA51" s="29">
        <f>IF(AA39=0,0,VLOOKUP(AA39,FAC_TOTALS_APTA!$A$4:$BD$126,$L51,FALSE))</f>
        <v>0</v>
      </c>
      <c r="AB51" s="29">
        <f>IF(AB39=0,0,VLOOKUP(AB39,FAC_TOTALS_APTA!$A$4:$BD$126,$L51,FALSE))</f>
        <v>0</v>
      </c>
      <c r="AC51" s="32">
        <f t="shared" si="15"/>
        <v>-7638451.4987709355</v>
      </c>
      <c r="AD51" s="33">
        <f>AC51/G55</f>
        <v>-9.6880881115562908E-2</v>
      </c>
    </row>
    <row r="52" spans="1:31" ht="15" x14ac:dyDescent="0.2">
      <c r="B52" s="115" t="s">
        <v>64</v>
      </c>
      <c r="C52" s="116"/>
      <c r="D52" s="104" t="s">
        <v>43</v>
      </c>
      <c r="E52" s="55"/>
      <c r="F52" s="6">
        <f>MATCH($D52,FAC_TOTALS_APTA!$A$2:$BD$2,)</f>
        <v>28</v>
      </c>
      <c r="G52" s="34">
        <f>VLOOKUP(G39,FAC_TOTALS_APTA!$A$4:$BD$126,$F52,FALSE)</f>
        <v>0.34080460599745599</v>
      </c>
      <c r="H52" s="34">
        <f>VLOOKUP(H39,FAC_TOTALS_APTA!$A$4:$BD$126,$F52,FALSE)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MATCH($K52,FAC_TOTALS_APTA!$A$2:$BB$2,)</f>
        <v>46</v>
      </c>
      <c r="M52" s="29">
        <f>IF(M39=0,0,VLOOKUP(M39,FAC_TOTALS_APTA!$A$4:$BD$126,$L52,FALSE))</f>
        <v>-209192.42388803401</v>
      </c>
      <c r="N52" s="29">
        <f>IF(N39=0,0,VLOOKUP(N39,FAC_TOTALS_APTA!$A$4:$BD$126,$L52,FALSE))</f>
        <v>-3198.9927473836301</v>
      </c>
      <c r="O52" s="29">
        <f>IF(O39=0,0,VLOOKUP(O39,FAC_TOTALS_APTA!$A$4:$BD$126,$L52,FALSE))</f>
        <v>-110804.61132696801</v>
      </c>
      <c r="P52" s="29">
        <f>IF(P39=0,0,VLOOKUP(P39,FAC_TOTALS_APTA!$A$4:$BD$126,$L52,FALSE))</f>
        <v>-56259.547963907498</v>
      </c>
      <c r="Q52" s="29">
        <f>IF(Q39=0,0,VLOOKUP(Q39,FAC_TOTALS_APTA!$A$4:$BD$126,$L52,FALSE))</f>
        <v>-87037.441738338093</v>
      </c>
      <c r="R52" s="29">
        <f>IF(R39=0,0,VLOOKUP(R39,FAC_TOTALS_APTA!$A$4:$BD$126,$L52,FALSE))</f>
        <v>-23417.989606508399</v>
      </c>
      <c r="S52" s="29">
        <f>IF(S39=0,0,VLOOKUP(S39,FAC_TOTALS_APTA!$A$4:$BD$126,$L52,FALSE))</f>
        <v>0</v>
      </c>
      <c r="T52" s="29">
        <f>IF(T39=0,0,VLOOKUP(T39,FAC_TOTALS_APTA!$A$4:$BD$126,$L52,FALSE))</f>
        <v>0</v>
      </c>
      <c r="U52" s="29">
        <f>IF(U39=0,0,VLOOKUP(U39,FAC_TOTALS_APTA!$A$4:$BD$126,$L52,FALSE))</f>
        <v>0</v>
      </c>
      <c r="V52" s="29">
        <f>IF(V39=0,0,VLOOKUP(V39,FAC_TOTALS_APTA!$A$4:$BD$126,$L52,FALSE))</f>
        <v>0</v>
      </c>
      <c r="W52" s="29">
        <f>IF(W39=0,0,VLOOKUP(W39,FAC_TOTALS_APTA!$A$4:$BD$126,$L52,FALSE))</f>
        <v>0</v>
      </c>
      <c r="X52" s="29">
        <f>IF(X39=0,0,VLOOKUP(X39,FAC_TOTALS_APTA!$A$4:$BD$126,$L52,FALSE))</f>
        <v>0</v>
      </c>
      <c r="Y52" s="29">
        <f>IF(Y39=0,0,VLOOKUP(Y39,FAC_TOTALS_APTA!$A$4:$BD$126,$L52,FALSE))</f>
        <v>0</v>
      </c>
      <c r="Z52" s="29">
        <f>IF(Z39=0,0,VLOOKUP(Z39,FAC_TOTALS_APTA!$A$4:$BD$126,$L52,FALSE))</f>
        <v>0</v>
      </c>
      <c r="AA52" s="29">
        <f>IF(AA39=0,0,VLOOKUP(AA39,FAC_TOTALS_APTA!$A$4:$BD$126,$L52,FALSE))</f>
        <v>0</v>
      </c>
      <c r="AB52" s="29">
        <f>IF(AB39=0,0,VLOOKUP(AB39,FAC_TOTALS_APTA!$A$4:$BD$126,$L52,FALSE))</f>
        <v>0</v>
      </c>
      <c r="AC52" s="32">
        <f t="shared" si="15"/>
        <v>-489911.00727113965</v>
      </c>
      <c r="AD52" s="33">
        <f>AC52/G55</f>
        <v>-6.213695283694344E-3</v>
      </c>
    </row>
    <row r="53" spans="1:31" ht="15" x14ac:dyDescent="0.2">
      <c r="B53" s="127" t="s">
        <v>65</v>
      </c>
      <c r="C53" s="128"/>
      <c r="D53" s="129" t="s">
        <v>44</v>
      </c>
      <c r="E53" s="56"/>
      <c r="F53" s="7">
        <f>MATCH($D53,FAC_TOTALS_APTA!$A$2:$BD$2,)</f>
        <v>29</v>
      </c>
      <c r="G53" s="35">
        <f>VLOOKUP(G39,FAC_TOTALS_APTA!$A$4:$BD$126,$F53,FALSE)</f>
        <v>0</v>
      </c>
      <c r="H53" s="35">
        <f>VLOOKUP(H39,FAC_TOTALS_APTA!$A$4:$BD$126,$F53,FALSE)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MATCH($K53,FAC_TOTALS_APTA!$A$2:$BB$2,)</f>
        <v>47</v>
      </c>
      <c r="M53" s="38">
        <f>IF(M39=0,0,VLOOKUP(M39,FAC_TOTALS_APTA!$A$4:$BD$126,$L53,FALSE))</f>
        <v>0</v>
      </c>
      <c r="N53" s="38">
        <f>IF(N39=0,0,VLOOKUP(N39,FAC_TOTALS_APTA!$A$4:$BD$126,$L53,FALSE))</f>
        <v>0</v>
      </c>
      <c r="O53" s="38">
        <f>IF(O39=0,0,VLOOKUP(O39,FAC_TOTALS_APTA!$A$4:$BD$126,$L53,FALSE))</f>
        <v>0</v>
      </c>
      <c r="P53" s="38">
        <f>IF(P39=0,0,VLOOKUP(P39,FAC_TOTALS_APTA!$A$4:$BD$126,$L53,FALSE))</f>
        <v>0</v>
      </c>
      <c r="Q53" s="38">
        <f>IF(Q39=0,0,VLOOKUP(Q39,FAC_TOTALS_APTA!$A$4:$BD$126,$L53,FALSE))</f>
        <v>0</v>
      </c>
      <c r="R53" s="38">
        <f>IF(R39=0,0,VLOOKUP(R39,FAC_TOTALS_APTA!$A$4:$BD$126,$L53,FALSE))</f>
        <v>-1748137.22177104</v>
      </c>
      <c r="S53" s="38">
        <f>IF(S39=0,0,VLOOKUP(S39,FAC_TOTALS_APTA!$A$4:$BD$126,$L53,FALSE))</f>
        <v>0</v>
      </c>
      <c r="T53" s="38">
        <f>IF(T39=0,0,VLOOKUP(T39,FAC_TOTALS_APTA!$A$4:$BD$126,$L53,FALSE))</f>
        <v>0</v>
      </c>
      <c r="U53" s="38">
        <f>IF(U39=0,0,VLOOKUP(U39,FAC_TOTALS_APTA!$A$4:$BD$126,$L53,FALSE))</f>
        <v>0</v>
      </c>
      <c r="V53" s="38">
        <f>IF(V39=0,0,VLOOKUP(V39,FAC_TOTALS_APTA!$A$4:$BD$126,$L53,FALSE))</f>
        <v>0</v>
      </c>
      <c r="W53" s="38">
        <f>IF(W39=0,0,VLOOKUP(W39,FAC_TOTALS_APTA!$A$4:$BD$126,$L53,FALSE))</f>
        <v>0</v>
      </c>
      <c r="X53" s="38">
        <f>IF(X39=0,0,VLOOKUP(X39,FAC_TOTALS_APTA!$A$4:$BD$126,$L53,FALSE))</f>
        <v>0</v>
      </c>
      <c r="Y53" s="38">
        <f>IF(Y39=0,0,VLOOKUP(Y39,FAC_TOTALS_APTA!$A$4:$BD$126,$L53,FALSE))</f>
        <v>0</v>
      </c>
      <c r="Z53" s="38">
        <f>IF(Z39=0,0,VLOOKUP(Z39,FAC_TOTALS_APTA!$A$4:$BD$126,$L53,FALSE))</f>
        <v>0</v>
      </c>
      <c r="AA53" s="38">
        <f>IF(AA39=0,0,VLOOKUP(AA39,FAC_TOTALS_APTA!$A$4:$BD$126,$L53,FALSE))</f>
        <v>0</v>
      </c>
      <c r="AB53" s="38">
        <f>IF(AB39=0,0,VLOOKUP(AB39,FAC_TOTALS_APTA!$A$4:$BD$126,$L53,FALSE))</f>
        <v>0</v>
      </c>
      <c r="AC53" s="39">
        <f t="shared" si="15"/>
        <v>-1748137.22177104</v>
      </c>
      <c r="AD53" s="40">
        <f>AC53/G55</f>
        <v>-2.2172173821270132E-2</v>
      </c>
    </row>
    <row r="54" spans="1:31" ht="15" x14ac:dyDescent="0.2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MATCH($K54,FAC_TOTALS_APTA!$A$2:$BB$2,)</f>
        <v>51</v>
      </c>
      <c r="M54" s="45">
        <f>IF(M39=0,0,VLOOKUP(M39,FAC_TOTALS_APTA!$A$4:$BD$126,$L54,FALSE))</f>
        <v>0</v>
      </c>
      <c r="N54" s="45">
        <f>IF(N39=0,0,VLOOKUP(N39,FAC_TOTALS_APTA!$A$4:$BD$126,$L54,FALSE))</f>
        <v>0</v>
      </c>
      <c r="O54" s="45">
        <f>IF(O39=0,0,VLOOKUP(O39,FAC_TOTALS_APTA!$A$4:$BD$126,$L54,FALSE))</f>
        <v>0</v>
      </c>
      <c r="P54" s="45">
        <f>IF(P39=0,0,VLOOKUP(P39,FAC_TOTALS_APTA!$A$4:$BD$126,$L54,FALSE))</f>
        <v>0</v>
      </c>
      <c r="Q54" s="45">
        <f>IF(Q39=0,0,VLOOKUP(Q39,FAC_TOTALS_APTA!$A$4:$BD$126,$L54,FALSE))</f>
        <v>0</v>
      </c>
      <c r="R54" s="45">
        <f>IF(R39=0,0,VLOOKUP(R39,FAC_TOTALS_APTA!$A$4:$BD$126,$L54,FALSE))</f>
        <v>0</v>
      </c>
      <c r="S54" s="45">
        <f>IF(S39=0,0,VLOOKUP(S39,FAC_TOTALS_APTA!$A$4:$BD$126,$L54,FALSE))</f>
        <v>0</v>
      </c>
      <c r="T54" s="45">
        <f>IF(T39=0,0,VLOOKUP(T39,FAC_TOTALS_APTA!$A$4:$BD$126,$L54,FALSE))</f>
        <v>0</v>
      </c>
      <c r="U54" s="45">
        <f>IF(U39=0,0,VLOOKUP(U39,FAC_TOTALS_APTA!$A$4:$BD$126,$L54,FALSE))</f>
        <v>0</v>
      </c>
      <c r="V54" s="45">
        <f>IF(V39=0,0,VLOOKUP(V39,FAC_TOTALS_APTA!$A$4:$BD$126,$L54,FALSE))</f>
        <v>0</v>
      </c>
      <c r="W54" s="45">
        <f>IF(W39=0,0,VLOOKUP(W39,FAC_TOTALS_APTA!$A$4:$BD$126,$L54,FALSE))</f>
        <v>0</v>
      </c>
      <c r="X54" s="45">
        <f>IF(X39=0,0,VLOOKUP(X39,FAC_TOTALS_APTA!$A$4:$BD$126,$L54,FALSE))</f>
        <v>0</v>
      </c>
      <c r="Y54" s="45">
        <f>IF(Y39=0,0,VLOOKUP(Y39,FAC_TOTALS_APTA!$A$4:$BD$126,$L54,FALSE))</f>
        <v>0</v>
      </c>
      <c r="Z54" s="45">
        <f>IF(Z39=0,0,VLOOKUP(Z39,FAC_TOTALS_APTA!$A$4:$BD$126,$L54,FALSE))</f>
        <v>0</v>
      </c>
      <c r="AA54" s="45">
        <f>IF(AA39=0,0,VLOOKUP(AA39,FAC_TOTALS_APTA!$A$4:$BD$126,$L54,FALSE))</f>
        <v>0</v>
      </c>
      <c r="AB54" s="45">
        <f>IF(AB39=0,0,VLOOKUP(AB39,FAC_TOTALS_APTA!$A$4:$BD$126,$L54,FALSE))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">
      <c r="A55" s="106"/>
      <c r="B55" s="25" t="s">
        <v>66</v>
      </c>
      <c r="C55" s="28"/>
      <c r="D55" s="6" t="s">
        <v>6</v>
      </c>
      <c r="E55" s="55"/>
      <c r="F55" s="6">
        <f>MATCH($D55,FAC_TOTALS_APTA!$A$2:$BB$2,)</f>
        <v>10</v>
      </c>
      <c r="G55" s="110">
        <f>VLOOKUP(G39,FAC_TOTALS_APTA!$A$4:$BD$126,$F55,FALSE)</f>
        <v>78843745.131297097</v>
      </c>
      <c r="H55" s="110">
        <f>VLOOKUP(H39,FAC_TOTALS_APTA!$A$4:$BB$126,$F55,FALSE)</f>
        <v>78005962.710860297</v>
      </c>
      <c r="I55" s="112">
        <f t="shared" ref="I55" si="18">H55/G55-1</f>
        <v>-1.0625857752465384E-2</v>
      </c>
      <c r="J55" s="31"/>
      <c r="K55" s="31"/>
      <c r="L55" s="6"/>
      <c r="M55" s="29">
        <f t="shared" ref="M55:AB55" si="19">SUM(M41:M48)</f>
        <v>6099351.7380928891</v>
      </c>
      <c r="N55" s="29">
        <f t="shared" si="19"/>
        <v>1248593.5801457933</v>
      </c>
      <c r="O55" s="29">
        <f t="shared" si="19"/>
        <v>-2544000.0915299971</v>
      </c>
      <c r="P55" s="29">
        <f t="shared" si="19"/>
        <v>1633807.3881559779</v>
      </c>
      <c r="Q55" s="29">
        <f t="shared" si="19"/>
        <v>779228.37274298677</v>
      </c>
      <c r="R55" s="29">
        <f t="shared" si="19"/>
        <v>3511538.5236014389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-837782.42043679953</v>
      </c>
      <c r="AD55" s="33">
        <f>I55</f>
        <v>-1.0625857752465384E-2</v>
      </c>
      <c r="AE55" s="106"/>
    </row>
    <row r="56" spans="1:31" ht="16" thickBot="1" x14ac:dyDescent="0.25">
      <c r="B56" s="9" t="s">
        <v>50</v>
      </c>
      <c r="C56" s="23"/>
      <c r="D56" s="23" t="s">
        <v>4</v>
      </c>
      <c r="E56" s="23"/>
      <c r="F56" s="23">
        <f>MATCH($D56,FAC_TOTALS_APTA!$A$2:$BB$2,)</f>
        <v>8</v>
      </c>
      <c r="G56" s="111">
        <f>VLOOKUP(G39,FAC_TOTALS_APTA!$A$4:$BB$126,$F56,FALSE)</f>
        <v>81673687</v>
      </c>
      <c r="H56" s="111">
        <f>VLOOKUP(H39,FAC_TOTALS_APTA!$A$4:$BB$126,$F56,FALSE)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7" thickTop="1" thickBot="1" x14ac:dyDescent="0.25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-4.8419964435040375E-2</v>
      </c>
    </row>
    <row r="58" spans="1:31" ht="15" thickTop="1" x14ac:dyDescent="0.2"/>
    <row r="59" spans="1:31" s="10" customFormat="1" ht="15" x14ac:dyDescent="0.2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ht="15" x14ac:dyDescent="0.2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ht="15" x14ac:dyDescent="0.2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6" thickBot="1" x14ac:dyDescent="0.25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5" thickTop="1" x14ac:dyDescent="0.2">
      <c r="B64" s="74"/>
      <c r="C64" s="76"/>
      <c r="D64" s="62"/>
      <c r="E64" s="76"/>
      <c r="F64" s="76"/>
      <c r="G64" s="241" t="s">
        <v>51</v>
      </c>
      <c r="H64" s="241"/>
      <c r="I64" s="241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241" t="s">
        <v>55</v>
      </c>
      <c r="AD64" s="241"/>
    </row>
    <row r="65" spans="2:33" ht="15" x14ac:dyDescent="0.2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25" hidden="1" customHeight="1" x14ac:dyDescent="0.2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25" hidden="1" customHeight="1" x14ac:dyDescent="0.2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25" hidden="1" customHeight="1" x14ac:dyDescent="0.2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ht="15" x14ac:dyDescent="0.2">
      <c r="B69" s="115" t="s">
        <v>31</v>
      </c>
      <c r="C69" s="116" t="s">
        <v>21</v>
      </c>
      <c r="D69" s="104" t="s">
        <v>91</v>
      </c>
      <c r="E69" s="88"/>
      <c r="F69" s="76">
        <f>MATCH($D69,FAC_TOTALS_APTA!$A$2:$BD$2,)</f>
        <v>13</v>
      </c>
      <c r="G69" s="87" t="e">
        <f>VLOOKUP(G67,FAC_TOTALS_APTA!$A$4:$BD$126,$F69,FALSE)</f>
        <v>#N/A</v>
      </c>
      <c r="H69" s="87" t="e">
        <f>VLOOKUP(H67,FAC_TOTALS_APTA!$A$4:$BD$126,$F69,FALSE)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VRM_ADJ_RAIL_log_FAC</v>
      </c>
      <c r="L69" s="76">
        <f>MATCH($K69,FAC_TOTALS_APTA!$A$2:$BB$2,)</f>
        <v>31</v>
      </c>
      <c r="M69" s="87" t="e">
        <f>IF(M67=0,0,VLOOKUP(M67,FAC_TOTALS_APTA!$A$4:$BD$126,$L69,FALSE))</f>
        <v>#N/A</v>
      </c>
      <c r="N69" s="87" t="e">
        <f>IF(N67=0,0,VLOOKUP(N67,FAC_TOTALS_APTA!$A$4:$BD$126,$L69,FALSE))</f>
        <v>#N/A</v>
      </c>
      <c r="O69" s="87" t="e">
        <f>IF(O67=0,0,VLOOKUP(O67,FAC_TOTALS_APTA!$A$4:$BD$126,$L69,FALSE))</f>
        <v>#N/A</v>
      </c>
      <c r="P69" s="87" t="e">
        <f>IF(P67=0,0,VLOOKUP(P67,FAC_TOTALS_APTA!$A$4:$BD$126,$L69,FALSE))</f>
        <v>#N/A</v>
      </c>
      <c r="Q69" s="87" t="e">
        <f>IF(Q67=0,0,VLOOKUP(Q67,FAC_TOTALS_APTA!$A$4:$BD$126,$L69,FALSE))</f>
        <v>#N/A</v>
      </c>
      <c r="R69" s="87" t="e">
        <f>IF(R67=0,0,VLOOKUP(R67,FAC_TOTALS_APTA!$A$4:$BD$126,$L69,FALSE))</f>
        <v>#N/A</v>
      </c>
      <c r="S69" s="87">
        <f>IF(S67=0,0,VLOOKUP(S67,FAC_TOTALS_APTA!$A$4:$BD$126,$L69,FALSE))</f>
        <v>0</v>
      </c>
      <c r="T69" s="87">
        <f>IF(T67=0,0,VLOOKUP(T67,FAC_TOTALS_APTA!$A$4:$BD$126,$L69,FALSE))</f>
        <v>0</v>
      </c>
      <c r="U69" s="87">
        <f>IF(U67=0,0,VLOOKUP(U67,FAC_TOTALS_APTA!$A$4:$BD$126,$L69,FALSE))</f>
        <v>0</v>
      </c>
      <c r="V69" s="87">
        <f>IF(V67=0,0,VLOOKUP(V67,FAC_TOTALS_APTA!$A$4:$BD$126,$L69,FALSE))</f>
        <v>0</v>
      </c>
      <c r="W69" s="87">
        <f>IF(W67=0,0,VLOOKUP(W67,FAC_TOTALS_APTA!$A$4:$BD$126,$L69,FALSE))</f>
        <v>0</v>
      </c>
      <c r="X69" s="87">
        <f>IF(X67=0,0,VLOOKUP(X67,FAC_TOTALS_APTA!$A$4:$BD$126,$L69,FALSE))</f>
        <v>0</v>
      </c>
      <c r="Y69" s="87">
        <f>IF(Y67=0,0,VLOOKUP(Y67,FAC_TOTALS_APTA!$A$4:$BD$126,$L69,FALSE))</f>
        <v>0</v>
      </c>
      <c r="Z69" s="87">
        <f>IF(Z67=0,0,VLOOKUP(Z67,FAC_TOTALS_APTA!$A$4:$BD$126,$L69,FALSE))</f>
        <v>0</v>
      </c>
      <c r="AA69" s="87">
        <f>IF(AA67=0,0,VLOOKUP(AA67,FAC_TOTALS_APTA!$A$4:$BD$126,$L69,FALSE))</f>
        <v>0</v>
      </c>
      <c r="AB69" s="87">
        <f>IF(AB67=0,0,VLOOKUP(AB67,FAC_TOTALS_APTA!$A$4:$BD$126,$L69,FALSE))</f>
        <v>0</v>
      </c>
      <c r="AC69" s="91" t="e">
        <f>SUM(M69:AB69)</f>
        <v>#N/A</v>
      </c>
      <c r="AD69" s="92" t="e">
        <f>AC69/G83</f>
        <v>#N/A</v>
      </c>
    </row>
    <row r="70" spans="2:33" ht="15" x14ac:dyDescent="0.2">
      <c r="B70" s="115" t="s">
        <v>52</v>
      </c>
      <c r="C70" s="116" t="s">
        <v>21</v>
      </c>
      <c r="D70" s="104" t="s">
        <v>92</v>
      </c>
      <c r="E70" s="88"/>
      <c r="F70" s="76">
        <f>MATCH($D70,FAC_TOTALS_APTA!$A$2:$BD$2,)</f>
        <v>15</v>
      </c>
      <c r="G70" s="93" t="e">
        <f>VLOOKUP(G67,FAC_TOTALS_APTA!$A$4:$BD$126,$F70,FALSE)</f>
        <v>#N/A</v>
      </c>
      <c r="H70" s="93" t="e">
        <f>VLOOKUP(H67,FAC_TOTALS_APTA!$A$4:$BD$126,$F70,FALSE)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FARE_per_UPT_cleaned_2018_RAIL_log_FAC</v>
      </c>
      <c r="L70" s="76">
        <f>MATCH($K70,FAC_TOTALS_APTA!$A$2:$BB$2,)</f>
        <v>33</v>
      </c>
      <c r="M70" s="87" t="e">
        <f>IF(M67=0,0,VLOOKUP(M67,FAC_TOTALS_APTA!$A$4:$BD$126,$L70,FALSE))</f>
        <v>#N/A</v>
      </c>
      <c r="N70" s="87" t="e">
        <f>IF(N67=0,0,VLOOKUP(N67,FAC_TOTALS_APTA!$A$4:$BD$126,$L70,FALSE))</f>
        <v>#N/A</v>
      </c>
      <c r="O70" s="87" t="e">
        <f>IF(O67=0,0,VLOOKUP(O67,FAC_TOTALS_APTA!$A$4:$BD$126,$L70,FALSE))</f>
        <v>#N/A</v>
      </c>
      <c r="P70" s="87" t="e">
        <f>IF(P67=0,0,VLOOKUP(P67,FAC_TOTALS_APTA!$A$4:$BD$126,$L70,FALSE))</f>
        <v>#N/A</v>
      </c>
      <c r="Q70" s="87" t="e">
        <f>IF(Q67=0,0,VLOOKUP(Q67,FAC_TOTALS_APTA!$A$4:$BD$126,$L70,FALSE))</f>
        <v>#N/A</v>
      </c>
      <c r="R70" s="87" t="e">
        <f>IF(R67=0,0,VLOOKUP(R67,FAC_TOTALS_APTA!$A$4:$BD$126,$L70,FALSE))</f>
        <v>#N/A</v>
      </c>
      <c r="S70" s="87">
        <f>IF(S67=0,0,VLOOKUP(S67,FAC_TOTALS_APTA!$A$4:$BD$126,$L70,FALSE))</f>
        <v>0</v>
      </c>
      <c r="T70" s="87">
        <f>IF(T67=0,0,VLOOKUP(T67,FAC_TOTALS_APTA!$A$4:$BD$126,$L70,FALSE))</f>
        <v>0</v>
      </c>
      <c r="U70" s="87">
        <f>IF(U67=0,0,VLOOKUP(U67,FAC_TOTALS_APTA!$A$4:$BD$126,$L70,FALSE))</f>
        <v>0</v>
      </c>
      <c r="V70" s="87">
        <f>IF(V67=0,0,VLOOKUP(V67,FAC_TOTALS_APTA!$A$4:$BD$126,$L70,FALSE))</f>
        <v>0</v>
      </c>
      <c r="W70" s="87">
        <f>IF(W67=0,0,VLOOKUP(W67,FAC_TOTALS_APTA!$A$4:$BD$126,$L70,FALSE))</f>
        <v>0</v>
      </c>
      <c r="X70" s="87">
        <f>IF(X67=0,0,VLOOKUP(X67,FAC_TOTALS_APTA!$A$4:$BD$126,$L70,FALSE))</f>
        <v>0</v>
      </c>
      <c r="Y70" s="87">
        <f>IF(Y67=0,0,VLOOKUP(Y67,FAC_TOTALS_APTA!$A$4:$BD$126,$L70,FALSE))</f>
        <v>0</v>
      </c>
      <c r="Z70" s="87">
        <f>IF(Z67=0,0,VLOOKUP(Z67,FAC_TOTALS_APTA!$A$4:$BD$126,$L70,FALSE))</f>
        <v>0</v>
      </c>
      <c r="AA70" s="87">
        <f>IF(AA67=0,0,VLOOKUP(AA67,FAC_TOTALS_APTA!$A$4:$BD$126,$L70,FALSE))</f>
        <v>0</v>
      </c>
      <c r="AB70" s="87">
        <f>IF(AB67=0,0,VLOOKUP(AB67,FAC_TOTALS_APTA!$A$4:$BD$126,$L70,FALSE))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ht="15" x14ac:dyDescent="0.2">
      <c r="B71" s="115" t="s">
        <v>80</v>
      </c>
      <c r="C71" s="116"/>
      <c r="D71" s="104" t="s">
        <v>78</v>
      </c>
      <c r="E71" s="118"/>
      <c r="F71" s="104">
        <f>MATCH($D71,FAC_TOTALS_APTA!$A$2:$BD$2,)</f>
        <v>23</v>
      </c>
      <c r="G71" s="117" t="e">
        <f>VLOOKUP(G67,FAC_TOTALS_APTA!$A$4:$BD$126,$F71,FALSE)</f>
        <v>#N/A</v>
      </c>
      <c r="H71" s="117" t="e">
        <f>VLOOKUP(H67,FAC_TOTALS_APTA!$A$4:$BD$126,$F71,FALSE)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MATCH($K71,FAC_TOTALS_APTA!$A$2:$BB$2,)</f>
        <v>41</v>
      </c>
      <c r="M71" s="117" t="e">
        <f>IF(M67=0,0,VLOOKUP(M67,FAC_TOTALS_APTA!$A$4:$BD$126,$L71,FALSE))</f>
        <v>#N/A</v>
      </c>
      <c r="N71" s="117" t="e">
        <f>IF(N67=0,0,VLOOKUP(N67,FAC_TOTALS_APTA!$A$4:$BD$126,$L71,FALSE))</f>
        <v>#N/A</v>
      </c>
      <c r="O71" s="117" t="e">
        <f>IF(O67=0,0,VLOOKUP(O67,FAC_TOTALS_APTA!$A$4:$BD$126,$L71,FALSE))</f>
        <v>#N/A</v>
      </c>
      <c r="P71" s="117" t="e">
        <f>IF(P67=0,0,VLOOKUP(P67,FAC_TOTALS_APTA!$A$4:$BD$126,$L71,FALSE))</f>
        <v>#N/A</v>
      </c>
      <c r="Q71" s="117" t="e">
        <f>IF(Q67=0,0,VLOOKUP(Q67,FAC_TOTALS_APTA!$A$4:$BD$126,$L71,FALSE))</f>
        <v>#N/A</v>
      </c>
      <c r="R71" s="117" t="e">
        <f>IF(R67=0,0,VLOOKUP(R67,FAC_TOTALS_APTA!$A$4:$BD$126,$L71,FALSE))</f>
        <v>#N/A</v>
      </c>
      <c r="S71" s="117">
        <f>IF(S67=0,0,VLOOKUP(S67,FAC_TOTALS_APTA!$A$4:$BD$126,$L71,FALSE))</f>
        <v>0</v>
      </c>
      <c r="T71" s="117">
        <f>IF(T67=0,0,VLOOKUP(T67,FAC_TOTALS_APTA!$A$4:$BD$126,$L71,FALSE))</f>
        <v>0</v>
      </c>
      <c r="U71" s="117">
        <f>IF(U67=0,0,VLOOKUP(U67,FAC_TOTALS_APTA!$A$4:$BD$126,$L71,FALSE))</f>
        <v>0</v>
      </c>
      <c r="V71" s="117">
        <f>IF(V67=0,0,VLOOKUP(V67,FAC_TOTALS_APTA!$A$4:$BD$126,$L71,FALSE))</f>
        <v>0</v>
      </c>
      <c r="W71" s="117">
        <f>IF(W67=0,0,VLOOKUP(W67,FAC_TOTALS_APTA!$A$4:$BD$126,$L71,FALSE))</f>
        <v>0</v>
      </c>
      <c r="X71" s="117">
        <f>IF(X67=0,0,VLOOKUP(X67,FAC_TOTALS_APTA!$A$4:$BD$126,$L71,FALSE))</f>
        <v>0</v>
      </c>
      <c r="Y71" s="117">
        <f>IF(Y67=0,0,VLOOKUP(Y67,FAC_TOTALS_APTA!$A$4:$BD$126,$L71,FALSE))</f>
        <v>0</v>
      </c>
      <c r="Z71" s="117">
        <f>IF(Z67=0,0,VLOOKUP(Z67,FAC_TOTALS_APTA!$A$4:$BD$126,$L71,FALSE))</f>
        <v>0</v>
      </c>
      <c r="AA71" s="117">
        <f>IF(AA67=0,0,VLOOKUP(AA67,FAC_TOTALS_APTA!$A$4:$BD$126,$L71,FALSE))</f>
        <v>0</v>
      </c>
      <c r="AB71" s="117">
        <f>IF(AB67=0,0,VLOOKUP(AB67,FAC_TOTALS_APTA!$A$4:$BD$126,$L71,FALSE))</f>
        <v>0</v>
      </c>
      <c r="AC71" s="121" t="e">
        <f t="shared" si="25"/>
        <v>#N/A</v>
      </c>
      <c r="AD71" s="122" t="e">
        <f>AC71/G84</f>
        <v>#N/A</v>
      </c>
    </row>
    <row r="72" spans="2:33" ht="15" x14ac:dyDescent="0.2">
      <c r="B72" s="115" t="s">
        <v>81</v>
      </c>
      <c r="C72" s="116"/>
      <c r="D72" s="104" t="s">
        <v>77</v>
      </c>
      <c r="E72" s="118"/>
      <c r="F72" s="104">
        <f>MATCH($D72,FAC_TOTALS_APTA!$A$2:$BD$2,)</f>
        <v>22</v>
      </c>
      <c r="G72" s="54" t="e">
        <f>VLOOKUP(G67,FAC_TOTALS_APTA!$A$4:$BD$126,$F72,FALSE)</f>
        <v>#N/A</v>
      </c>
      <c r="H72" s="54" t="e">
        <f>VLOOKUP(H67,FAC_TOTALS_APTA!$A$4:$BD$126,$F72,FALSE)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MATCH($K72,FAC_TOTALS_APTA!$A$2:$BB$2,)</f>
        <v>40</v>
      </c>
      <c r="M72" s="29">
        <f>IF(M68=0,0,VLOOKUP(M68,FAC_TOTALS_APTA!$A$4:$BD$126,$L72,FALSE))</f>
        <v>0</v>
      </c>
      <c r="N72" s="29">
        <f>IF(N68=0,0,VLOOKUP(N68,FAC_TOTALS_APTA!$A$4:$BD$126,$L72,FALSE))</f>
        <v>0</v>
      </c>
      <c r="O72" s="29">
        <f>IF(O68=0,0,VLOOKUP(O68,FAC_TOTALS_APTA!$A$4:$BD$126,$L72,FALSE))</f>
        <v>0</v>
      </c>
      <c r="P72" s="29">
        <f>IF(P68=0,0,VLOOKUP(P68,FAC_TOTALS_APTA!$A$4:$BD$126,$L72,FALSE))</f>
        <v>0</v>
      </c>
      <c r="Q72" s="29">
        <f>IF(Q68=0,0,VLOOKUP(Q68,FAC_TOTALS_APTA!$A$4:$BD$126,$L72,FALSE))</f>
        <v>0</v>
      </c>
      <c r="R72" s="29">
        <f>IF(R68=0,0,VLOOKUP(R68,FAC_TOTALS_APTA!$A$4:$BD$126,$L72,FALSE))</f>
        <v>0</v>
      </c>
      <c r="S72" s="29">
        <f>IF(S68=0,0,VLOOKUP(S68,FAC_TOTALS_APTA!$A$4:$BD$126,$L72,FALSE))</f>
        <v>0</v>
      </c>
      <c r="T72" s="29">
        <f>IF(T68=0,0,VLOOKUP(T68,FAC_TOTALS_APTA!$A$4:$BD$126,$L72,FALSE))</f>
        <v>0</v>
      </c>
      <c r="U72" s="29">
        <f>IF(U68=0,0,VLOOKUP(U68,FAC_TOTALS_APTA!$A$4:$BD$126,$L72,FALSE))</f>
        <v>0</v>
      </c>
      <c r="V72" s="29">
        <f>IF(V68=0,0,VLOOKUP(V68,FAC_TOTALS_APTA!$A$4:$BD$126,$L72,FALSE))</f>
        <v>0</v>
      </c>
      <c r="W72" s="29">
        <f>IF(W68=0,0,VLOOKUP(W68,FAC_TOTALS_APTA!$A$4:$BD$126,$L72,FALSE))</f>
        <v>0</v>
      </c>
      <c r="X72" s="29">
        <f>IF(X68=0,0,VLOOKUP(X68,FAC_TOTALS_APTA!$A$4:$BD$126,$L72,FALSE))</f>
        <v>0</v>
      </c>
      <c r="Y72" s="29">
        <f>IF(Y68=0,0,VLOOKUP(Y68,FAC_TOTALS_APTA!$A$4:$BD$126,$L72,FALSE))</f>
        <v>0</v>
      </c>
      <c r="Z72" s="29">
        <f>IF(Z68=0,0,VLOOKUP(Z68,FAC_TOTALS_APTA!$A$4:$BD$126,$L72,FALSE))</f>
        <v>0</v>
      </c>
      <c r="AA72" s="29">
        <f>IF(AA68=0,0,VLOOKUP(AA68,FAC_TOTALS_APTA!$A$4:$BD$126,$L72,FALSE))</f>
        <v>0</v>
      </c>
      <c r="AB72" s="29">
        <f>IF(AB68=0,0,VLOOKUP(AB68,FAC_TOTALS_APTA!$A$4:$BD$126,$L72,FALSE))</f>
        <v>0</v>
      </c>
      <c r="AC72" s="32">
        <f t="shared" si="25"/>
        <v>0</v>
      </c>
      <c r="AD72" s="33" t="e">
        <f>AC72/G84</f>
        <v>#N/A</v>
      </c>
    </row>
    <row r="73" spans="2:33" ht="15" x14ac:dyDescent="0.2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MATCH($D73,FAC_TOTALS_APTA!$A$2:$BD$2,)</f>
        <v>16</v>
      </c>
      <c r="G73" s="87" t="e">
        <f>VLOOKUP(G67,FAC_TOTALS_APTA!$A$4:$BD$126,$F73,FALSE)</f>
        <v>#N/A</v>
      </c>
      <c r="H73" s="87" t="e">
        <f>VLOOKUP(H67,FAC_TOTALS_APTA!$A$4:$BD$126,$F73,FALSE)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MATCH($K73,FAC_TOTALS_APTA!$A$2:$BB$2,)</f>
        <v>34</v>
      </c>
      <c r="M73" s="87" t="e">
        <f>IF(M67=0,0,VLOOKUP(M67,FAC_TOTALS_APTA!$A$4:$BD$126,$L73,FALSE))</f>
        <v>#N/A</v>
      </c>
      <c r="N73" s="87" t="e">
        <f>IF(N67=0,0,VLOOKUP(N67,FAC_TOTALS_APTA!$A$4:$BD$126,$L73,FALSE))</f>
        <v>#N/A</v>
      </c>
      <c r="O73" s="87" t="e">
        <f>IF(O67=0,0,VLOOKUP(O67,FAC_TOTALS_APTA!$A$4:$BD$126,$L73,FALSE))</f>
        <v>#N/A</v>
      </c>
      <c r="P73" s="87" t="e">
        <f>IF(P67=0,0,VLOOKUP(P67,FAC_TOTALS_APTA!$A$4:$BD$126,$L73,FALSE))</f>
        <v>#N/A</v>
      </c>
      <c r="Q73" s="87" t="e">
        <f>IF(Q67=0,0,VLOOKUP(Q67,FAC_TOTALS_APTA!$A$4:$BD$126,$L73,FALSE))</f>
        <v>#N/A</v>
      </c>
      <c r="R73" s="87" t="e">
        <f>IF(R67=0,0,VLOOKUP(R67,FAC_TOTALS_APTA!$A$4:$BD$126,$L73,FALSE))</f>
        <v>#N/A</v>
      </c>
      <c r="S73" s="87">
        <f>IF(S67=0,0,VLOOKUP(S67,FAC_TOTALS_APTA!$A$4:$BD$126,$L73,FALSE))</f>
        <v>0</v>
      </c>
      <c r="T73" s="87">
        <f>IF(T67=0,0,VLOOKUP(T67,FAC_TOTALS_APTA!$A$4:$BD$126,$L73,FALSE))</f>
        <v>0</v>
      </c>
      <c r="U73" s="87">
        <f>IF(U67=0,0,VLOOKUP(U67,FAC_TOTALS_APTA!$A$4:$BD$126,$L73,FALSE))</f>
        <v>0</v>
      </c>
      <c r="V73" s="87">
        <f>IF(V67=0,0,VLOOKUP(V67,FAC_TOTALS_APTA!$A$4:$BD$126,$L73,FALSE))</f>
        <v>0</v>
      </c>
      <c r="W73" s="87">
        <f>IF(W67=0,0,VLOOKUP(W67,FAC_TOTALS_APTA!$A$4:$BD$126,$L73,FALSE))</f>
        <v>0</v>
      </c>
      <c r="X73" s="87">
        <f>IF(X67=0,0,VLOOKUP(X67,FAC_TOTALS_APTA!$A$4:$BD$126,$L73,FALSE))</f>
        <v>0</v>
      </c>
      <c r="Y73" s="87">
        <f>IF(Y67=0,0,VLOOKUP(Y67,FAC_TOTALS_APTA!$A$4:$BD$126,$L73,FALSE))</f>
        <v>0</v>
      </c>
      <c r="Z73" s="87">
        <f>IF(Z67=0,0,VLOOKUP(Z67,FAC_TOTALS_APTA!$A$4:$BD$126,$L73,FALSE))</f>
        <v>0</v>
      </c>
      <c r="AA73" s="87">
        <f>IF(AA67=0,0,VLOOKUP(AA67,FAC_TOTALS_APTA!$A$4:$BD$126,$L73,FALSE))</f>
        <v>0</v>
      </c>
      <c r="AB73" s="87">
        <f>IF(AB67=0,0,VLOOKUP(AB67,FAC_TOTALS_APTA!$A$4:$BD$126,$L73,FALSE))</f>
        <v>0</v>
      </c>
      <c r="AC73" s="91" t="e">
        <f t="shared" si="25"/>
        <v>#N/A</v>
      </c>
      <c r="AD73" s="92" t="e">
        <f>AC73/G83</f>
        <v>#N/A</v>
      </c>
    </row>
    <row r="74" spans="2:33" ht="15" x14ac:dyDescent="0.2">
      <c r="B74" s="25" t="s">
        <v>73</v>
      </c>
      <c r="C74" s="116"/>
      <c r="D74" s="104" t="s">
        <v>72</v>
      </c>
      <c r="E74" s="88"/>
      <c r="F74" s="76">
        <f>MATCH($D74,FAC_TOTALS_APTA!$A$2:$BD$2,)</f>
        <v>17</v>
      </c>
      <c r="G74" s="93" t="e">
        <f>VLOOKUP(G67,FAC_TOTALS_APTA!$A$4:$BD$126,$F74,FALSE)</f>
        <v>#N/A</v>
      </c>
      <c r="H74" s="93" t="e">
        <f>VLOOKUP(H67,FAC_TOTALS_APTA!$A$4:$BD$126,$F74,FALSE)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MATCH($K74,FAC_TOTALS_APTA!$A$2:$BB$2,)</f>
        <v>35</v>
      </c>
      <c r="M74" s="87" t="e">
        <f>IF(M67=0,0,VLOOKUP(M67,FAC_TOTALS_APTA!$A$4:$BD$126,$L74,FALSE))</f>
        <v>#N/A</v>
      </c>
      <c r="N74" s="87" t="e">
        <f>IF(N67=0,0,VLOOKUP(N67,FAC_TOTALS_APTA!$A$4:$BD$126,$L74,FALSE))</f>
        <v>#N/A</v>
      </c>
      <c r="O74" s="87" t="e">
        <f>IF(O67=0,0,VLOOKUP(O67,FAC_TOTALS_APTA!$A$4:$BD$126,$L74,FALSE))</f>
        <v>#N/A</v>
      </c>
      <c r="P74" s="87" t="e">
        <f>IF(P67=0,0,VLOOKUP(P67,FAC_TOTALS_APTA!$A$4:$BD$126,$L74,FALSE))</f>
        <v>#N/A</v>
      </c>
      <c r="Q74" s="87" t="e">
        <f>IF(Q67=0,0,VLOOKUP(Q67,FAC_TOTALS_APTA!$A$4:$BD$126,$L74,FALSE))</f>
        <v>#N/A</v>
      </c>
      <c r="R74" s="87" t="e">
        <f>IF(R67=0,0,VLOOKUP(R67,FAC_TOTALS_APTA!$A$4:$BD$126,$L74,FALSE))</f>
        <v>#N/A</v>
      </c>
      <c r="S74" s="87">
        <f>IF(S67=0,0,VLOOKUP(S67,FAC_TOTALS_APTA!$A$4:$BD$126,$L74,FALSE))</f>
        <v>0</v>
      </c>
      <c r="T74" s="87">
        <f>IF(T67=0,0,VLOOKUP(T67,FAC_TOTALS_APTA!$A$4:$BD$126,$L74,FALSE))</f>
        <v>0</v>
      </c>
      <c r="U74" s="87">
        <f>IF(U67=0,0,VLOOKUP(U67,FAC_TOTALS_APTA!$A$4:$BD$126,$L74,FALSE))</f>
        <v>0</v>
      </c>
      <c r="V74" s="87">
        <f>IF(V67=0,0,VLOOKUP(V67,FAC_TOTALS_APTA!$A$4:$BD$126,$L74,FALSE))</f>
        <v>0</v>
      </c>
      <c r="W74" s="87">
        <f>IF(W67=0,0,VLOOKUP(W67,FAC_TOTALS_APTA!$A$4:$BD$126,$L74,FALSE))</f>
        <v>0</v>
      </c>
      <c r="X74" s="87">
        <f>IF(X67=0,0,VLOOKUP(X67,FAC_TOTALS_APTA!$A$4:$BD$126,$L74,FALSE))</f>
        <v>0</v>
      </c>
      <c r="Y74" s="87">
        <f>IF(Y67=0,0,VLOOKUP(Y67,FAC_TOTALS_APTA!$A$4:$BD$126,$L74,FALSE))</f>
        <v>0</v>
      </c>
      <c r="Z74" s="87">
        <f>IF(Z67=0,0,VLOOKUP(Z67,FAC_TOTALS_APTA!$A$4:$BD$126,$L74,FALSE))</f>
        <v>0</v>
      </c>
      <c r="AA74" s="87">
        <f>IF(AA67=0,0,VLOOKUP(AA67,FAC_TOTALS_APTA!$A$4:$BD$126,$L74,FALSE))</f>
        <v>0</v>
      </c>
      <c r="AB74" s="87">
        <f>IF(AB67=0,0,VLOOKUP(AB67,FAC_TOTALS_APTA!$A$4:$BD$126,$L74,FALSE))</f>
        <v>0</v>
      </c>
      <c r="AC74" s="91" t="e">
        <f t="shared" si="25"/>
        <v>#N/A</v>
      </c>
      <c r="AD74" s="92" t="e">
        <f>AC74/G83</f>
        <v>#N/A</v>
      </c>
    </row>
    <row r="75" spans="2:33" ht="15" x14ac:dyDescent="0.2">
      <c r="B75" s="115" t="s">
        <v>49</v>
      </c>
      <c r="C75" s="116" t="s">
        <v>21</v>
      </c>
      <c r="D75" s="124" t="s">
        <v>82</v>
      </c>
      <c r="E75" s="88"/>
      <c r="F75" s="76">
        <f>MATCH($D75,FAC_TOTALS_APTA!$A$2:$BD$2,)</f>
        <v>18</v>
      </c>
      <c r="G75" s="94" t="e">
        <f>VLOOKUP(G67,FAC_TOTALS_APTA!$A$4:$BD$126,$F75,FALSE)</f>
        <v>#N/A</v>
      </c>
      <c r="H75" s="94" t="e">
        <f>VLOOKUP(H67,FAC_TOTALS_APTA!$A$4:$BD$126,$F75,FALSE)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MATCH($K75,FAC_TOTALS_APTA!$A$2:$BB$2,)</f>
        <v>36</v>
      </c>
      <c r="M75" s="87" t="e">
        <f>IF(M67=0,0,VLOOKUP(M67,FAC_TOTALS_APTA!$A$4:$BD$126,$L75,FALSE))</f>
        <v>#N/A</v>
      </c>
      <c r="N75" s="87" t="e">
        <f>IF(N67=0,0,VLOOKUP(N67,FAC_TOTALS_APTA!$A$4:$BD$126,$L75,FALSE))</f>
        <v>#N/A</v>
      </c>
      <c r="O75" s="87" t="e">
        <f>IF(O67=0,0,VLOOKUP(O67,FAC_TOTALS_APTA!$A$4:$BD$126,$L75,FALSE))</f>
        <v>#N/A</v>
      </c>
      <c r="P75" s="87" t="e">
        <f>IF(P67=0,0,VLOOKUP(P67,FAC_TOTALS_APTA!$A$4:$BD$126,$L75,FALSE))</f>
        <v>#N/A</v>
      </c>
      <c r="Q75" s="87" t="e">
        <f>IF(Q67=0,0,VLOOKUP(Q67,FAC_TOTALS_APTA!$A$4:$BD$126,$L75,FALSE))</f>
        <v>#N/A</v>
      </c>
      <c r="R75" s="87" t="e">
        <f>IF(R67=0,0,VLOOKUP(R67,FAC_TOTALS_APTA!$A$4:$BD$126,$L75,FALSE))</f>
        <v>#N/A</v>
      </c>
      <c r="S75" s="87">
        <f>IF(S67=0,0,VLOOKUP(S67,FAC_TOTALS_APTA!$A$4:$BD$126,$L75,FALSE))</f>
        <v>0</v>
      </c>
      <c r="T75" s="87">
        <f>IF(T67=0,0,VLOOKUP(T67,FAC_TOTALS_APTA!$A$4:$BD$126,$L75,FALSE))</f>
        <v>0</v>
      </c>
      <c r="U75" s="87">
        <f>IF(U67=0,0,VLOOKUP(U67,FAC_TOTALS_APTA!$A$4:$BD$126,$L75,FALSE))</f>
        <v>0</v>
      </c>
      <c r="V75" s="87">
        <f>IF(V67=0,0,VLOOKUP(V67,FAC_TOTALS_APTA!$A$4:$BD$126,$L75,FALSE))</f>
        <v>0</v>
      </c>
      <c r="W75" s="87">
        <f>IF(W67=0,0,VLOOKUP(W67,FAC_TOTALS_APTA!$A$4:$BD$126,$L75,FALSE))</f>
        <v>0</v>
      </c>
      <c r="X75" s="87">
        <f>IF(X67=0,0,VLOOKUP(X67,FAC_TOTALS_APTA!$A$4:$BD$126,$L75,FALSE))</f>
        <v>0</v>
      </c>
      <c r="Y75" s="87">
        <f>IF(Y67=0,0,VLOOKUP(Y67,FAC_TOTALS_APTA!$A$4:$BD$126,$L75,FALSE))</f>
        <v>0</v>
      </c>
      <c r="Z75" s="87">
        <f>IF(Z67=0,0,VLOOKUP(Z67,FAC_TOTALS_APTA!$A$4:$BD$126,$L75,FALSE))</f>
        <v>0</v>
      </c>
      <c r="AA75" s="87">
        <f>IF(AA67=0,0,VLOOKUP(AA67,FAC_TOTALS_APTA!$A$4:$BD$126,$L75,FALSE))</f>
        <v>0</v>
      </c>
      <c r="AB75" s="87">
        <f>IF(AB67=0,0,VLOOKUP(AB67,FAC_TOTALS_APTA!$A$4:$BD$126,$L75,FALSE))</f>
        <v>0</v>
      </c>
      <c r="AC75" s="91" t="e">
        <f t="shared" si="25"/>
        <v>#N/A</v>
      </c>
      <c r="AD75" s="92" t="e">
        <f>AC75/G83</f>
        <v>#N/A</v>
      </c>
    </row>
    <row r="76" spans="2:33" ht="15" x14ac:dyDescent="0.2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MATCH($D76,FAC_TOTALS_APTA!$A$2:$BD$2,)</f>
        <v>19</v>
      </c>
      <c r="G76" s="93" t="e">
        <f>VLOOKUP(G67,FAC_TOTALS_APTA!$A$4:$BD$126,$F76,FALSE)</f>
        <v>#N/A</v>
      </c>
      <c r="H76" s="93" t="e">
        <f>VLOOKUP(H67,FAC_TOTALS_APTA!$A$4:$BD$126,$F76,FALSE)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MATCH($K76,FAC_TOTALS_APTA!$A$2:$BB$2,)</f>
        <v>37</v>
      </c>
      <c r="M76" s="87" t="e">
        <f>IF(M67=0,0,VLOOKUP(M67,FAC_TOTALS_APTA!$A$4:$BD$126,$L76,FALSE))</f>
        <v>#N/A</v>
      </c>
      <c r="N76" s="87" t="e">
        <f>IF(N67=0,0,VLOOKUP(N67,FAC_TOTALS_APTA!$A$4:$BD$126,$L76,FALSE))</f>
        <v>#N/A</v>
      </c>
      <c r="O76" s="87" t="e">
        <f>IF(O67=0,0,VLOOKUP(O67,FAC_TOTALS_APTA!$A$4:$BD$126,$L76,FALSE))</f>
        <v>#N/A</v>
      </c>
      <c r="P76" s="87" t="e">
        <f>IF(P67=0,0,VLOOKUP(P67,FAC_TOTALS_APTA!$A$4:$BD$126,$L76,FALSE))</f>
        <v>#N/A</v>
      </c>
      <c r="Q76" s="87" t="e">
        <f>IF(Q67=0,0,VLOOKUP(Q67,FAC_TOTALS_APTA!$A$4:$BD$126,$L76,FALSE))</f>
        <v>#N/A</v>
      </c>
      <c r="R76" s="87" t="e">
        <f>IF(R67=0,0,VLOOKUP(R67,FAC_TOTALS_APTA!$A$4:$BD$126,$L76,FALSE))</f>
        <v>#N/A</v>
      </c>
      <c r="S76" s="87">
        <f>IF(S67=0,0,VLOOKUP(S67,FAC_TOTALS_APTA!$A$4:$BD$126,$L76,FALSE))</f>
        <v>0</v>
      </c>
      <c r="T76" s="87">
        <f>IF(T67=0,0,VLOOKUP(T67,FAC_TOTALS_APTA!$A$4:$BD$126,$L76,FALSE))</f>
        <v>0</v>
      </c>
      <c r="U76" s="87">
        <f>IF(U67=0,0,VLOOKUP(U67,FAC_TOTALS_APTA!$A$4:$BD$126,$L76,FALSE))</f>
        <v>0</v>
      </c>
      <c r="V76" s="87">
        <f>IF(V67=0,0,VLOOKUP(V67,FAC_TOTALS_APTA!$A$4:$BD$126,$L76,FALSE))</f>
        <v>0</v>
      </c>
      <c r="W76" s="87">
        <f>IF(W67=0,0,VLOOKUP(W67,FAC_TOTALS_APTA!$A$4:$BD$126,$L76,FALSE))</f>
        <v>0</v>
      </c>
      <c r="X76" s="87">
        <f>IF(X67=0,0,VLOOKUP(X67,FAC_TOTALS_APTA!$A$4:$BD$126,$L76,FALSE))</f>
        <v>0</v>
      </c>
      <c r="Y76" s="87">
        <f>IF(Y67=0,0,VLOOKUP(Y67,FAC_TOTALS_APTA!$A$4:$BD$126,$L76,FALSE))</f>
        <v>0</v>
      </c>
      <c r="Z76" s="87">
        <f>IF(Z67=0,0,VLOOKUP(Z67,FAC_TOTALS_APTA!$A$4:$BD$126,$L76,FALSE))</f>
        <v>0</v>
      </c>
      <c r="AA76" s="87">
        <f>IF(AA67=0,0,VLOOKUP(AA67,FAC_TOTALS_APTA!$A$4:$BD$126,$L76,FALSE))</f>
        <v>0</v>
      </c>
      <c r="AB76" s="87">
        <f>IF(AB67=0,0,VLOOKUP(AB67,FAC_TOTALS_APTA!$A$4:$BD$126,$L76,FALSE))</f>
        <v>0</v>
      </c>
      <c r="AC76" s="91" t="e">
        <f t="shared" si="25"/>
        <v>#N/A</v>
      </c>
      <c r="AD76" s="92" t="e">
        <f>AC76/G83</f>
        <v>#N/A</v>
      </c>
    </row>
    <row r="77" spans="2:33" ht="15" x14ac:dyDescent="0.2">
      <c r="B77" s="115" t="s">
        <v>62</v>
      </c>
      <c r="C77" s="116"/>
      <c r="D77" s="104" t="s">
        <v>9</v>
      </c>
      <c r="E77" s="88"/>
      <c r="F77" s="76">
        <f>MATCH($D77,FAC_TOTALS_APTA!$A$2:$BD$2,)</f>
        <v>20</v>
      </c>
      <c r="G77" s="87" t="e">
        <f>VLOOKUP(G67,FAC_TOTALS_APTA!$A$4:$BD$126,$F77,FALSE)</f>
        <v>#N/A</v>
      </c>
      <c r="H77" s="87" t="e">
        <f>VLOOKUP(H67,FAC_TOTALS_APTA!$A$4:$BD$126,$F77,FALSE)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MATCH($K77,FAC_TOTALS_APTA!$A$2:$BB$2,)</f>
        <v>38</v>
      </c>
      <c r="M77" s="87" t="e">
        <f>IF(M67=0,0,VLOOKUP(M67,FAC_TOTALS_APTA!$A$4:$BD$126,$L77,FALSE))</f>
        <v>#N/A</v>
      </c>
      <c r="N77" s="87" t="e">
        <f>IF(N67=0,0,VLOOKUP(N67,FAC_TOTALS_APTA!$A$4:$BD$126,$L77,FALSE))</f>
        <v>#N/A</v>
      </c>
      <c r="O77" s="87" t="e">
        <f>IF(O67=0,0,VLOOKUP(O67,FAC_TOTALS_APTA!$A$4:$BD$126,$L77,FALSE))</f>
        <v>#N/A</v>
      </c>
      <c r="P77" s="87" t="e">
        <f>IF(P67=0,0,VLOOKUP(P67,FAC_TOTALS_APTA!$A$4:$BD$126,$L77,FALSE))</f>
        <v>#N/A</v>
      </c>
      <c r="Q77" s="87" t="e">
        <f>IF(Q67=0,0,VLOOKUP(Q67,FAC_TOTALS_APTA!$A$4:$BD$126,$L77,FALSE))</f>
        <v>#N/A</v>
      </c>
      <c r="R77" s="87" t="e">
        <f>IF(R67=0,0,VLOOKUP(R67,FAC_TOTALS_APTA!$A$4:$BD$126,$L77,FALSE))</f>
        <v>#N/A</v>
      </c>
      <c r="S77" s="87">
        <f>IF(S67=0,0,VLOOKUP(S67,FAC_TOTALS_APTA!$A$4:$BD$126,$L77,FALSE))</f>
        <v>0</v>
      </c>
      <c r="T77" s="87">
        <f>IF(T67=0,0,VLOOKUP(T67,FAC_TOTALS_APTA!$A$4:$BD$126,$L77,FALSE))</f>
        <v>0</v>
      </c>
      <c r="U77" s="87">
        <f>IF(U67=0,0,VLOOKUP(U67,FAC_TOTALS_APTA!$A$4:$BD$126,$L77,FALSE))</f>
        <v>0</v>
      </c>
      <c r="V77" s="87">
        <f>IF(V67=0,0,VLOOKUP(V67,FAC_TOTALS_APTA!$A$4:$BD$126,$L77,FALSE))</f>
        <v>0</v>
      </c>
      <c r="W77" s="87">
        <f>IF(W67=0,0,VLOOKUP(W67,FAC_TOTALS_APTA!$A$4:$BD$126,$L77,FALSE))</f>
        <v>0</v>
      </c>
      <c r="X77" s="87">
        <f>IF(X67=0,0,VLOOKUP(X67,FAC_TOTALS_APTA!$A$4:$BD$126,$L77,FALSE))</f>
        <v>0</v>
      </c>
      <c r="Y77" s="87">
        <f>IF(Y67=0,0,VLOOKUP(Y67,FAC_TOTALS_APTA!$A$4:$BD$126,$L77,FALSE))</f>
        <v>0</v>
      </c>
      <c r="Z77" s="87">
        <f>IF(Z67=0,0,VLOOKUP(Z67,FAC_TOTALS_APTA!$A$4:$BD$126,$L77,FALSE))</f>
        <v>0</v>
      </c>
      <c r="AA77" s="87">
        <f>IF(AA67=0,0,VLOOKUP(AA67,FAC_TOTALS_APTA!$A$4:$BD$126,$L77,FALSE))</f>
        <v>0</v>
      </c>
      <c r="AB77" s="87">
        <f>IF(AB67=0,0,VLOOKUP(AB67,FAC_TOTALS_APTA!$A$4:$BD$126,$L77,FALSE))</f>
        <v>0</v>
      </c>
      <c r="AC77" s="91" t="e">
        <f t="shared" si="25"/>
        <v>#N/A</v>
      </c>
      <c r="AD77" s="92" t="e">
        <f>AC77/G83</f>
        <v>#N/A</v>
      </c>
    </row>
    <row r="78" spans="2:33" ht="15" x14ac:dyDescent="0.2">
      <c r="B78" s="115" t="s">
        <v>47</v>
      </c>
      <c r="C78" s="116"/>
      <c r="D78" s="104" t="s">
        <v>28</v>
      </c>
      <c r="E78" s="88"/>
      <c r="F78" s="76">
        <f>MATCH($D78,FAC_TOTALS_APTA!$A$2:$BD$2,)</f>
        <v>21</v>
      </c>
      <c r="G78" s="94" t="e">
        <f>VLOOKUP(G67,FAC_TOTALS_APTA!$A$4:$BD$126,$F78,FALSE)</f>
        <v>#N/A</v>
      </c>
      <c r="H78" s="94" t="e">
        <f>VLOOKUP(H67,FAC_TOTALS_APTA!$A$4:$BD$126,$F78,FALSE)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MATCH($K78,FAC_TOTALS_APTA!$A$2:$BB$2,)</f>
        <v>39</v>
      </c>
      <c r="M78" s="87" t="e">
        <f>IF(M67=0,0,VLOOKUP(M67,FAC_TOTALS_APTA!$A$4:$BD$126,$L78,FALSE))</f>
        <v>#N/A</v>
      </c>
      <c r="N78" s="87" t="e">
        <f>IF(N67=0,0,VLOOKUP(N67,FAC_TOTALS_APTA!$A$4:$BD$126,$L78,FALSE))</f>
        <v>#N/A</v>
      </c>
      <c r="O78" s="87" t="e">
        <f>IF(O67=0,0,VLOOKUP(O67,FAC_TOTALS_APTA!$A$4:$BD$126,$L78,FALSE))</f>
        <v>#N/A</v>
      </c>
      <c r="P78" s="87" t="e">
        <f>IF(P67=0,0,VLOOKUP(P67,FAC_TOTALS_APTA!$A$4:$BD$126,$L78,FALSE))</f>
        <v>#N/A</v>
      </c>
      <c r="Q78" s="87" t="e">
        <f>IF(Q67=0,0,VLOOKUP(Q67,FAC_TOTALS_APTA!$A$4:$BD$126,$L78,FALSE))</f>
        <v>#N/A</v>
      </c>
      <c r="R78" s="87" t="e">
        <f>IF(R67=0,0,VLOOKUP(R67,FAC_TOTALS_APTA!$A$4:$BD$126,$L78,FALSE))</f>
        <v>#N/A</v>
      </c>
      <c r="S78" s="87">
        <f>IF(S67=0,0,VLOOKUP(S67,FAC_TOTALS_APTA!$A$4:$BD$126,$L78,FALSE))</f>
        <v>0</v>
      </c>
      <c r="T78" s="87">
        <f>IF(T67=0,0,VLOOKUP(T67,FAC_TOTALS_APTA!$A$4:$BD$126,$L78,FALSE))</f>
        <v>0</v>
      </c>
      <c r="U78" s="87">
        <f>IF(U67=0,0,VLOOKUP(U67,FAC_TOTALS_APTA!$A$4:$BD$126,$L78,FALSE))</f>
        <v>0</v>
      </c>
      <c r="V78" s="87">
        <f>IF(V67=0,0,VLOOKUP(V67,FAC_TOTALS_APTA!$A$4:$BD$126,$L78,FALSE))</f>
        <v>0</v>
      </c>
      <c r="W78" s="87">
        <f>IF(W67=0,0,VLOOKUP(W67,FAC_TOTALS_APTA!$A$4:$BD$126,$L78,FALSE))</f>
        <v>0</v>
      </c>
      <c r="X78" s="87">
        <f>IF(X67=0,0,VLOOKUP(X67,FAC_TOTALS_APTA!$A$4:$BD$126,$L78,FALSE))</f>
        <v>0</v>
      </c>
      <c r="Y78" s="87">
        <f>IF(Y67=0,0,VLOOKUP(Y67,FAC_TOTALS_APTA!$A$4:$BD$126,$L78,FALSE))</f>
        <v>0</v>
      </c>
      <c r="Z78" s="87">
        <f>IF(Z67=0,0,VLOOKUP(Z67,FAC_TOTALS_APTA!$A$4:$BD$126,$L78,FALSE))</f>
        <v>0</v>
      </c>
      <c r="AA78" s="87">
        <f>IF(AA67=0,0,VLOOKUP(AA67,FAC_TOTALS_APTA!$A$4:$BD$126,$L78,FALSE))</f>
        <v>0</v>
      </c>
      <c r="AB78" s="87">
        <f>IF(AB67=0,0,VLOOKUP(AB67,FAC_TOTALS_APTA!$A$4:$BD$126,$L78,FALSE))</f>
        <v>0</v>
      </c>
      <c r="AC78" s="91" t="e">
        <f t="shared" si="25"/>
        <v>#N/A</v>
      </c>
      <c r="AD78" s="92" t="e">
        <f>AC78/G83</f>
        <v>#N/A</v>
      </c>
    </row>
    <row r="79" spans="2:33" ht="15" x14ac:dyDescent="0.2">
      <c r="B79" s="115" t="s">
        <v>63</v>
      </c>
      <c r="C79" s="116"/>
      <c r="D79" s="126" t="s">
        <v>69</v>
      </c>
      <c r="E79" s="88"/>
      <c r="F79" s="76">
        <f>MATCH($D79,FAC_TOTALS_APTA!$A$2:$BD$2,)</f>
        <v>27</v>
      </c>
      <c r="G79" s="94" t="e">
        <f>VLOOKUP(G67,FAC_TOTALS_APTA!$A$4:$BD$126,$F79,FALSE)</f>
        <v>#N/A</v>
      </c>
      <c r="H79" s="94" t="e">
        <f>VLOOKUP(H67,FAC_TOTALS_APTA!$A$4:$BD$126,$F79,FALSE)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MATCH($K79,FAC_TOTALS_APTA!$A$2:$BB$2,)</f>
        <v>45</v>
      </c>
      <c r="M79" s="87" t="e">
        <f>IF(M67=0,0,VLOOKUP(M67,FAC_TOTALS_APTA!$A$4:$BD$126,$L79,FALSE))</f>
        <v>#N/A</v>
      </c>
      <c r="N79" s="87" t="e">
        <f>IF(N67=0,0,VLOOKUP(N67,FAC_TOTALS_APTA!$A$4:$BD$126,$L79,FALSE))</f>
        <v>#N/A</v>
      </c>
      <c r="O79" s="87" t="e">
        <f>IF(O67=0,0,VLOOKUP(O67,FAC_TOTALS_APTA!$A$4:$BD$126,$L79,FALSE))</f>
        <v>#N/A</v>
      </c>
      <c r="P79" s="87" t="e">
        <f>IF(P67=0,0,VLOOKUP(P67,FAC_TOTALS_APTA!$A$4:$BD$126,$L79,FALSE))</f>
        <v>#N/A</v>
      </c>
      <c r="Q79" s="87" t="e">
        <f>IF(Q67=0,0,VLOOKUP(Q67,FAC_TOTALS_APTA!$A$4:$BD$126,$L79,FALSE))</f>
        <v>#N/A</v>
      </c>
      <c r="R79" s="87" t="e">
        <f>IF(R67=0,0,VLOOKUP(R67,FAC_TOTALS_APTA!$A$4:$BD$126,$L79,FALSE))</f>
        <v>#N/A</v>
      </c>
      <c r="S79" s="87">
        <f>IF(S67=0,0,VLOOKUP(S67,FAC_TOTALS_APTA!$A$4:$BD$126,$L79,FALSE))</f>
        <v>0</v>
      </c>
      <c r="T79" s="87">
        <f>IF(T67=0,0,VLOOKUP(T67,FAC_TOTALS_APTA!$A$4:$BD$126,$L79,FALSE))</f>
        <v>0</v>
      </c>
      <c r="U79" s="87">
        <f>IF(U67=0,0,VLOOKUP(U67,FAC_TOTALS_APTA!$A$4:$BD$126,$L79,FALSE))</f>
        <v>0</v>
      </c>
      <c r="V79" s="87">
        <f>IF(V67=0,0,VLOOKUP(V67,FAC_TOTALS_APTA!$A$4:$BD$126,$L79,FALSE))</f>
        <v>0</v>
      </c>
      <c r="W79" s="87">
        <f>IF(W67=0,0,VLOOKUP(W67,FAC_TOTALS_APTA!$A$4:$BD$126,$L79,FALSE))</f>
        <v>0</v>
      </c>
      <c r="X79" s="87">
        <f>IF(X67=0,0,VLOOKUP(X67,FAC_TOTALS_APTA!$A$4:$BD$126,$L79,FALSE))</f>
        <v>0</v>
      </c>
      <c r="Y79" s="87">
        <f>IF(Y67=0,0,VLOOKUP(Y67,FAC_TOTALS_APTA!$A$4:$BD$126,$L79,FALSE))</f>
        <v>0</v>
      </c>
      <c r="Z79" s="87">
        <f>IF(Z67=0,0,VLOOKUP(Z67,FAC_TOTALS_APTA!$A$4:$BD$126,$L79,FALSE))</f>
        <v>0</v>
      </c>
      <c r="AA79" s="87">
        <f>IF(AA67=0,0,VLOOKUP(AA67,FAC_TOTALS_APTA!$A$4:$BD$126,$L79,FALSE))</f>
        <v>0</v>
      </c>
      <c r="AB79" s="87">
        <f>IF(AB67=0,0,VLOOKUP(AB67,FAC_TOTALS_APTA!$A$4:$BD$126,$L79,FALSE))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ht="15" x14ac:dyDescent="0.2">
      <c r="B80" s="115" t="s">
        <v>64</v>
      </c>
      <c r="C80" s="116"/>
      <c r="D80" s="104" t="s">
        <v>43</v>
      </c>
      <c r="E80" s="88"/>
      <c r="F80" s="76">
        <f>MATCH($D80,FAC_TOTALS_APTA!$A$2:$BD$2,)</f>
        <v>28</v>
      </c>
      <c r="G80" s="94" t="e">
        <f>VLOOKUP(G67,FAC_TOTALS_APTA!$A$4:$BD$126,$F80,FALSE)</f>
        <v>#N/A</v>
      </c>
      <c r="H80" s="94" t="e">
        <f>VLOOKUP(H67,FAC_TOTALS_APTA!$A$4:$BD$126,$F80,FALSE)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MATCH($K80,FAC_TOTALS_APTA!$A$2:$BB$2,)</f>
        <v>46</v>
      </c>
      <c r="M80" s="87" t="e">
        <f>IF(M67=0,0,VLOOKUP(M67,FAC_TOTALS_APTA!$A$4:$BD$126,$L80,FALSE))</f>
        <v>#N/A</v>
      </c>
      <c r="N80" s="87" t="e">
        <f>IF(N67=0,0,VLOOKUP(N67,FAC_TOTALS_APTA!$A$4:$BD$126,$L80,FALSE))</f>
        <v>#N/A</v>
      </c>
      <c r="O80" s="87" t="e">
        <f>IF(O67=0,0,VLOOKUP(O67,FAC_TOTALS_APTA!$A$4:$BD$126,$L80,FALSE))</f>
        <v>#N/A</v>
      </c>
      <c r="P80" s="87" t="e">
        <f>IF(P67=0,0,VLOOKUP(P67,FAC_TOTALS_APTA!$A$4:$BD$126,$L80,FALSE))</f>
        <v>#N/A</v>
      </c>
      <c r="Q80" s="87" t="e">
        <f>IF(Q67=0,0,VLOOKUP(Q67,FAC_TOTALS_APTA!$A$4:$BD$126,$L80,FALSE))</f>
        <v>#N/A</v>
      </c>
      <c r="R80" s="87" t="e">
        <f>IF(R67=0,0,VLOOKUP(R67,FAC_TOTALS_APTA!$A$4:$BD$126,$L80,FALSE))</f>
        <v>#N/A</v>
      </c>
      <c r="S80" s="87">
        <f>IF(S67=0,0,VLOOKUP(S67,FAC_TOTALS_APTA!$A$4:$BD$126,$L80,FALSE))</f>
        <v>0</v>
      </c>
      <c r="T80" s="87">
        <f>IF(T67=0,0,VLOOKUP(T67,FAC_TOTALS_APTA!$A$4:$BD$126,$L80,FALSE))</f>
        <v>0</v>
      </c>
      <c r="U80" s="87">
        <f>IF(U67=0,0,VLOOKUP(U67,FAC_TOTALS_APTA!$A$4:$BD$126,$L80,FALSE))</f>
        <v>0</v>
      </c>
      <c r="V80" s="87">
        <f>IF(V67=0,0,VLOOKUP(V67,FAC_TOTALS_APTA!$A$4:$BD$126,$L80,FALSE))</f>
        <v>0</v>
      </c>
      <c r="W80" s="87">
        <f>IF(W67=0,0,VLOOKUP(W67,FAC_TOTALS_APTA!$A$4:$BD$126,$L80,FALSE))</f>
        <v>0</v>
      </c>
      <c r="X80" s="87">
        <f>IF(X67=0,0,VLOOKUP(X67,FAC_TOTALS_APTA!$A$4:$BD$126,$L80,FALSE))</f>
        <v>0</v>
      </c>
      <c r="Y80" s="87">
        <f>IF(Y67=0,0,VLOOKUP(Y67,FAC_TOTALS_APTA!$A$4:$BD$126,$L80,FALSE))</f>
        <v>0</v>
      </c>
      <c r="Z80" s="87">
        <f>IF(Z67=0,0,VLOOKUP(Z67,FAC_TOTALS_APTA!$A$4:$BD$126,$L80,FALSE))</f>
        <v>0</v>
      </c>
      <c r="AA80" s="87">
        <f>IF(AA67=0,0,VLOOKUP(AA67,FAC_TOTALS_APTA!$A$4:$BD$126,$L80,FALSE))</f>
        <v>0</v>
      </c>
      <c r="AB80" s="87">
        <f>IF(AB67=0,0,VLOOKUP(AB67,FAC_TOTALS_APTA!$A$4:$BD$126,$L80,FALSE))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ht="15" x14ac:dyDescent="0.2">
      <c r="B81" s="127" t="s">
        <v>65</v>
      </c>
      <c r="C81" s="128"/>
      <c r="D81" s="129" t="s">
        <v>44</v>
      </c>
      <c r="E81" s="95"/>
      <c r="F81" s="86">
        <f>MATCH($D81,FAC_TOTALS_APTA!$A$2:$BD$2,)</f>
        <v>29</v>
      </c>
      <c r="G81" s="96" t="e">
        <f>VLOOKUP(G67,FAC_TOTALS_APTA!$A$4:$BD$126,$F81,FALSE)</f>
        <v>#N/A</v>
      </c>
      <c r="H81" s="96" t="e">
        <f>VLOOKUP(H67,FAC_TOTALS_APTA!$A$4:$BD$126,$F81,FALSE)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MATCH($K81,FAC_TOTALS_APTA!$A$2:$BB$2,)</f>
        <v>47</v>
      </c>
      <c r="M81" s="99" t="e">
        <f>IF(M67=0,0,VLOOKUP(M67,FAC_TOTALS_APTA!$A$4:$BD$126,$L81,FALSE))</f>
        <v>#N/A</v>
      </c>
      <c r="N81" s="99" t="e">
        <f>IF(N67=0,0,VLOOKUP(N67,FAC_TOTALS_APTA!$A$4:$BD$126,$L81,FALSE))</f>
        <v>#N/A</v>
      </c>
      <c r="O81" s="99" t="e">
        <f>IF(O67=0,0,VLOOKUP(O67,FAC_TOTALS_APTA!$A$4:$BD$126,$L81,FALSE))</f>
        <v>#N/A</v>
      </c>
      <c r="P81" s="99" t="e">
        <f>IF(P67=0,0,VLOOKUP(P67,FAC_TOTALS_APTA!$A$4:$BD$126,$L81,FALSE))</f>
        <v>#N/A</v>
      </c>
      <c r="Q81" s="99" t="e">
        <f>IF(Q67=0,0,VLOOKUP(Q67,FAC_TOTALS_APTA!$A$4:$BD$126,$L81,FALSE))</f>
        <v>#N/A</v>
      </c>
      <c r="R81" s="99" t="e">
        <f>IF(R67=0,0,VLOOKUP(R67,FAC_TOTALS_APTA!$A$4:$BD$126,$L81,FALSE))</f>
        <v>#N/A</v>
      </c>
      <c r="S81" s="99">
        <f>IF(S67=0,0,VLOOKUP(S67,FAC_TOTALS_APTA!$A$4:$BD$126,$L81,FALSE))</f>
        <v>0</v>
      </c>
      <c r="T81" s="99">
        <f>IF(T67=0,0,VLOOKUP(T67,FAC_TOTALS_APTA!$A$4:$BD$126,$L81,FALSE))</f>
        <v>0</v>
      </c>
      <c r="U81" s="99">
        <f>IF(U67=0,0,VLOOKUP(U67,FAC_TOTALS_APTA!$A$4:$BD$126,$L81,FALSE))</f>
        <v>0</v>
      </c>
      <c r="V81" s="99">
        <f>IF(V67=0,0,VLOOKUP(V67,FAC_TOTALS_APTA!$A$4:$BD$126,$L81,FALSE))</f>
        <v>0</v>
      </c>
      <c r="W81" s="99">
        <f>IF(W67=0,0,VLOOKUP(W67,FAC_TOTALS_APTA!$A$4:$BD$126,$L81,FALSE))</f>
        <v>0</v>
      </c>
      <c r="X81" s="99">
        <f>IF(X67=0,0,VLOOKUP(X67,FAC_TOTALS_APTA!$A$4:$BD$126,$L81,FALSE))</f>
        <v>0</v>
      </c>
      <c r="Y81" s="99">
        <f>IF(Y67=0,0,VLOOKUP(Y67,FAC_TOTALS_APTA!$A$4:$BD$126,$L81,FALSE))</f>
        <v>0</v>
      </c>
      <c r="Z81" s="99">
        <f>IF(Z67=0,0,VLOOKUP(Z67,FAC_TOTALS_APTA!$A$4:$BD$126,$L81,FALSE))</f>
        <v>0</v>
      </c>
      <c r="AA81" s="99">
        <f>IF(AA67=0,0,VLOOKUP(AA67,FAC_TOTALS_APTA!$A$4:$BD$126,$L81,FALSE))</f>
        <v>0</v>
      </c>
      <c r="AB81" s="99">
        <f>IF(AB67=0,0,VLOOKUP(AB67,FAC_TOTALS_APTA!$A$4:$BD$126,$L81,FALSE))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ht="15" x14ac:dyDescent="0.2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MATCH($K82,FAC_TOTALS_APTA!$A$2:$BB$2,)</f>
        <v>51</v>
      </c>
      <c r="M82" s="45" t="e">
        <f>IF(M67=0,0,VLOOKUP(M67,FAC_TOTALS_APTA!$A$4:$BD$126,$L82,FALSE))</f>
        <v>#N/A</v>
      </c>
      <c r="N82" s="45" t="e">
        <f>IF(N67=0,0,VLOOKUP(N67,FAC_TOTALS_APTA!$A$4:$BD$126,$L82,FALSE))</f>
        <v>#N/A</v>
      </c>
      <c r="O82" s="45" t="e">
        <f>IF(O67=0,0,VLOOKUP(O67,FAC_TOTALS_APTA!$A$4:$BD$126,$L82,FALSE))</f>
        <v>#N/A</v>
      </c>
      <c r="P82" s="45" t="e">
        <f>IF(P67=0,0,VLOOKUP(P67,FAC_TOTALS_APTA!$A$4:$BD$126,$L82,FALSE))</f>
        <v>#N/A</v>
      </c>
      <c r="Q82" s="45" t="e">
        <f>IF(Q67=0,0,VLOOKUP(Q67,FAC_TOTALS_APTA!$A$4:$BD$126,$L82,FALSE))</f>
        <v>#N/A</v>
      </c>
      <c r="R82" s="45" t="e">
        <f>IF(R67=0,0,VLOOKUP(R67,FAC_TOTALS_APTA!$A$4:$BD$126,$L82,FALSE))</f>
        <v>#N/A</v>
      </c>
      <c r="S82" s="45">
        <f>IF(S67=0,0,VLOOKUP(S67,FAC_TOTALS_APTA!$A$4:$BD$126,$L82,FALSE))</f>
        <v>0</v>
      </c>
      <c r="T82" s="45">
        <f>IF(T67=0,0,VLOOKUP(T67,FAC_TOTALS_APTA!$A$4:$BD$126,$L82,FALSE))</f>
        <v>0</v>
      </c>
      <c r="U82" s="45">
        <f>IF(U67=0,0,VLOOKUP(U67,FAC_TOTALS_APTA!$A$4:$BD$126,$L82,FALSE))</f>
        <v>0</v>
      </c>
      <c r="V82" s="45">
        <f>IF(V67=0,0,VLOOKUP(V67,FAC_TOTALS_APTA!$A$4:$BD$126,$L82,FALSE))</f>
        <v>0</v>
      </c>
      <c r="W82" s="45">
        <f>IF(W67=0,0,VLOOKUP(W67,FAC_TOTALS_APTA!$A$4:$BD$126,$L82,FALSE))</f>
        <v>0</v>
      </c>
      <c r="X82" s="45">
        <f>IF(X67=0,0,VLOOKUP(X67,FAC_TOTALS_APTA!$A$4:$BD$126,$L82,FALSE))</f>
        <v>0</v>
      </c>
      <c r="Y82" s="45">
        <f>IF(Y67=0,0,VLOOKUP(Y67,FAC_TOTALS_APTA!$A$4:$BD$126,$L82,FALSE))</f>
        <v>0</v>
      </c>
      <c r="Z82" s="45">
        <f>IF(Z67=0,0,VLOOKUP(Z67,FAC_TOTALS_APTA!$A$4:$BD$126,$L82,FALSE))</f>
        <v>0</v>
      </c>
      <c r="AA82" s="45">
        <f>IF(AA67=0,0,VLOOKUP(AA67,FAC_TOTALS_APTA!$A$4:$BD$126,$L82,FALSE))</f>
        <v>0</v>
      </c>
      <c r="AB82" s="45">
        <f>IF(AB67=0,0,VLOOKUP(AB67,FAC_TOTALS_APTA!$A$4:$BD$126,$L82,FALSE))</f>
        <v>0</v>
      </c>
      <c r="AC82" s="48" t="e">
        <f>SUM(M82:AB82)</f>
        <v>#N/A</v>
      </c>
      <c r="AD82" s="49" t="e">
        <f>AC82/G84</f>
        <v>#N/A</v>
      </c>
    </row>
    <row r="83" spans="2:33" ht="15" x14ac:dyDescent="0.2">
      <c r="B83" s="25" t="s">
        <v>66</v>
      </c>
      <c r="C83" s="28"/>
      <c r="D83" s="6" t="s">
        <v>6</v>
      </c>
      <c r="E83" s="55"/>
      <c r="F83" s="6">
        <f>MATCH($D83,FAC_TOTALS_APTA!$A$2:$BB$2,)</f>
        <v>10</v>
      </c>
      <c r="G83" s="110" t="e">
        <f>VLOOKUP(G67,FAC_TOTALS_APTA!$A$4:$BD$126,$F83,FALSE)</f>
        <v>#N/A</v>
      </c>
      <c r="H83" s="110" t="e">
        <f>VLOOKUP(H67,FAC_TOTALS_APTA!$A$4:$BB$126,$F83,FALSE)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6" thickBot="1" x14ac:dyDescent="0.25">
      <c r="B84" s="9" t="s">
        <v>50</v>
      </c>
      <c r="C84" s="23"/>
      <c r="D84" s="23" t="s">
        <v>4</v>
      </c>
      <c r="E84" s="23"/>
      <c r="F84" s="23">
        <f>MATCH($D84,FAC_TOTALS_APTA!$A$2:$BB$2,)</f>
        <v>8</v>
      </c>
      <c r="G84" s="111" t="e">
        <f>VLOOKUP(G67,FAC_TOTALS_APTA!$A$4:$BB$126,$F84,FALSE)</f>
        <v>#N/A</v>
      </c>
      <c r="H84" s="111" t="e">
        <f>VLOOKUP(H67,FAC_TOTALS_APTA!$A$4:$BB$126,$F84,FALSE)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7" thickTop="1" thickBot="1" x14ac:dyDescent="0.25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5" thickTop="1" x14ac:dyDescent="0.2"/>
    <row r="87" spans="2:33" s="10" customFormat="1" ht="15" x14ac:dyDescent="0.2">
      <c r="B87" s="18" t="s">
        <v>25</v>
      </c>
      <c r="E87" s="6"/>
      <c r="I87" s="17"/>
    </row>
    <row r="88" spans="2:33" ht="15" x14ac:dyDescent="0.2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ht="15" x14ac:dyDescent="0.2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6" thickBot="1" x14ac:dyDescent="0.25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5" thickTop="1" x14ac:dyDescent="0.2">
      <c r="B92" s="25"/>
      <c r="C92" s="6"/>
      <c r="D92" s="62"/>
      <c r="E92" s="6"/>
      <c r="F92" s="6"/>
      <c r="G92" s="240" t="s">
        <v>51</v>
      </c>
      <c r="H92" s="240"/>
      <c r="I92" s="240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40" t="s">
        <v>55</v>
      </c>
      <c r="AD92" s="240"/>
    </row>
    <row r="93" spans="2:33" ht="15" x14ac:dyDescent="0.2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x14ac:dyDescent="0.2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x14ac:dyDescent="0.2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x14ac:dyDescent="0.2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ht="15" x14ac:dyDescent="0.2">
      <c r="B97" s="115" t="s">
        <v>31</v>
      </c>
      <c r="C97" s="116" t="s">
        <v>21</v>
      </c>
      <c r="D97" s="104" t="s">
        <v>91</v>
      </c>
      <c r="E97" s="55"/>
      <c r="F97" s="6">
        <f>MATCH($D97,FAC_TOTALS_APTA!$A$2:$BD$2,)</f>
        <v>13</v>
      </c>
      <c r="G97" s="29">
        <f>VLOOKUP(G95,FAC_TOTALS_APTA!$A$4:$BD$126,$F97,FALSE)</f>
        <v>542311539</v>
      </c>
      <c r="H97" s="29">
        <f>VLOOKUP(H95,FAC_TOTALS_APTA!$A$4:$BD$126,$F97,FALSE)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VRM_ADJ_RAIL_log_FAC</v>
      </c>
      <c r="L97" s="6">
        <f>MATCH($K97,FAC_TOTALS_APTA!$A$2:$BB$2,)</f>
        <v>31</v>
      </c>
      <c r="M97" s="29">
        <f>IF(M95=0,0,VLOOKUP(M95,FAC_TOTALS_APTA!$A$4:$BD$126,$L97,FALSE))</f>
        <v>43139104.709113702</v>
      </c>
      <c r="N97" s="29">
        <f>IF(N95=0,0,VLOOKUP(N95,FAC_TOTALS_APTA!$A$4:$BD$126,$L97,FALSE))</f>
        <v>25011905.241103601</v>
      </c>
      <c r="O97" s="29">
        <f>IF(O95=0,0,VLOOKUP(O95,FAC_TOTALS_APTA!$A$4:$BD$126,$L97,FALSE))</f>
        <v>4418332.0194261102</v>
      </c>
      <c r="P97" s="29">
        <f>IF(P95=0,0,VLOOKUP(P95,FAC_TOTALS_APTA!$A$4:$BD$126,$L97,FALSE))</f>
        <v>-1875047.1894322301</v>
      </c>
      <c r="Q97" s="29">
        <f>IF(Q95=0,0,VLOOKUP(Q95,FAC_TOTALS_APTA!$A$4:$BD$126,$L97,FALSE))</f>
        <v>11691154.9746543</v>
      </c>
      <c r="R97" s="29">
        <f>IF(R95=0,0,VLOOKUP(R95,FAC_TOTALS_APTA!$A$4:$BD$126,$L97,FALSE))</f>
        <v>-16713601.034459401</v>
      </c>
      <c r="S97" s="29">
        <f>IF(S95=0,0,VLOOKUP(S95,FAC_TOTALS_APTA!$A$4:$BD$126,$L97,FALSE))</f>
        <v>0</v>
      </c>
      <c r="T97" s="29">
        <f>IF(T95=0,0,VLOOKUP(T95,FAC_TOTALS_APTA!$A$4:$BD$126,$L97,FALSE))</f>
        <v>0</v>
      </c>
      <c r="U97" s="29">
        <f>IF(U95=0,0,VLOOKUP(U95,FAC_TOTALS_APTA!$A$4:$BD$126,$L97,FALSE))</f>
        <v>0</v>
      </c>
      <c r="V97" s="29">
        <f>IF(V95=0,0,VLOOKUP(V95,FAC_TOTALS_APTA!$A$4:$BD$126,$L97,FALSE))</f>
        <v>0</v>
      </c>
      <c r="W97" s="29">
        <f>IF(W95=0,0,VLOOKUP(W95,FAC_TOTALS_APTA!$A$4:$BD$126,$L97,FALSE))</f>
        <v>0</v>
      </c>
      <c r="X97" s="29">
        <f>IF(X95=0,0,VLOOKUP(X95,FAC_TOTALS_APTA!$A$4:$BD$126,$L97,FALSE))</f>
        <v>0</v>
      </c>
      <c r="Y97" s="29">
        <f>IF(Y95=0,0,VLOOKUP(Y95,FAC_TOTALS_APTA!$A$4:$BD$126,$L97,FALSE))</f>
        <v>0</v>
      </c>
      <c r="Z97" s="29">
        <f>IF(Z95=0,0,VLOOKUP(Z95,FAC_TOTALS_APTA!$A$4:$BD$126,$L97,FALSE))</f>
        <v>0</v>
      </c>
      <c r="AA97" s="29">
        <f>IF(AA95=0,0,VLOOKUP(AA95,FAC_TOTALS_APTA!$A$4:$BD$126,$L97,FALSE))</f>
        <v>0</v>
      </c>
      <c r="AB97" s="29">
        <f>IF(AB95=0,0,VLOOKUP(AB95,FAC_TOTALS_APTA!$A$4:$BD$126,$L97,FALSE))</f>
        <v>0</v>
      </c>
      <c r="AC97" s="32">
        <f>SUM(M97:AB97)</f>
        <v>65671848.720406085</v>
      </c>
      <c r="AD97" s="33">
        <f>AC97/G111</f>
        <v>2.6168842911592348E-2</v>
      </c>
    </row>
    <row r="98" spans="1:31" ht="15" x14ac:dyDescent="0.2">
      <c r="B98" s="115" t="s">
        <v>52</v>
      </c>
      <c r="C98" s="116" t="s">
        <v>21</v>
      </c>
      <c r="D98" s="104" t="s">
        <v>92</v>
      </c>
      <c r="E98" s="55"/>
      <c r="F98" s="6">
        <f>MATCH($D98,FAC_TOTALS_APTA!$A$2:$BD$2,)</f>
        <v>15</v>
      </c>
      <c r="G98" s="54">
        <f>VLOOKUP(G95,FAC_TOTALS_APTA!$A$4:$BD$126,$F98,FALSE)</f>
        <v>1.6964752675200001</v>
      </c>
      <c r="H98" s="54">
        <f>VLOOKUP(H95,FAC_TOTALS_APTA!$A$4:$BD$126,$F98,FALSE)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FARE_per_UPT_cleaned_2018_RAIL_log_FAC</v>
      </c>
      <c r="L98" s="6">
        <f>MATCH($K98,FAC_TOTALS_APTA!$A$2:$BB$2,)</f>
        <v>33</v>
      </c>
      <c r="M98" s="29">
        <f>IF(M95=0,0,VLOOKUP(M95,FAC_TOTALS_APTA!$A$4:$BD$126,$L98,FALSE))</f>
        <v>-22683948.951900199</v>
      </c>
      <c r="N98" s="29">
        <f>IF(N95=0,0,VLOOKUP(N95,FAC_TOTALS_APTA!$A$4:$BD$126,$L98,FALSE))</f>
        <v>3482401.41378828</v>
      </c>
      <c r="O98" s="29">
        <f>IF(O95=0,0,VLOOKUP(O95,FAC_TOTALS_APTA!$A$4:$BD$126,$L98,FALSE))</f>
        <v>-51810118.9046942</v>
      </c>
      <c r="P98" s="29">
        <f>IF(P95=0,0,VLOOKUP(P95,FAC_TOTALS_APTA!$A$4:$BD$126,$L98,FALSE))</f>
        <v>-3588091.5970698502</v>
      </c>
      <c r="Q98" s="29">
        <f>IF(Q95=0,0,VLOOKUP(Q95,FAC_TOTALS_APTA!$A$4:$BD$126,$L98,FALSE))</f>
        <v>-1446053.9322704801</v>
      </c>
      <c r="R98" s="29">
        <f>IF(R95=0,0,VLOOKUP(R95,FAC_TOTALS_APTA!$A$4:$BD$126,$L98,FALSE))</f>
        <v>-21040440.6163022</v>
      </c>
      <c r="S98" s="29">
        <f>IF(S95=0,0,VLOOKUP(S95,FAC_TOTALS_APTA!$A$4:$BD$126,$L98,FALSE))</f>
        <v>0</v>
      </c>
      <c r="T98" s="29">
        <f>IF(T95=0,0,VLOOKUP(T95,FAC_TOTALS_APTA!$A$4:$BD$126,$L98,FALSE))</f>
        <v>0</v>
      </c>
      <c r="U98" s="29">
        <f>IF(U95=0,0,VLOOKUP(U95,FAC_TOTALS_APTA!$A$4:$BD$126,$L98,FALSE))</f>
        <v>0</v>
      </c>
      <c r="V98" s="29">
        <f>IF(V95=0,0,VLOOKUP(V95,FAC_TOTALS_APTA!$A$4:$BD$126,$L98,FALSE))</f>
        <v>0</v>
      </c>
      <c r="W98" s="29">
        <f>IF(W95=0,0,VLOOKUP(W95,FAC_TOTALS_APTA!$A$4:$BD$126,$L98,FALSE))</f>
        <v>0</v>
      </c>
      <c r="X98" s="29">
        <f>IF(X95=0,0,VLOOKUP(X95,FAC_TOTALS_APTA!$A$4:$BD$126,$L98,FALSE))</f>
        <v>0</v>
      </c>
      <c r="Y98" s="29">
        <f>IF(Y95=0,0,VLOOKUP(Y95,FAC_TOTALS_APTA!$A$4:$BD$126,$L98,FALSE))</f>
        <v>0</v>
      </c>
      <c r="Z98" s="29">
        <f>IF(Z95=0,0,VLOOKUP(Z95,FAC_TOTALS_APTA!$A$4:$BD$126,$L98,FALSE))</f>
        <v>0</v>
      </c>
      <c r="AA98" s="29">
        <f>IF(AA95=0,0,VLOOKUP(AA95,FAC_TOTALS_APTA!$A$4:$BD$126,$L98,FALSE))</f>
        <v>0</v>
      </c>
      <c r="AB98" s="29">
        <f>IF(AB95=0,0,VLOOKUP(AB95,FAC_TOTALS_APTA!$A$4:$BD$126,$L98,FALSE))</f>
        <v>0</v>
      </c>
      <c r="AC98" s="32">
        <f t="shared" ref="AC98:AC109" si="35">SUM(M98:AB98)</f>
        <v>-97086252.588448644</v>
      </c>
      <c r="AD98" s="33">
        <f>AC98/G111</f>
        <v>-3.8686818513041829E-2</v>
      </c>
    </row>
    <row r="99" spans="1:31" ht="15" x14ac:dyDescent="0.2">
      <c r="B99" s="115" t="s">
        <v>80</v>
      </c>
      <c r="C99" s="116"/>
      <c r="D99" s="104" t="s">
        <v>78</v>
      </c>
      <c r="E99" s="118"/>
      <c r="F99" s="104">
        <f>MATCH($D99,FAC_TOTALS_APTA!$A$2:$BD$2,)</f>
        <v>23</v>
      </c>
      <c r="G99" s="117">
        <f>VLOOKUP(G95,FAC_TOTALS_APTA!$A$4:$BD$126,$F99,FALSE)</f>
        <v>0</v>
      </c>
      <c r="H99" s="117">
        <f>VLOOKUP(H95,FAC_TOTALS_APTA!$A$4:$BD$126,$F99,FALSE)</f>
        <v>0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>
        <f>MATCH($K99,FAC_TOTALS_APTA!$A$2:$BB$2,)</f>
        <v>41</v>
      </c>
      <c r="M99" s="117">
        <f>IF(M95=0,0,VLOOKUP(M95,FAC_TOTALS_APTA!$A$4:$BD$126,$L99,FALSE))</f>
        <v>0</v>
      </c>
      <c r="N99" s="117">
        <f>IF(N95=0,0,VLOOKUP(N95,FAC_TOTALS_APTA!$A$4:$BD$126,$L99,FALSE))</f>
        <v>0</v>
      </c>
      <c r="O99" s="117">
        <f>IF(O95=0,0,VLOOKUP(O95,FAC_TOTALS_APTA!$A$4:$BD$126,$L99,FALSE))</f>
        <v>0</v>
      </c>
      <c r="P99" s="117">
        <f>IF(P95=0,0,VLOOKUP(P95,FAC_TOTALS_APTA!$A$4:$BD$126,$L99,FALSE))</f>
        <v>0</v>
      </c>
      <c r="Q99" s="117">
        <f>IF(Q95=0,0,VLOOKUP(Q95,FAC_TOTALS_APTA!$A$4:$BD$126,$L99,FALSE))</f>
        <v>0</v>
      </c>
      <c r="R99" s="117">
        <f>IF(R95=0,0,VLOOKUP(R95,FAC_TOTALS_APTA!$A$4:$BD$126,$L99,FALSE))</f>
        <v>0</v>
      </c>
      <c r="S99" s="117">
        <f>IF(S95=0,0,VLOOKUP(S95,FAC_TOTALS_APTA!$A$4:$BD$126,$L99,FALSE))</f>
        <v>0</v>
      </c>
      <c r="T99" s="117">
        <f>IF(T95=0,0,VLOOKUP(T95,FAC_TOTALS_APTA!$A$4:$BD$126,$L99,FALSE))</f>
        <v>0</v>
      </c>
      <c r="U99" s="117">
        <f>IF(U95=0,0,VLOOKUP(U95,FAC_TOTALS_APTA!$A$4:$BD$126,$L99,FALSE))</f>
        <v>0</v>
      </c>
      <c r="V99" s="117">
        <f>IF(V95=0,0,VLOOKUP(V95,FAC_TOTALS_APTA!$A$4:$BD$126,$L99,FALSE))</f>
        <v>0</v>
      </c>
      <c r="W99" s="117">
        <f>IF(W95=0,0,VLOOKUP(W95,FAC_TOTALS_APTA!$A$4:$BD$126,$L99,FALSE))</f>
        <v>0</v>
      </c>
      <c r="X99" s="117">
        <f>IF(X95=0,0,VLOOKUP(X95,FAC_TOTALS_APTA!$A$4:$BD$126,$L99,FALSE))</f>
        <v>0</v>
      </c>
      <c r="Y99" s="117">
        <f>IF(Y95=0,0,VLOOKUP(Y95,FAC_TOTALS_APTA!$A$4:$BD$126,$L99,FALSE))</f>
        <v>0</v>
      </c>
      <c r="Z99" s="117">
        <f>IF(Z95=0,0,VLOOKUP(Z95,FAC_TOTALS_APTA!$A$4:$BD$126,$L99,FALSE))</f>
        <v>0</v>
      </c>
      <c r="AA99" s="117">
        <f>IF(AA95=0,0,VLOOKUP(AA95,FAC_TOTALS_APTA!$A$4:$BD$126,$L99,FALSE))</f>
        <v>0</v>
      </c>
      <c r="AB99" s="117">
        <f>IF(AB95=0,0,VLOOKUP(AB95,FAC_TOTALS_APTA!$A$4:$BD$126,$L99,FALSE))</f>
        <v>0</v>
      </c>
      <c r="AC99" s="121">
        <f t="shared" si="35"/>
        <v>0</v>
      </c>
      <c r="AD99" s="122">
        <f>AC99/G112</f>
        <v>0</v>
      </c>
    </row>
    <row r="100" spans="1:31" ht="15" x14ac:dyDescent="0.2">
      <c r="B100" s="115" t="s">
        <v>81</v>
      </c>
      <c r="C100" s="116"/>
      <c r="D100" s="104" t="s">
        <v>77</v>
      </c>
      <c r="E100" s="118"/>
      <c r="F100" s="104">
        <f>MATCH($D100,FAC_TOTALS_APTA!$A$2:$BD$2,)</f>
        <v>22</v>
      </c>
      <c r="G100" s="54">
        <f>VLOOKUP(G95,FAC_TOTALS_APTA!$A$4:$BD$126,$F100,FALSE)</f>
        <v>0</v>
      </c>
      <c r="H100" s="54">
        <f>VLOOKUP(H95,FAC_TOTALS_APTA!$A$4:$BD$126,$F100,FALSE)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MATCH($K100,FAC_TOTALS_APTA!$A$2:$BB$2,)</f>
        <v>40</v>
      </c>
      <c r="M100" s="29">
        <f>IF(M96=0,0,VLOOKUP(M96,FAC_TOTALS_APTA!$A$4:$BD$126,$L100,FALSE))</f>
        <v>0</v>
      </c>
      <c r="N100" s="29">
        <f>IF(N96=0,0,VLOOKUP(N96,FAC_TOTALS_APTA!$A$4:$BD$126,$L100,FALSE))</f>
        <v>0</v>
      </c>
      <c r="O100" s="29">
        <f>IF(O96=0,0,VLOOKUP(O96,FAC_TOTALS_APTA!$A$4:$BD$126,$L100,FALSE))</f>
        <v>0</v>
      </c>
      <c r="P100" s="29">
        <f>IF(P96=0,0,VLOOKUP(P96,FAC_TOTALS_APTA!$A$4:$BD$126,$L100,FALSE))</f>
        <v>0</v>
      </c>
      <c r="Q100" s="29">
        <f>IF(Q96=0,0,VLOOKUP(Q96,FAC_TOTALS_APTA!$A$4:$BD$126,$L100,FALSE))</f>
        <v>0</v>
      </c>
      <c r="R100" s="29">
        <f>IF(R96=0,0,VLOOKUP(R96,FAC_TOTALS_APTA!$A$4:$BD$126,$L100,FALSE))</f>
        <v>0</v>
      </c>
      <c r="S100" s="29">
        <f>IF(S96=0,0,VLOOKUP(S96,FAC_TOTALS_APTA!$A$4:$BD$126,$L100,FALSE))</f>
        <v>0</v>
      </c>
      <c r="T100" s="29">
        <f>IF(T96=0,0,VLOOKUP(T96,FAC_TOTALS_APTA!$A$4:$BD$126,$L100,FALSE))</f>
        <v>0</v>
      </c>
      <c r="U100" s="29">
        <f>IF(U96=0,0,VLOOKUP(U96,FAC_TOTALS_APTA!$A$4:$BD$126,$L100,FALSE))</f>
        <v>0</v>
      </c>
      <c r="V100" s="29">
        <f>IF(V96=0,0,VLOOKUP(V96,FAC_TOTALS_APTA!$A$4:$BD$126,$L100,FALSE))</f>
        <v>0</v>
      </c>
      <c r="W100" s="29">
        <f>IF(W96=0,0,VLOOKUP(W96,FAC_TOTALS_APTA!$A$4:$BD$126,$L100,FALSE))</f>
        <v>0</v>
      </c>
      <c r="X100" s="29">
        <f>IF(X96=0,0,VLOOKUP(X96,FAC_TOTALS_APTA!$A$4:$BD$126,$L100,FALSE))</f>
        <v>0</v>
      </c>
      <c r="Y100" s="29">
        <f>IF(Y96=0,0,VLOOKUP(Y96,FAC_TOTALS_APTA!$A$4:$BD$126,$L100,FALSE))</f>
        <v>0</v>
      </c>
      <c r="Z100" s="29">
        <f>IF(Z96=0,0,VLOOKUP(Z96,FAC_TOTALS_APTA!$A$4:$BD$126,$L100,FALSE))</f>
        <v>0</v>
      </c>
      <c r="AA100" s="29">
        <f>IF(AA96=0,0,VLOOKUP(AA96,FAC_TOTALS_APTA!$A$4:$BD$126,$L100,FALSE))</f>
        <v>0</v>
      </c>
      <c r="AB100" s="29">
        <f>IF(AB96=0,0,VLOOKUP(AB96,FAC_TOTALS_APTA!$A$4:$BD$126,$L100,FALSE))</f>
        <v>0</v>
      </c>
      <c r="AC100" s="32">
        <f t="shared" si="35"/>
        <v>0</v>
      </c>
      <c r="AD100" s="33">
        <f>AC100/G112</f>
        <v>0</v>
      </c>
    </row>
    <row r="101" spans="1:31" ht="15" x14ac:dyDescent="0.2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MATCH($D101,FAC_TOTALS_APTA!$A$2:$BD$2,)</f>
        <v>16</v>
      </c>
      <c r="G101" s="29">
        <f>VLOOKUP(G95,FAC_TOTALS_APTA!$A$4:$BD$126,$F101,FALSE)</f>
        <v>27909105.420000002</v>
      </c>
      <c r="H101" s="29">
        <f>VLOOKUP(H95,FAC_TOTALS_APTA!$A$4:$BD$126,$F101,FALSE)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MATCH($K101,FAC_TOTALS_APTA!$A$2:$BB$2,)</f>
        <v>34</v>
      </c>
      <c r="M101" s="29">
        <f>IF(M95=0,0,VLOOKUP(M95,FAC_TOTALS_APTA!$A$4:$BD$126,$L101,FALSE))</f>
        <v>20524380.123167299</v>
      </c>
      <c r="N101" s="29">
        <f>IF(N95=0,0,VLOOKUP(N95,FAC_TOTALS_APTA!$A$4:$BD$126,$L101,FALSE))</f>
        <v>6671824.4706350099</v>
      </c>
      <c r="O101" s="29">
        <f>IF(O95=0,0,VLOOKUP(O95,FAC_TOTALS_APTA!$A$4:$BD$126,$L101,FALSE))</f>
        <v>6262737.1316978</v>
      </c>
      <c r="P101" s="29">
        <f>IF(P95=0,0,VLOOKUP(P95,FAC_TOTALS_APTA!$A$4:$BD$126,$L101,FALSE))</f>
        <v>1341872.7104687099</v>
      </c>
      <c r="Q101" s="29">
        <f>IF(Q95=0,0,VLOOKUP(Q95,FAC_TOTALS_APTA!$A$4:$BD$126,$L101,FALSE))</f>
        <v>5229122.4524614103</v>
      </c>
      <c r="R101" s="29">
        <f>IF(R95=0,0,VLOOKUP(R95,FAC_TOTALS_APTA!$A$4:$BD$126,$L101,FALSE))</f>
        <v>3158303.2340395101</v>
      </c>
      <c r="S101" s="29">
        <f>IF(S95=0,0,VLOOKUP(S95,FAC_TOTALS_APTA!$A$4:$BD$126,$L101,FALSE))</f>
        <v>0</v>
      </c>
      <c r="T101" s="29">
        <f>IF(T95=0,0,VLOOKUP(T95,FAC_TOTALS_APTA!$A$4:$BD$126,$L101,FALSE))</f>
        <v>0</v>
      </c>
      <c r="U101" s="29">
        <f>IF(U95=0,0,VLOOKUP(U95,FAC_TOTALS_APTA!$A$4:$BD$126,$L101,FALSE))</f>
        <v>0</v>
      </c>
      <c r="V101" s="29">
        <f>IF(V95=0,0,VLOOKUP(V95,FAC_TOTALS_APTA!$A$4:$BD$126,$L101,FALSE))</f>
        <v>0</v>
      </c>
      <c r="W101" s="29">
        <f>IF(W95=0,0,VLOOKUP(W95,FAC_TOTALS_APTA!$A$4:$BD$126,$L101,FALSE))</f>
        <v>0</v>
      </c>
      <c r="X101" s="29">
        <f>IF(X95=0,0,VLOOKUP(X95,FAC_TOTALS_APTA!$A$4:$BD$126,$L101,FALSE))</f>
        <v>0</v>
      </c>
      <c r="Y101" s="29">
        <f>IF(Y95=0,0,VLOOKUP(Y95,FAC_TOTALS_APTA!$A$4:$BD$126,$L101,FALSE))</f>
        <v>0</v>
      </c>
      <c r="Z101" s="29">
        <f>IF(Z95=0,0,VLOOKUP(Z95,FAC_TOTALS_APTA!$A$4:$BD$126,$L101,FALSE))</f>
        <v>0</v>
      </c>
      <c r="AA101" s="29">
        <f>IF(AA95=0,0,VLOOKUP(AA95,FAC_TOTALS_APTA!$A$4:$BD$126,$L101,FALSE))</f>
        <v>0</v>
      </c>
      <c r="AB101" s="29">
        <f>IF(AB95=0,0,VLOOKUP(AB95,FAC_TOTALS_APTA!$A$4:$BD$126,$L101,FALSE))</f>
        <v>0</v>
      </c>
      <c r="AC101" s="32">
        <f t="shared" si="35"/>
        <v>43188240.122469746</v>
      </c>
      <c r="AD101" s="33">
        <f>AC101/G111</f>
        <v>1.7209600360189953E-2</v>
      </c>
    </row>
    <row r="102" spans="1:31" ht="15" x14ac:dyDescent="0.2">
      <c r="B102" s="25" t="s">
        <v>73</v>
      </c>
      <c r="C102" s="116"/>
      <c r="D102" s="104" t="s">
        <v>72</v>
      </c>
      <c r="E102" s="55"/>
      <c r="F102" s="6">
        <f>MATCH($D102,FAC_TOTALS_APTA!$A$2:$BD$2,)</f>
        <v>17</v>
      </c>
      <c r="G102" s="54">
        <f>VLOOKUP(G95,FAC_TOTALS_APTA!$A$4:$BD$126,$F102,FALSE)</f>
        <v>0.70702565886186597</v>
      </c>
      <c r="H102" s="54">
        <f>VLOOKUP(H95,FAC_TOTALS_APTA!$A$4:$BD$126,$F102,FALSE)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MATCH($K102,FAC_TOTALS_APTA!$A$2:$BB$2,)</f>
        <v>35</v>
      </c>
      <c r="M102" s="29">
        <f>IF(M95=0,0,VLOOKUP(M95,FAC_TOTALS_APTA!$A$4:$BD$126,$L102,FALSE))</f>
        <v>1360498.0532658601</v>
      </c>
      <c r="N102" s="29">
        <f>IF(N95=0,0,VLOOKUP(N95,FAC_TOTALS_APTA!$A$4:$BD$126,$L102,FALSE))</f>
        <v>2593654.82957371</v>
      </c>
      <c r="O102" s="29">
        <f>IF(O95=0,0,VLOOKUP(O95,FAC_TOTALS_APTA!$A$4:$BD$126,$L102,FALSE))</f>
        <v>3962611.3643809902</v>
      </c>
      <c r="P102" s="29">
        <f>IF(P95=0,0,VLOOKUP(P95,FAC_TOTALS_APTA!$A$4:$BD$126,$L102,FALSE))</f>
        <v>929165.43088684301</v>
      </c>
      <c r="Q102" s="29">
        <f>IF(Q95=0,0,VLOOKUP(Q95,FAC_TOTALS_APTA!$A$4:$BD$126,$L102,FALSE))</f>
        <v>1575804.91643996</v>
      </c>
      <c r="R102" s="29">
        <f>IF(R95=0,0,VLOOKUP(R95,FAC_TOTALS_APTA!$A$4:$BD$126,$L102,FALSE))</f>
        <v>-1413227.4762192401</v>
      </c>
      <c r="S102" s="29">
        <f>IF(S95=0,0,VLOOKUP(S95,FAC_TOTALS_APTA!$A$4:$BD$126,$L102,FALSE))</f>
        <v>0</v>
      </c>
      <c r="T102" s="29">
        <f>IF(T95=0,0,VLOOKUP(T95,FAC_TOTALS_APTA!$A$4:$BD$126,$L102,FALSE))</f>
        <v>0</v>
      </c>
      <c r="U102" s="29">
        <f>IF(U95=0,0,VLOOKUP(U95,FAC_TOTALS_APTA!$A$4:$BD$126,$L102,FALSE))</f>
        <v>0</v>
      </c>
      <c r="V102" s="29">
        <f>IF(V95=0,0,VLOOKUP(V95,FAC_TOTALS_APTA!$A$4:$BD$126,$L102,FALSE))</f>
        <v>0</v>
      </c>
      <c r="W102" s="29">
        <f>IF(W95=0,0,VLOOKUP(W95,FAC_TOTALS_APTA!$A$4:$BD$126,$L102,FALSE))</f>
        <v>0</v>
      </c>
      <c r="X102" s="29">
        <f>IF(X95=0,0,VLOOKUP(X95,FAC_TOTALS_APTA!$A$4:$BD$126,$L102,FALSE))</f>
        <v>0</v>
      </c>
      <c r="Y102" s="29">
        <f>IF(Y95=0,0,VLOOKUP(Y95,FAC_TOTALS_APTA!$A$4:$BD$126,$L102,FALSE))</f>
        <v>0</v>
      </c>
      <c r="Z102" s="29">
        <f>IF(Z95=0,0,VLOOKUP(Z95,FAC_TOTALS_APTA!$A$4:$BD$126,$L102,FALSE))</f>
        <v>0</v>
      </c>
      <c r="AA102" s="29">
        <f>IF(AA95=0,0,VLOOKUP(AA95,FAC_TOTALS_APTA!$A$4:$BD$126,$L102,FALSE))</f>
        <v>0</v>
      </c>
      <c r="AB102" s="29">
        <f>IF(AB95=0,0,VLOOKUP(AB95,FAC_TOTALS_APTA!$A$4:$BD$126,$L102,FALSE))</f>
        <v>0</v>
      </c>
      <c r="AC102" s="32">
        <f t="shared" si="35"/>
        <v>9008507.1183281224</v>
      </c>
      <c r="AD102" s="33">
        <f>AC102/G111</f>
        <v>3.589699578142657E-3</v>
      </c>
    </row>
    <row r="103" spans="1:31" ht="15" x14ac:dyDescent="0.2">
      <c r="B103" s="115" t="s">
        <v>49</v>
      </c>
      <c r="C103" s="116" t="s">
        <v>21</v>
      </c>
      <c r="D103" s="124" t="s">
        <v>82</v>
      </c>
      <c r="E103" s="55"/>
      <c r="F103" s="6">
        <f>MATCH($D103,FAC_TOTALS_APTA!$A$2:$BD$2,)</f>
        <v>18</v>
      </c>
      <c r="G103" s="34">
        <f>VLOOKUP(G95,FAC_TOTALS_APTA!$A$4:$BD$126,$F103,FALSE)</f>
        <v>4.1093000000000002</v>
      </c>
      <c r="H103" s="34">
        <f>VLOOKUP(H95,FAC_TOTALS_APTA!$A$4:$BD$126,$F103,FALSE)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MATCH($K103,FAC_TOTALS_APTA!$A$2:$BB$2,)</f>
        <v>36</v>
      </c>
      <c r="M103" s="29">
        <f>IF(M95=0,0,VLOOKUP(M95,FAC_TOTALS_APTA!$A$4:$BD$126,$L103,FALSE))</f>
        <v>-13947737.5384722</v>
      </c>
      <c r="N103" s="29">
        <f>IF(N95=0,0,VLOOKUP(N95,FAC_TOTALS_APTA!$A$4:$BD$126,$L103,FALSE))</f>
        <v>-16937472.202499501</v>
      </c>
      <c r="O103" s="29">
        <f>IF(O95=0,0,VLOOKUP(O95,FAC_TOTALS_APTA!$A$4:$BD$126,$L103,FALSE))</f>
        <v>-110232109.671599</v>
      </c>
      <c r="P103" s="29">
        <f>IF(P95=0,0,VLOOKUP(P95,FAC_TOTALS_APTA!$A$4:$BD$126,$L103,FALSE))</f>
        <v>-33868129.043748103</v>
      </c>
      <c r="Q103" s="29">
        <f>IF(Q95=0,0,VLOOKUP(Q95,FAC_TOTALS_APTA!$A$4:$BD$126,$L103,FALSE))</f>
        <v>33271401.388338599</v>
      </c>
      <c r="R103" s="29">
        <f>IF(R95=0,0,VLOOKUP(R95,FAC_TOTALS_APTA!$A$4:$BD$126,$L103,FALSE))</f>
        <v>26589624.4315897</v>
      </c>
      <c r="S103" s="29">
        <f>IF(S95=0,0,VLOOKUP(S95,FAC_TOTALS_APTA!$A$4:$BD$126,$L103,FALSE))</f>
        <v>0</v>
      </c>
      <c r="T103" s="29">
        <f>IF(T95=0,0,VLOOKUP(T95,FAC_TOTALS_APTA!$A$4:$BD$126,$L103,FALSE))</f>
        <v>0</v>
      </c>
      <c r="U103" s="29">
        <f>IF(U95=0,0,VLOOKUP(U95,FAC_TOTALS_APTA!$A$4:$BD$126,$L103,FALSE))</f>
        <v>0</v>
      </c>
      <c r="V103" s="29">
        <f>IF(V95=0,0,VLOOKUP(V95,FAC_TOTALS_APTA!$A$4:$BD$126,$L103,FALSE))</f>
        <v>0</v>
      </c>
      <c r="W103" s="29">
        <f>IF(W95=0,0,VLOOKUP(W95,FAC_TOTALS_APTA!$A$4:$BD$126,$L103,FALSE))</f>
        <v>0</v>
      </c>
      <c r="X103" s="29">
        <f>IF(X95=0,0,VLOOKUP(X95,FAC_TOTALS_APTA!$A$4:$BD$126,$L103,FALSE))</f>
        <v>0</v>
      </c>
      <c r="Y103" s="29">
        <f>IF(Y95=0,0,VLOOKUP(Y95,FAC_TOTALS_APTA!$A$4:$BD$126,$L103,FALSE))</f>
        <v>0</v>
      </c>
      <c r="Z103" s="29">
        <f>IF(Z95=0,0,VLOOKUP(Z95,FAC_TOTALS_APTA!$A$4:$BD$126,$L103,FALSE))</f>
        <v>0</v>
      </c>
      <c r="AA103" s="29">
        <f>IF(AA95=0,0,VLOOKUP(AA95,FAC_TOTALS_APTA!$A$4:$BD$126,$L103,FALSE))</f>
        <v>0</v>
      </c>
      <c r="AB103" s="29">
        <f>IF(AB95=0,0,VLOOKUP(AB95,FAC_TOTALS_APTA!$A$4:$BD$126,$L103,FALSE))</f>
        <v>0</v>
      </c>
      <c r="AC103" s="32">
        <f t="shared" si="35"/>
        <v>-115124422.63639054</v>
      </c>
      <c r="AD103" s="33">
        <f>AC103/G111</f>
        <v>-4.5874647812729361E-2</v>
      </c>
    </row>
    <row r="104" spans="1:31" ht="15" x14ac:dyDescent="0.2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MATCH($D104,FAC_TOTALS_APTA!$A$2:$BD$2,)</f>
        <v>19</v>
      </c>
      <c r="G104" s="54">
        <f>VLOOKUP(G95,FAC_TOTALS_APTA!$A$4:$BD$126,$F104,FALSE)</f>
        <v>33963.31</v>
      </c>
      <c r="H104" s="54">
        <f>VLOOKUP(H95,FAC_TOTALS_APTA!$A$4:$BD$126,$F104,FALSE)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MATCH($K104,FAC_TOTALS_APTA!$A$2:$BB$2,)</f>
        <v>37</v>
      </c>
      <c r="M104" s="29">
        <f>IF(M95=0,0,VLOOKUP(M95,FAC_TOTALS_APTA!$A$4:$BD$126,$L104,FALSE))</f>
        <v>1617631.06335578</v>
      </c>
      <c r="N104" s="29">
        <f>IF(N95=0,0,VLOOKUP(N95,FAC_TOTALS_APTA!$A$4:$BD$126,$L104,FALSE))</f>
        <v>764263.54057657195</v>
      </c>
      <c r="O104" s="29">
        <f>IF(O95=0,0,VLOOKUP(O95,FAC_TOTALS_APTA!$A$4:$BD$126,$L104,FALSE))</f>
        <v>-3894670.6667943699</v>
      </c>
      <c r="P104" s="29">
        <f>IF(P95=0,0,VLOOKUP(P95,FAC_TOTALS_APTA!$A$4:$BD$126,$L104,FALSE))</f>
        <v>-7030170.9479993796</v>
      </c>
      <c r="Q104" s="29">
        <f>IF(Q95=0,0,VLOOKUP(Q95,FAC_TOTALS_APTA!$A$4:$BD$126,$L104,FALSE))</f>
        <v>-3940428.2026585499</v>
      </c>
      <c r="R104" s="29">
        <f>IF(R95=0,0,VLOOKUP(R95,FAC_TOTALS_APTA!$A$4:$BD$126,$L104,FALSE))</f>
        <v>-5163683.0747870104</v>
      </c>
      <c r="S104" s="29">
        <f>IF(S95=0,0,VLOOKUP(S95,FAC_TOTALS_APTA!$A$4:$BD$126,$L104,FALSE))</f>
        <v>0</v>
      </c>
      <c r="T104" s="29">
        <f>IF(T95=0,0,VLOOKUP(T95,FAC_TOTALS_APTA!$A$4:$BD$126,$L104,FALSE))</f>
        <v>0</v>
      </c>
      <c r="U104" s="29">
        <f>IF(U95=0,0,VLOOKUP(U95,FAC_TOTALS_APTA!$A$4:$BD$126,$L104,FALSE))</f>
        <v>0</v>
      </c>
      <c r="V104" s="29">
        <f>IF(V95=0,0,VLOOKUP(V95,FAC_TOTALS_APTA!$A$4:$BD$126,$L104,FALSE))</f>
        <v>0</v>
      </c>
      <c r="W104" s="29">
        <f>IF(W95=0,0,VLOOKUP(W95,FAC_TOTALS_APTA!$A$4:$BD$126,$L104,FALSE))</f>
        <v>0</v>
      </c>
      <c r="X104" s="29">
        <f>IF(X95=0,0,VLOOKUP(X95,FAC_TOTALS_APTA!$A$4:$BD$126,$L104,FALSE))</f>
        <v>0</v>
      </c>
      <c r="Y104" s="29">
        <f>IF(Y95=0,0,VLOOKUP(Y95,FAC_TOTALS_APTA!$A$4:$BD$126,$L104,FALSE))</f>
        <v>0</v>
      </c>
      <c r="Z104" s="29">
        <f>IF(Z95=0,0,VLOOKUP(Z95,FAC_TOTALS_APTA!$A$4:$BD$126,$L104,FALSE))</f>
        <v>0</v>
      </c>
      <c r="AA104" s="29">
        <f>IF(AA95=0,0,VLOOKUP(AA95,FAC_TOTALS_APTA!$A$4:$BD$126,$L104,FALSE))</f>
        <v>0</v>
      </c>
      <c r="AB104" s="29">
        <f>IF(AB95=0,0,VLOOKUP(AB95,FAC_TOTALS_APTA!$A$4:$BD$126,$L104,FALSE))</f>
        <v>0</v>
      </c>
      <c r="AC104" s="32">
        <f t="shared" si="35"/>
        <v>-17647058.288306955</v>
      </c>
      <c r="AD104" s="33">
        <f>AC104/G111</f>
        <v>-7.031979534556994E-3</v>
      </c>
    </row>
    <row r="105" spans="1:31" ht="15" x14ac:dyDescent="0.2">
      <c r="B105" s="115" t="s">
        <v>62</v>
      </c>
      <c r="C105" s="116"/>
      <c r="D105" s="104" t="s">
        <v>9</v>
      </c>
      <c r="E105" s="55"/>
      <c r="F105" s="6">
        <f>MATCH($D105,FAC_TOTALS_APTA!$A$2:$BD$2,)</f>
        <v>20</v>
      </c>
      <c r="G105" s="29">
        <f>VLOOKUP(G95,FAC_TOTALS_APTA!$A$4:$BD$126,$F105,FALSE)</f>
        <v>31.51</v>
      </c>
      <c r="H105" s="29">
        <f>VLOOKUP(H95,FAC_TOTALS_APTA!$A$4:$BD$126,$F105,FALSE)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MATCH($K105,FAC_TOTALS_APTA!$A$2:$BB$2,)</f>
        <v>38</v>
      </c>
      <c r="M105" s="29">
        <f>IF(M95=0,0,VLOOKUP(M95,FAC_TOTALS_APTA!$A$4:$BD$126,$L105,FALSE))</f>
        <v>-9254324.2990899403</v>
      </c>
      <c r="N105" s="29">
        <f>IF(N95=0,0,VLOOKUP(N95,FAC_TOTALS_APTA!$A$4:$BD$126,$L105,FALSE))</f>
        <v>1638033.60245311</v>
      </c>
      <c r="O105" s="29">
        <f>IF(O95=0,0,VLOOKUP(O95,FAC_TOTALS_APTA!$A$4:$BD$126,$L105,FALSE))</f>
        <v>-188476.30387352101</v>
      </c>
      <c r="P105" s="29">
        <f>IF(P95=0,0,VLOOKUP(P95,FAC_TOTALS_APTA!$A$4:$BD$126,$L105,FALSE))</f>
        <v>-1770720.00481606</v>
      </c>
      <c r="Q105" s="29">
        <f>IF(Q95=0,0,VLOOKUP(Q95,FAC_TOTALS_APTA!$A$4:$BD$126,$L105,FALSE))</f>
        <v>738388.99480731704</v>
      </c>
      <c r="R105" s="29">
        <f>IF(R95=0,0,VLOOKUP(R95,FAC_TOTALS_APTA!$A$4:$BD$126,$L105,FALSE))</f>
        <v>61945.874080874797</v>
      </c>
      <c r="S105" s="29">
        <f>IF(S95=0,0,VLOOKUP(S95,FAC_TOTALS_APTA!$A$4:$BD$126,$L105,FALSE))</f>
        <v>0</v>
      </c>
      <c r="T105" s="29">
        <f>IF(T95=0,0,VLOOKUP(T95,FAC_TOTALS_APTA!$A$4:$BD$126,$L105,FALSE))</f>
        <v>0</v>
      </c>
      <c r="U105" s="29">
        <f>IF(U95=0,0,VLOOKUP(U95,FAC_TOTALS_APTA!$A$4:$BD$126,$L105,FALSE))</f>
        <v>0</v>
      </c>
      <c r="V105" s="29">
        <f>IF(V95=0,0,VLOOKUP(V95,FAC_TOTALS_APTA!$A$4:$BD$126,$L105,FALSE))</f>
        <v>0</v>
      </c>
      <c r="W105" s="29">
        <f>IF(W95=0,0,VLOOKUP(W95,FAC_TOTALS_APTA!$A$4:$BD$126,$L105,FALSE))</f>
        <v>0</v>
      </c>
      <c r="X105" s="29">
        <f>IF(X95=0,0,VLOOKUP(X95,FAC_TOTALS_APTA!$A$4:$BD$126,$L105,FALSE))</f>
        <v>0</v>
      </c>
      <c r="Y105" s="29">
        <f>IF(Y95=0,0,VLOOKUP(Y95,FAC_TOTALS_APTA!$A$4:$BD$126,$L105,FALSE))</f>
        <v>0</v>
      </c>
      <c r="Z105" s="29">
        <f>IF(Z95=0,0,VLOOKUP(Z95,FAC_TOTALS_APTA!$A$4:$BD$126,$L105,FALSE))</f>
        <v>0</v>
      </c>
      <c r="AA105" s="29">
        <f>IF(AA95=0,0,VLOOKUP(AA95,FAC_TOTALS_APTA!$A$4:$BD$126,$L105,FALSE))</f>
        <v>0</v>
      </c>
      <c r="AB105" s="29">
        <f>IF(AB95=0,0,VLOOKUP(AB95,FAC_TOTALS_APTA!$A$4:$BD$126,$L105,FALSE))</f>
        <v>0</v>
      </c>
      <c r="AC105" s="32">
        <f t="shared" si="35"/>
        <v>-8775152.1364382207</v>
      </c>
      <c r="AD105" s="33">
        <f>AC105/G111</f>
        <v>-3.4967125527626815E-3</v>
      </c>
    </row>
    <row r="106" spans="1:31" ht="15" x14ac:dyDescent="0.2">
      <c r="B106" s="115" t="s">
        <v>47</v>
      </c>
      <c r="C106" s="116"/>
      <c r="D106" s="104" t="s">
        <v>28</v>
      </c>
      <c r="E106" s="55"/>
      <c r="F106" s="6">
        <f>MATCH($D106,FAC_TOTALS_APTA!$A$2:$BD$2,)</f>
        <v>21</v>
      </c>
      <c r="G106" s="34">
        <f>VLOOKUP(G95,FAC_TOTALS_APTA!$A$4:$BD$126,$F106,FALSE)</f>
        <v>4.0999999999999996</v>
      </c>
      <c r="H106" s="34">
        <f>VLOOKUP(H95,FAC_TOTALS_APTA!$A$4:$BD$126,$F106,FALSE)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MATCH($K106,FAC_TOTALS_APTA!$A$2:$BB$2,)</f>
        <v>39</v>
      </c>
      <c r="M106" s="29">
        <f>IF(M95=0,0,VLOOKUP(M95,FAC_TOTALS_APTA!$A$4:$BD$126,$L106,FALSE))</f>
        <v>-2239707.4262431399</v>
      </c>
      <c r="N106" s="29">
        <f>IF(N95=0,0,VLOOKUP(N95,FAC_TOTALS_APTA!$A$4:$BD$126,$L106,FALSE))</f>
        <v>0</v>
      </c>
      <c r="O106" s="29">
        <f>IF(O95=0,0,VLOOKUP(O95,FAC_TOTALS_APTA!$A$4:$BD$126,$L106,FALSE))</f>
        <v>2400476.7009284701</v>
      </c>
      <c r="P106" s="29">
        <f>IF(P95=0,0,VLOOKUP(P95,FAC_TOTALS_APTA!$A$4:$BD$126,$L106,FALSE))</f>
        <v>-9316583.7392887902</v>
      </c>
      <c r="Q106" s="29">
        <f>IF(Q95=0,0,VLOOKUP(Q95,FAC_TOTALS_APTA!$A$4:$BD$126,$L106,FALSE))</f>
        <v>0</v>
      </c>
      <c r="R106" s="29">
        <f>IF(R95=0,0,VLOOKUP(R95,FAC_TOTALS_APTA!$A$4:$BD$126,$L106,FALSE))</f>
        <v>-2364965.5804737601</v>
      </c>
      <c r="S106" s="29">
        <f>IF(S95=0,0,VLOOKUP(S95,FAC_TOTALS_APTA!$A$4:$BD$126,$L106,FALSE))</f>
        <v>0</v>
      </c>
      <c r="T106" s="29">
        <f>IF(T95=0,0,VLOOKUP(T95,FAC_TOTALS_APTA!$A$4:$BD$126,$L106,FALSE))</f>
        <v>0</v>
      </c>
      <c r="U106" s="29">
        <f>IF(U95=0,0,VLOOKUP(U95,FAC_TOTALS_APTA!$A$4:$BD$126,$L106,FALSE))</f>
        <v>0</v>
      </c>
      <c r="V106" s="29">
        <f>IF(V95=0,0,VLOOKUP(V95,FAC_TOTALS_APTA!$A$4:$BD$126,$L106,FALSE))</f>
        <v>0</v>
      </c>
      <c r="W106" s="29">
        <f>IF(W95=0,0,VLOOKUP(W95,FAC_TOTALS_APTA!$A$4:$BD$126,$L106,FALSE))</f>
        <v>0</v>
      </c>
      <c r="X106" s="29">
        <f>IF(X95=0,0,VLOOKUP(X95,FAC_TOTALS_APTA!$A$4:$BD$126,$L106,FALSE))</f>
        <v>0</v>
      </c>
      <c r="Y106" s="29">
        <f>IF(Y95=0,0,VLOOKUP(Y95,FAC_TOTALS_APTA!$A$4:$BD$126,$L106,FALSE))</f>
        <v>0</v>
      </c>
      <c r="Z106" s="29">
        <f>IF(Z95=0,0,VLOOKUP(Z95,FAC_TOTALS_APTA!$A$4:$BD$126,$L106,FALSE))</f>
        <v>0</v>
      </c>
      <c r="AA106" s="29">
        <f>IF(AA95=0,0,VLOOKUP(AA95,FAC_TOTALS_APTA!$A$4:$BD$126,$L106,FALSE))</f>
        <v>0</v>
      </c>
      <c r="AB106" s="29">
        <f>IF(AB95=0,0,VLOOKUP(AB95,FAC_TOTALS_APTA!$A$4:$BD$126,$L106,FALSE))</f>
        <v>0</v>
      </c>
      <c r="AC106" s="32">
        <f t="shared" si="35"/>
        <v>-11520780.04507722</v>
      </c>
      <c r="AD106" s="33">
        <f>AC106/G111</f>
        <v>-4.5907872108517872E-3</v>
      </c>
    </row>
    <row r="107" spans="1:31" ht="15" x14ac:dyDescent="0.2">
      <c r="B107" s="115" t="s">
        <v>63</v>
      </c>
      <c r="C107" s="116"/>
      <c r="D107" s="126" t="s">
        <v>93</v>
      </c>
      <c r="E107" s="55"/>
      <c r="F107" s="6">
        <f>MATCH($D107,FAC_TOTALS_APTA!$A$2:$BD$2,)</f>
        <v>26</v>
      </c>
      <c r="G107" s="34">
        <f>VLOOKUP(G95,FAC_TOTALS_APTA!$A$4:$BD$126,$F107,FALSE)</f>
        <v>1</v>
      </c>
      <c r="H107" s="34">
        <f>VLOOKUP(H95,FAC_TOTALS_APTA!$A$4:$BD$126,$F107,FALSE)</f>
        <v>7</v>
      </c>
      <c r="I107" s="30">
        <f t="shared" si="32"/>
        <v>6</v>
      </c>
      <c r="J107" s="31"/>
      <c r="K107" s="31" t="str">
        <f t="shared" si="34"/>
        <v>YEARS_SINCE_TNC_RAIL_HINY_FAC</v>
      </c>
      <c r="L107" s="6">
        <f>MATCH($K107,FAC_TOTALS_APTA!$A$2:$BB$2,)</f>
        <v>44</v>
      </c>
      <c r="M107" s="29">
        <f>IF(M95=0,0,VLOOKUP(M95,FAC_TOTALS_APTA!$A$4:$BD$126,$L107,FALSE))</f>
        <v>6387786.5598905096</v>
      </c>
      <c r="N107" s="29">
        <f>IF(N95=0,0,VLOOKUP(N95,FAC_TOTALS_APTA!$A$4:$BD$126,$L107,FALSE))</f>
        <v>6604159.0291191395</v>
      </c>
      <c r="O107" s="29">
        <f>IF(O95=0,0,VLOOKUP(O95,FAC_TOTALS_APTA!$A$4:$BD$126,$L107,FALSE))</f>
        <v>6841076.4035889702</v>
      </c>
      <c r="P107" s="29">
        <f>IF(P95=0,0,VLOOKUP(P95,FAC_TOTALS_APTA!$A$4:$BD$126,$L107,FALSE))</f>
        <v>6650493.73729211</v>
      </c>
      <c r="Q107" s="29">
        <f>IF(Q95=0,0,VLOOKUP(Q95,FAC_TOTALS_APTA!$A$4:$BD$126,$L107,FALSE))</f>
        <v>6699273.0688118702</v>
      </c>
      <c r="R107" s="29">
        <f>IF(R95=0,0,VLOOKUP(R95,FAC_TOTALS_APTA!$A$4:$BD$126,$L107,FALSE))</f>
        <v>6745030.7002348397</v>
      </c>
      <c r="S107" s="29">
        <f>IF(S95=0,0,VLOOKUP(S95,FAC_TOTALS_APTA!$A$4:$BD$126,$L107,FALSE))</f>
        <v>0</v>
      </c>
      <c r="T107" s="29">
        <f>IF(T95=0,0,VLOOKUP(T95,FAC_TOTALS_APTA!$A$4:$BD$126,$L107,FALSE))</f>
        <v>0</v>
      </c>
      <c r="U107" s="29">
        <f>IF(U95=0,0,VLOOKUP(U95,FAC_TOTALS_APTA!$A$4:$BD$126,$L107,FALSE))</f>
        <v>0</v>
      </c>
      <c r="V107" s="29">
        <f>IF(V95=0,0,VLOOKUP(V95,FAC_TOTALS_APTA!$A$4:$BD$126,$L107,FALSE))</f>
        <v>0</v>
      </c>
      <c r="W107" s="29">
        <f>IF(W95=0,0,VLOOKUP(W95,FAC_TOTALS_APTA!$A$4:$BD$126,$L107,FALSE))</f>
        <v>0</v>
      </c>
      <c r="X107" s="29">
        <f>IF(X95=0,0,VLOOKUP(X95,FAC_TOTALS_APTA!$A$4:$BD$126,$L107,FALSE))</f>
        <v>0</v>
      </c>
      <c r="Y107" s="29">
        <f>IF(Y95=0,0,VLOOKUP(Y95,FAC_TOTALS_APTA!$A$4:$BD$126,$L107,FALSE))</f>
        <v>0</v>
      </c>
      <c r="Z107" s="29">
        <f>IF(Z95=0,0,VLOOKUP(Z95,FAC_TOTALS_APTA!$A$4:$BD$126,$L107,FALSE))</f>
        <v>0</v>
      </c>
      <c r="AA107" s="29">
        <f>IF(AA95=0,0,VLOOKUP(AA95,FAC_TOTALS_APTA!$A$4:$BD$126,$L107,FALSE))</f>
        <v>0</v>
      </c>
      <c r="AB107" s="29">
        <f>IF(AB95=0,0,VLOOKUP(AB95,FAC_TOTALS_APTA!$A$4:$BD$126,$L107,FALSE))</f>
        <v>0</v>
      </c>
      <c r="AC107" s="32">
        <f t="shared" si="35"/>
        <v>39927819.498937443</v>
      </c>
      <c r="AD107" s="33">
        <f>AC107/G111</f>
        <v>1.5910391691858053E-2</v>
      </c>
    </row>
    <row r="108" spans="1:31" ht="15" x14ac:dyDescent="0.2">
      <c r="B108" s="115" t="s">
        <v>64</v>
      </c>
      <c r="C108" s="116"/>
      <c r="D108" s="104" t="s">
        <v>43</v>
      </c>
      <c r="E108" s="55"/>
      <c r="F108" s="6">
        <f>MATCH($D108,FAC_TOTALS_APTA!$A$2:$BD$2,)</f>
        <v>28</v>
      </c>
      <c r="G108" s="34">
        <f>VLOOKUP(G95,FAC_TOTALS_APTA!$A$4:$BD$126,$F108,FALSE)</f>
        <v>0</v>
      </c>
      <c r="H108" s="34">
        <f>VLOOKUP(H95,FAC_TOTALS_APTA!$A$4:$BD$126,$F108,FALSE)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MATCH($K108,FAC_TOTALS_APTA!$A$2:$BB$2,)</f>
        <v>46</v>
      </c>
      <c r="M108" s="29">
        <f>IF(M95=0,0,VLOOKUP(M95,FAC_TOTALS_APTA!$A$4:$BD$126,$L108,FALSE))</f>
        <v>-31582422.511112999</v>
      </c>
      <c r="N108" s="29">
        <f>IF(N95=0,0,VLOOKUP(N95,FAC_TOTALS_APTA!$A$4:$BD$126,$L108,FALSE))</f>
        <v>0</v>
      </c>
      <c r="O108" s="29">
        <f>IF(O95=0,0,VLOOKUP(O95,FAC_TOTALS_APTA!$A$4:$BD$126,$L108,FALSE))</f>
        <v>0</v>
      </c>
      <c r="P108" s="29">
        <f>IF(P95=0,0,VLOOKUP(P95,FAC_TOTALS_APTA!$A$4:$BD$126,$L108,FALSE))</f>
        <v>0</v>
      </c>
      <c r="Q108" s="29">
        <f>IF(Q95=0,0,VLOOKUP(Q95,FAC_TOTALS_APTA!$A$4:$BD$126,$L108,FALSE))</f>
        <v>0</v>
      </c>
      <c r="R108" s="29">
        <f>IF(R95=0,0,VLOOKUP(R95,FAC_TOTALS_APTA!$A$4:$BD$126,$L108,FALSE))</f>
        <v>0</v>
      </c>
      <c r="S108" s="29">
        <f>IF(S95=0,0,VLOOKUP(S95,FAC_TOTALS_APTA!$A$4:$BD$126,$L108,FALSE))</f>
        <v>0</v>
      </c>
      <c r="T108" s="29">
        <f>IF(T95=0,0,VLOOKUP(T95,FAC_TOTALS_APTA!$A$4:$BD$126,$L108,FALSE))</f>
        <v>0</v>
      </c>
      <c r="U108" s="29">
        <f>IF(U95=0,0,VLOOKUP(U95,FAC_TOTALS_APTA!$A$4:$BD$126,$L108,FALSE))</f>
        <v>0</v>
      </c>
      <c r="V108" s="29">
        <f>IF(V95=0,0,VLOOKUP(V95,FAC_TOTALS_APTA!$A$4:$BD$126,$L108,FALSE))</f>
        <v>0</v>
      </c>
      <c r="W108" s="29">
        <f>IF(W95=0,0,VLOOKUP(W95,FAC_TOTALS_APTA!$A$4:$BD$126,$L108,FALSE))</f>
        <v>0</v>
      </c>
      <c r="X108" s="29">
        <f>IF(X95=0,0,VLOOKUP(X95,FAC_TOTALS_APTA!$A$4:$BD$126,$L108,FALSE))</f>
        <v>0</v>
      </c>
      <c r="Y108" s="29">
        <f>IF(Y95=0,0,VLOOKUP(Y95,FAC_TOTALS_APTA!$A$4:$BD$126,$L108,FALSE))</f>
        <v>0</v>
      </c>
      <c r="Z108" s="29">
        <f>IF(Z95=0,0,VLOOKUP(Z95,FAC_TOTALS_APTA!$A$4:$BD$126,$L108,FALSE))</f>
        <v>0</v>
      </c>
      <c r="AA108" s="29">
        <f>IF(AA95=0,0,VLOOKUP(AA95,FAC_TOTALS_APTA!$A$4:$BD$126,$L108,FALSE))</f>
        <v>0</v>
      </c>
      <c r="AB108" s="29">
        <f>IF(AB95=0,0,VLOOKUP(AB95,FAC_TOTALS_APTA!$A$4:$BD$126,$L108,FALSE))</f>
        <v>0</v>
      </c>
      <c r="AC108" s="32">
        <f t="shared" si="35"/>
        <v>-31582422.511112999</v>
      </c>
      <c r="AD108" s="33">
        <f>AC108/G111</f>
        <v>-1.2584927477518156E-2</v>
      </c>
    </row>
    <row r="109" spans="1:31" ht="15" x14ac:dyDescent="0.2">
      <c r="B109" s="127" t="s">
        <v>65</v>
      </c>
      <c r="C109" s="128"/>
      <c r="D109" s="129" t="s">
        <v>44</v>
      </c>
      <c r="E109" s="56"/>
      <c r="F109" s="7">
        <f>MATCH($D109,FAC_TOTALS_APTA!$A$2:$BD$2,)</f>
        <v>29</v>
      </c>
      <c r="G109" s="35">
        <f>VLOOKUP(G95,FAC_TOTALS_APTA!$A$4:$BD$126,$F109,FALSE)</f>
        <v>0</v>
      </c>
      <c r="H109" s="35">
        <f>VLOOKUP(H95,FAC_TOTALS_APTA!$A$4:$BD$126,$F109,FALSE)</f>
        <v>0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MATCH($K109,FAC_TOTALS_APTA!$A$2:$BB$2,)</f>
        <v>47</v>
      </c>
      <c r="M109" s="38">
        <f>IF(M95=0,0,VLOOKUP(M95,FAC_TOTALS_APTA!$A$4:$BD$126,$L109,FALSE))</f>
        <v>0</v>
      </c>
      <c r="N109" s="38">
        <f>IF(N95=0,0,VLOOKUP(N95,FAC_TOTALS_APTA!$A$4:$BD$126,$L109,FALSE))</f>
        <v>0</v>
      </c>
      <c r="O109" s="38">
        <f>IF(O95=0,0,VLOOKUP(O95,FAC_TOTALS_APTA!$A$4:$BD$126,$L109,FALSE))</f>
        <v>0</v>
      </c>
      <c r="P109" s="38">
        <f>IF(P95=0,0,VLOOKUP(P95,FAC_TOTALS_APTA!$A$4:$BD$126,$L109,FALSE))</f>
        <v>0</v>
      </c>
      <c r="Q109" s="38">
        <f>IF(Q95=0,0,VLOOKUP(Q95,FAC_TOTALS_APTA!$A$4:$BD$126,$L109,FALSE))</f>
        <v>0</v>
      </c>
      <c r="R109" s="38">
        <f>IF(R95=0,0,VLOOKUP(R95,FAC_TOTALS_APTA!$A$4:$BD$126,$L109,FALSE))</f>
        <v>0</v>
      </c>
      <c r="S109" s="38">
        <f>IF(S95=0,0,VLOOKUP(S95,FAC_TOTALS_APTA!$A$4:$BD$126,$L109,FALSE))</f>
        <v>0</v>
      </c>
      <c r="T109" s="38">
        <f>IF(T95=0,0,VLOOKUP(T95,FAC_TOTALS_APTA!$A$4:$BD$126,$L109,FALSE))</f>
        <v>0</v>
      </c>
      <c r="U109" s="38">
        <f>IF(U95=0,0,VLOOKUP(U95,FAC_TOTALS_APTA!$A$4:$BD$126,$L109,FALSE))</f>
        <v>0</v>
      </c>
      <c r="V109" s="38">
        <f>IF(V95=0,0,VLOOKUP(V95,FAC_TOTALS_APTA!$A$4:$BD$126,$L109,FALSE))</f>
        <v>0</v>
      </c>
      <c r="W109" s="38">
        <f>IF(W95=0,0,VLOOKUP(W95,FAC_TOTALS_APTA!$A$4:$BD$126,$L109,FALSE))</f>
        <v>0</v>
      </c>
      <c r="X109" s="38">
        <f>IF(X95=0,0,VLOOKUP(X95,FAC_TOTALS_APTA!$A$4:$BD$126,$L109,FALSE))</f>
        <v>0</v>
      </c>
      <c r="Y109" s="38">
        <f>IF(Y95=0,0,VLOOKUP(Y95,FAC_TOTALS_APTA!$A$4:$BD$126,$L109,FALSE))</f>
        <v>0</v>
      </c>
      <c r="Z109" s="38">
        <f>IF(Z95=0,0,VLOOKUP(Z95,FAC_TOTALS_APTA!$A$4:$BD$126,$L109,FALSE))</f>
        <v>0</v>
      </c>
      <c r="AA109" s="38">
        <f>IF(AA95=0,0,VLOOKUP(AA95,FAC_TOTALS_APTA!$A$4:$BD$126,$L109,FALSE))</f>
        <v>0</v>
      </c>
      <c r="AB109" s="38">
        <f>IF(AB95=0,0,VLOOKUP(AB95,FAC_TOTALS_APTA!$A$4:$BD$126,$L109,FALSE))</f>
        <v>0</v>
      </c>
      <c r="AC109" s="39">
        <f t="shared" si="35"/>
        <v>0</v>
      </c>
      <c r="AD109" s="40">
        <f>AC109/G111</f>
        <v>0</v>
      </c>
    </row>
    <row r="110" spans="1:31" ht="15" x14ac:dyDescent="0.2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MATCH($K110,FAC_TOTALS_APTA!$A$2:$BB$2,)</f>
        <v>51</v>
      </c>
      <c r="M110" s="45">
        <f>IF(M95=0,0,VLOOKUP(M95,FAC_TOTALS_APTA!$A$4:$BD$126,$L110,FALSE))</f>
        <v>0</v>
      </c>
      <c r="N110" s="45">
        <f>IF(N95=0,0,VLOOKUP(N95,FAC_TOTALS_APTA!$A$4:$BD$126,$L110,FALSE))</f>
        <v>0</v>
      </c>
      <c r="O110" s="45">
        <f>IF(O95=0,0,VLOOKUP(O95,FAC_TOTALS_APTA!$A$4:$BD$126,$L110,FALSE))</f>
        <v>0</v>
      </c>
      <c r="P110" s="45">
        <f>IF(P95=0,0,VLOOKUP(P95,FAC_TOTALS_APTA!$A$4:$BD$126,$L110,FALSE))</f>
        <v>0</v>
      </c>
      <c r="Q110" s="45">
        <f>IF(Q95=0,0,VLOOKUP(Q95,FAC_TOTALS_APTA!$A$4:$BD$126,$L110,FALSE))</f>
        <v>0</v>
      </c>
      <c r="R110" s="45">
        <f>IF(R95=0,0,VLOOKUP(R95,FAC_TOTALS_APTA!$A$4:$BD$126,$L110,FALSE))</f>
        <v>0</v>
      </c>
      <c r="S110" s="45">
        <f>IF(S95=0,0,VLOOKUP(S95,FAC_TOTALS_APTA!$A$4:$BD$126,$L110,FALSE))</f>
        <v>0</v>
      </c>
      <c r="T110" s="45">
        <f>IF(T95=0,0,VLOOKUP(T95,FAC_TOTALS_APTA!$A$4:$BD$126,$L110,FALSE))</f>
        <v>0</v>
      </c>
      <c r="U110" s="45">
        <f>IF(U95=0,0,VLOOKUP(U95,FAC_TOTALS_APTA!$A$4:$BD$126,$L110,FALSE))</f>
        <v>0</v>
      </c>
      <c r="V110" s="45">
        <f>IF(V95=0,0,VLOOKUP(V95,FAC_TOTALS_APTA!$A$4:$BD$126,$L110,FALSE))</f>
        <v>0</v>
      </c>
      <c r="W110" s="45">
        <f>IF(W95=0,0,VLOOKUP(W95,FAC_TOTALS_APTA!$A$4:$BD$126,$L110,FALSE))</f>
        <v>0</v>
      </c>
      <c r="X110" s="45">
        <f>IF(X95=0,0,VLOOKUP(X95,FAC_TOTALS_APTA!$A$4:$BD$126,$L110,FALSE))</f>
        <v>0</v>
      </c>
      <c r="Y110" s="45">
        <f>IF(Y95=0,0,VLOOKUP(Y95,FAC_TOTALS_APTA!$A$4:$BD$126,$L110,FALSE))</f>
        <v>0</v>
      </c>
      <c r="Z110" s="45">
        <f>IF(Z95=0,0,VLOOKUP(Z95,FAC_TOTALS_APTA!$A$4:$BD$126,$L110,FALSE))</f>
        <v>0</v>
      </c>
      <c r="AA110" s="45">
        <f>IF(AA95=0,0,VLOOKUP(AA95,FAC_TOTALS_APTA!$A$4:$BD$126,$L110,FALSE))</f>
        <v>0</v>
      </c>
      <c r="AB110" s="45">
        <f>IF(AB95=0,0,VLOOKUP(AB95,FAC_TOTALS_APTA!$A$4:$BD$126,$L110,FALSE))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">
      <c r="A111" s="106"/>
      <c r="B111" s="25" t="s">
        <v>66</v>
      </c>
      <c r="C111" s="28"/>
      <c r="D111" s="6" t="s">
        <v>6</v>
      </c>
      <c r="E111" s="55"/>
      <c r="F111" s="6">
        <f>MATCH($D111,FAC_TOTALS_APTA!$A$2:$BB$2,)</f>
        <v>10</v>
      </c>
      <c r="G111" s="117">
        <f>VLOOKUP(G95,FAC_TOTALS_APTA!$A$4:$BD$126,$F111,FALSE)</f>
        <v>2509543465.19137</v>
      </c>
      <c r="H111" s="117">
        <f>VLOOKUP(H95,FAC_TOTALS_APTA!$A$4:$BB$126,$F111,FALSE)</f>
        <v>2409370026.8484902</v>
      </c>
      <c r="I111" s="112">
        <f t="shared" ref="I111" si="38">H111/G111-1</f>
        <v>-3.9916996749542633E-2</v>
      </c>
      <c r="J111" s="31"/>
      <c r="K111" s="31"/>
      <c r="L111" s="6"/>
      <c r="M111" s="29">
        <f t="shared" ref="M111:AB111" si="39">SUM(M97:M104)</f>
        <v>30009927.458530247</v>
      </c>
      <c r="N111" s="29">
        <f t="shared" si="39"/>
        <v>21586577.293177675</v>
      </c>
      <c r="O111" s="29">
        <f t="shared" si="39"/>
        <v>-151293218.72758266</v>
      </c>
      <c r="P111" s="29">
        <f t="shared" si="39"/>
        <v>-44090400.63689401</v>
      </c>
      <c r="Q111" s="29">
        <f t="shared" si="39"/>
        <v>46381001.596965238</v>
      </c>
      <c r="R111" s="29">
        <f t="shared" si="39"/>
        <v>-14583024.536138643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-100173438.34287977</v>
      </c>
      <c r="AD111" s="33">
        <f>I111</f>
        <v>-3.9916996749542633E-2</v>
      </c>
      <c r="AE111" s="106"/>
    </row>
    <row r="112" spans="1:31" ht="16" thickBot="1" x14ac:dyDescent="0.25">
      <c r="B112" s="9" t="s">
        <v>50</v>
      </c>
      <c r="C112" s="23"/>
      <c r="D112" s="23" t="s">
        <v>4</v>
      </c>
      <c r="E112" s="23"/>
      <c r="F112" s="23">
        <f>MATCH($D112,FAC_TOTALS_APTA!$A$2:$BB$2,)</f>
        <v>8</v>
      </c>
      <c r="G112" s="114">
        <f>VLOOKUP(G95,FAC_TOTALS_APTA!$A$4:$BB$126,$F112,FALSE)</f>
        <v>2929500930.99999</v>
      </c>
      <c r="H112" s="114">
        <f>VLOOKUP(H95,FAC_TOTALS_APTA!$A$4:$BB$126,$F112,FALSE)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7" thickTop="1" thickBot="1" x14ac:dyDescent="0.25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7.3772876073723181E-2</v>
      </c>
    </row>
    <row r="114" spans="2:30" ht="15" thickTop="1" x14ac:dyDescent="0.2"/>
    <row r="117" spans="2:30" ht="15" x14ac:dyDescent="0.2">
      <c r="B117" s="18" t="s">
        <v>15</v>
      </c>
      <c r="C117" s="19">
        <v>1</v>
      </c>
      <c r="D117" s="10"/>
      <c r="E117" s="6"/>
      <c r="F117" s="10"/>
      <c r="G117" s="10"/>
      <c r="H117" s="10"/>
      <c r="I117" s="17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2:30" ht="16" thickBot="1" x14ac:dyDescent="0.25">
      <c r="B118" s="20" t="s">
        <v>111</v>
      </c>
      <c r="C118" s="21">
        <v>0</v>
      </c>
      <c r="D118" s="22"/>
      <c r="E118" s="23"/>
      <c r="F118" s="22"/>
      <c r="G118" s="22"/>
      <c r="H118" s="22"/>
      <c r="I118" s="2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 spans="2:30" ht="15" thickTop="1" x14ac:dyDescent="0.2">
      <c r="B119" s="25"/>
      <c r="C119" s="6"/>
      <c r="D119" s="62"/>
      <c r="E119" s="6"/>
      <c r="F119" s="6"/>
      <c r="G119" s="240" t="s">
        <v>51</v>
      </c>
      <c r="H119" s="240"/>
      <c r="I119" s="240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40" t="s">
        <v>55</v>
      </c>
      <c r="AD119" s="240"/>
    </row>
    <row r="120" spans="2:30" ht="15" x14ac:dyDescent="0.2">
      <c r="B120" s="8" t="s">
        <v>18</v>
      </c>
      <c r="C120" s="27" t="s">
        <v>19</v>
      </c>
      <c r="D120" s="7" t="s">
        <v>20</v>
      </c>
      <c r="E120" s="7"/>
      <c r="F120" s="7"/>
      <c r="G120" s="27">
        <f>$C$1</f>
        <v>2012</v>
      </c>
      <c r="H120" s="27">
        <f>$C$2</f>
        <v>2018</v>
      </c>
      <c r="I120" s="27" t="s">
        <v>22</v>
      </c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 t="s">
        <v>24</v>
      </c>
      <c r="AD120" s="27" t="s">
        <v>22</v>
      </c>
    </row>
    <row r="121" spans="2:30" x14ac:dyDescent="0.2">
      <c r="B121" s="25"/>
      <c r="C121" s="28"/>
      <c r="D121" s="6"/>
      <c r="E121" s="6"/>
      <c r="F121" s="6"/>
      <c r="G121" s="6"/>
      <c r="H121" s="6"/>
      <c r="I121" s="28"/>
      <c r="J121" s="6"/>
      <c r="K121" s="6"/>
      <c r="L121" s="6"/>
      <c r="M121" s="6">
        <v>1</v>
      </c>
      <c r="N121" s="6">
        <v>2</v>
      </c>
      <c r="O121" s="6">
        <v>3</v>
      </c>
      <c r="P121" s="6">
        <v>4</v>
      </c>
      <c r="Q121" s="6">
        <v>5</v>
      </c>
      <c r="R121" s="6">
        <v>6</v>
      </c>
      <c r="S121" s="6">
        <v>7</v>
      </c>
      <c r="T121" s="6">
        <v>8</v>
      </c>
      <c r="U121" s="6">
        <v>9</v>
      </c>
      <c r="V121" s="6">
        <v>10</v>
      </c>
      <c r="W121" s="6">
        <v>11</v>
      </c>
      <c r="X121" s="6">
        <v>12</v>
      </c>
      <c r="Y121" s="6">
        <v>13</v>
      </c>
      <c r="Z121" s="6">
        <v>14</v>
      </c>
      <c r="AA121" s="6">
        <v>15</v>
      </c>
      <c r="AB121" s="6">
        <v>16</v>
      </c>
      <c r="AC121" s="6"/>
      <c r="AD121" s="6"/>
    </row>
    <row r="122" spans="2:30" x14ac:dyDescent="0.2">
      <c r="B122" s="25"/>
      <c r="C122" s="28"/>
      <c r="D122" s="6"/>
      <c r="E122" s="6"/>
      <c r="F122" s="6"/>
      <c r="G122" s="6" t="str">
        <f>CONCATENATE($C117,"_",$C118,"_",G120)</f>
        <v>1_0_2012</v>
      </c>
      <c r="H122" s="6" t="str">
        <f>CONCATENATE($C117,"_",$C118,"_",H120)</f>
        <v>1_0_2018</v>
      </c>
      <c r="I122" s="28"/>
      <c r="J122" s="6"/>
      <c r="K122" s="6"/>
      <c r="L122" s="6"/>
      <c r="M122" s="6" t="str">
        <f>IF($G120+M121&gt;$H120,0,CONCATENATE($C117,"_",$C118,"_",$G120+M121))</f>
        <v>1_0_2013</v>
      </c>
      <c r="N122" s="6" t="str">
        <f t="shared" ref="N122:AB122" si="41">IF($G120+N121&gt;$H120,0,CONCATENATE($C117,"_",$C118,"_",$G120+N121))</f>
        <v>1_0_2014</v>
      </c>
      <c r="O122" s="6" t="str">
        <f t="shared" si="41"/>
        <v>1_0_2015</v>
      </c>
      <c r="P122" s="6" t="str">
        <f t="shared" si="41"/>
        <v>1_0_2016</v>
      </c>
      <c r="Q122" s="6" t="str">
        <f t="shared" si="41"/>
        <v>1_0_2017</v>
      </c>
      <c r="R122" s="6" t="str">
        <f t="shared" si="41"/>
        <v>1_0_2018</v>
      </c>
      <c r="S122" s="6">
        <f t="shared" si="41"/>
        <v>0</v>
      </c>
      <c r="T122" s="6">
        <f t="shared" si="41"/>
        <v>0</v>
      </c>
      <c r="U122" s="6">
        <f t="shared" si="41"/>
        <v>0</v>
      </c>
      <c r="V122" s="6">
        <f t="shared" si="41"/>
        <v>0</v>
      </c>
      <c r="W122" s="6">
        <f t="shared" si="41"/>
        <v>0</v>
      </c>
      <c r="X122" s="6">
        <f t="shared" si="41"/>
        <v>0</v>
      </c>
      <c r="Y122" s="6">
        <f t="shared" si="41"/>
        <v>0</v>
      </c>
      <c r="Z122" s="6">
        <f t="shared" si="41"/>
        <v>0</v>
      </c>
      <c r="AA122" s="6">
        <f t="shared" si="41"/>
        <v>0</v>
      </c>
      <c r="AB122" s="6">
        <f t="shared" si="41"/>
        <v>0</v>
      </c>
      <c r="AC122" s="6"/>
      <c r="AD122" s="6"/>
    </row>
    <row r="123" spans="2:30" x14ac:dyDescent="0.2">
      <c r="B123" s="25"/>
      <c r="C123" s="28"/>
      <c r="D123" s="6"/>
      <c r="E123" s="6"/>
      <c r="F123" s="6" t="s">
        <v>23</v>
      </c>
      <c r="G123" s="29"/>
      <c r="H123" s="29"/>
      <c r="I123" s="28"/>
      <c r="J123" s="6"/>
      <c r="K123" s="6"/>
      <c r="L123" s="6" t="s">
        <v>23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2:30" ht="15" x14ac:dyDescent="0.2">
      <c r="B124" s="115" t="s">
        <v>31</v>
      </c>
      <c r="C124" s="116" t="s">
        <v>21</v>
      </c>
      <c r="D124" s="104" t="s">
        <v>91</v>
      </c>
      <c r="E124" s="55"/>
      <c r="F124" s="6">
        <f>MATCH($D124,FAC_TOTALS_APTA!$A$2:$BD$2,)</f>
        <v>13</v>
      </c>
      <c r="G124" s="29">
        <f>(G13+G41)/2</f>
        <v>32184731.857448626</v>
      </c>
      <c r="H124" s="29">
        <f>(H13+H41)/2</f>
        <v>36201588.616923355</v>
      </c>
      <c r="I124" s="30">
        <f>IFERROR(H124/G124-1,"-")</f>
        <v>0.12480628321733533</v>
      </c>
      <c r="J124" s="31" t="str">
        <f>IF(C124="Log","_log","")</f>
        <v>_log</v>
      </c>
      <c r="K124" s="31" t="str">
        <f>CONCATENATE(D124,J124,"_FAC")</f>
        <v>VRM_ADJ_RAIL_log_FAC</v>
      </c>
      <c r="L124" s="6">
        <f>MATCH($K124,FAC_TOTALS_APTA!$A$2:$BB$2,)</f>
        <v>31</v>
      </c>
      <c r="M124" s="29">
        <f>(M13+M41)/2</f>
        <v>19123074.31782417</v>
      </c>
      <c r="N124" s="29">
        <f t="shared" ref="N124:AB124" si="42">(N13+N41)/2</f>
        <v>22040176.120581854</v>
      </c>
      <c r="O124" s="29">
        <f t="shared" si="42"/>
        <v>11034992.437682847</v>
      </c>
      <c r="P124" s="29">
        <f t="shared" si="42"/>
        <v>14511742.21154077</v>
      </c>
      <c r="Q124" s="29">
        <f t="shared" si="42"/>
        <v>17347790.416426092</v>
      </c>
      <c r="R124" s="29">
        <f t="shared" si="42"/>
        <v>7571595.9609366851</v>
      </c>
      <c r="S124" s="29">
        <f t="shared" si="42"/>
        <v>0</v>
      </c>
      <c r="T124" s="29">
        <f t="shared" si="42"/>
        <v>0</v>
      </c>
      <c r="U124" s="29">
        <f t="shared" si="42"/>
        <v>0</v>
      </c>
      <c r="V124" s="29">
        <f t="shared" si="42"/>
        <v>0</v>
      </c>
      <c r="W124" s="29">
        <f t="shared" si="42"/>
        <v>0</v>
      </c>
      <c r="X124" s="29">
        <f t="shared" si="42"/>
        <v>0</v>
      </c>
      <c r="Y124" s="29">
        <f t="shared" si="42"/>
        <v>0</v>
      </c>
      <c r="Z124" s="29">
        <f t="shared" si="42"/>
        <v>0</v>
      </c>
      <c r="AA124" s="29">
        <f t="shared" si="42"/>
        <v>0</v>
      </c>
      <c r="AB124" s="29">
        <f t="shared" si="42"/>
        <v>0</v>
      </c>
      <c r="AC124" s="32">
        <f>SUM(M124:AB124)</f>
        <v>91629371.464992404</v>
      </c>
      <c r="AD124" s="33">
        <f>AC124/G138</f>
        <v>0.10311500442001376</v>
      </c>
    </row>
    <row r="125" spans="2:30" ht="15" x14ac:dyDescent="0.2">
      <c r="B125" s="115" t="s">
        <v>52</v>
      </c>
      <c r="C125" s="116" t="s">
        <v>21</v>
      </c>
      <c r="D125" s="104" t="s">
        <v>92</v>
      </c>
      <c r="E125" s="55"/>
      <c r="F125" s="6">
        <f>MATCH($D125,FAC_TOTALS_APTA!$A$2:$BD$2,)</f>
        <v>15</v>
      </c>
      <c r="G125" s="29">
        <f t="shared" ref="G125:H125" si="43">(G14+G42)/2</f>
        <v>1.52357862593466</v>
      </c>
      <c r="H125" s="29">
        <f t="shared" si="43"/>
        <v>1.6860070929217099</v>
      </c>
      <c r="I125" s="30">
        <f t="shared" ref="I125" si="44">IFERROR(H125/G125-1,"-")</f>
        <v>0.10660983570008153</v>
      </c>
      <c r="J125" s="31" t="str">
        <f t="shared" ref="J125:J133" si="45">IF(C125="Log","_log","")</f>
        <v>_log</v>
      </c>
      <c r="K125" s="31" t="str">
        <f t="shared" ref="K125:K137" si="46">CONCATENATE(D125,J125,"_FAC")</f>
        <v>FARE_per_UPT_cleaned_2018_RAIL_log_FAC</v>
      </c>
      <c r="L125" s="6">
        <f>MATCH($K125,FAC_TOTALS_APTA!$A$2:$BB$2,)</f>
        <v>33</v>
      </c>
      <c r="M125" s="29">
        <f t="shared" ref="M125:AB137" si="47">(M14+M42)/2</f>
        <v>-13173315.955569414</v>
      </c>
      <c r="N125" s="29">
        <f t="shared" si="47"/>
        <v>2381235.0619146014</v>
      </c>
      <c r="O125" s="29">
        <f t="shared" si="47"/>
        <v>-12600505.034880737</v>
      </c>
      <c r="P125" s="29">
        <f t="shared" si="47"/>
        <v>-3458819.8202477307</v>
      </c>
      <c r="Q125" s="29">
        <f t="shared" si="47"/>
        <v>2920243.4558287468</v>
      </c>
      <c r="R125" s="29">
        <f t="shared" si="47"/>
        <v>803971.58285067696</v>
      </c>
      <c r="S125" s="29">
        <f t="shared" si="47"/>
        <v>0</v>
      </c>
      <c r="T125" s="29">
        <f t="shared" si="47"/>
        <v>0</v>
      </c>
      <c r="U125" s="29">
        <f t="shared" si="47"/>
        <v>0</v>
      </c>
      <c r="V125" s="29">
        <f t="shared" si="47"/>
        <v>0</v>
      </c>
      <c r="W125" s="29">
        <f t="shared" si="47"/>
        <v>0</v>
      </c>
      <c r="X125" s="29">
        <f t="shared" si="47"/>
        <v>0</v>
      </c>
      <c r="Y125" s="29">
        <f t="shared" si="47"/>
        <v>0</v>
      </c>
      <c r="Z125" s="29">
        <f t="shared" si="47"/>
        <v>0</v>
      </c>
      <c r="AA125" s="29">
        <f t="shared" si="47"/>
        <v>0</v>
      </c>
      <c r="AB125" s="29">
        <f t="shared" si="47"/>
        <v>0</v>
      </c>
      <c r="AC125" s="32">
        <f t="shared" ref="AC125:AC136" si="48">SUM(M125:AB125)</f>
        <v>-23127190.710103858</v>
      </c>
      <c r="AD125" s="33">
        <f>AC125/G138</f>
        <v>-2.6026156615141398E-2</v>
      </c>
    </row>
    <row r="126" spans="2:30" ht="15" x14ac:dyDescent="0.2">
      <c r="B126" s="115" t="s">
        <v>80</v>
      </c>
      <c r="C126" s="116"/>
      <c r="D126" s="104" t="s">
        <v>78</v>
      </c>
      <c r="E126" s="118"/>
      <c r="F126" s="104">
        <f>MATCH($D126,FAC_TOTALS_APTA!$A$2:$BD$2,)</f>
        <v>23</v>
      </c>
      <c r="G126" s="29">
        <f t="shared" ref="G126:H126" si="49">(G15+G43)/2</f>
        <v>0</v>
      </c>
      <c r="H126" s="29">
        <f t="shared" si="49"/>
        <v>0</v>
      </c>
      <c r="I126" s="235">
        <f>H126-G126</f>
        <v>0</v>
      </c>
      <c r="J126" s="120" t="str">
        <f t="shared" si="45"/>
        <v/>
      </c>
      <c r="K126" s="120" t="str">
        <f t="shared" si="46"/>
        <v>RESTRUCTURE_FAC</v>
      </c>
      <c r="L126" s="104">
        <f>MATCH($K126,FAC_TOTALS_APTA!$A$2:$BB$2,)</f>
        <v>41</v>
      </c>
      <c r="M126" s="29">
        <f t="shared" si="47"/>
        <v>0</v>
      </c>
      <c r="N126" s="29">
        <f t="shared" si="47"/>
        <v>0</v>
      </c>
      <c r="O126" s="29">
        <f t="shared" si="47"/>
        <v>0</v>
      </c>
      <c r="P126" s="29">
        <f t="shared" si="47"/>
        <v>0</v>
      </c>
      <c r="Q126" s="29">
        <f t="shared" si="47"/>
        <v>0</v>
      </c>
      <c r="R126" s="29">
        <f t="shared" si="47"/>
        <v>0</v>
      </c>
      <c r="S126" s="29">
        <f t="shared" si="47"/>
        <v>0</v>
      </c>
      <c r="T126" s="29">
        <f t="shared" si="47"/>
        <v>0</v>
      </c>
      <c r="U126" s="29">
        <f t="shared" si="47"/>
        <v>0</v>
      </c>
      <c r="V126" s="29">
        <f t="shared" si="47"/>
        <v>0</v>
      </c>
      <c r="W126" s="29">
        <f t="shared" si="47"/>
        <v>0</v>
      </c>
      <c r="X126" s="29">
        <f t="shared" si="47"/>
        <v>0</v>
      </c>
      <c r="Y126" s="29">
        <f t="shared" si="47"/>
        <v>0</v>
      </c>
      <c r="Z126" s="29">
        <f t="shared" si="47"/>
        <v>0</v>
      </c>
      <c r="AA126" s="29">
        <f t="shared" si="47"/>
        <v>0</v>
      </c>
      <c r="AB126" s="29">
        <f t="shared" si="47"/>
        <v>0</v>
      </c>
      <c r="AC126" s="121">
        <f t="shared" si="48"/>
        <v>0</v>
      </c>
      <c r="AD126" s="122">
        <f>AC126/G139</f>
        <v>0</v>
      </c>
    </row>
    <row r="127" spans="2:30" ht="15" x14ac:dyDescent="0.2">
      <c r="B127" s="115" t="s">
        <v>81</v>
      </c>
      <c r="C127" s="116"/>
      <c r="D127" s="104" t="s">
        <v>77</v>
      </c>
      <c r="E127" s="118"/>
      <c r="F127" s="104">
        <f>MATCH($D127,FAC_TOTALS_APTA!$A$2:$BD$2,)</f>
        <v>22</v>
      </c>
      <c r="G127" s="29">
        <f t="shared" ref="G127:H127" si="50">(G16+G44)/2</f>
        <v>0</v>
      </c>
      <c r="H127" s="29">
        <f t="shared" si="50"/>
        <v>4.5503846571900597E-2</v>
      </c>
      <c r="I127" s="235">
        <f>H127-G127</f>
        <v>4.5503846571900597E-2</v>
      </c>
      <c r="J127" s="31" t="str">
        <f t="shared" si="45"/>
        <v/>
      </c>
      <c r="K127" s="31" t="str">
        <f t="shared" si="46"/>
        <v>MAINTENANCE_WMATA_FAC</v>
      </c>
      <c r="L127" s="6">
        <f>MATCH($K127,FAC_TOTALS_APTA!$A$2:$BB$2,)</f>
        <v>40</v>
      </c>
      <c r="M127" s="29">
        <f t="shared" si="47"/>
        <v>0</v>
      </c>
      <c r="N127" s="29">
        <f t="shared" si="47"/>
        <v>0</v>
      </c>
      <c r="O127" s="29">
        <f t="shared" si="47"/>
        <v>-8831595.0104861502</v>
      </c>
      <c r="P127" s="29">
        <f t="shared" si="47"/>
        <v>-8489622.1360018998</v>
      </c>
      <c r="Q127" s="29">
        <f t="shared" si="47"/>
        <v>0</v>
      </c>
      <c r="R127" s="29">
        <f t="shared" si="47"/>
        <v>8089891.8586432496</v>
      </c>
      <c r="S127" s="29">
        <f t="shared" si="47"/>
        <v>0</v>
      </c>
      <c r="T127" s="29">
        <f t="shared" si="47"/>
        <v>0</v>
      </c>
      <c r="U127" s="29">
        <f t="shared" si="47"/>
        <v>0</v>
      </c>
      <c r="V127" s="29">
        <f t="shared" si="47"/>
        <v>0</v>
      </c>
      <c r="W127" s="29">
        <f t="shared" si="47"/>
        <v>0</v>
      </c>
      <c r="X127" s="29">
        <f t="shared" si="47"/>
        <v>0</v>
      </c>
      <c r="Y127" s="29">
        <f t="shared" si="47"/>
        <v>0</v>
      </c>
      <c r="Z127" s="29">
        <f t="shared" si="47"/>
        <v>0</v>
      </c>
      <c r="AA127" s="29">
        <f t="shared" si="47"/>
        <v>0</v>
      </c>
      <c r="AB127" s="29">
        <f t="shared" si="47"/>
        <v>0</v>
      </c>
      <c r="AC127" s="32">
        <f t="shared" si="48"/>
        <v>-9231325.2878447995</v>
      </c>
      <c r="AD127" s="33">
        <f>AC127/G139</f>
        <v>-1.0454595808265228E-2</v>
      </c>
    </row>
    <row r="128" spans="2:30" ht="15" x14ac:dyDescent="0.2">
      <c r="B128" s="115" t="s">
        <v>48</v>
      </c>
      <c r="C128" s="116" t="s">
        <v>21</v>
      </c>
      <c r="D128" s="104" t="s">
        <v>8</v>
      </c>
      <c r="E128" s="55"/>
      <c r="F128" s="6">
        <f>MATCH($D128,FAC_TOTALS_APTA!$A$2:$BD$2,)</f>
        <v>16</v>
      </c>
      <c r="G128" s="29">
        <f t="shared" ref="G128:H128" si="51">(G17+G45)/2</f>
        <v>6069608.4785043495</v>
      </c>
      <c r="H128" s="29">
        <f t="shared" si="51"/>
        <v>6434261.6448008856</v>
      </c>
      <c r="I128" s="30">
        <f t="shared" ref="I128:I133" si="52">IFERROR(H128/G128-1,"-")</f>
        <v>6.0078531850606742E-2</v>
      </c>
      <c r="J128" s="31" t="str">
        <f t="shared" si="45"/>
        <v>_log</v>
      </c>
      <c r="K128" s="31" t="str">
        <f t="shared" si="46"/>
        <v>POP_EMP_log_FAC</v>
      </c>
      <c r="L128" s="6">
        <f>MATCH($K128,FAC_TOTALS_APTA!$A$2:$BB$2,)</f>
        <v>34</v>
      </c>
      <c r="M128" s="29">
        <f t="shared" si="47"/>
        <v>2163698.9546683263</v>
      </c>
      <c r="N128" s="29">
        <f t="shared" si="47"/>
        <v>2513265.1383524761</v>
      </c>
      <c r="O128" s="29">
        <f t="shared" si="47"/>
        <v>2344030.4853727985</v>
      </c>
      <c r="P128" s="29">
        <f t="shared" si="47"/>
        <v>1773245.287267494</v>
      </c>
      <c r="Q128" s="29">
        <f t="shared" si="47"/>
        <v>2152574.1197608286</v>
      </c>
      <c r="R128" s="29">
        <f t="shared" si="47"/>
        <v>1879883.82874909</v>
      </c>
      <c r="S128" s="29">
        <f t="shared" si="47"/>
        <v>0</v>
      </c>
      <c r="T128" s="29">
        <f t="shared" si="47"/>
        <v>0</v>
      </c>
      <c r="U128" s="29">
        <f t="shared" si="47"/>
        <v>0</v>
      </c>
      <c r="V128" s="29">
        <f t="shared" si="47"/>
        <v>0</v>
      </c>
      <c r="W128" s="29">
        <f t="shared" si="47"/>
        <v>0</v>
      </c>
      <c r="X128" s="29">
        <f t="shared" si="47"/>
        <v>0</v>
      </c>
      <c r="Y128" s="29">
        <f t="shared" si="47"/>
        <v>0</v>
      </c>
      <c r="Z128" s="29">
        <f t="shared" si="47"/>
        <v>0</v>
      </c>
      <c r="AA128" s="29">
        <f t="shared" si="47"/>
        <v>0</v>
      </c>
      <c r="AB128" s="29">
        <f t="shared" si="47"/>
        <v>0</v>
      </c>
      <c r="AC128" s="32">
        <f t="shared" si="48"/>
        <v>12826697.814171014</v>
      </c>
      <c r="AD128" s="33">
        <f>AC128/G138</f>
        <v>1.4434509160719741E-2</v>
      </c>
    </row>
    <row r="129" spans="1:31" ht="15" x14ac:dyDescent="0.2">
      <c r="B129" s="25" t="s">
        <v>73</v>
      </c>
      <c r="C129" s="116"/>
      <c r="D129" s="104" t="s">
        <v>72</v>
      </c>
      <c r="E129" s="55"/>
      <c r="F129" s="6">
        <f>MATCH($D129,FAC_TOTALS_APTA!$A$2:$BD$2,)</f>
        <v>17</v>
      </c>
      <c r="G129" s="29">
        <f t="shared" ref="G129:H129" si="53">(G18+G46)/2</f>
        <v>0.39707337968392198</v>
      </c>
      <c r="H129" s="29">
        <f t="shared" si="53"/>
        <v>0.393834790721795</v>
      </c>
      <c r="I129" s="30">
        <f t="shared" si="52"/>
        <v>-8.1561472710786065E-3</v>
      </c>
      <c r="J129" s="31" t="str">
        <f t="shared" si="45"/>
        <v/>
      </c>
      <c r="K129" s="31" t="str">
        <f t="shared" si="46"/>
        <v>TSD_POP_EMP_PCT_FAC</v>
      </c>
      <c r="L129" s="6">
        <f>MATCH($K129,FAC_TOTALS_APTA!$A$2:$BB$2,)</f>
        <v>35</v>
      </c>
      <c r="M129" s="29">
        <f t="shared" si="47"/>
        <v>65821.430669545996</v>
      </c>
      <c r="N129" s="29">
        <f t="shared" si="47"/>
        <v>-160435.5635391697</v>
      </c>
      <c r="O129" s="29">
        <f t="shared" si="47"/>
        <v>277989.83976772369</v>
      </c>
      <c r="P129" s="29">
        <f t="shared" si="47"/>
        <v>-135488.10057751299</v>
      </c>
      <c r="Q129" s="29">
        <f t="shared" si="47"/>
        <v>-423992.8632786849</v>
      </c>
      <c r="R129" s="29">
        <f t="shared" si="47"/>
        <v>310459.54276152409</v>
      </c>
      <c r="S129" s="29">
        <f t="shared" si="47"/>
        <v>0</v>
      </c>
      <c r="T129" s="29">
        <f t="shared" si="47"/>
        <v>0</v>
      </c>
      <c r="U129" s="29">
        <f t="shared" si="47"/>
        <v>0</v>
      </c>
      <c r="V129" s="29">
        <f t="shared" si="47"/>
        <v>0</v>
      </c>
      <c r="W129" s="29">
        <f t="shared" si="47"/>
        <v>0</v>
      </c>
      <c r="X129" s="29">
        <f t="shared" si="47"/>
        <v>0</v>
      </c>
      <c r="Y129" s="29">
        <f t="shared" si="47"/>
        <v>0</v>
      </c>
      <c r="Z129" s="29">
        <f t="shared" si="47"/>
        <v>0</v>
      </c>
      <c r="AA129" s="29">
        <f t="shared" si="47"/>
        <v>0</v>
      </c>
      <c r="AB129" s="29">
        <f t="shared" si="47"/>
        <v>0</v>
      </c>
      <c r="AC129" s="32">
        <f t="shared" si="48"/>
        <v>-65645.714196573826</v>
      </c>
      <c r="AD129" s="33">
        <f>AC129/G138</f>
        <v>-7.3874326553913255E-5</v>
      </c>
    </row>
    <row r="130" spans="1:31" ht="15" x14ac:dyDescent="0.2">
      <c r="B130" s="115" t="s">
        <v>49</v>
      </c>
      <c r="C130" s="116" t="s">
        <v>21</v>
      </c>
      <c r="D130" s="124" t="s">
        <v>82</v>
      </c>
      <c r="E130" s="55"/>
      <c r="F130" s="6">
        <f>MATCH($D130,FAC_TOTALS_APTA!$A$2:$BD$2,)</f>
        <v>18</v>
      </c>
      <c r="G130" s="29">
        <f t="shared" ref="G130:H130" si="54">(G19+G47)/2</f>
        <v>4.0444108179354901</v>
      </c>
      <c r="H130" s="29">
        <f t="shared" si="54"/>
        <v>2.8937345176726099</v>
      </c>
      <c r="I130" s="30">
        <f t="shared" si="52"/>
        <v>-0.28451024192696983</v>
      </c>
      <c r="J130" s="31" t="str">
        <f t="shared" si="45"/>
        <v>_log</v>
      </c>
      <c r="K130" s="31" t="str">
        <f t="shared" si="46"/>
        <v>GAS_PRICE_2018_log_FAC</v>
      </c>
      <c r="L130" s="6">
        <f>MATCH($K130,FAC_TOTALS_APTA!$A$2:$BB$2,)</f>
        <v>36</v>
      </c>
      <c r="M130" s="29">
        <f t="shared" si="47"/>
        <v>-4021747.7170686554</v>
      </c>
      <c r="N130" s="29">
        <f t="shared" si="47"/>
        <v>-5538787.341740571</v>
      </c>
      <c r="O130" s="29">
        <f t="shared" si="47"/>
        <v>-29707804.036010209</v>
      </c>
      <c r="P130" s="29">
        <f t="shared" si="47"/>
        <v>-10976849.27779468</v>
      </c>
      <c r="Q130" s="29">
        <f t="shared" si="47"/>
        <v>7774415.6698333435</v>
      </c>
      <c r="R130" s="29">
        <f t="shared" si="47"/>
        <v>9302536.1372770499</v>
      </c>
      <c r="S130" s="29">
        <f t="shared" si="47"/>
        <v>0</v>
      </c>
      <c r="T130" s="29">
        <f t="shared" si="47"/>
        <v>0</v>
      </c>
      <c r="U130" s="29">
        <f t="shared" si="47"/>
        <v>0</v>
      </c>
      <c r="V130" s="29">
        <f t="shared" si="47"/>
        <v>0</v>
      </c>
      <c r="W130" s="29">
        <f t="shared" si="47"/>
        <v>0</v>
      </c>
      <c r="X130" s="29">
        <f t="shared" si="47"/>
        <v>0</v>
      </c>
      <c r="Y130" s="29">
        <f t="shared" si="47"/>
        <v>0</v>
      </c>
      <c r="Z130" s="29">
        <f t="shared" si="47"/>
        <v>0</v>
      </c>
      <c r="AA130" s="29">
        <f t="shared" si="47"/>
        <v>0</v>
      </c>
      <c r="AB130" s="29">
        <f t="shared" si="47"/>
        <v>0</v>
      </c>
      <c r="AC130" s="32">
        <f t="shared" si="48"/>
        <v>-33168236.565503716</v>
      </c>
      <c r="AD130" s="33">
        <f>AC130/G138</f>
        <v>-3.7325835650446053E-2</v>
      </c>
    </row>
    <row r="131" spans="1:31" ht="15" x14ac:dyDescent="0.2">
      <c r="B131" s="115" t="s">
        <v>46</v>
      </c>
      <c r="C131" s="116" t="s">
        <v>21</v>
      </c>
      <c r="D131" s="104" t="s">
        <v>14</v>
      </c>
      <c r="E131" s="55"/>
      <c r="F131" s="6">
        <f>MATCH($D131,FAC_TOTALS_APTA!$A$2:$BD$2,)</f>
        <v>19</v>
      </c>
      <c r="G131" s="29">
        <f t="shared" ref="G131:H131" si="55">(G20+G48)/2</f>
        <v>32203.8750405959</v>
      </c>
      <c r="H131" s="29">
        <f t="shared" si="55"/>
        <v>35595.4825400271</v>
      </c>
      <c r="I131" s="30">
        <f t="shared" si="52"/>
        <v>0.1053167513274651</v>
      </c>
      <c r="J131" s="31" t="str">
        <f t="shared" si="45"/>
        <v>_log</v>
      </c>
      <c r="K131" s="31" t="str">
        <f t="shared" si="46"/>
        <v>TOTAL_MED_INC_INDIV_2018_log_FAC</v>
      </c>
      <c r="L131" s="6">
        <f>MATCH($K131,FAC_TOTALS_APTA!$A$2:$BB$2,)</f>
        <v>37</v>
      </c>
      <c r="M131" s="29">
        <f t="shared" si="47"/>
        <v>-577439.51701140695</v>
      </c>
      <c r="N131" s="29">
        <f t="shared" si="47"/>
        <v>-320683.02765318408</v>
      </c>
      <c r="O131" s="29">
        <f t="shared" si="47"/>
        <v>-1964464.8387498967</v>
      </c>
      <c r="P131" s="29">
        <f t="shared" si="47"/>
        <v>-1375059.5275518475</v>
      </c>
      <c r="Q131" s="29">
        <f t="shared" si="47"/>
        <v>-1321512.321254144</v>
      </c>
      <c r="R131" s="29">
        <f t="shared" si="47"/>
        <v>-1423355.6416623828</v>
      </c>
      <c r="S131" s="29">
        <f t="shared" si="47"/>
        <v>0</v>
      </c>
      <c r="T131" s="29">
        <f t="shared" si="47"/>
        <v>0</v>
      </c>
      <c r="U131" s="29">
        <f t="shared" si="47"/>
        <v>0</v>
      </c>
      <c r="V131" s="29">
        <f t="shared" si="47"/>
        <v>0</v>
      </c>
      <c r="W131" s="29">
        <f t="shared" si="47"/>
        <v>0</v>
      </c>
      <c r="X131" s="29">
        <f t="shared" si="47"/>
        <v>0</v>
      </c>
      <c r="Y131" s="29">
        <f t="shared" si="47"/>
        <v>0</v>
      </c>
      <c r="Z131" s="29">
        <f t="shared" si="47"/>
        <v>0</v>
      </c>
      <c r="AA131" s="29">
        <f t="shared" si="47"/>
        <v>0</v>
      </c>
      <c r="AB131" s="29">
        <f t="shared" si="47"/>
        <v>0</v>
      </c>
      <c r="AC131" s="32">
        <f t="shared" si="48"/>
        <v>-6982514.8738828609</v>
      </c>
      <c r="AD131" s="33">
        <f>AC131/G138</f>
        <v>-7.8577648255322204E-3</v>
      </c>
    </row>
    <row r="132" spans="1:31" ht="15" x14ac:dyDescent="0.2">
      <c r="B132" s="115" t="s">
        <v>62</v>
      </c>
      <c r="C132" s="116"/>
      <c r="D132" s="104" t="s">
        <v>9</v>
      </c>
      <c r="E132" s="55"/>
      <c r="F132" s="6">
        <f>MATCH($D132,FAC_TOTALS_APTA!$A$2:$BD$2,)</f>
        <v>20</v>
      </c>
      <c r="G132" s="29">
        <f t="shared" ref="G132:H132" si="56">(G21+G49)/2</f>
        <v>9.8033770619576703</v>
      </c>
      <c r="H132" s="29">
        <f t="shared" si="56"/>
        <v>8.8420404820821297</v>
      </c>
      <c r="I132" s="30">
        <f t="shared" si="52"/>
        <v>-9.8061777467077005E-2</v>
      </c>
      <c r="J132" s="31" t="str">
        <f t="shared" si="45"/>
        <v/>
      </c>
      <c r="K132" s="31" t="str">
        <f t="shared" si="46"/>
        <v>PCT_HH_NO_VEH_FAC</v>
      </c>
      <c r="L132" s="6">
        <f>MATCH($K132,FAC_TOTALS_APTA!$A$2:$BB$2,)</f>
        <v>38</v>
      </c>
      <c r="M132" s="29">
        <f t="shared" si="47"/>
        <v>-575183.80755547644</v>
      </c>
      <c r="N132" s="29">
        <f t="shared" si="47"/>
        <v>-64934.34663126443</v>
      </c>
      <c r="O132" s="29">
        <f t="shared" si="47"/>
        <v>-40889.957055372754</v>
      </c>
      <c r="P132" s="29">
        <f t="shared" si="47"/>
        <v>-196503.31474273728</v>
      </c>
      <c r="Q132" s="29">
        <f t="shared" si="47"/>
        <v>-302576.23130480817</v>
      </c>
      <c r="R132" s="29">
        <f t="shared" si="47"/>
        <v>-262104.9784079263</v>
      </c>
      <c r="S132" s="29">
        <f t="shared" si="47"/>
        <v>0</v>
      </c>
      <c r="T132" s="29">
        <f t="shared" si="47"/>
        <v>0</v>
      </c>
      <c r="U132" s="29">
        <f t="shared" si="47"/>
        <v>0</v>
      </c>
      <c r="V132" s="29">
        <f t="shared" si="47"/>
        <v>0</v>
      </c>
      <c r="W132" s="29">
        <f t="shared" si="47"/>
        <v>0</v>
      </c>
      <c r="X132" s="29">
        <f t="shared" si="47"/>
        <v>0</v>
      </c>
      <c r="Y132" s="29">
        <f t="shared" si="47"/>
        <v>0</v>
      </c>
      <c r="Z132" s="29">
        <f t="shared" si="47"/>
        <v>0</v>
      </c>
      <c r="AA132" s="29">
        <f t="shared" si="47"/>
        <v>0</v>
      </c>
      <c r="AB132" s="29">
        <f t="shared" si="47"/>
        <v>0</v>
      </c>
      <c r="AC132" s="32">
        <f t="shared" si="48"/>
        <v>-1442192.6356975855</v>
      </c>
      <c r="AD132" s="33">
        <f>AC132/G138</f>
        <v>-1.6229697707932449E-3</v>
      </c>
    </row>
    <row r="133" spans="1:31" ht="15" x14ac:dyDescent="0.2">
      <c r="B133" s="115" t="s">
        <v>47</v>
      </c>
      <c r="C133" s="116"/>
      <c r="D133" s="104" t="s">
        <v>28</v>
      </c>
      <c r="E133" s="55"/>
      <c r="F133" s="6">
        <f>MATCH($D133,FAC_TOTALS_APTA!$A$2:$BD$2,)</f>
        <v>21</v>
      </c>
      <c r="G133" s="29">
        <f t="shared" ref="G133:H133" si="57">(G22+G50)/2</f>
        <v>4.6553879169173848</v>
      </c>
      <c r="H133" s="29">
        <f t="shared" si="57"/>
        <v>5.962346738329785</v>
      </c>
      <c r="I133" s="30">
        <f t="shared" si="52"/>
        <v>0.28074112076954849</v>
      </c>
      <c r="J133" s="31" t="str">
        <f t="shared" si="45"/>
        <v/>
      </c>
      <c r="K133" s="31" t="str">
        <f t="shared" si="46"/>
        <v>JTW_HOME_PCT_FAC</v>
      </c>
      <c r="L133" s="6">
        <f>MATCH($K133,FAC_TOTALS_APTA!$A$2:$BB$2,)</f>
        <v>39</v>
      </c>
      <c r="M133" s="29">
        <f t="shared" si="47"/>
        <v>-21588.39731226633</v>
      </c>
      <c r="N133" s="29">
        <f t="shared" si="47"/>
        <v>-1600449.7229085192</v>
      </c>
      <c r="O133" s="29">
        <f t="shared" si="47"/>
        <v>-262894.58159210254</v>
      </c>
      <c r="P133" s="29">
        <f t="shared" si="47"/>
        <v>-3497036.6745896735</v>
      </c>
      <c r="Q133" s="29">
        <f t="shared" si="47"/>
        <v>-1078246.6158058285</v>
      </c>
      <c r="R133" s="29">
        <f t="shared" si="47"/>
        <v>-1640143.8397937163</v>
      </c>
      <c r="S133" s="29">
        <f t="shared" si="47"/>
        <v>0</v>
      </c>
      <c r="T133" s="29">
        <f t="shared" si="47"/>
        <v>0</v>
      </c>
      <c r="U133" s="29">
        <f t="shared" si="47"/>
        <v>0</v>
      </c>
      <c r="V133" s="29">
        <f t="shared" si="47"/>
        <v>0</v>
      </c>
      <c r="W133" s="29">
        <f t="shared" si="47"/>
        <v>0</v>
      </c>
      <c r="X133" s="29">
        <f t="shared" si="47"/>
        <v>0</v>
      </c>
      <c r="Y133" s="29">
        <f t="shared" si="47"/>
        <v>0</v>
      </c>
      <c r="Z133" s="29">
        <f t="shared" si="47"/>
        <v>0</v>
      </c>
      <c r="AA133" s="29">
        <f t="shared" si="47"/>
        <v>0</v>
      </c>
      <c r="AB133" s="29">
        <f t="shared" si="47"/>
        <v>0</v>
      </c>
      <c r="AC133" s="32">
        <f t="shared" si="48"/>
        <v>-8100359.8320021061</v>
      </c>
      <c r="AD133" s="33">
        <f>AC133/G138</f>
        <v>-9.1157303223423167E-3</v>
      </c>
    </row>
    <row r="134" spans="1:31" ht="15" x14ac:dyDescent="0.2">
      <c r="B134" s="115" t="s">
        <v>63</v>
      </c>
      <c r="C134" s="116"/>
      <c r="D134" s="126" t="s">
        <v>93</v>
      </c>
      <c r="E134" s="55"/>
      <c r="F134" s="6">
        <f>MATCH($D134,FAC_TOTALS_APTA!$A$2:$BD$2,)</f>
        <v>26</v>
      </c>
      <c r="G134" s="29">
        <f t="shared" ref="G134:H134" si="58">(G23+G51)/2</f>
        <v>0.3099958712459035</v>
      </c>
      <c r="H134" s="29">
        <f t="shared" si="58"/>
        <v>5.3527635049286051</v>
      </c>
      <c r="I134" s="228">
        <f>H134-G134</f>
        <v>5.0427676336827014</v>
      </c>
      <c r="J134" s="31"/>
      <c r="K134" s="31" t="str">
        <f t="shared" si="46"/>
        <v>YEARS_SINCE_TNC_RAIL_HINY_FAC</v>
      </c>
      <c r="L134" s="6">
        <f>MATCH($K134,FAC_TOTALS_APTA!$A$2:$BB$2,)</f>
        <v>44</v>
      </c>
      <c r="M134" s="29">
        <f t="shared" si="47"/>
        <v>1671978.29679591</v>
      </c>
      <c r="N134" s="29">
        <f t="shared" si="47"/>
        <v>1536244.749539772</v>
      </c>
      <c r="O134" s="29">
        <f t="shared" si="47"/>
        <v>1030474.5506166501</v>
      </c>
      <c r="P134" s="29">
        <f t="shared" si="47"/>
        <v>941726.89046883502</v>
      </c>
      <c r="Q134" s="29">
        <f t="shared" si="47"/>
        <v>927138.60270437517</v>
      </c>
      <c r="R134" s="29">
        <f t="shared" si="47"/>
        <v>928486.67963991989</v>
      </c>
      <c r="S134" s="29">
        <f t="shared" si="47"/>
        <v>0</v>
      </c>
      <c r="T134" s="29">
        <f t="shared" si="47"/>
        <v>0</v>
      </c>
      <c r="U134" s="29">
        <f t="shared" si="47"/>
        <v>0</v>
      </c>
      <c r="V134" s="29">
        <f t="shared" si="47"/>
        <v>0</v>
      </c>
      <c r="W134" s="29">
        <f t="shared" si="47"/>
        <v>0</v>
      </c>
      <c r="X134" s="29">
        <f t="shared" si="47"/>
        <v>0</v>
      </c>
      <c r="Y134" s="29">
        <f t="shared" si="47"/>
        <v>0</v>
      </c>
      <c r="Z134" s="29">
        <f t="shared" si="47"/>
        <v>0</v>
      </c>
      <c r="AA134" s="29">
        <f t="shared" si="47"/>
        <v>0</v>
      </c>
      <c r="AB134" s="29">
        <f t="shared" si="47"/>
        <v>0</v>
      </c>
      <c r="AC134" s="32">
        <f t="shared" si="48"/>
        <v>7036049.7697654618</v>
      </c>
      <c r="AD134" s="33">
        <f>AC134/G138</f>
        <v>7.9180102570712597E-3</v>
      </c>
    </row>
    <row r="135" spans="1:31" ht="15" x14ac:dyDescent="0.2">
      <c r="B135" s="115" t="s">
        <v>64</v>
      </c>
      <c r="C135" s="116"/>
      <c r="D135" s="104" t="s">
        <v>43</v>
      </c>
      <c r="E135" s="55"/>
      <c r="F135" s="6">
        <f>MATCH($D135,FAC_TOTALS_APTA!$A$2:$BD$2,)</f>
        <v>28</v>
      </c>
      <c r="G135" s="29">
        <f t="shared" ref="G135:H135" si="59">(G24+G52)/2</f>
        <v>0.35272192431866201</v>
      </c>
      <c r="H135" s="29">
        <f t="shared" si="59"/>
        <v>0.92019450876675302</v>
      </c>
      <c r="I135" s="228">
        <f>H135-G135</f>
        <v>0.56747258444809101</v>
      </c>
      <c r="J135" s="31" t="str">
        <f t="shared" ref="J135:J136" si="60">IF(C135="Log","_log","")</f>
        <v/>
      </c>
      <c r="K135" s="31" t="str">
        <f t="shared" si="46"/>
        <v>BIKE_SHARE_FAC</v>
      </c>
      <c r="L135" s="6">
        <f>MATCH($K135,FAC_TOTALS_APTA!$A$2:$BB$2,)</f>
        <v>46</v>
      </c>
      <c r="M135" s="29">
        <f t="shared" si="47"/>
        <v>-104596.21194401701</v>
      </c>
      <c r="N135" s="29">
        <f t="shared" si="47"/>
        <v>-2179474.8746073465</v>
      </c>
      <c r="O135" s="29">
        <f t="shared" si="47"/>
        <v>-2842971.6557185892</v>
      </c>
      <c r="P135" s="29">
        <f t="shared" si="47"/>
        <v>-1032508.0656302738</v>
      </c>
      <c r="Q135" s="29">
        <f t="shared" si="47"/>
        <v>-43518.720869169047</v>
      </c>
      <c r="R135" s="29">
        <f t="shared" si="47"/>
        <v>-58370.173799218253</v>
      </c>
      <c r="S135" s="29">
        <f t="shared" si="47"/>
        <v>0</v>
      </c>
      <c r="T135" s="29">
        <f t="shared" si="47"/>
        <v>0</v>
      </c>
      <c r="U135" s="29">
        <f t="shared" si="47"/>
        <v>0</v>
      </c>
      <c r="V135" s="29">
        <f t="shared" si="47"/>
        <v>0</v>
      </c>
      <c r="W135" s="29">
        <f t="shared" si="47"/>
        <v>0</v>
      </c>
      <c r="X135" s="29">
        <f t="shared" si="47"/>
        <v>0</v>
      </c>
      <c r="Y135" s="29">
        <f t="shared" si="47"/>
        <v>0</v>
      </c>
      <c r="Z135" s="29">
        <f t="shared" si="47"/>
        <v>0</v>
      </c>
      <c r="AA135" s="29">
        <f t="shared" si="47"/>
        <v>0</v>
      </c>
      <c r="AB135" s="29">
        <f t="shared" si="47"/>
        <v>0</v>
      </c>
      <c r="AC135" s="32">
        <f t="shared" si="48"/>
        <v>-6261439.7025686139</v>
      </c>
      <c r="AD135" s="33">
        <f>AC135/G138</f>
        <v>-7.0463037373631491E-3</v>
      </c>
    </row>
    <row r="136" spans="1:31" ht="15" x14ac:dyDescent="0.2">
      <c r="B136" s="127" t="s">
        <v>65</v>
      </c>
      <c r="C136" s="128"/>
      <c r="D136" s="129" t="s">
        <v>44</v>
      </c>
      <c r="E136" s="56"/>
      <c r="F136" s="7">
        <f>MATCH($D136,FAC_TOTALS_APTA!$A$2:$BD$2,)</f>
        <v>29</v>
      </c>
      <c r="G136" s="29">
        <f t="shared" ref="G136:H136" si="61">(G25+G53)/2</f>
        <v>0</v>
      </c>
      <c r="H136" s="29">
        <f t="shared" si="61"/>
        <v>0.59555554140466049</v>
      </c>
      <c r="I136" s="228">
        <f>H136-G136</f>
        <v>0.59555554140466049</v>
      </c>
      <c r="J136" s="37" t="str">
        <f t="shared" si="60"/>
        <v/>
      </c>
      <c r="K136" s="37" t="str">
        <f t="shared" si="46"/>
        <v>scooter_flag_FAC</v>
      </c>
      <c r="L136" s="7">
        <f>MATCH($K136,FAC_TOTALS_APTA!$A$2:$BB$2,)</f>
        <v>47</v>
      </c>
      <c r="M136" s="29">
        <f t="shared" si="47"/>
        <v>0</v>
      </c>
      <c r="N136" s="29">
        <f t="shared" si="47"/>
        <v>0</v>
      </c>
      <c r="O136" s="29">
        <f t="shared" si="47"/>
        <v>0</v>
      </c>
      <c r="P136" s="29">
        <f t="shared" si="47"/>
        <v>0</v>
      </c>
      <c r="Q136" s="29">
        <f t="shared" si="47"/>
        <v>0</v>
      </c>
      <c r="R136" s="29">
        <f t="shared" si="47"/>
        <v>-21395171.011104118</v>
      </c>
      <c r="S136" s="29">
        <f t="shared" si="47"/>
        <v>0</v>
      </c>
      <c r="T136" s="29">
        <f t="shared" si="47"/>
        <v>0</v>
      </c>
      <c r="U136" s="29">
        <f t="shared" si="47"/>
        <v>0</v>
      </c>
      <c r="V136" s="29">
        <f t="shared" si="47"/>
        <v>0</v>
      </c>
      <c r="W136" s="29">
        <f t="shared" si="47"/>
        <v>0</v>
      </c>
      <c r="X136" s="29">
        <f t="shared" si="47"/>
        <v>0</v>
      </c>
      <c r="Y136" s="29">
        <f t="shared" si="47"/>
        <v>0</v>
      </c>
      <c r="Z136" s="29">
        <f t="shared" si="47"/>
        <v>0</v>
      </c>
      <c r="AA136" s="29">
        <f t="shared" si="47"/>
        <v>0</v>
      </c>
      <c r="AB136" s="29">
        <f t="shared" si="47"/>
        <v>0</v>
      </c>
      <c r="AC136" s="39">
        <f t="shared" si="48"/>
        <v>-21395171.011104118</v>
      </c>
      <c r="AD136" s="40">
        <f>AC136/G138</f>
        <v>-2.4077030302666981E-2</v>
      </c>
    </row>
    <row r="137" spans="1:31" ht="15" x14ac:dyDescent="0.2">
      <c r="B137" s="41" t="s">
        <v>53</v>
      </c>
      <c r="C137" s="42"/>
      <c r="D137" s="41" t="s">
        <v>45</v>
      </c>
      <c r="E137" s="43"/>
      <c r="F137" s="44"/>
      <c r="G137" s="29">
        <f t="shared" ref="G137:H137" si="62">(G26+G54)/2</f>
        <v>0</v>
      </c>
      <c r="H137" s="29">
        <f t="shared" si="62"/>
        <v>0</v>
      </c>
      <c r="I137" s="46"/>
      <c r="J137" s="47"/>
      <c r="K137" s="47" t="str">
        <f t="shared" si="46"/>
        <v>New_Reporter_FAC</v>
      </c>
      <c r="L137" s="44">
        <f>MATCH($K137,FAC_TOTALS_APTA!$A$2:$BB$2,)</f>
        <v>51</v>
      </c>
      <c r="M137" s="29">
        <f t="shared" si="47"/>
        <v>0</v>
      </c>
      <c r="N137" s="29">
        <f t="shared" si="47"/>
        <v>0</v>
      </c>
      <c r="O137" s="29">
        <f t="shared" si="47"/>
        <v>0</v>
      </c>
      <c r="P137" s="29">
        <f t="shared" si="47"/>
        <v>0</v>
      </c>
      <c r="Q137" s="29">
        <f t="shared" si="47"/>
        <v>0</v>
      </c>
      <c r="R137" s="29">
        <f t="shared" si="47"/>
        <v>0</v>
      </c>
      <c r="S137" s="29">
        <f t="shared" si="47"/>
        <v>0</v>
      </c>
      <c r="T137" s="29">
        <f t="shared" si="47"/>
        <v>0</v>
      </c>
      <c r="U137" s="29">
        <f t="shared" si="47"/>
        <v>0</v>
      </c>
      <c r="V137" s="29">
        <f t="shared" si="47"/>
        <v>0</v>
      </c>
      <c r="W137" s="29">
        <f t="shared" si="47"/>
        <v>0</v>
      </c>
      <c r="X137" s="29">
        <f t="shared" si="47"/>
        <v>0</v>
      </c>
      <c r="Y137" s="29">
        <f t="shared" si="47"/>
        <v>0</v>
      </c>
      <c r="Z137" s="29">
        <f t="shared" si="47"/>
        <v>0</v>
      </c>
      <c r="AA137" s="29">
        <f t="shared" si="47"/>
        <v>0</v>
      </c>
      <c r="AB137" s="29">
        <f t="shared" si="47"/>
        <v>0</v>
      </c>
      <c r="AC137" s="48">
        <f>SUM(M137:AB137)</f>
        <v>0</v>
      </c>
      <c r="AD137" s="208">
        <f>AC137/G139</f>
        <v>0</v>
      </c>
    </row>
    <row r="138" spans="1:31" s="107" customFormat="1" ht="15.75" customHeight="1" x14ac:dyDescent="0.2">
      <c r="A138" s="106"/>
      <c r="B138" s="25" t="s">
        <v>66</v>
      </c>
      <c r="C138" s="28"/>
      <c r="D138" s="6" t="s">
        <v>6</v>
      </c>
      <c r="E138" s="55"/>
      <c r="F138" s="6">
        <f>MATCH($D138,FAC_TOTALS_APTA!$A$2:$BB$2,)</f>
        <v>10</v>
      </c>
      <c r="G138" s="29">
        <f t="shared" ref="G138:H138" si="63">(G27+G55)/2</f>
        <v>888613368.93089354</v>
      </c>
      <c r="H138" s="29">
        <f t="shared" si="63"/>
        <v>889977505.35747015</v>
      </c>
      <c r="I138" s="112">
        <f t="shared" ref="I138:I139" si="64">H138/G138-1</f>
        <v>1.5351293085066331E-3</v>
      </c>
      <c r="J138" s="31"/>
      <c r="K138" s="31"/>
      <c r="L138" s="6"/>
      <c r="M138" s="29">
        <f t="shared" ref="M138:AB138" si="65">SUM(M124:M131)</f>
        <v>3580091.5135125658</v>
      </c>
      <c r="N138" s="29">
        <f t="shared" si="65"/>
        <v>20914770.387916006</v>
      </c>
      <c r="O138" s="29">
        <f t="shared" si="65"/>
        <v>-39447356.157303631</v>
      </c>
      <c r="P138" s="29">
        <f t="shared" si="65"/>
        <v>-8150851.3633654062</v>
      </c>
      <c r="Q138" s="29">
        <f t="shared" si="65"/>
        <v>28449518.477316186</v>
      </c>
      <c r="R138" s="29">
        <f t="shared" si="65"/>
        <v>26534983.269555897</v>
      </c>
      <c r="S138" s="29">
        <f t="shared" si="65"/>
        <v>0</v>
      </c>
      <c r="T138" s="29">
        <f t="shared" si="65"/>
        <v>0</v>
      </c>
      <c r="U138" s="29">
        <f t="shared" si="65"/>
        <v>0</v>
      </c>
      <c r="V138" s="29">
        <f t="shared" si="65"/>
        <v>0</v>
      </c>
      <c r="W138" s="29">
        <f t="shared" si="65"/>
        <v>0</v>
      </c>
      <c r="X138" s="29">
        <f t="shared" si="65"/>
        <v>0</v>
      </c>
      <c r="Y138" s="29">
        <f t="shared" si="65"/>
        <v>0</v>
      </c>
      <c r="Z138" s="29">
        <f t="shared" si="65"/>
        <v>0</v>
      </c>
      <c r="AA138" s="29">
        <f t="shared" si="65"/>
        <v>0</v>
      </c>
      <c r="AB138" s="29">
        <f t="shared" si="65"/>
        <v>0</v>
      </c>
      <c r="AC138" s="32">
        <f>H138-G138</f>
        <v>1364136.4265766144</v>
      </c>
      <c r="AD138" s="33">
        <f>I138</f>
        <v>1.5351293085066331E-3</v>
      </c>
      <c r="AE138" s="106"/>
    </row>
    <row r="139" spans="1:31" ht="16" thickBot="1" x14ac:dyDescent="0.25">
      <c r="B139" s="9" t="s">
        <v>50</v>
      </c>
      <c r="C139" s="23"/>
      <c r="D139" s="23" t="s">
        <v>4</v>
      </c>
      <c r="E139" s="23"/>
      <c r="F139" s="23">
        <f>MATCH($D139,FAC_TOTALS_APTA!$A$2:$BB$2,)</f>
        <v>8</v>
      </c>
      <c r="G139" s="29">
        <f t="shared" ref="G139:H139" si="66">(G28+G56)/2</f>
        <v>882992079</v>
      </c>
      <c r="H139" s="29">
        <f t="shared" si="66"/>
        <v>856517914.99999499</v>
      </c>
      <c r="I139" s="113">
        <f t="shared" si="64"/>
        <v>-2.9982334643349651E-2</v>
      </c>
      <c r="J139" s="50"/>
      <c r="K139" s="50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51">
        <f>H139-G139</f>
        <v>-26474164.000005007</v>
      </c>
      <c r="AD139" s="52">
        <f>I139</f>
        <v>-2.9982334643349651E-2</v>
      </c>
    </row>
    <row r="140" spans="1:31" ht="17" thickTop="1" thickBot="1" x14ac:dyDescent="0.25">
      <c r="B140" s="57" t="s">
        <v>67</v>
      </c>
      <c r="C140" s="58"/>
      <c r="D140" s="58"/>
      <c r="E140" s="59"/>
      <c r="F140" s="58"/>
      <c r="G140" s="58"/>
      <c r="H140" s="58"/>
      <c r="I140" s="60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2">
        <f>AD139-AD138</f>
        <v>-3.1517463951856284E-2</v>
      </c>
    </row>
    <row r="141" spans="1:31" ht="15" thickTop="1" x14ac:dyDescent="0.2"/>
  </sheetData>
  <mergeCells count="10">
    <mergeCell ref="G119:I119"/>
    <mergeCell ref="AC119:AD119"/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126"/>
  <sheetViews>
    <sheetView workbookViewId="0">
      <pane xSplit="4" ySplit="3" topLeftCell="U8" activePane="bottomRight" state="frozen"/>
      <selection pane="topRight" activeCell="E1" sqref="E1"/>
      <selection pane="bottomLeft" activeCell="A4" sqref="A4"/>
      <selection pane="bottomRight" activeCell="X14" sqref="X14"/>
    </sheetView>
  </sheetViews>
  <sheetFormatPr baseColWidth="10" defaultColWidth="11" defaultRowHeight="16" x14ac:dyDescent="0.2"/>
  <cols>
    <col min="1" max="2" width="11" customWidth="1"/>
    <col min="3" max="3" width="23.5" bestFit="1" customWidth="1"/>
    <col min="4" max="4" width="7.33203125" style="162" bestFit="1" customWidth="1"/>
    <col min="5" max="5" width="13.5" style="162" bestFit="1" customWidth="1"/>
    <col min="6" max="6" width="11.83203125" style="162" customWidth="1"/>
    <col min="7" max="8" width="16.1640625" style="163" bestFit="1" customWidth="1"/>
    <col min="9" max="9" width="15.33203125" style="163" customWidth="1"/>
    <col min="10" max="10" width="16" style="163" customWidth="1"/>
    <col min="11" max="11" width="15.5" style="163" bestFit="1" customWidth="1"/>
    <col min="12" max="12" width="14.6640625" style="163" bestFit="1" customWidth="1"/>
    <col min="13" max="13" width="15.1640625" style="163" bestFit="1" customWidth="1"/>
    <col min="14" max="15" width="12" style="163" bestFit="1" customWidth="1"/>
    <col min="16" max="16" width="16.6640625" style="163" bestFit="1" customWidth="1"/>
    <col min="17" max="17" width="14.5" style="163" bestFit="1" customWidth="1"/>
    <col min="18" max="18" width="12.5" style="163" bestFit="1" customWidth="1"/>
    <col min="19" max="19" width="13.83203125" style="163" bestFit="1" customWidth="1"/>
    <col min="20" max="20" width="14" style="163" bestFit="1" customWidth="1"/>
    <col min="21" max="21" width="13.83203125" style="163" customWidth="1"/>
    <col min="22" max="22" width="14" style="163" bestFit="1" customWidth="1"/>
    <col min="23" max="23" width="13.83203125" style="163" customWidth="1"/>
    <col min="24" max="24" width="19.5" style="163" customWidth="1"/>
    <col min="25" max="25" width="14" style="163" customWidth="1"/>
    <col min="26" max="26" width="14.33203125" style="163" bestFit="1" customWidth="1"/>
    <col min="27" max="28" width="12" style="163" bestFit="1" customWidth="1"/>
    <col min="29" max="29" width="14.33203125" style="163" bestFit="1" customWidth="1"/>
    <col min="30" max="30" width="14" style="163" bestFit="1" customWidth="1"/>
    <col min="31" max="31" width="16.6640625" style="163" bestFit="1" customWidth="1"/>
    <col min="32" max="32" width="21.83203125" style="162" bestFit="1" customWidth="1"/>
    <col min="33" max="33" width="22" style="163" bestFit="1" customWidth="1"/>
    <col min="34" max="34" width="27" style="162" bestFit="1" customWidth="1"/>
    <col min="35" max="35" width="18.6640625" style="163" bestFit="1" customWidth="1"/>
    <col min="36" max="36" width="23" style="162" bestFit="1" customWidth="1"/>
    <col min="37" max="37" width="17.6640625" style="163" bestFit="1" customWidth="1"/>
    <col min="38" max="38" width="22" style="162" bestFit="1" customWidth="1"/>
    <col min="39" max="40" width="22" style="162" customWidth="1"/>
    <col min="41" max="41" width="22" style="163" bestFit="1" customWidth="1"/>
    <col min="42" max="42" width="26.1640625" style="162" bestFit="1" customWidth="1"/>
    <col min="43" max="43" width="18.6640625" style="163" bestFit="1" customWidth="1"/>
    <col min="44" max="44" width="23" style="162" bestFit="1" customWidth="1"/>
    <col min="45" max="50" width="23" style="162" customWidth="1"/>
    <col min="51" max="52" width="23" customWidth="1"/>
    <col min="53" max="53" width="25" style="2" customWidth="1"/>
    <col min="54" max="54" width="17.5" style="2" bestFit="1" customWidth="1"/>
  </cols>
  <sheetData>
    <row r="1" spans="1:74" s="5" customFormat="1" x14ac:dyDescent="0.2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A1" s="73"/>
      <c r="BB1" s="73"/>
    </row>
    <row r="2" spans="1:74" s="5" customFormat="1" ht="17" x14ac:dyDescent="0.2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87</v>
      </c>
      <c r="M2" t="s">
        <v>91</v>
      </c>
      <c r="N2" t="s">
        <v>88</v>
      </c>
      <c r="O2" t="s">
        <v>92</v>
      </c>
      <c r="P2" t="s">
        <v>8</v>
      </c>
      <c r="Q2" t="s">
        <v>72</v>
      </c>
      <c r="R2" t="s">
        <v>82</v>
      </c>
      <c r="S2" t="s">
        <v>14</v>
      </c>
      <c r="T2" t="s">
        <v>9</v>
      </c>
      <c r="U2" t="s">
        <v>28</v>
      </c>
      <c r="V2" t="s">
        <v>77</v>
      </c>
      <c r="W2" t="s">
        <v>78</v>
      </c>
      <c r="X2" t="s">
        <v>89</v>
      </c>
      <c r="Y2" t="s">
        <v>90</v>
      </c>
      <c r="Z2" t="s">
        <v>93</v>
      </c>
      <c r="AA2" t="s">
        <v>69</v>
      </c>
      <c r="AB2" t="s">
        <v>43</v>
      </c>
      <c r="AC2" t="s">
        <v>44</v>
      </c>
      <c r="AD2" t="s">
        <v>94</v>
      </c>
      <c r="AE2" t="s">
        <v>95</v>
      </c>
      <c r="AF2" t="s">
        <v>96</v>
      </c>
      <c r="AG2" t="s">
        <v>97</v>
      </c>
      <c r="AH2" t="s">
        <v>10</v>
      </c>
      <c r="AI2" t="s">
        <v>74</v>
      </c>
      <c r="AJ2" t="s">
        <v>83</v>
      </c>
      <c r="AK2" t="s">
        <v>29</v>
      </c>
      <c r="AL2" t="s">
        <v>11</v>
      </c>
      <c r="AM2" t="s">
        <v>30</v>
      </c>
      <c r="AN2" t="s">
        <v>79</v>
      </c>
      <c r="AO2" t="s">
        <v>85</v>
      </c>
      <c r="AP2" t="s">
        <v>98</v>
      </c>
      <c r="AQ2" t="s">
        <v>99</v>
      </c>
      <c r="AR2" t="s">
        <v>100</v>
      </c>
      <c r="AS2" t="s">
        <v>84</v>
      </c>
      <c r="AT2" t="s">
        <v>75</v>
      </c>
      <c r="AU2" t="s">
        <v>76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</row>
    <row r="3" spans="1:74" x14ac:dyDescent="0.2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</row>
    <row r="4" spans="1:74" x14ac:dyDescent="0.2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1989004769.90504</v>
      </c>
      <c r="K4">
        <v>0</v>
      </c>
      <c r="L4">
        <v>69431799.636510193</v>
      </c>
      <c r="M4">
        <v>0</v>
      </c>
      <c r="N4">
        <v>0.91027864284140703</v>
      </c>
      <c r="O4">
        <v>0</v>
      </c>
      <c r="P4">
        <v>9573567.1438265797</v>
      </c>
      <c r="Q4">
        <v>0.56791506562331096</v>
      </c>
      <c r="R4">
        <v>1.99892297215457</v>
      </c>
      <c r="S4">
        <v>39381.469965213502</v>
      </c>
      <c r="T4">
        <v>9.9176880297119094</v>
      </c>
      <c r="U4">
        <v>3.9438940773070499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A4"/>
      <c r="BB4"/>
    </row>
    <row r="5" spans="1:74" x14ac:dyDescent="0.2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2157318500.03023</v>
      </c>
      <c r="K5">
        <v>33581343.7490751</v>
      </c>
      <c r="L5">
        <v>69475683.838446796</v>
      </c>
      <c r="M5">
        <v>0</v>
      </c>
      <c r="N5">
        <v>0.91687073440147104</v>
      </c>
      <c r="O5">
        <v>0</v>
      </c>
      <c r="P5">
        <v>9715711.2025870793</v>
      </c>
      <c r="Q5">
        <v>0.56633197127096302</v>
      </c>
      <c r="R5">
        <v>2.3077092528229799</v>
      </c>
      <c r="S5">
        <v>38481.401179127999</v>
      </c>
      <c r="T5">
        <v>9.8266441604857402</v>
      </c>
      <c r="U5">
        <v>3.9438940773070499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-1654184.03781188</v>
      </c>
      <c r="AE5">
        <v>0</v>
      </c>
      <c r="AF5">
        <v>-3424269.1844878802</v>
      </c>
      <c r="AG5">
        <v>0</v>
      </c>
      <c r="AH5">
        <v>8348263.6157266796</v>
      </c>
      <c r="AI5">
        <v>-3663444.0047366801</v>
      </c>
      <c r="AJ5">
        <v>31104621.1207777</v>
      </c>
      <c r="AK5">
        <v>3473957.8329330999</v>
      </c>
      <c r="AL5">
        <v>-404120.81822783401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33795521.218227699</v>
      </c>
      <c r="AW5">
        <v>34213336.396950401</v>
      </c>
      <c r="AX5">
        <v>-105749000.39695001</v>
      </c>
      <c r="AY5">
        <v>0</v>
      </c>
      <c r="AZ5">
        <v>-71535663.999999896</v>
      </c>
      <c r="BA5"/>
      <c r="BB5"/>
    </row>
    <row r="6" spans="1:74" x14ac:dyDescent="0.2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2486644790.8962498</v>
      </c>
      <c r="K6">
        <v>84567261.249953598</v>
      </c>
      <c r="L6">
        <v>71765534.239041999</v>
      </c>
      <c r="M6">
        <v>0</v>
      </c>
      <c r="N6">
        <v>0.88111629180226403</v>
      </c>
      <c r="O6">
        <v>0</v>
      </c>
      <c r="P6">
        <v>9734314.7826844901</v>
      </c>
      <c r="Q6">
        <v>0.56708000568482797</v>
      </c>
      <c r="R6">
        <v>2.60745949407365</v>
      </c>
      <c r="S6">
        <v>38183.589923807398</v>
      </c>
      <c r="T6">
        <v>9.7869676092694604</v>
      </c>
      <c r="U6">
        <v>3.9555663396720502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22800811.929629099</v>
      </c>
      <c r="AE6">
        <v>0</v>
      </c>
      <c r="AF6">
        <v>23883678.012509</v>
      </c>
      <c r="AG6">
        <v>0</v>
      </c>
      <c r="AH6">
        <v>9911548.6939433403</v>
      </c>
      <c r="AI6">
        <v>-2016237.1299159101</v>
      </c>
      <c r="AJ6">
        <v>28090424.1627253</v>
      </c>
      <c r="AK6">
        <v>4736681.2034896696</v>
      </c>
      <c r="AL6">
        <v>-385473.05551600602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79858760.472043201</v>
      </c>
      <c r="AW6">
        <v>81462080.650432795</v>
      </c>
      <c r="AX6">
        <v>-11157714.6504326</v>
      </c>
      <c r="AY6">
        <v>179225222.99999899</v>
      </c>
      <c r="AZ6">
        <v>249529589</v>
      </c>
      <c r="BA6"/>
      <c r="BB6"/>
    </row>
    <row r="7" spans="1:74" x14ac:dyDescent="0.2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2706022389.93682</v>
      </c>
      <c r="K7">
        <v>25704242.883335501</v>
      </c>
      <c r="L7">
        <v>70767074.604147598</v>
      </c>
      <c r="M7">
        <v>0</v>
      </c>
      <c r="N7">
        <v>0.908709006019361</v>
      </c>
      <c r="O7">
        <v>0</v>
      </c>
      <c r="P7">
        <v>9670224.8115459997</v>
      </c>
      <c r="Q7">
        <v>0.56213257598667299</v>
      </c>
      <c r="R7">
        <v>3.0629169958820901</v>
      </c>
      <c r="S7">
        <v>37264.378431327401</v>
      </c>
      <c r="T7">
        <v>9.5820881245511096</v>
      </c>
      <c r="U7">
        <v>3.9826876644648799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-18433580.460927099</v>
      </c>
      <c r="AE7">
        <v>0</v>
      </c>
      <c r="AF7">
        <v>-10941883.877299201</v>
      </c>
      <c r="AG7">
        <v>0</v>
      </c>
      <c r="AH7">
        <v>11437935.362945801</v>
      </c>
      <c r="AI7">
        <v>-1482752.1288063701</v>
      </c>
      <c r="AJ7">
        <v>40967248.354984596</v>
      </c>
      <c r="AK7">
        <v>4575296.1043723701</v>
      </c>
      <c r="AL7">
        <v>-574376.69274083304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25547886.6625292</v>
      </c>
      <c r="AW7">
        <v>25152122.072508</v>
      </c>
      <c r="AX7">
        <v>6964288.9274904896</v>
      </c>
      <c r="AY7">
        <v>125667082.999999</v>
      </c>
      <c r="AZ7">
        <v>157783493.999998</v>
      </c>
      <c r="BA7"/>
      <c r="BB7"/>
    </row>
    <row r="8" spans="1:74" x14ac:dyDescent="0.2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2750614448.3828902</v>
      </c>
      <c r="K8">
        <v>44592058.446068801</v>
      </c>
      <c r="L8">
        <v>70624705.906152099</v>
      </c>
      <c r="M8">
        <v>0</v>
      </c>
      <c r="N8">
        <v>0.897836833845017</v>
      </c>
      <c r="O8">
        <v>0</v>
      </c>
      <c r="P8">
        <v>9915449.72303918</v>
      </c>
      <c r="Q8">
        <v>0.56167964854839703</v>
      </c>
      <c r="R8">
        <v>3.3556920653326898</v>
      </c>
      <c r="S8">
        <v>35771.540827119403</v>
      </c>
      <c r="T8">
        <v>9.4619485484100494</v>
      </c>
      <c r="U8">
        <v>4.3015517876788696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-4429955.7974834796</v>
      </c>
      <c r="AE8">
        <v>0</v>
      </c>
      <c r="AF8">
        <v>8030686.02679017</v>
      </c>
      <c r="AG8">
        <v>0</v>
      </c>
      <c r="AH8">
        <v>15494579.843892099</v>
      </c>
      <c r="AI8">
        <v>-444448.82300326403</v>
      </c>
      <c r="AJ8">
        <v>25775093.106889602</v>
      </c>
      <c r="AK8">
        <v>7400423.2698369799</v>
      </c>
      <c r="AL8">
        <v>-641817.69786671398</v>
      </c>
      <c r="AM8">
        <v>-6156146.9799181102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45028412.9491373</v>
      </c>
      <c r="AW8">
        <v>45111963.164308801</v>
      </c>
      <c r="AX8">
        <v>-14756650.1643061</v>
      </c>
      <c r="AY8">
        <v>0</v>
      </c>
      <c r="AZ8">
        <v>30355313.0000026</v>
      </c>
      <c r="BA8"/>
      <c r="BB8"/>
    </row>
    <row r="9" spans="1:74" x14ac:dyDescent="0.2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2754213472.2611299</v>
      </c>
      <c r="K9">
        <v>3599023.87823684</v>
      </c>
      <c r="L9">
        <v>71582714.355237693</v>
      </c>
      <c r="M9">
        <v>0</v>
      </c>
      <c r="N9">
        <v>0.92086023061058198</v>
      </c>
      <c r="O9">
        <v>0</v>
      </c>
      <c r="P9">
        <v>9964969.7656980809</v>
      </c>
      <c r="Q9">
        <v>0.55508678283873902</v>
      </c>
      <c r="R9">
        <v>3.5310062793786798</v>
      </c>
      <c r="S9">
        <v>36276.706108743201</v>
      </c>
      <c r="T9">
        <v>9.2945652359991193</v>
      </c>
      <c r="U9">
        <v>4.4274885399032797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19185059.6939964</v>
      </c>
      <c r="AE9">
        <v>0</v>
      </c>
      <c r="AF9">
        <v>-19422079.354122601</v>
      </c>
      <c r="AG9">
        <v>0</v>
      </c>
      <c r="AH9">
        <v>4271216.1427105097</v>
      </c>
      <c r="AI9">
        <v>-6802199.2308213199</v>
      </c>
      <c r="AJ9">
        <v>14726342.3365997</v>
      </c>
      <c r="AK9">
        <v>-2570783.5509136198</v>
      </c>
      <c r="AL9">
        <v>-853039.32659324701</v>
      </c>
      <c r="AM9">
        <v>-2653016.83109832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5881499.8797575403</v>
      </c>
      <c r="AW9">
        <v>5679675.7646748396</v>
      </c>
      <c r="AX9">
        <v>4075648.2353226198</v>
      </c>
      <c r="AY9">
        <v>0</v>
      </c>
      <c r="AZ9">
        <v>9755323.9999974594</v>
      </c>
      <c r="BA9"/>
      <c r="BB9"/>
    </row>
    <row r="10" spans="1:74" x14ac:dyDescent="0.2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2820963959.6929798</v>
      </c>
      <c r="K10">
        <v>66750487.431847699</v>
      </c>
      <c r="L10">
        <v>71889164.491291001</v>
      </c>
      <c r="M10">
        <v>0</v>
      </c>
      <c r="N10">
        <v>0.90104162550678502</v>
      </c>
      <c r="O10">
        <v>0</v>
      </c>
      <c r="P10">
        <v>9988399.3974122796</v>
      </c>
      <c r="Q10">
        <v>0.55810480951068597</v>
      </c>
      <c r="R10">
        <v>3.9554554445044898</v>
      </c>
      <c r="S10">
        <v>36238.918817514997</v>
      </c>
      <c r="T10">
        <v>9.4554621860263008</v>
      </c>
      <c r="U10">
        <v>4.5087477278502996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9090785.4744599797</v>
      </c>
      <c r="AE10">
        <v>0</v>
      </c>
      <c r="AF10">
        <v>14651506.2194272</v>
      </c>
      <c r="AG10">
        <v>0</v>
      </c>
      <c r="AH10">
        <v>2824400.8044545902</v>
      </c>
      <c r="AI10">
        <v>3128471.50667154</v>
      </c>
      <c r="AJ10">
        <v>33736614.900928304</v>
      </c>
      <c r="AK10">
        <v>237098.76386560299</v>
      </c>
      <c r="AL10">
        <v>838944.68461139</v>
      </c>
      <c r="AM10">
        <v>-1609549.7204076101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-1952077.4134720999</v>
      </c>
      <c r="AU10">
        <v>0</v>
      </c>
      <c r="AV10">
        <v>60946195.220539004</v>
      </c>
      <c r="AW10">
        <v>61613730.101879098</v>
      </c>
      <c r="AX10">
        <v>21830477.8981218</v>
      </c>
      <c r="AY10">
        <v>0</v>
      </c>
      <c r="AZ10">
        <v>83444208.000000998</v>
      </c>
      <c r="BA10"/>
      <c r="BB10"/>
    </row>
    <row r="11" spans="1:74" x14ac:dyDescent="0.2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2647260746.66292</v>
      </c>
      <c r="K11">
        <v>-173703213.03005299</v>
      </c>
      <c r="L11">
        <v>70967398.250165403</v>
      </c>
      <c r="M11">
        <v>0</v>
      </c>
      <c r="N11">
        <v>0.99318691376596602</v>
      </c>
      <c r="O11">
        <v>0</v>
      </c>
      <c r="P11">
        <v>9910892.7921914905</v>
      </c>
      <c r="Q11">
        <v>0.56058664875456199</v>
      </c>
      <c r="R11">
        <v>2.9101362046971899</v>
      </c>
      <c r="S11">
        <v>34545.635455789001</v>
      </c>
      <c r="T11">
        <v>9.5671246893685105</v>
      </c>
      <c r="U11">
        <v>4.7193406660422497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-12465021.932657</v>
      </c>
      <c r="AE11">
        <v>0</v>
      </c>
      <c r="AF11">
        <v>-72486080.190738395</v>
      </c>
      <c r="AG11">
        <v>0</v>
      </c>
      <c r="AH11">
        <v>-2672348.0330626001</v>
      </c>
      <c r="AI11">
        <v>2808629.0445670099</v>
      </c>
      <c r="AJ11">
        <v>-90037621.651523501</v>
      </c>
      <c r="AK11">
        <v>9495150.8449715395</v>
      </c>
      <c r="AL11">
        <v>595732.59771988296</v>
      </c>
      <c r="AM11">
        <v>-4331164.6050540404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-169092723.92577699</v>
      </c>
      <c r="AW11">
        <v>-166310924.56373599</v>
      </c>
      <c r="AX11">
        <v>38113796.5637367</v>
      </c>
      <c r="AY11">
        <v>0</v>
      </c>
      <c r="AZ11">
        <v>-128197127.999999</v>
      </c>
      <c r="BA11"/>
      <c r="BB11"/>
    </row>
    <row r="12" spans="1:74" x14ac:dyDescent="0.2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2621232708.1176901</v>
      </c>
      <c r="K12">
        <v>-26028038.5452305</v>
      </c>
      <c r="L12">
        <v>67087317.041166797</v>
      </c>
      <c r="M12">
        <v>0</v>
      </c>
      <c r="N12">
        <v>1.0111597906565399</v>
      </c>
      <c r="O12">
        <v>0</v>
      </c>
      <c r="P12">
        <v>9893600.1005124096</v>
      </c>
      <c r="Q12">
        <v>0.56410963816295001</v>
      </c>
      <c r="R12">
        <v>3.3619635552803002</v>
      </c>
      <c r="S12">
        <v>33716.160475015902</v>
      </c>
      <c r="T12">
        <v>9.7777681153092697</v>
      </c>
      <c r="U12">
        <v>4.9479701995259902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-54395881.465665199</v>
      </c>
      <c r="AE12">
        <v>0</v>
      </c>
      <c r="AF12">
        <v>-12809806.5610341</v>
      </c>
      <c r="AG12">
        <v>0</v>
      </c>
      <c r="AH12">
        <v>305505.99222634698</v>
      </c>
      <c r="AI12">
        <v>3565300.9727867902</v>
      </c>
      <c r="AJ12">
        <v>40604373.398570403</v>
      </c>
      <c r="AK12">
        <v>4526657.4343047002</v>
      </c>
      <c r="AL12">
        <v>1111360.23198005</v>
      </c>
      <c r="AM12">
        <v>-4479088.2520073904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-1664644.54611339</v>
      </c>
      <c r="AU12">
        <v>0</v>
      </c>
      <c r="AV12">
        <v>-23236222.7949518</v>
      </c>
      <c r="AW12">
        <v>-23521202.3706236</v>
      </c>
      <c r="AX12">
        <v>-63220529.6293751</v>
      </c>
      <c r="AY12">
        <v>0</v>
      </c>
      <c r="AZ12">
        <v>-86741731.999998793</v>
      </c>
      <c r="BA12"/>
      <c r="BB12"/>
    </row>
    <row r="13" spans="1:74" x14ac:dyDescent="0.2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2626057421.6949301</v>
      </c>
      <c r="K13">
        <v>4824713.5772363804</v>
      </c>
      <c r="L13">
        <v>64589050.378745601</v>
      </c>
      <c r="M13">
        <v>0</v>
      </c>
      <c r="N13">
        <v>1.0324809727559301</v>
      </c>
      <c r="O13">
        <v>0</v>
      </c>
      <c r="P13">
        <v>9986664.0981256608</v>
      </c>
      <c r="Q13">
        <v>0.55971715621927998</v>
      </c>
      <c r="R13">
        <v>4.09287732495845</v>
      </c>
      <c r="S13">
        <v>33057.754898560801</v>
      </c>
      <c r="T13">
        <v>10.065434436475099</v>
      </c>
      <c r="U13">
        <v>4.8950368235540802</v>
      </c>
      <c r="V13">
        <v>0</v>
      </c>
      <c r="W13">
        <v>0</v>
      </c>
      <c r="X13">
        <v>0.12496612797067699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-36247344.5327968</v>
      </c>
      <c r="AE13">
        <v>0</v>
      </c>
      <c r="AF13">
        <v>-14181457.185838699</v>
      </c>
      <c r="AG13">
        <v>0</v>
      </c>
      <c r="AH13">
        <v>5644179.1485857498</v>
      </c>
      <c r="AI13">
        <v>-4339183.1161548998</v>
      </c>
      <c r="AJ13">
        <v>55756492.121132798</v>
      </c>
      <c r="AK13">
        <v>3525760.9735961901</v>
      </c>
      <c r="AL13">
        <v>1446561.5986824899</v>
      </c>
      <c r="AM13">
        <v>1061633.38816647</v>
      </c>
      <c r="AN13">
        <v>0</v>
      </c>
      <c r="AO13">
        <v>0</v>
      </c>
      <c r="AP13">
        <v>-5235238.1767890397</v>
      </c>
      <c r="AQ13">
        <v>0</v>
      </c>
      <c r="AR13">
        <v>0</v>
      </c>
      <c r="AS13">
        <v>0</v>
      </c>
      <c r="AT13">
        <v>-1152536.44476927</v>
      </c>
      <c r="AU13">
        <v>0</v>
      </c>
      <c r="AV13">
        <v>6278867.7738148803</v>
      </c>
      <c r="AW13">
        <v>5207093.2075131703</v>
      </c>
      <c r="AX13">
        <v>25334919.792486601</v>
      </c>
      <c r="AY13">
        <v>0</v>
      </c>
      <c r="AZ13">
        <v>30542012.999999698</v>
      </c>
      <c r="BA13"/>
      <c r="BB13"/>
    </row>
    <row r="14" spans="1:74" x14ac:dyDescent="0.2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2596221372.9513698</v>
      </c>
      <c r="K14">
        <v>-29836048.7435629</v>
      </c>
      <c r="L14">
        <v>63654979.010831997</v>
      </c>
      <c r="M14">
        <v>0</v>
      </c>
      <c r="N14">
        <v>1.03319372827068</v>
      </c>
      <c r="O14">
        <v>0</v>
      </c>
      <c r="P14">
        <v>10106162.1305601</v>
      </c>
      <c r="Q14">
        <v>0.55566673939080602</v>
      </c>
      <c r="R14">
        <v>4.1402142572755398</v>
      </c>
      <c r="S14">
        <v>32885.708578535901</v>
      </c>
      <c r="T14">
        <v>9.9589405328228597</v>
      </c>
      <c r="U14">
        <v>4.9873568486467601</v>
      </c>
      <c r="V14">
        <v>0</v>
      </c>
      <c r="W14">
        <v>0</v>
      </c>
      <c r="X14">
        <v>0.50499774940706799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-13982351.9432179</v>
      </c>
      <c r="AE14">
        <v>0</v>
      </c>
      <c r="AF14">
        <v>538197.68256242096</v>
      </c>
      <c r="AG14">
        <v>0</v>
      </c>
      <c r="AH14">
        <v>7129469.8848175304</v>
      </c>
      <c r="AI14">
        <v>-3910804.0005435301</v>
      </c>
      <c r="AJ14">
        <v>3203326.7535713199</v>
      </c>
      <c r="AK14">
        <v>1060492.5624096401</v>
      </c>
      <c r="AL14">
        <v>-553170.886410748</v>
      </c>
      <c r="AM14">
        <v>-1976065.9640327599</v>
      </c>
      <c r="AN14">
        <v>0</v>
      </c>
      <c r="AO14">
        <v>0</v>
      </c>
      <c r="AP14">
        <v>-18249966.2837101</v>
      </c>
      <c r="AQ14">
        <v>0</v>
      </c>
      <c r="AR14">
        <v>0</v>
      </c>
      <c r="AS14">
        <v>0</v>
      </c>
      <c r="AT14">
        <v>-720905.65613446501</v>
      </c>
      <c r="AU14">
        <v>0</v>
      </c>
      <c r="AV14">
        <v>-27461777.8506887</v>
      </c>
      <c r="AW14">
        <v>-27424428.854313798</v>
      </c>
      <c r="AX14">
        <v>60569957.8543128</v>
      </c>
      <c r="AY14">
        <v>0</v>
      </c>
      <c r="AZ14">
        <v>33145528.999999002</v>
      </c>
      <c r="BA14"/>
      <c r="BB14"/>
    </row>
    <row r="15" spans="1:74" x14ac:dyDescent="0.2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2548887182.17099</v>
      </c>
      <c r="K15">
        <v>-47334190.780370101</v>
      </c>
      <c r="L15">
        <v>64440490.501856402</v>
      </c>
      <c r="M15">
        <v>0</v>
      </c>
      <c r="N15">
        <v>1.0525608051525199</v>
      </c>
      <c r="O15">
        <v>0</v>
      </c>
      <c r="P15">
        <v>10218543.9397672</v>
      </c>
      <c r="Q15">
        <v>0.55548457630107895</v>
      </c>
      <c r="R15">
        <v>3.9654549378235</v>
      </c>
      <c r="S15">
        <v>33089.926406244202</v>
      </c>
      <c r="T15">
        <v>9.6952007021101192</v>
      </c>
      <c r="U15">
        <v>4.99002797712998</v>
      </c>
      <c r="V15">
        <v>0</v>
      </c>
      <c r="W15">
        <v>0</v>
      </c>
      <c r="X15">
        <v>1.3142978187952701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15320256.4839039</v>
      </c>
      <c r="AE15">
        <v>0</v>
      </c>
      <c r="AF15">
        <v>-12210318.4265201</v>
      </c>
      <c r="AG15">
        <v>0</v>
      </c>
      <c r="AH15">
        <v>6671214.1760201901</v>
      </c>
      <c r="AI15">
        <v>-141277.05670140201</v>
      </c>
      <c r="AJ15">
        <v>-12437139.929720201</v>
      </c>
      <c r="AK15">
        <v>-1059156.6157464499</v>
      </c>
      <c r="AL15">
        <v>-1294855.2653189099</v>
      </c>
      <c r="AM15">
        <v>-29172.88919989</v>
      </c>
      <c r="AN15">
        <v>0</v>
      </c>
      <c r="AO15">
        <v>0</v>
      </c>
      <c r="AP15">
        <v>-39894662.3628949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-45075111.886177801</v>
      </c>
      <c r="AW15">
        <v>-44992128.922364503</v>
      </c>
      <c r="AX15">
        <v>42502647.922365397</v>
      </c>
      <c r="AY15">
        <v>0</v>
      </c>
      <c r="AZ15">
        <v>-2489480.9999990901</v>
      </c>
      <c r="BA15"/>
      <c r="BB15"/>
    </row>
    <row r="16" spans="1:74" x14ac:dyDescent="0.2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2485201720.6187401</v>
      </c>
      <c r="K16">
        <v>-63685461.552259699</v>
      </c>
      <c r="L16">
        <v>64472290.625995196</v>
      </c>
      <c r="M16">
        <v>0</v>
      </c>
      <c r="N16">
        <v>1.0552857020000399</v>
      </c>
      <c r="O16">
        <v>0</v>
      </c>
      <c r="P16">
        <v>10358402.7220985</v>
      </c>
      <c r="Q16">
        <v>0.55491771804149104</v>
      </c>
      <c r="R16">
        <v>3.7576320769069</v>
      </c>
      <c r="S16">
        <v>33372.446493620198</v>
      </c>
      <c r="T16">
        <v>9.6436540883721307</v>
      </c>
      <c r="U16">
        <v>5.14302810748379</v>
      </c>
      <c r="V16">
        <v>0</v>
      </c>
      <c r="W16">
        <v>0</v>
      </c>
      <c r="X16">
        <v>2.1833497858733701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2799364.69961853</v>
      </c>
      <c r="AE16">
        <v>0</v>
      </c>
      <c r="AF16">
        <v>-3440403.9505489198</v>
      </c>
      <c r="AG16">
        <v>0</v>
      </c>
      <c r="AH16">
        <v>7918046.8659014003</v>
      </c>
      <c r="AI16">
        <v>-539722.07620426</v>
      </c>
      <c r="AJ16">
        <v>-15504484.674719101</v>
      </c>
      <c r="AK16">
        <v>-1542060.0905571899</v>
      </c>
      <c r="AL16">
        <v>-320568.56732176902</v>
      </c>
      <c r="AM16">
        <v>-3140707.32232256</v>
      </c>
      <c r="AN16">
        <v>0</v>
      </c>
      <c r="AO16">
        <v>0</v>
      </c>
      <c r="AP16">
        <v>-42702945.434217602</v>
      </c>
      <c r="AQ16">
        <v>0</v>
      </c>
      <c r="AR16">
        <v>0</v>
      </c>
      <c r="AS16">
        <v>0</v>
      </c>
      <c r="AT16">
        <v>-7793655.2959113503</v>
      </c>
      <c r="AU16">
        <v>0</v>
      </c>
      <c r="AV16">
        <v>-64267135.846282899</v>
      </c>
      <c r="AW16">
        <v>-63732978.846924201</v>
      </c>
      <c r="AX16">
        <v>36088914.846922196</v>
      </c>
      <c r="AY16">
        <v>0</v>
      </c>
      <c r="AZ16">
        <v>-27644064.000002</v>
      </c>
      <c r="BA16"/>
      <c r="BB16"/>
    </row>
    <row r="17" spans="1:54" x14ac:dyDescent="0.2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2354210555.1298699</v>
      </c>
      <c r="K17">
        <v>-130991165.48886</v>
      </c>
      <c r="L17">
        <v>65239258.512049802</v>
      </c>
      <c r="M17">
        <v>0</v>
      </c>
      <c r="N17">
        <v>1.0818127292498301</v>
      </c>
      <c r="O17">
        <v>0</v>
      </c>
      <c r="P17">
        <v>10472818.6457387</v>
      </c>
      <c r="Q17">
        <v>0.55561990692373497</v>
      </c>
      <c r="R17">
        <v>2.85766669283365</v>
      </c>
      <c r="S17">
        <v>34516.890531118501</v>
      </c>
      <c r="T17">
        <v>9.5105274519725995</v>
      </c>
      <c r="U17">
        <v>5.28422265336616</v>
      </c>
      <c r="V17">
        <v>0</v>
      </c>
      <c r="W17">
        <v>1.8557417611547999E-2</v>
      </c>
      <c r="X17">
        <v>3.1833497858733701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16164729.3272873</v>
      </c>
      <c r="AE17">
        <v>0</v>
      </c>
      <c r="AF17">
        <v>-20089434.082403801</v>
      </c>
      <c r="AG17">
        <v>0</v>
      </c>
      <c r="AH17">
        <v>6834317.78860592</v>
      </c>
      <c r="AI17">
        <v>663623.33570457099</v>
      </c>
      <c r="AJ17">
        <v>-75298478.472686797</v>
      </c>
      <c r="AK17">
        <v>-5961392.6371671697</v>
      </c>
      <c r="AL17">
        <v>-639524.48604372202</v>
      </c>
      <c r="AM17">
        <v>-2579850.28401493</v>
      </c>
      <c r="AN17">
        <v>0</v>
      </c>
      <c r="AO17">
        <v>1621605.7212227201</v>
      </c>
      <c r="AP17">
        <v>-48256290.604243197</v>
      </c>
      <c r="AQ17">
        <v>0</v>
      </c>
      <c r="AR17">
        <v>0</v>
      </c>
      <c r="AS17">
        <v>0</v>
      </c>
      <c r="AT17">
        <v>-6666096.4804303804</v>
      </c>
      <c r="AU17">
        <v>0</v>
      </c>
      <c r="AV17">
        <v>-134206790.87416901</v>
      </c>
      <c r="AW17">
        <v>-132372304.164681</v>
      </c>
      <c r="AX17">
        <v>67136935.164684102</v>
      </c>
      <c r="AY17">
        <v>0</v>
      </c>
      <c r="AZ17">
        <v>-65235368.999997698</v>
      </c>
      <c r="BA17"/>
      <c r="BB17"/>
    </row>
    <row r="18" spans="1:54" x14ac:dyDescent="0.2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2266981168.9400301</v>
      </c>
      <c r="K18">
        <v>-87229386.189840704</v>
      </c>
      <c r="L18">
        <v>66113243.246801101</v>
      </c>
      <c r="M18">
        <v>0</v>
      </c>
      <c r="N18">
        <v>1.1047173026228101</v>
      </c>
      <c r="O18">
        <v>0</v>
      </c>
      <c r="P18">
        <v>10554924.899873899</v>
      </c>
      <c r="Q18">
        <v>0.55504323849516102</v>
      </c>
      <c r="R18">
        <v>2.5185717610537002</v>
      </c>
      <c r="S18">
        <v>35303.229511006401</v>
      </c>
      <c r="T18">
        <v>9.3812591235224794</v>
      </c>
      <c r="U18">
        <v>5.7157851486528504</v>
      </c>
      <c r="V18">
        <v>0</v>
      </c>
      <c r="W18">
        <v>3.7114835223095999E-2</v>
      </c>
      <c r="X18">
        <v>4.1833497858733697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15483945.021248</v>
      </c>
      <c r="AE18">
        <v>0</v>
      </c>
      <c r="AF18">
        <v>-15961361.153643901</v>
      </c>
      <c r="AG18">
        <v>0</v>
      </c>
      <c r="AH18">
        <v>5152490.4286909699</v>
      </c>
      <c r="AI18">
        <v>-525345.63220226602</v>
      </c>
      <c r="AJ18">
        <v>-31611109.506399099</v>
      </c>
      <c r="AK18">
        <v>-3833078.8870814401</v>
      </c>
      <c r="AL18">
        <v>-644927.72871518601</v>
      </c>
      <c r="AM18">
        <v>-8108202.2660836903</v>
      </c>
      <c r="AN18">
        <v>0</v>
      </c>
      <c r="AO18">
        <v>1596379.6869196401</v>
      </c>
      <c r="AP18">
        <v>-47002561.869898602</v>
      </c>
      <c r="AQ18">
        <v>0</v>
      </c>
      <c r="AR18">
        <v>0</v>
      </c>
      <c r="AS18">
        <v>0</v>
      </c>
      <c r="AT18">
        <v>-6466561.3965962296</v>
      </c>
      <c r="AU18">
        <v>0</v>
      </c>
      <c r="AV18">
        <v>-91920333.303761899</v>
      </c>
      <c r="AW18">
        <v>-90767972.716841593</v>
      </c>
      <c r="AX18">
        <v>-31413261.2831591</v>
      </c>
      <c r="AY18">
        <v>0</v>
      </c>
      <c r="AZ18">
        <v>-122181234</v>
      </c>
      <c r="BA18"/>
      <c r="BB18"/>
    </row>
    <row r="19" spans="1:54" x14ac:dyDescent="0.2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2273491676.6986699</v>
      </c>
      <c r="K19">
        <v>6510507.7586340904</v>
      </c>
      <c r="L19">
        <v>66222639.767624497</v>
      </c>
      <c r="M19">
        <v>0</v>
      </c>
      <c r="N19">
        <v>1.06543147344353</v>
      </c>
      <c r="O19">
        <v>0</v>
      </c>
      <c r="P19">
        <v>10662889.4121828</v>
      </c>
      <c r="Q19">
        <v>0.55380053594204004</v>
      </c>
      <c r="R19">
        <v>2.7392459466138002</v>
      </c>
      <c r="S19">
        <v>36103.068578746301</v>
      </c>
      <c r="T19">
        <v>9.2334461909402794</v>
      </c>
      <c r="U19">
        <v>5.8844236677877504</v>
      </c>
      <c r="V19">
        <v>0</v>
      </c>
      <c r="W19">
        <v>5.3187899018982701E-2</v>
      </c>
      <c r="X19">
        <v>5.1833497858733697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7834323.8755453601</v>
      </c>
      <c r="AE19">
        <v>0</v>
      </c>
      <c r="AF19">
        <v>24426564.490045901</v>
      </c>
      <c r="AG19">
        <v>0</v>
      </c>
      <c r="AH19">
        <v>5982112.4413540503</v>
      </c>
      <c r="AI19">
        <v>-1104070.2500897001</v>
      </c>
      <c r="AJ19">
        <v>20418865.6239613</v>
      </c>
      <c r="AK19">
        <v>-3793188.78230666</v>
      </c>
      <c r="AL19">
        <v>-674079.68177445501</v>
      </c>
      <c r="AM19">
        <v>-2992337.6675694198</v>
      </c>
      <c r="AN19">
        <v>0</v>
      </c>
      <c r="AO19">
        <v>1763685.3685756</v>
      </c>
      <c r="AP19">
        <v>-44654416.589023598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7207458.8287183195</v>
      </c>
      <c r="AW19">
        <v>6661708.6486504199</v>
      </c>
      <c r="AX19">
        <v>-99366494.648651093</v>
      </c>
      <c r="AY19">
        <v>0</v>
      </c>
      <c r="AZ19">
        <v>-92704786.000000596</v>
      </c>
      <c r="BA19"/>
      <c r="BB19"/>
    </row>
    <row r="20" spans="1:54" x14ac:dyDescent="0.2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2226350490.5049801</v>
      </c>
      <c r="K20">
        <v>-47141186.193685003</v>
      </c>
      <c r="L20">
        <v>66335689.749269299</v>
      </c>
      <c r="M20">
        <v>0</v>
      </c>
      <c r="N20">
        <v>1.03280582691442</v>
      </c>
      <c r="O20">
        <v>0</v>
      </c>
      <c r="P20">
        <v>10741812.069976499</v>
      </c>
      <c r="Q20">
        <v>0.55478249392358903</v>
      </c>
      <c r="R20">
        <v>3.0460655824605101</v>
      </c>
      <c r="S20">
        <v>36989.701487673403</v>
      </c>
      <c r="T20">
        <v>9.0962859730607892</v>
      </c>
      <c r="U20">
        <v>6.1187931809606004</v>
      </c>
      <c r="V20">
        <v>0</v>
      </c>
      <c r="W20">
        <v>3.2146127591773301E-2</v>
      </c>
      <c r="X20">
        <v>6.1833497858733697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6055640.0625807</v>
      </c>
      <c r="AE20">
        <v>0</v>
      </c>
      <c r="AF20">
        <v>20065591.094436999</v>
      </c>
      <c r="AG20">
        <v>0</v>
      </c>
      <c r="AH20">
        <v>4631399.2725235298</v>
      </c>
      <c r="AI20">
        <v>828465.11952008202</v>
      </c>
      <c r="AJ20">
        <v>25062075.526025999</v>
      </c>
      <c r="AK20">
        <v>-3853069.15477901</v>
      </c>
      <c r="AL20">
        <v>-614414.86120328098</v>
      </c>
      <c r="AM20">
        <v>-4021421.5012425599</v>
      </c>
      <c r="AN20">
        <v>0</v>
      </c>
      <c r="AO20">
        <v>-1460674.8951131499</v>
      </c>
      <c r="AP20">
        <v>-42872765.687049396</v>
      </c>
      <c r="AQ20">
        <v>0</v>
      </c>
      <c r="AR20">
        <v>0</v>
      </c>
      <c r="AS20">
        <v>0</v>
      </c>
      <c r="AT20">
        <v>-310695.32207366801</v>
      </c>
      <c r="AU20">
        <v>-49443353.3376531</v>
      </c>
      <c r="AV20">
        <v>-45933223.6840268</v>
      </c>
      <c r="AW20">
        <v>-46865399.735301703</v>
      </c>
      <c r="AX20">
        <v>-7550094.26469744</v>
      </c>
      <c r="AY20">
        <v>0</v>
      </c>
      <c r="AZ20">
        <v>-54415493.999999203</v>
      </c>
      <c r="BA20"/>
      <c r="BB20"/>
    </row>
    <row r="21" spans="1:54" x14ac:dyDescent="0.2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713883688.93148899</v>
      </c>
      <c r="K21">
        <v>0</v>
      </c>
      <c r="L21">
        <v>13378352.2086371</v>
      </c>
      <c r="M21">
        <v>0</v>
      </c>
      <c r="N21">
        <v>0.92425916812859699</v>
      </c>
      <c r="O21">
        <v>0</v>
      </c>
      <c r="P21">
        <v>2412902.98573989</v>
      </c>
      <c r="Q21">
        <v>0.357365417272761</v>
      </c>
      <c r="R21">
        <v>1.9468195567767399</v>
      </c>
      <c r="S21">
        <v>35715.451599492502</v>
      </c>
      <c r="T21">
        <v>7.8156462434034699</v>
      </c>
      <c r="U21">
        <v>3.29893510953965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692881970</v>
      </c>
      <c r="AZ21">
        <v>692881970</v>
      </c>
      <c r="BA21"/>
      <c r="BB21"/>
    </row>
    <row r="22" spans="1:54" x14ac:dyDescent="0.2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800855618.51351798</v>
      </c>
      <c r="K22">
        <v>13314875.943890899</v>
      </c>
      <c r="L22">
        <v>13026932.796544701</v>
      </c>
      <c r="M22">
        <v>0</v>
      </c>
      <c r="N22">
        <v>0.87267615679307897</v>
      </c>
      <c r="O22">
        <v>0</v>
      </c>
      <c r="P22">
        <v>2374560.0640381798</v>
      </c>
      <c r="Q22">
        <v>0.35480650509096501</v>
      </c>
      <c r="R22">
        <v>2.2027861871074199</v>
      </c>
      <c r="S22">
        <v>35129.657977308299</v>
      </c>
      <c r="T22">
        <v>7.6032487138457299</v>
      </c>
      <c r="U22">
        <v>3.3806762574596898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333222.708008288</v>
      </c>
      <c r="AE22">
        <v>0</v>
      </c>
      <c r="AF22">
        <v>696187.48905043397</v>
      </c>
      <c r="AG22">
        <v>0</v>
      </c>
      <c r="AH22">
        <v>3813432.70564014</v>
      </c>
      <c r="AI22">
        <v>-708547.43395985197</v>
      </c>
      <c r="AJ22">
        <v>8570553.4831008092</v>
      </c>
      <c r="AK22">
        <v>987634.37035830796</v>
      </c>
      <c r="AL22">
        <v>-52518.3960302575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13330478.6083491</v>
      </c>
      <c r="AW22">
        <v>13200212.273820899</v>
      </c>
      <c r="AX22">
        <v>-371353.27382096299</v>
      </c>
      <c r="AY22">
        <v>64490437</v>
      </c>
      <c r="AZ22">
        <v>77319296</v>
      </c>
      <c r="BA22"/>
      <c r="BB22"/>
    </row>
    <row r="23" spans="1:54" x14ac:dyDescent="0.2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866652933.26660001</v>
      </c>
      <c r="K23">
        <v>21861613.778656099</v>
      </c>
      <c r="L23">
        <v>12498024.033456299</v>
      </c>
      <c r="M23">
        <v>0</v>
      </c>
      <c r="N23">
        <v>0.857865434554824</v>
      </c>
      <c r="O23">
        <v>0</v>
      </c>
      <c r="P23">
        <v>2380930.3377387198</v>
      </c>
      <c r="Q23">
        <v>0.35769842507487198</v>
      </c>
      <c r="R23">
        <v>2.5257419598212101</v>
      </c>
      <c r="S23">
        <v>34149.207747186898</v>
      </c>
      <c r="T23">
        <v>7.5174288730388703</v>
      </c>
      <c r="U23">
        <v>3.4095997197652399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-1024906.4510566</v>
      </c>
      <c r="AE23">
        <v>0</v>
      </c>
      <c r="AF23">
        <v>4394260.6842861697</v>
      </c>
      <c r="AG23">
        <v>0</v>
      </c>
      <c r="AH23">
        <v>4838516.9405761398</v>
      </c>
      <c r="AI23">
        <v>-1448095.7300891799</v>
      </c>
      <c r="AJ23">
        <v>10510601.8856744</v>
      </c>
      <c r="AK23">
        <v>1667679.5431373101</v>
      </c>
      <c r="AL23">
        <v>-56689.749115789098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18350966.0843242</v>
      </c>
      <c r="AW23">
        <v>18556361.149667401</v>
      </c>
      <c r="AX23">
        <v>-5599665.1496676505</v>
      </c>
      <c r="AY23">
        <v>27575194</v>
      </c>
      <c r="AZ23">
        <v>40531889.999999799</v>
      </c>
      <c r="BA23"/>
      <c r="BB23"/>
    </row>
    <row r="24" spans="1:54" x14ac:dyDescent="0.2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915674899.02363503</v>
      </c>
      <c r="K24">
        <v>22719818.395769</v>
      </c>
      <c r="L24">
        <v>12247363.8094016</v>
      </c>
      <c r="M24">
        <v>0</v>
      </c>
      <c r="N24">
        <v>0.87014836008015595</v>
      </c>
      <c r="O24">
        <v>0</v>
      </c>
      <c r="P24">
        <v>2431976.7748505399</v>
      </c>
      <c r="Q24">
        <v>0.35138187466933302</v>
      </c>
      <c r="R24">
        <v>2.9854155094792598</v>
      </c>
      <c r="S24">
        <v>33180.000316564998</v>
      </c>
      <c r="T24">
        <v>7.4922899329385704</v>
      </c>
      <c r="U24">
        <v>3.4123453178573202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1130028.57316423</v>
      </c>
      <c r="AE24">
        <v>0</v>
      </c>
      <c r="AF24">
        <v>-1633029.7777281399</v>
      </c>
      <c r="AG24">
        <v>0</v>
      </c>
      <c r="AH24">
        <v>5015586.57068522</v>
      </c>
      <c r="AI24">
        <v>-949584.53927012905</v>
      </c>
      <c r="AJ24">
        <v>14450943.9167866</v>
      </c>
      <c r="AK24">
        <v>1620816.8477109601</v>
      </c>
      <c r="AL24">
        <v>-44801.174993676803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19589960.4163551</v>
      </c>
      <c r="AW24">
        <v>19700754.5802976</v>
      </c>
      <c r="AX24">
        <v>1029044.41970277</v>
      </c>
      <c r="AY24">
        <v>22919974</v>
      </c>
      <c r="AZ24">
        <v>43649773.000000402</v>
      </c>
      <c r="BA24"/>
      <c r="BB24"/>
    </row>
    <row r="25" spans="1:54" x14ac:dyDescent="0.2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950557060.17273295</v>
      </c>
      <c r="K25">
        <v>17427015.190576199</v>
      </c>
      <c r="L25">
        <v>12189060.458303699</v>
      </c>
      <c r="M25">
        <v>0</v>
      </c>
      <c r="N25">
        <v>0.87453611440325896</v>
      </c>
      <c r="O25">
        <v>0</v>
      </c>
      <c r="P25">
        <v>2489143.47111732</v>
      </c>
      <c r="Q25">
        <v>0.34989923840892501</v>
      </c>
      <c r="R25">
        <v>3.2678900407111202</v>
      </c>
      <c r="S25">
        <v>31707.039385882101</v>
      </c>
      <c r="T25">
        <v>7.5260429450324597</v>
      </c>
      <c r="U25">
        <v>3.5735851352236199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2564943.6904467898</v>
      </c>
      <c r="AE25">
        <v>0</v>
      </c>
      <c r="AF25">
        <v>-3657593.0869601802</v>
      </c>
      <c r="AG25">
        <v>0</v>
      </c>
      <c r="AH25">
        <v>6077172.7326792805</v>
      </c>
      <c r="AI25">
        <v>-89397.054546426705</v>
      </c>
      <c r="AJ25">
        <v>8488626.5625487901</v>
      </c>
      <c r="AK25">
        <v>2678635.4590072702</v>
      </c>
      <c r="AL25">
        <v>7054.1943029783497</v>
      </c>
      <c r="AM25">
        <v>-1216924.01639579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14852518.4810827</v>
      </c>
      <c r="AW25">
        <v>14991312.3952247</v>
      </c>
      <c r="AX25">
        <v>27752064.604775101</v>
      </c>
      <c r="AY25">
        <v>15747264</v>
      </c>
      <c r="AZ25">
        <v>58490640.999999903</v>
      </c>
      <c r="BA25"/>
      <c r="BB25"/>
    </row>
    <row r="26" spans="1:54" x14ac:dyDescent="0.2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964774633.02620006</v>
      </c>
      <c r="K26">
        <v>3595317.8645722098</v>
      </c>
      <c r="L26">
        <v>12139213.002662901</v>
      </c>
      <c r="M26">
        <v>0</v>
      </c>
      <c r="N26">
        <v>0.89575729761823097</v>
      </c>
      <c r="O26">
        <v>0</v>
      </c>
      <c r="P26">
        <v>2506046.0194194498</v>
      </c>
      <c r="Q26">
        <v>0.34780737583798599</v>
      </c>
      <c r="R26">
        <v>3.4551355017601701</v>
      </c>
      <c r="S26">
        <v>31993.077300879799</v>
      </c>
      <c r="T26">
        <v>7.4289218051663397</v>
      </c>
      <c r="U26">
        <v>3.74734725518692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3203987.1291996301</v>
      </c>
      <c r="AE26">
        <v>0</v>
      </c>
      <c r="AF26">
        <v>-4766119.0725097898</v>
      </c>
      <c r="AG26">
        <v>0</v>
      </c>
      <c r="AH26">
        <v>2532438.10012668</v>
      </c>
      <c r="AI26">
        <v>-1307541.7305647701</v>
      </c>
      <c r="AJ26">
        <v>5638927.6675712503</v>
      </c>
      <c r="AK26">
        <v>-725667.42349317996</v>
      </c>
      <c r="AL26">
        <v>-160289.52654214899</v>
      </c>
      <c r="AM26">
        <v>-1260882.7749158801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3154852.3688717801</v>
      </c>
      <c r="AW26">
        <v>3046981.23015205</v>
      </c>
      <c r="AX26">
        <v>-740259.23015222303</v>
      </c>
      <c r="AY26">
        <v>8688267.9999999907</v>
      </c>
      <c r="AZ26">
        <v>10994989.999999801</v>
      </c>
      <c r="BA26"/>
      <c r="BB26"/>
    </row>
    <row r="27" spans="1:54" x14ac:dyDescent="0.2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989414785.51860201</v>
      </c>
      <c r="K27">
        <v>24640152.4924017</v>
      </c>
      <c r="L27">
        <v>12290406.974323301</v>
      </c>
      <c r="M27">
        <v>0</v>
      </c>
      <c r="N27">
        <v>0.89493191570186303</v>
      </c>
      <c r="O27">
        <v>0</v>
      </c>
      <c r="P27">
        <v>2511974.24835356</v>
      </c>
      <c r="Q27">
        <v>0.34768094753883899</v>
      </c>
      <c r="R27">
        <v>3.8651958319828799</v>
      </c>
      <c r="S27">
        <v>31801.154273996501</v>
      </c>
      <c r="T27">
        <v>7.6059558929172697</v>
      </c>
      <c r="U27">
        <v>3.8012413147221298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7121812.4851595098</v>
      </c>
      <c r="AE27">
        <v>0</v>
      </c>
      <c r="AF27">
        <v>1576585.76013057</v>
      </c>
      <c r="AG27">
        <v>0</v>
      </c>
      <c r="AH27">
        <v>1139909.2205346799</v>
      </c>
      <c r="AI27">
        <v>-87998.107276090101</v>
      </c>
      <c r="AJ27">
        <v>11840986.614596199</v>
      </c>
      <c r="AK27">
        <v>448679.02286403597</v>
      </c>
      <c r="AL27">
        <v>316776.79456632899</v>
      </c>
      <c r="AM27">
        <v>-277775.08076711401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22078976.7098081</v>
      </c>
      <c r="AW27">
        <v>22469774.604157701</v>
      </c>
      <c r="AX27">
        <v>41133073.395842403</v>
      </c>
      <c r="AY27">
        <v>0</v>
      </c>
      <c r="AZ27">
        <v>63602848.000000201</v>
      </c>
      <c r="BA27"/>
      <c r="BB27"/>
    </row>
    <row r="28" spans="1:54" x14ac:dyDescent="0.2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919778595.00755298</v>
      </c>
      <c r="K28">
        <v>-69636190.511048794</v>
      </c>
      <c r="L28">
        <v>11963645.855133699</v>
      </c>
      <c r="M28">
        <v>0</v>
      </c>
      <c r="N28">
        <v>1.0103714186644599</v>
      </c>
      <c r="O28">
        <v>0</v>
      </c>
      <c r="P28">
        <v>2493193.30275037</v>
      </c>
      <c r="Q28">
        <v>0.35148787587781599</v>
      </c>
      <c r="R28">
        <v>2.8103374921298898</v>
      </c>
      <c r="S28">
        <v>30173.234862315599</v>
      </c>
      <c r="T28">
        <v>7.7096809882267996</v>
      </c>
      <c r="U28">
        <v>4.0092201872556501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-6919273.3268606197</v>
      </c>
      <c r="AE28">
        <v>0</v>
      </c>
      <c r="AF28">
        <v>-33592774.510672599</v>
      </c>
      <c r="AG28">
        <v>0</v>
      </c>
      <c r="AH28">
        <v>-1066143.7088672</v>
      </c>
      <c r="AI28">
        <v>1543548.1077350599</v>
      </c>
      <c r="AJ28">
        <v>-34035434.129789203</v>
      </c>
      <c r="AK28">
        <v>3635179.5877254</v>
      </c>
      <c r="AL28">
        <v>177576.659682514</v>
      </c>
      <c r="AM28">
        <v>-1630720.2636355001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-71888041.584682196</v>
      </c>
      <c r="AW28">
        <v>-70072848.501610205</v>
      </c>
      <c r="AX28">
        <v>-9576761.4983901195</v>
      </c>
      <c r="AY28">
        <v>0</v>
      </c>
      <c r="AZ28">
        <v>-79649610.000000298</v>
      </c>
      <c r="BA28"/>
      <c r="BB28"/>
    </row>
    <row r="29" spans="1:54" x14ac:dyDescent="0.2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935873725.24637699</v>
      </c>
      <c r="K29">
        <v>13755132.1211129</v>
      </c>
      <c r="L29">
        <v>11662173.301157</v>
      </c>
      <c r="M29">
        <v>0</v>
      </c>
      <c r="N29">
        <v>1.0147581535574</v>
      </c>
      <c r="O29">
        <v>0</v>
      </c>
      <c r="P29">
        <v>2506860.1969974199</v>
      </c>
      <c r="Q29">
        <v>0.351349882525408</v>
      </c>
      <c r="R29">
        <v>3.2698495335109898</v>
      </c>
      <c r="S29">
        <v>29669.122375049599</v>
      </c>
      <c r="T29">
        <v>7.9259908324617898</v>
      </c>
      <c r="U29">
        <v>4.0278793298481501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-6207014.64091451</v>
      </c>
      <c r="AE29">
        <v>0</v>
      </c>
      <c r="AF29">
        <v>767298.83282143401</v>
      </c>
      <c r="AG29">
        <v>0</v>
      </c>
      <c r="AH29">
        <v>1896310.32872249</v>
      </c>
      <c r="AI29">
        <v>182423.48767850699</v>
      </c>
      <c r="AJ29">
        <v>14911706.6226357</v>
      </c>
      <c r="AK29">
        <v>1041614.22283217</v>
      </c>
      <c r="AL29">
        <v>459276.92738579499</v>
      </c>
      <c r="AM29">
        <v>-7754.5537634593002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13043861.227398099</v>
      </c>
      <c r="AW29">
        <v>13243691.561709501</v>
      </c>
      <c r="AX29">
        <v>-25727859.5617094</v>
      </c>
      <c r="AY29">
        <v>2308521.9999999902</v>
      </c>
      <c r="AZ29">
        <v>-10175645.999999801</v>
      </c>
      <c r="BA29"/>
      <c r="BB29"/>
    </row>
    <row r="30" spans="1:54" x14ac:dyDescent="0.2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956159915.28499103</v>
      </c>
      <c r="K30">
        <v>20286190.038613498</v>
      </c>
      <c r="L30">
        <v>11462779.6350004</v>
      </c>
      <c r="M30">
        <v>0</v>
      </c>
      <c r="N30">
        <v>0.99742845238218503</v>
      </c>
      <c r="O30">
        <v>0</v>
      </c>
      <c r="P30">
        <v>2526455.28324511</v>
      </c>
      <c r="Q30">
        <v>0.34410319623580099</v>
      </c>
      <c r="R30">
        <v>4.0111020093806999</v>
      </c>
      <c r="S30">
        <v>29100.830016762298</v>
      </c>
      <c r="T30">
        <v>8.2132553545452698</v>
      </c>
      <c r="U30">
        <v>4.1277261650759902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-5889995.2738197502</v>
      </c>
      <c r="AE30">
        <v>0</v>
      </c>
      <c r="AF30">
        <v>4048712.7940840502</v>
      </c>
      <c r="AG30">
        <v>0</v>
      </c>
      <c r="AH30">
        <v>1545501.9265282899</v>
      </c>
      <c r="AI30">
        <v>-2583583.5668977499</v>
      </c>
      <c r="AJ30">
        <v>20840077.8821842</v>
      </c>
      <c r="AK30">
        <v>1276611.61797757</v>
      </c>
      <c r="AL30">
        <v>473238.30289521598</v>
      </c>
      <c r="AM30">
        <v>-825325.50570206402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-146479.21827437801</v>
      </c>
      <c r="AU30">
        <v>0</v>
      </c>
      <c r="AV30">
        <v>18738758.958975401</v>
      </c>
      <c r="AW30">
        <v>18681063.4497867</v>
      </c>
      <c r="AX30">
        <v>18673140.550213199</v>
      </c>
      <c r="AY30">
        <v>0</v>
      </c>
      <c r="AZ30">
        <v>37354203.999999903</v>
      </c>
      <c r="BA30"/>
      <c r="BB30"/>
    </row>
    <row r="31" spans="1:54" x14ac:dyDescent="0.2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951074556.84306395</v>
      </c>
      <c r="K31">
        <v>-5085358.4419261999</v>
      </c>
      <c r="L31">
        <v>11264859.978528</v>
      </c>
      <c r="M31">
        <v>0</v>
      </c>
      <c r="N31">
        <v>0.99257439422925597</v>
      </c>
      <c r="O31">
        <v>0</v>
      </c>
      <c r="P31">
        <v>2552570.2182420199</v>
      </c>
      <c r="Q31">
        <v>0.33060451780988898</v>
      </c>
      <c r="R31">
        <v>4.0256358420234699</v>
      </c>
      <c r="S31">
        <v>28874.309502126802</v>
      </c>
      <c r="T31">
        <v>8.2569154106646199</v>
      </c>
      <c r="U31">
        <v>4.1251469761152801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-3436908.8120193901</v>
      </c>
      <c r="AE31">
        <v>0</v>
      </c>
      <c r="AF31">
        <v>31760.717496051999</v>
      </c>
      <c r="AG31">
        <v>0</v>
      </c>
      <c r="AH31">
        <v>2087529.43013197</v>
      </c>
      <c r="AI31">
        <v>-4690605.6089858804</v>
      </c>
      <c r="AJ31">
        <v>399674.96092674701</v>
      </c>
      <c r="AK31">
        <v>641022.13802432804</v>
      </c>
      <c r="AL31">
        <v>51087.676009695802</v>
      </c>
      <c r="AM31">
        <v>18531.0323485638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-420579.39151501399</v>
      </c>
      <c r="AU31">
        <v>0</v>
      </c>
      <c r="AV31">
        <v>-5318487.8575829202</v>
      </c>
      <c r="AW31">
        <v>-5333705.2859261399</v>
      </c>
      <c r="AX31">
        <v>30491872.285925701</v>
      </c>
      <c r="AY31">
        <v>0</v>
      </c>
      <c r="AZ31">
        <v>25158166.999999601</v>
      </c>
      <c r="BA31"/>
      <c r="BB31"/>
    </row>
    <row r="32" spans="1:54" x14ac:dyDescent="0.2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943433097.82063794</v>
      </c>
      <c r="K32">
        <v>-7641459.0224267403</v>
      </c>
      <c r="L32">
        <v>11263611.059694201</v>
      </c>
      <c r="M32">
        <v>0</v>
      </c>
      <c r="N32">
        <v>1.0208482016625799</v>
      </c>
      <c r="O32">
        <v>0</v>
      </c>
      <c r="P32">
        <v>2586254.4538099999</v>
      </c>
      <c r="Q32">
        <v>0.32980914648163001</v>
      </c>
      <c r="R32">
        <v>3.8688140678341698</v>
      </c>
      <c r="S32">
        <v>29012.009098915601</v>
      </c>
      <c r="T32">
        <v>8.0614106631504807</v>
      </c>
      <c r="U32">
        <v>4.2099835744081098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2859690.6191149699</v>
      </c>
      <c r="AE32">
        <v>0</v>
      </c>
      <c r="AF32">
        <v>-7798464.8489393601</v>
      </c>
      <c r="AG32">
        <v>0</v>
      </c>
      <c r="AH32">
        <v>3569289.2427819902</v>
      </c>
      <c r="AI32">
        <v>-313652.08092510398</v>
      </c>
      <c r="AJ32">
        <v>-4364919.7605556501</v>
      </c>
      <c r="AK32">
        <v>-306374.38226036902</v>
      </c>
      <c r="AL32">
        <v>-347710.02824967599</v>
      </c>
      <c r="AM32">
        <v>-489061.04749145999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-648997.01470398996</v>
      </c>
      <c r="AU32">
        <v>0</v>
      </c>
      <c r="AV32">
        <v>-7840199.3012286397</v>
      </c>
      <c r="AW32">
        <v>-7836134.7317990102</v>
      </c>
      <c r="AX32">
        <v>-9950465.2682006303</v>
      </c>
      <c r="AY32">
        <v>0</v>
      </c>
      <c r="AZ32">
        <v>-17786599.999999601</v>
      </c>
      <c r="BA32"/>
      <c r="BB32"/>
    </row>
    <row r="33" spans="1:54" x14ac:dyDescent="0.2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942818374.21955705</v>
      </c>
      <c r="K33">
        <v>-614723.60108065698</v>
      </c>
      <c r="L33">
        <v>11419119.683224799</v>
      </c>
      <c r="M33">
        <v>0</v>
      </c>
      <c r="N33">
        <v>1.00169303980737</v>
      </c>
      <c r="O33">
        <v>0</v>
      </c>
      <c r="P33">
        <v>2619700.4193235799</v>
      </c>
      <c r="Q33">
        <v>0.32846012645969902</v>
      </c>
      <c r="R33">
        <v>3.64891258968906</v>
      </c>
      <c r="S33">
        <v>29100.5921407038</v>
      </c>
      <c r="T33">
        <v>8.1039332362453802</v>
      </c>
      <c r="U33">
        <v>4.2869099312537804</v>
      </c>
      <c r="V33">
        <v>0</v>
      </c>
      <c r="W33">
        <v>0</v>
      </c>
      <c r="X33">
        <v>0</v>
      </c>
      <c r="Y33">
        <v>0.161617672595357</v>
      </c>
      <c r="Z33">
        <v>0</v>
      </c>
      <c r="AA33">
        <v>0</v>
      </c>
      <c r="AB33">
        <v>0.274270248635608</v>
      </c>
      <c r="AC33">
        <v>0</v>
      </c>
      <c r="AD33">
        <v>6515568.5939772604</v>
      </c>
      <c r="AE33">
        <v>0</v>
      </c>
      <c r="AF33">
        <v>3482394.4997145901</v>
      </c>
      <c r="AG33">
        <v>0</v>
      </c>
      <c r="AH33">
        <v>2703293.2888610102</v>
      </c>
      <c r="AI33">
        <v>-563893.191899581</v>
      </c>
      <c r="AJ33">
        <v>-6179036.9691080097</v>
      </c>
      <c r="AK33">
        <v>-234024.08051166101</v>
      </c>
      <c r="AL33">
        <v>68314.828546623496</v>
      </c>
      <c r="AM33">
        <v>-613685.94614765397</v>
      </c>
      <c r="AN33">
        <v>0</v>
      </c>
      <c r="AO33">
        <v>0</v>
      </c>
      <c r="AP33">
        <v>0</v>
      </c>
      <c r="AQ33">
        <v>-4689347.1843558298</v>
      </c>
      <c r="AR33">
        <v>0</v>
      </c>
      <c r="AS33">
        <v>0</v>
      </c>
      <c r="AT33">
        <v>-995508.07544095803</v>
      </c>
      <c r="AU33">
        <v>0</v>
      </c>
      <c r="AV33">
        <v>-505924.23636419902</v>
      </c>
      <c r="AW33">
        <v>-574347.41894992499</v>
      </c>
      <c r="AX33">
        <v>-3539836.5810498302</v>
      </c>
      <c r="AY33">
        <v>0</v>
      </c>
      <c r="AZ33">
        <v>-4114183.9999997602</v>
      </c>
      <c r="BA33"/>
      <c r="BB33"/>
    </row>
    <row r="34" spans="1:54" x14ac:dyDescent="0.2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894614245.135584</v>
      </c>
      <c r="K34">
        <v>-48204129.083972901</v>
      </c>
      <c r="L34">
        <v>11782498.880544901</v>
      </c>
      <c r="M34">
        <v>0</v>
      </c>
      <c r="N34">
        <v>1.0041721746130801</v>
      </c>
      <c r="O34">
        <v>0</v>
      </c>
      <c r="P34">
        <v>2653957.9308234402</v>
      </c>
      <c r="Q34">
        <v>0.32927560808973799</v>
      </c>
      <c r="R34">
        <v>2.6811130935646199</v>
      </c>
      <c r="S34">
        <v>30303.426469331898</v>
      </c>
      <c r="T34">
        <v>7.8985869256322099</v>
      </c>
      <c r="U34">
        <v>4.4359767146259097</v>
      </c>
      <c r="V34">
        <v>0</v>
      </c>
      <c r="W34">
        <v>9.6904988128316497E-3</v>
      </c>
      <c r="X34">
        <v>0</v>
      </c>
      <c r="Y34">
        <v>1.0007329349109699</v>
      </c>
      <c r="Z34">
        <v>0</v>
      </c>
      <c r="AA34">
        <v>0</v>
      </c>
      <c r="AB34">
        <v>0.49431643972456502</v>
      </c>
      <c r="AC34">
        <v>0</v>
      </c>
      <c r="AD34">
        <v>12705383.8041442</v>
      </c>
      <c r="AE34">
        <v>0</v>
      </c>
      <c r="AF34">
        <v>-1947175.51258246</v>
      </c>
      <c r="AG34">
        <v>0</v>
      </c>
      <c r="AH34">
        <v>2648913.8839835399</v>
      </c>
      <c r="AI34">
        <v>335904.15712262702</v>
      </c>
      <c r="AJ34">
        <v>-31064398.9370116</v>
      </c>
      <c r="AK34">
        <v>-2593014.71420437</v>
      </c>
      <c r="AL34">
        <v>-392206.67624373501</v>
      </c>
      <c r="AM34">
        <v>-1065921.6889583</v>
      </c>
      <c r="AN34">
        <v>0</v>
      </c>
      <c r="AO34">
        <v>534945.43560017098</v>
      </c>
      <c r="AP34">
        <v>0</v>
      </c>
      <c r="AQ34">
        <v>-25361398.034484498</v>
      </c>
      <c r="AR34">
        <v>0</v>
      </c>
      <c r="AS34">
        <v>0</v>
      </c>
      <c r="AT34">
        <v>-2171107.0985205998</v>
      </c>
      <c r="AU34">
        <v>0</v>
      </c>
      <c r="AV34">
        <v>-48370075.381154999</v>
      </c>
      <c r="AW34">
        <v>-48017854.2861384</v>
      </c>
      <c r="AX34">
        <v>22401629.286138199</v>
      </c>
      <c r="AY34">
        <v>0</v>
      </c>
      <c r="AZ34">
        <v>-25616225.000000101</v>
      </c>
      <c r="BA34"/>
      <c r="BB34"/>
    </row>
    <row r="35" spans="1:54" x14ac:dyDescent="0.2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859663839.97545695</v>
      </c>
      <c r="K35">
        <v>-34950405.160127804</v>
      </c>
      <c r="L35">
        <v>12159503.951854199</v>
      </c>
      <c r="M35">
        <v>0</v>
      </c>
      <c r="N35">
        <v>1.01846091725655</v>
      </c>
      <c r="O35">
        <v>0</v>
      </c>
      <c r="P35">
        <v>2686779.4906811798</v>
      </c>
      <c r="Q35">
        <v>0.32603077162588501</v>
      </c>
      <c r="R35">
        <v>2.3755801694335101</v>
      </c>
      <c r="S35">
        <v>31096.219490803</v>
      </c>
      <c r="T35">
        <v>7.72797644755798</v>
      </c>
      <c r="U35">
        <v>4.9466887498879997</v>
      </c>
      <c r="V35">
        <v>0</v>
      </c>
      <c r="W35">
        <v>9.6904988128316497E-3</v>
      </c>
      <c r="X35">
        <v>0</v>
      </c>
      <c r="Y35">
        <v>1.9321347378446301</v>
      </c>
      <c r="Z35">
        <v>0</v>
      </c>
      <c r="AA35">
        <v>0</v>
      </c>
      <c r="AB35">
        <v>0.63630868723493395</v>
      </c>
      <c r="AC35">
        <v>0</v>
      </c>
      <c r="AD35">
        <v>12309222.749712501</v>
      </c>
      <c r="AE35">
        <v>0</v>
      </c>
      <c r="AF35">
        <v>-3581815.2317296299</v>
      </c>
      <c r="AG35">
        <v>0</v>
      </c>
      <c r="AH35">
        <v>2467364.1328561502</v>
      </c>
      <c r="AI35">
        <v>-1283070.03787311</v>
      </c>
      <c r="AJ35">
        <v>-11135438.185518499</v>
      </c>
      <c r="AK35">
        <v>-1588145.6810755001</v>
      </c>
      <c r="AL35">
        <v>-246506.59503809499</v>
      </c>
      <c r="AM35">
        <v>-3538397.02378385</v>
      </c>
      <c r="AN35">
        <v>0</v>
      </c>
      <c r="AO35">
        <v>0</v>
      </c>
      <c r="AP35">
        <v>0</v>
      </c>
      <c r="AQ35">
        <v>-28007602.155899402</v>
      </c>
      <c r="AR35">
        <v>0</v>
      </c>
      <c r="AS35">
        <v>0</v>
      </c>
      <c r="AT35">
        <v>-1401794.50363023</v>
      </c>
      <c r="AU35">
        <v>0</v>
      </c>
      <c r="AV35">
        <v>-36006182.531979598</v>
      </c>
      <c r="AW35">
        <v>-35861028.656061999</v>
      </c>
      <c r="AX35">
        <v>-6480565.3439378999</v>
      </c>
      <c r="AY35">
        <v>0</v>
      </c>
      <c r="AZ35">
        <v>-42341593.999999903</v>
      </c>
      <c r="BA35"/>
      <c r="BB35"/>
    </row>
    <row r="36" spans="1:54" x14ac:dyDescent="0.2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842321299.85985005</v>
      </c>
      <c r="K36">
        <v>-13850278.655587999</v>
      </c>
      <c r="L36">
        <v>12281198.976827201</v>
      </c>
      <c r="M36">
        <v>0</v>
      </c>
      <c r="N36">
        <v>1.0133404202490499</v>
      </c>
      <c r="O36">
        <v>0</v>
      </c>
      <c r="P36">
        <v>2723302.83405361</v>
      </c>
      <c r="Q36">
        <v>0.32283668878671401</v>
      </c>
      <c r="R36">
        <v>2.58711112807655</v>
      </c>
      <c r="S36">
        <v>31229.150292567101</v>
      </c>
      <c r="T36">
        <v>7.4478462005949302</v>
      </c>
      <c r="U36">
        <v>5.1713650493599799</v>
      </c>
      <c r="V36">
        <v>0</v>
      </c>
      <c r="W36">
        <v>1.94402988602498E-2</v>
      </c>
      <c r="X36">
        <v>0</v>
      </c>
      <c r="Y36">
        <v>2.8696980053701102</v>
      </c>
      <c r="Z36">
        <v>0</v>
      </c>
      <c r="AA36">
        <v>0</v>
      </c>
      <c r="AB36">
        <v>0.73091161422099005</v>
      </c>
      <c r="AC36">
        <v>0</v>
      </c>
      <c r="AD36">
        <v>3763137.9382464699</v>
      </c>
      <c r="AE36">
        <v>0</v>
      </c>
      <c r="AF36">
        <v>2794796.8384182798</v>
      </c>
      <c r="AG36">
        <v>0</v>
      </c>
      <c r="AH36">
        <v>2501719.0852741101</v>
      </c>
      <c r="AI36">
        <v>-487577.69900485798</v>
      </c>
      <c r="AJ36">
        <v>7622303.2845630003</v>
      </c>
      <c r="AK36">
        <v>-312763.91394067399</v>
      </c>
      <c r="AL36">
        <v>-508709.58773357002</v>
      </c>
      <c r="AM36">
        <v>-1502187.8095598801</v>
      </c>
      <c r="AN36">
        <v>0</v>
      </c>
      <c r="AO36">
        <v>438955.454091575</v>
      </c>
      <c r="AP36">
        <v>0</v>
      </c>
      <c r="AQ36">
        <v>-26869250.096822701</v>
      </c>
      <c r="AR36">
        <v>0</v>
      </c>
      <c r="AS36">
        <v>0</v>
      </c>
      <c r="AT36">
        <v>-1011666.98310909</v>
      </c>
      <c r="AU36">
        <v>0</v>
      </c>
      <c r="AV36">
        <v>-13814428.7713055</v>
      </c>
      <c r="AW36">
        <v>-14151713.3678119</v>
      </c>
      <c r="AX36">
        <v>-25445205.6321881</v>
      </c>
      <c r="AY36">
        <v>0</v>
      </c>
      <c r="AZ36">
        <v>-39596919</v>
      </c>
      <c r="BA36"/>
      <c r="BB36"/>
    </row>
    <row r="37" spans="1:54" x14ac:dyDescent="0.2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824632468.02864695</v>
      </c>
      <c r="K37">
        <v>-21820641.281687699</v>
      </c>
      <c r="L37">
        <v>12605880.249967899</v>
      </c>
      <c r="M37">
        <v>0</v>
      </c>
      <c r="N37">
        <v>1.0085579264681701</v>
      </c>
      <c r="O37">
        <v>0</v>
      </c>
      <c r="P37">
        <v>2755043.8205972002</v>
      </c>
      <c r="Q37">
        <v>0.32665160783327502</v>
      </c>
      <c r="R37">
        <v>2.86612689037909</v>
      </c>
      <c r="S37">
        <v>31624.666409858299</v>
      </c>
      <c r="T37">
        <v>7.1994298882696199</v>
      </c>
      <c r="U37">
        <v>5.4675502827794897</v>
      </c>
      <c r="V37">
        <v>0</v>
      </c>
      <c r="W37">
        <v>2.9190098907668102E-2</v>
      </c>
      <c r="X37">
        <v>0</v>
      </c>
      <c r="Y37">
        <v>3.85967537363417</v>
      </c>
      <c r="Z37">
        <v>0</v>
      </c>
      <c r="AA37">
        <v>0</v>
      </c>
      <c r="AB37">
        <v>0.82475758674098198</v>
      </c>
      <c r="AC37">
        <v>0.41079761662414999</v>
      </c>
      <c r="AD37">
        <v>6961380.5081279203</v>
      </c>
      <c r="AE37">
        <v>0</v>
      </c>
      <c r="AF37">
        <v>3759697.7564474298</v>
      </c>
      <c r="AG37">
        <v>0</v>
      </c>
      <c r="AH37">
        <v>2172162.36234122</v>
      </c>
      <c r="AI37">
        <v>680041.21113127901</v>
      </c>
      <c r="AJ37">
        <v>8852873.0354119502</v>
      </c>
      <c r="AK37">
        <v>-738018.56474398798</v>
      </c>
      <c r="AL37">
        <v>-412081.23558392102</v>
      </c>
      <c r="AM37">
        <v>-1866706.86989657</v>
      </c>
      <c r="AN37">
        <v>0</v>
      </c>
      <c r="AO37">
        <v>435455.77237049199</v>
      </c>
      <c r="AP37">
        <v>0</v>
      </c>
      <c r="AQ37">
        <v>-27322000.040593199</v>
      </c>
      <c r="AR37">
        <v>0</v>
      </c>
      <c r="AS37">
        <v>0</v>
      </c>
      <c r="AT37">
        <v>-967724.68381831201</v>
      </c>
      <c r="AU37">
        <v>-12522673.699328</v>
      </c>
      <c r="AV37">
        <v>-21258478.974190298</v>
      </c>
      <c r="AW37">
        <v>-21584926.265842199</v>
      </c>
      <c r="AX37">
        <v>-421525.734157698</v>
      </c>
      <c r="AY37">
        <v>0</v>
      </c>
      <c r="AZ37">
        <v>-22006451.999999899</v>
      </c>
      <c r="BA37"/>
      <c r="BB37"/>
    </row>
    <row r="38" spans="1:54" x14ac:dyDescent="0.2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105437135.656376</v>
      </c>
      <c r="K38">
        <v>0</v>
      </c>
      <c r="L38">
        <v>2436593.4779696302</v>
      </c>
      <c r="M38">
        <v>0</v>
      </c>
      <c r="N38">
        <v>0.90327811224383903</v>
      </c>
      <c r="O38">
        <v>0</v>
      </c>
      <c r="P38">
        <v>625427.99872995203</v>
      </c>
      <c r="Q38">
        <v>0.24101167174693</v>
      </c>
      <c r="R38">
        <v>1.9327110653241599</v>
      </c>
      <c r="S38">
        <v>34213.9259747588</v>
      </c>
      <c r="T38">
        <v>6.6866462964353799</v>
      </c>
      <c r="U38">
        <v>3.3043487636261699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93361892</v>
      </c>
      <c r="AZ38">
        <v>93361892</v>
      </c>
      <c r="BA38"/>
      <c r="BB38"/>
    </row>
    <row r="39" spans="1:54" x14ac:dyDescent="0.2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123336800.197106</v>
      </c>
      <c r="K39">
        <v>3661867.4352540602</v>
      </c>
      <c r="L39">
        <v>2233198.89111595</v>
      </c>
      <c r="M39">
        <v>0</v>
      </c>
      <c r="N39">
        <v>0.85839124566602198</v>
      </c>
      <c r="O39">
        <v>0</v>
      </c>
      <c r="P39">
        <v>606473.78608284402</v>
      </c>
      <c r="Q39">
        <v>0.23853130071381301</v>
      </c>
      <c r="R39">
        <v>2.1754289026257698</v>
      </c>
      <c r="S39">
        <v>33123.494929623899</v>
      </c>
      <c r="T39">
        <v>6.8276570740113396</v>
      </c>
      <c r="U39">
        <v>3.1964995583905602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142744.48639822399</v>
      </c>
      <c r="AE39">
        <v>0</v>
      </c>
      <c r="AF39">
        <v>762555.70643313206</v>
      </c>
      <c r="AG39">
        <v>0</v>
      </c>
      <c r="AH39">
        <v>603056.78578565503</v>
      </c>
      <c r="AI39">
        <v>-149998.622044207</v>
      </c>
      <c r="AJ39">
        <v>1094902.4705316699</v>
      </c>
      <c r="AK39">
        <v>238794.733529877</v>
      </c>
      <c r="AL39">
        <v>27216.1696971007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2769056.5170740099</v>
      </c>
      <c r="AW39">
        <v>2838093.6158245699</v>
      </c>
      <c r="AX39">
        <v>-3145400.6158245602</v>
      </c>
      <c r="AY39">
        <v>13655748</v>
      </c>
      <c r="AZ39">
        <v>13348441</v>
      </c>
      <c r="BA39"/>
      <c r="BB39"/>
    </row>
    <row r="40" spans="1:54" x14ac:dyDescent="0.2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173903774.80350301</v>
      </c>
      <c r="K40">
        <v>4652581.0775817903</v>
      </c>
      <c r="L40">
        <v>2306245.5779373501</v>
      </c>
      <c r="M40">
        <v>0</v>
      </c>
      <c r="N40">
        <v>0.85260774292212504</v>
      </c>
      <c r="O40">
        <v>0</v>
      </c>
      <c r="P40">
        <v>611693.84004382696</v>
      </c>
      <c r="Q40">
        <v>0.24408513500852499</v>
      </c>
      <c r="R40">
        <v>2.4979813251360601</v>
      </c>
      <c r="S40">
        <v>30558.561992458999</v>
      </c>
      <c r="T40">
        <v>7.0669842761828701</v>
      </c>
      <c r="U40">
        <v>3.1096136229761302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1086601.11573619</v>
      </c>
      <c r="AE40">
        <v>0</v>
      </c>
      <c r="AF40">
        <v>263870.86853300501</v>
      </c>
      <c r="AG40">
        <v>0</v>
      </c>
      <c r="AH40">
        <v>797603.16454284196</v>
      </c>
      <c r="AI40">
        <v>-11717.8473243961</v>
      </c>
      <c r="AJ40">
        <v>1481847.3268381499</v>
      </c>
      <c r="AK40">
        <v>365722.965671991</v>
      </c>
      <c r="AL40">
        <v>22408.771499434701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3994796.6624167301</v>
      </c>
      <c r="AW40">
        <v>4094574.3147014198</v>
      </c>
      <c r="AX40">
        <v>-3273788.3147014398</v>
      </c>
      <c r="AY40">
        <v>44950739</v>
      </c>
      <c r="AZ40">
        <v>45771524.999999903</v>
      </c>
      <c r="BA40"/>
      <c r="BB40"/>
    </row>
    <row r="41" spans="1:54" x14ac:dyDescent="0.2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208779015.16363299</v>
      </c>
      <c r="K41">
        <v>4010208.56692146</v>
      </c>
      <c r="L41">
        <v>2099012.64537337</v>
      </c>
      <c r="M41">
        <v>0</v>
      </c>
      <c r="N41">
        <v>0.83291999374987302</v>
      </c>
      <c r="O41">
        <v>0</v>
      </c>
      <c r="P41">
        <v>623605.49709429301</v>
      </c>
      <c r="Q41">
        <v>0.231065183520199</v>
      </c>
      <c r="R41">
        <v>2.9636798654038801</v>
      </c>
      <c r="S41">
        <v>29296.885264873199</v>
      </c>
      <c r="T41">
        <v>7.0451785115968599</v>
      </c>
      <c r="U41">
        <v>3.1541646759211899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-1422027.3843189599</v>
      </c>
      <c r="AE41">
        <v>0</v>
      </c>
      <c r="AF41">
        <v>492495.26002911199</v>
      </c>
      <c r="AG41">
        <v>0</v>
      </c>
      <c r="AH41">
        <v>1246649.6953129801</v>
      </c>
      <c r="AI41">
        <v>-370608.15981672902</v>
      </c>
      <c r="AJ41">
        <v>2798361.5131083098</v>
      </c>
      <c r="AK41">
        <v>458438.35186153499</v>
      </c>
      <c r="AL41">
        <v>31633.821974726801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3177507.7526770001</v>
      </c>
      <c r="AW41">
        <v>3213895.3988708202</v>
      </c>
      <c r="AX41">
        <v>616353.60112916399</v>
      </c>
      <c r="AY41">
        <v>27514218</v>
      </c>
      <c r="AZ41">
        <v>31344466.999999899</v>
      </c>
      <c r="BA41"/>
      <c r="BB41"/>
    </row>
    <row r="42" spans="1:54" x14ac:dyDescent="0.2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248124095.88054201</v>
      </c>
      <c r="K42">
        <v>9197267.8827050198</v>
      </c>
      <c r="L42">
        <v>1996582.2992606501</v>
      </c>
      <c r="M42">
        <v>0</v>
      </c>
      <c r="N42">
        <v>0.85874902196382197</v>
      </c>
      <c r="O42">
        <v>0</v>
      </c>
      <c r="P42">
        <v>625346.50641073403</v>
      </c>
      <c r="Q42">
        <v>0.22820859414647299</v>
      </c>
      <c r="R42">
        <v>3.2552741681692301</v>
      </c>
      <c r="S42">
        <v>27812.987350267202</v>
      </c>
      <c r="T42">
        <v>7.0247419658865402</v>
      </c>
      <c r="U42">
        <v>3.5884451611100401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2801073.3661135999</v>
      </c>
      <c r="AE42">
        <v>0</v>
      </c>
      <c r="AF42">
        <v>-271602.27327941603</v>
      </c>
      <c r="AG42">
        <v>0</v>
      </c>
      <c r="AH42">
        <v>1601615.8553827801</v>
      </c>
      <c r="AI42">
        <v>-35181.587071080801</v>
      </c>
      <c r="AJ42">
        <v>1830390.0911379</v>
      </c>
      <c r="AK42">
        <v>768304.957474372</v>
      </c>
      <c r="AL42">
        <v>45806.906894689302</v>
      </c>
      <c r="AM42">
        <v>-465907.27640573098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6335795.9818080096</v>
      </c>
      <c r="AW42">
        <v>6539966.7775333999</v>
      </c>
      <c r="AX42">
        <v>6249007.2224666299</v>
      </c>
      <c r="AY42">
        <v>26468097.999999899</v>
      </c>
      <c r="AZ42">
        <v>39257072</v>
      </c>
      <c r="BA42"/>
      <c r="BB42"/>
    </row>
    <row r="43" spans="1:54" x14ac:dyDescent="0.2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267337510.811728</v>
      </c>
      <c r="K43">
        <v>5368463.4162518298</v>
      </c>
      <c r="L43">
        <v>2003873.15211862</v>
      </c>
      <c r="M43">
        <v>0</v>
      </c>
      <c r="N43">
        <v>0.85533074829581202</v>
      </c>
      <c r="O43">
        <v>0</v>
      </c>
      <c r="P43">
        <v>623133.82390321395</v>
      </c>
      <c r="Q43">
        <v>0.22073030793252599</v>
      </c>
      <c r="R43">
        <v>3.4334782548745499</v>
      </c>
      <c r="S43">
        <v>28098.797510458</v>
      </c>
      <c r="T43">
        <v>7.17414649824536</v>
      </c>
      <c r="U43">
        <v>3.7197084420179301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2987581.39479096</v>
      </c>
      <c r="AE43">
        <v>0</v>
      </c>
      <c r="AF43">
        <v>312721.07133529498</v>
      </c>
      <c r="AG43">
        <v>0</v>
      </c>
      <c r="AH43">
        <v>626656.09167142701</v>
      </c>
      <c r="AI43">
        <v>-340143.87342832901</v>
      </c>
      <c r="AJ43">
        <v>1325623.2282261299</v>
      </c>
      <c r="AK43">
        <v>-187173.08829948399</v>
      </c>
      <c r="AL43">
        <v>42170.932212345098</v>
      </c>
      <c r="AM43">
        <v>-242001.09571344499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4467825.8519646702</v>
      </c>
      <c r="AW43">
        <v>4462329.4756030897</v>
      </c>
      <c r="AX43">
        <v>4162407.5243968801</v>
      </c>
      <c r="AY43">
        <v>12183549</v>
      </c>
      <c r="AZ43">
        <v>20808285.999999899</v>
      </c>
      <c r="BA43"/>
      <c r="BB43"/>
    </row>
    <row r="44" spans="1:54" x14ac:dyDescent="0.2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279212671.162395</v>
      </c>
      <c r="K44">
        <v>6847856.5026604999</v>
      </c>
      <c r="L44">
        <v>2045451.35607338</v>
      </c>
      <c r="M44">
        <v>0</v>
      </c>
      <c r="N44">
        <v>0.83675880989931595</v>
      </c>
      <c r="O44">
        <v>0</v>
      </c>
      <c r="P44">
        <v>631406.76496574702</v>
      </c>
      <c r="Q44">
        <v>0.21423325125085799</v>
      </c>
      <c r="R44">
        <v>3.8553356378928401</v>
      </c>
      <c r="S44">
        <v>28303.270758760598</v>
      </c>
      <c r="T44">
        <v>7.1357024164090896</v>
      </c>
      <c r="U44">
        <v>3.72182145453958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1639878.37723696</v>
      </c>
      <c r="AE44">
        <v>0</v>
      </c>
      <c r="AF44">
        <v>1157047.2611708699</v>
      </c>
      <c r="AG44">
        <v>0</v>
      </c>
      <c r="AH44">
        <v>224149.63614407601</v>
      </c>
      <c r="AI44">
        <v>-427889.08140581101</v>
      </c>
      <c r="AJ44">
        <v>3188946.4325709199</v>
      </c>
      <c r="AK44">
        <v>-121559.27838309501</v>
      </c>
      <c r="AL44">
        <v>-13058.654078724399</v>
      </c>
      <c r="AM44">
        <v>57244.615807169801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5683145.0442081001</v>
      </c>
      <c r="AW44">
        <v>5739957.5927756699</v>
      </c>
      <c r="AX44">
        <v>12167313.407224299</v>
      </c>
      <c r="AY44">
        <v>4015598.9999999902</v>
      </c>
      <c r="AZ44">
        <v>21922870</v>
      </c>
      <c r="BA44"/>
      <c r="BB44"/>
    </row>
    <row r="45" spans="1:54" x14ac:dyDescent="0.2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281342325.85385501</v>
      </c>
      <c r="K45">
        <v>-10536868.7210947</v>
      </c>
      <c r="L45">
        <v>2019529.28840738</v>
      </c>
      <c r="M45">
        <v>0</v>
      </c>
      <c r="N45">
        <v>0.87880583809795099</v>
      </c>
      <c r="O45">
        <v>0</v>
      </c>
      <c r="P45">
        <v>609605.28005366505</v>
      </c>
      <c r="Q45">
        <v>0.22081464924976299</v>
      </c>
      <c r="R45">
        <v>2.7863624188910401</v>
      </c>
      <c r="S45">
        <v>26722.041273401599</v>
      </c>
      <c r="T45">
        <v>7.1784159489522601</v>
      </c>
      <c r="U45">
        <v>3.7187435167299299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1383767.3761584701</v>
      </c>
      <c r="AE45">
        <v>0</v>
      </c>
      <c r="AF45">
        <v>-4040605.8601401499</v>
      </c>
      <c r="AG45">
        <v>0</v>
      </c>
      <c r="AH45">
        <v>-222967.114686619</v>
      </c>
      <c r="AI45">
        <v>703949.37108553399</v>
      </c>
      <c r="AJ45">
        <v>-9296950.0291764699</v>
      </c>
      <c r="AK45">
        <v>978074.78526260203</v>
      </c>
      <c r="AL45">
        <v>46970.136867890098</v>
      </c>
      <c r="AM45">
        <v>78355.445944563704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-10294921.5154969</v>
      </c>
      <c r="AW45">
        <v>-10281453.5603872</v>
      </c>
      <c r="AX45">
        <v>2301921.5603872002</v>
      </c>
      <c r="AY45">
        <v>13248340.999999899</v>
      </c>
      <c r="AZ45">
        <v>5268808.99999996</v>
      </c>
      <c r="BA45"/>
      <c r="BB45"/>
    </row>
    <row r="46" spans="1:54" x14ac:dyDescent="0.2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290970884.39995199</v>
      </c>
      <c r="K46">
        <v>7190469.1143004298</v>
      </c>
      <c r="L46">
        <v>1978915.2493904701</v>
      </c>
      <c r="M46">
        <v>0</v>
      </c>
      <c r="N46">
        <v>0.86119251401601804</v>
      </c>
      <c r="O46">
        <v>0</v>
      </c>
      <c r="P46">
        <v>612874.20691296004</v>
      </c>
      <c r="Q46">
        <v>0.223300400096271</v>
      </c>
      <c r="R46">
        <v>3.2463067363760798</v>
      </c>
      <c r="S46">
        <v>26688.256039153999</v>
      </c>
      <c r="T46">
        <v>7.4350733284934201</v>
      </c>
      <c r="U46">
        <v>4.0766241097197602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524753.98951699096</v>
      </c>
      <c r="AE46">
        <v>0</v>
      </c>
      <c r="AF46">
        <v>1439996.06055076</v>
      </c>
      <c r="AG46">
        <v>0</v>
      </c>
      <c r="AH46">
        <v>485485.39076213603</v>
      </c>
      <c r="AI46">
        <v>277424.94428671198</v>
      </c>
      <c r="AJ46">
        <v>4477529.0107670398</v>
      </c>
      <c r="AK46">
        <v>-60883.636981080803</v>
      </c>
      <c r="AL46">
        <v>146018.878183208</v>
      </c>
      <c r="AM46">
        <v>-621733.18623941601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-45409.698275823503</v>
      </c>
      <c r="AU46">
        <v>0</v>
      </c>
      <c r="AV46">
        <v>6594248.4768845998</v>
      </c>
      <c r="AW46">
        <v>6666585.3154360196</v>
      </c>
      <c r="AX46">
        <v>-3561515.315436</v>
      </c>
      <c r="AY46">
        <v>1770537</v>
      </c>
      <c r="AZ46">
        <v>4875607.0000000102</v>
      </c>
      <c r="BA46"/>
      <c r="BB46"/>
    </row>
    <row r="47" spans="1:54" x14ac:dyDescent="0.2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301222245.76751798</v>
      </c>
      <c r="K47">
        <v>9528227.4545394499</v>
      </c>
      <c r="L47">
        <v>1946387.8468207</v>
      </c>
      <c r="M47">
        <v>0</v>
      </c>
      <c r="N47">
        <v>0.82689773679198897</v>
      </c>
      <c r="O47">
        <v>0</v>
      </c>
      <c r="P47">
        <v>614648.46434809605</v>
      </c>
      <c r="Q47">
        <v>0.215608017051509</v>
      </c>
      <c r="R47">
        <v>3.9898887004223398</v>
      </c>
      <c r="S47">
        <v>26432.954663786499</v>
      </c>
      <c r="T47">
        <v>7.4899764906927802</v>
      </c>
      <c r="U47">
        <v>3.9427737757402199</v>
      </c>
      <c r="V47">
        <v>0</v>
      </c>
      <c r="W47">
        <v>9.2987181962922594E-3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-282303.18891704403</v>
      </c>
      <c r="AE47">
        <v>0</v>
      </c>
      <c r="AF47">
        <v>2531896.78757963</v>
      </c>
      <c r="AG47">
        <v>0</v>
      </c>
      <c r="AH47">
        <v>370350.58841328003</v>
      </c>
      <c r="AI47">
        <v>-733136.18876095803</v>
      </c>
      <c r="AJ47">
        <v>6468232.3992128503</v>
      </c>
      <c r="AK47">
        <v>114271.56979679099</v>
      </c>
      <c r="AL47">
        <v>52614.545562815802</v>
      </c>
      <c r="AM47">
        <v>188725.621204177</v>
      </c>
      <c r="AN47">
        <v>0</v>
      </c>
      <c r="AO47">
        <v>115179.426273119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8753502.6948951706</v>
      </c>
      <c r="AW47">
        <v>8813865.4405940492</v>
      </c>
      <c r="AX47">
        <v>7790364.5594059601</v>
      </c>
      <c r="AY47">
        <v>1273013.99999999</v>
      </c>
      <c r="AZ47">
        <v>17877244</v>
      </c>
      <c r="BA47"/>
      <c r="BB47"/>
    </row>
    <row r="48" spans="1:54" x14ac:dyDescent="0.2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308203651.52852601</v>
      </c>
      <c r="K48">
        <v>-126029.68013602</v>
      </c>
      <c r="L48">
        <v>1935564.7547657499</v>
      </c>
      <c r="M48">
        <v>0</v>
      </c>
      <c r="N48">
        <v>0.82821757692531495</v>
      </c>
      <c r="O48">
        <v>0</v>
      </c>
      <c r="P48">
        <v>608223.96752153302</v>
      </c>
      <c r="Q48">
        <v>0.20287939749310699</v>
      </c>
      <c r="R48">
        <v>3.99676458590372</v>
      </c>
      <c r="S48">
        <v>25928.146323228299</v>
      </c>
      <c r="T48">
        <v>7.33093904795337</v>
      </c>
      <c r="U48">
        <v>3.7964745491418501</v>
      </c>
      <c r="V48">
        <v>0</v>
      </c>
      <c r="W48">
        <v>1.81254270699816E-2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418133.244070335</v>
      </c>
      <c r="AE48">
        <v>0</v>
      </c>
      <c r="AF48">
        <v>-331557.23319185898</v>
      </c>
      <c r="AG48">
        <v>0</v>
      </c>
      <c r="AH48">
        <v>489773.87898028898</v>
      </c>
      <c r="AI48">
        <v>-1203020.45702273</v>
      </c>
      <c r="AJ48">
        <v>68276.930620733896</v>
      </c>
      <c r="AK48">
        <v>342342.71775774902</v>
      </c>
      <c r="AL48">
        <v>-67834.095583404604</v>
      </c>
      <c r="AM48">
        <v>266999.03489283897</v>
      </c>
      <c r="AN48">
        <v>0</v>
      </c>
      <c r="AO48">
        <v>111408.05717736699</v>
      </c>
      <c r="AP48">
        <v>0</v>
      </c>
      <c r="AQ48">
        <v>0</v>
      </c>
      <c r="AR48">
        <v>0</v>
      </c>
      <c r="AS48">
        <v>0</v>
      </c>
      <c r="AT48">
        <v>-29481.8343631891</v>
      </c>
      <c r="AU48">
        <v>0</v>
      </c>
      <c r="AV48">
        <v>111829.565623895</v>
      </c>
      <c r="AW48">
        <v>171949.37743751099</v>
      </c>
      <c r="AX48">
        <v>8191616.6225624001</v>
      </c>
      <c r="AY48">
        <v>6209327.9999999898</v>
      </c>
      <c r="AZ48">
        <v>14572893.999999899</v>
      </c>
      <c r="BA48"/>
      <c r="BB48"/>
    </row>
    <row r="49" spans="1:54" x14ac:dyDescent="0.2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302418210.84567302</v>
      </c>
      <c r="K49">
        <v>-5785440.6828530598</v>
      </c>
      <c r="L49">
        <v>1946060.67257579</v>
      </c>
      <c r="M49">
        <v>0</v>
      </c>
      <c r="N49">
        <v>0.88674250938854704</v>
      </c>
      <c r="O49">
        <v>0</v>
      </c>
      <c r="P49">
        <v>617901.40567327396</v>
      </c>
      <c r="Q49">
        <v>0.20234804564720699</v>
      </c>
      <c r="R49">
        <v>3.8467504249086302</v>
      </c>
      <c r="S49">
        <v>25948.276808231301</v>
      </c>
      <c r="T49">
        <v>7.3388802978969201</v>
      </c>
      <c r="U49">
        <v>3.7100248896118599</v>
      </c>
      <c r="V49">
        <v>0</v>
      </c>
      <c r="W49">
        <v>1.81254270699816E-2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1030600.11939784</v>
      </c>
      <c r="AE49">
        <v>0</v>
      </c>
      <c r="AF49">
        <v>-6147447.9760548295</v>
      </c>
      <c r="AG49">
        <v>0</v>
      </c>
      <c r="AH49">
        <v>849016.30680104496</v>
      </c>
      <c r="AI49">
        <v>-50255.838112372498</v>
      </c>
      <c r="AJ49">
        <v>-1341369.4178015201</v>
      </c>
      <c r="AK49">
        <v>-10200.6018462914</v>
      </c>
      <c r="AL49">
        <v>16728.1102484898</v>
      </c>
      <c r="AM49">
        <v>225427.102469184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-5376295.7038388597</v>
      </c>
      <c r="AW49">
        <v>-5379038.67426774</v>
      </c>
      <c r="AX49">
        <v>2587318.6742678601</v>
      </c>
      <c r="AY49">
        <v>0</v>
      </c>
      <c r="AZ49">
        <v>-2791719.9999998701</v>
      </c>
      <c r="BA49"/>
      <c r="BB49"/>
    </row>
    <row r="50" spans="1:54" x14ac:dyDescent="0.2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303397948.661488</v>
      </c>
      <c r="K50">
        <v>979737.81581489695</v>
      </c>
      <c r="L50">
        <v>1979471.6415816301</v>
      </c>
      <c r="M50">
        <v>0</v>
      </c>
      <c r="N50">
        <v>0.87558638487103202</v>
      </c>
      <c r="O50">
        <v>0</v>
      </c>
      <c r="P50">
        <v>622817.90920902696</v>
      </c>
      <c r="Q50">
        <v>0.199736608861838</v>
      </c>
      <c r="R50">
        <v>3.63380642695265</v>
      </c>
      <c r="S50">
        <v>26285.550477232198</v>
      </c>
      <c r="T50">
        <v>7.44553066439346</v>
      </c>
      <c r="U50">
        <v>3.87627722590357</v>
      </c>
      <c r="V50">
        <v>0</v>
      </c>
      <c r="W50">
        <v>1.81254270699816E-2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3061470.30521109</v>
      </c>
      <c r="AE50">
        <v>0</v>
      </c>
      <c r="AF50">
        <v>447741.35888656898</v>
      </c>
      <c r="AG50">
        <v>0</v>
      </c>
      <c r="AH50">
        <v>513119.40310287499</v>
      </c>
      <c r="AI50">
        <v>-279876.131866301</v>
      </c>
      <c r="AJ50">
        <v>-1969835.9408327001</v>
      </c>
      <c r="AK50">
        <v>-302731.08114346</v>
      </c>
      <c r="AL50">
        <v>20152.559959247701</v>
      </c>
      <c r="AM50">
        <v>-392203.63969469297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-68057.010176877593</v>
      </c>
      <c r="AU50">
        <v>0</v>
      </c>
      <c r="AV50">
        <v>1029819.2223811999</v>
      </c>
      <c r="AW50">
        <v>1086241.96588933</v>
      </c>
      <c r="AX50">
        <v>-1254992.9658893901</v>
      </c>
      <c r="AY50">
        <v>0</v>
      </c>
      <c r="AZ50">
        <v>-168751.000000053</v>
      </c>
      <c r="BA50"/>
      <c r="BB50"/>
    </row>
    <row r="51" spans="1:54" x14ac:dyDescent="0.2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286142705.94381899</v>
      </c>
      <c r="K51">
        <v>-17255242.717669401</v>
      </c>
      <c r="L51">
        <v>2031768.2667340201</v>
      </c>
      <c r="M51">
        <v>0</v>
      </c>
      <c r="N51">
        <v>0.92610744089206498</v>
      </c>
      <c r="O51">
        <v>0</v>
      </c>
      <c r="P51">
        <v>628390.24457361503</v>
      </c>
      <c r="Q51">
        <v>0.19673814729922501</v>
      </c>
      <c r="R51">
        <v>2.6341108998418701</v>
      </c>
      <c r="S51">
        <v>27172.0242436115</v>
      </c>
      <c r="T51">
        <v>7.2637074674622797</v>
      </c>
      <c r="U51">
        <v>3.8998559605686198</v>
      </c>
      <c r="V51">
        <v>0</v>
      </c>
      <c r="W51">
        <v>1.81254270699816E-2</v>
      </c>
      <c r="X51">
        <v>0</v>
      </c>
      <c r="Y51">
        <v>0.58852490250573697</v>
      </c>
      <c r="Z51">
        <v>0</v>
      </c>
      <c r="AA51">
        <v>0</v>
      </c>
      <c r="AB51">
        <v>0.116648771724323</v>
      </c>
      <c r="AC51">
        <v>0</v>
      </c>
      <c r="AD51">
        <v>2988159.9024330801</v>
      </c>
      <c r="AE51">
        <v>0</v>
      </c>
      <c r="AF51">
        <v>-3853910.57985149</v>
      </c>
      <c r="AG51">
        <v>0</v>
      </c>
      <c r="AH51">
        <v>588375.79737674003</v>
      </c>
      <c r="AI51">
        <v>-365963.91621579998</v>
      </c>
      <c r="AJ51">
        <v>-10505049.983457999</v>
      </c>
      <c r="AK51">
        <v>-681892.79482452304</v>
      </c>
      <c r="AL51">
        <v>-96413.315229213302</v>
      </c>
      <c r="AM51">
        <v>29256.108166645499</v>
      </c>
      <c r="AN51">
        <v>0</v>
      </c>
      <c r="AO51">
        <v>0</v>
      </c>
      <c r="AP51">
        <v>0</v>
      </c>
      <c r="AQ51">
        <v>-5651722.1222044602</v>
      </c>
      <c r="AR51">
        <v>0</v>
      </c>
      <c r="AS51">
        <v>0</v>
      </c>
      <c r="AT51">
        <v>-169861.99772245</v>
      </c>
      <c r="AU51">
        <v>0</v>
      </c>
      <c r="AV51">
        <v>-17609419.477459598</v>
      </c>
      <c r="AW51">
        <v>-17312444.020566199</v>
      </c>
      <c r="AX51">
        <v>5776743.0205662297</v>
      </c>
      <c r="AY51">
        <v>0</v>
      </c>
      <c r="AZ51">
        <v>-11535701</v>
      </c>
      <c r="BA51"/>
      <c r="BB51"/>
    </row>
    <row r="52" spans="1:54" x14ac:dyDescent="0.2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272534394.92510003</v>
      </c>
      <c r="K52">
        <v>-13608311.0187185</v>
      </c>
      <c r="L52">
        <v>2070163.5346603</v>
      </c>
      <c r="M52">
        <v>0</v>
      </c>
      <c r="N52">
        <v>0.98231499881384798</v>
      </c>
      <c r="O52">
        <v>0</v>
      </c>
      <c r="P52">
        <v>633203.89148553996</v>
      </c>
      <c r="Q52">
        <v>0.20067080188470501</v>
      </c>
      <c r="R52">
        <v>2.3486757765466901</v>
      </c>
      <c r="S52">
        <v>27560.696767792098</v>
      </c>
      <c r="T52">
        <v>7.0910426864023099</v>
      </c>
      <c r="U52">
        <v>4.4601404866979797</v>
      </c>
      <c r="V52">
        <v>0</v>
      </c>
      <c r="W52">
        <v>1.81254270699816E-2</v>
      </c>
      <c r="X52">
        <v>0</v>
      </c>
      <c r="Y52">
        <v>1.3895032207564899</v>
      </c>
      <c r="Z52">
        <v>0</v>
      </c>
      <c r="AA52">
        <v>0</v>
      </c>
      <c r="AB52">
        <v>0.19620894514568199</v>
      </c>
      <c r="AC52">
        <v>0</v>
      </c>
      <c r="AD52">
        <v>2000583.3408287601</v>
      </c>
      <c r="AE52">
        <v>0</v>
      </c>
      <c r="AF52">
        <v>-4226856.1928318301</v>
      </c>
      <c r="AG52">
        <v>0</v>
      </c>
      <c r="AH52">
        <v>541102.95997200802</v>
      </c>
      <c r="AI52">
        <v>490957.34551744402</v>
      </c>
      <c r="AJ52">
        <v>-3408896.12215742</v>
      </c>
      <c r="AK52">
        <v>-265351.86665498401</v>
      </c>
      <c r="AL52">
        <v>-75496.863771920194</v>
      </c>
      <c r="AM52">
        <v>-1271342.56554748</v>
      </c>
      <c r="AN52">
        <v>0</v>
      </c>
      <c r="AO52">
        <v>0</v>
      </c>
      <c r="AP52">
        <v>0</v>
      </c>
      <c r="AQ52">
        <v>-7625349.8118203096</v>
      </c>
      <c r="AR52">
        <v>0</v>
      </c>
      <c r="AS52">
        <v>0</v>
      </c>
      <c r="AT52">
        <v>-269074.43521273503</v>
      </c>
      <c r="AU52">
        <v>0</v>
      </c>
      <c r="AV52">
        <v>-14069116.8399754</v>
      </c>
      <c r="AW52">
        <v>-13800639.5478168</v>
      </c>
      <c r="AX52">
        <v>-4687291.4521831097</v>
      </c>
      <c r="AY52">
        <v>0</v>
      </c>
      <c r="AZ52">
        <v>-18487930.999999899</v>
      </c>
      <c r="BA52"/>
      <c r="BB52"/>
    </row>
    <row r="53" spans="1:54" x14ac:dyDescent="0.2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266688953.43935099</v>
      </c>
      <c r="K53">
        <v>-4957406.7555057798</v>
      </c>
      <c r="L53">
        <v>2092519.58216083</v>
      </c>
      <c r="M53">
        <v>0</v>
      </c>
      <c r="N53">
        <v>0.97553444358584496</v>
      </c>
      <c r="O53">
        <v>0</v>
      </c>
      <c r="P53">
        <v>637940.464880354</v>
      </c>
      <c r="Q53">
        <v>0.19912958800177799</v>
      </c>
      <c r="R53">
        <v>2.5615476818083498</v>
      </c>
      <c r="S53">
        <v>27766.121232206599</v>
      </c>
      <c r="T53">
        <v>7.0528773145489101</v>
      </c>
      <c r="U53">
        <v>4.7619152118705497</v>
      </c>
      <c r="V53">
        <v>0</v>
      </c>
      <c r="W53">
        <v>1.81254270699816E-2</v>
      </c>
      <c r="X53">
        <v>0</v>
      </c>
      <c r="Y53">
        <v>2.2760238037469702</v>
      </c>
      <c r="Z53">
        <v>0</v>
      </c>
      <c r="AA53">
        <v>0</v>
      </c>
      <c r="AB53">
        <v>0.42140254669565802</v>
      </c>
      <c r="AC53">
        <v>0</v>
      </c>
      <c r="AD53">
        <v>1574497.8194190899</v>
      </c>
      <c r="AE53">
        <v>0</v>
      </c>
      <c r="AF53">
        <v>491585.72433331702</v>
      </c>
      <c r="AG53">
        <v>0</v>
      </c>
      <c r="AH53">
        <v>459385.582217663</v>
      </c>
      <c r="AI53">
        <v>-73528.779746038097</v>
      </c>
      <c r="AJ53">
        <v>2445879.9282500502</v>
      </c>
      <c r="AK53">
        <v>-221327.91332938601</v>
      </c>
      <c r="AL53">
        <v>-23881.3021251383</v>
      </c>
      <c r="AM53">
        <v>-617315.66923324496</v>
      </c>
      <c r="AN53">
        <v>0</v>
      </c>
      <c r="AO53">
        <v>0</v>
      </c>
      <c r="AP53">
        <v>0</v>
      </c>
      <c r="AQ53">
        <v>-8110982.2984014796</v>
      </c>
      <c r="AR53">
        <v>0</v>
      </c>
      <c r="AS53">
        <v>0</v>
      </c>
      <c r="AT53">
        <v>-631691.44822952</v>
      </c>
      <c r="AU53">
        <v>0</v>
      </c>
      <c r="AV53">
        <v>-4772072.8926130002</v>
      </c>
      <c r="AW53">
        <v>-4883204.85350795</v>
      </c>
      <c r="AX53">
        <v>-3510509.1464920398</v>
      </c>
      <c r="AY53">
        <v>0</v>
      </c>
      <c r="AZ53">
        <v>-8393713.9999999907</v>
      </c>
      <c r="BA53"/>
      <c r="BB53"/>
    </row>
    <row r="54" spans="1:54" x14ac:dyDescent="0.2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262240270.762007</v>
      </c>
      <c r="K54">
        <v>-5383787.7889489802</v>
      </c>
      <c r="L54">
        <v>2110597.3381989901</v>
      </c>
      <c r="M54">
        <v>0</v>
      </c>
      <c r="N54">
        <v>0.97569250120411</v>
      </c>
      <c r="O54">
        <v>0</v>
      </c>
      <c r="P54">
        <v>643261.456961027</v>
      </c>
      <c r="Q54">
        <v>0.199048693555371</v>
      </c>
      <c r="R54">
        <v>2.8183435351760502</v>
      </c>
      <c r="S54">
        <v>28105.315492605201</v>
      </c>
      <c r="T54">
        <v>6.9794359227421401</v>
      </c>
      <c r="U54">
        <v>5.1283173872823102</v>
      </c>
      <c r="V54">
        <v>0</v>
      </c>
      <c r="W54">
        <v>1.81254270699816E-2</v>
      </c>
      <c r="X54">
        <v>0</v>
      </c>
      <c r="Y54">
        <v>3.2621241012143001</v>
      </c>
      <c r="Z54">
        <v>0</v>
      </c>
      <c r="AA54">
        <v>0</v>
      </c>
      <c r="AB54">
        <v>0.57605336462404799</v>
      </c>
      <c r="AC54">
        <v>6.7187175884046699E-2</v>
      </c>
      <c r="AD54">
        <v>1660266.4426704601</v>
      </c>
      <c r="AE54">
        <v>0</v>
      </c>
      <c r="AF54">
        <v>872883.82367694203</v>
      </c>
      <c r="AG54">
        <v>0</v>
      </c>
      <c r="AH54">
        <v>483546.06628416502</v>
      </c>
      <c r="AI54">
        <v>-111296.701167201</v>
      </c>
      <c r="AJ54">
        <v>2681608.54824263</v>
      </c>
      <c r="AK54">
        <v>-255662.790271048</v>
      </c>
      <c r="AL54">
        <v>-30438.040526688699</v>
      </c>
      <c r="AM54">
        <v>-761228.08915608295</v>
      </c>
      <c r="AN54">
        <v>0</v>
      </c>
      <c r="AO54">
        <v>0</v>
      </c>
      <c r="AP54">
        <v>0</v>
      </c>
      <c r="AQ54">
        <v>-8766277.5824893098</v>
      </c>
      <c r="AR54">
        <v>0</v>
      </c>
      <c r="AS54">
        <v>0</v>
      </c>
      <c r="AT54">
        <v>-433456.37556307501</v>
      </c>
      <c r="AU54">
        <v>-775450.74322328996</v>
      </c>
      <c r="AV54">
        <v>-5442636.0297159404</v>
      </c>
      <c r="AW54">
        <v>-5514510.03381842</v>
      </c>
      <c r="AX54">
        <v>2283229.0338183902</v>
      </c>
      <c r="AY54">
        <v>0</v>
      </c>
      <c r="AZ54">
        <v>-3231281.00000002</v>
      </c>
      <c r="BA54"/>
      <c r="BB54"/>
    </row>
    <row r="55" spans="1:54" x14ac:dyDescent="0.2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21225742.981403202</v>
      </c>
      <c r="K55">
        <v>0</v>
      </c>
      <c r="L55">
        <v>253905652</v>
      </c>
      <c r="M55">
        <v>0</v>
      </c>
      <c r="N55">
        <v>0.97956348559999995</v>
      </c>
      <c r="O55">
        <v>0</v>
      </c>
      <c r="P55">
        <v>25697520.3899999</v>
      </c>
      <c r="Q55">
        <v>0.70319922136740198</v>
      </c>
      <c r="R55">
        <v>1.974</v>
      </c>
      <c r="S55">
        <v>42439.074999999903</v>
      </c>
      <c r="T55">
        <v>31.709999999999901</v>
      </c>
      <c r="U55">
        <v>3.5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1201007994</v>
      </c>
      <c r="AZ55">
        <v>1201007994</v>
      </c>
      <c r="BA55"/>
      <c r="BB55"/>
    </row>
    <row r="56" spans="1:54" x14ac:dyDescent="0.2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19765952.744823899</v>
      </c>
      <c r="K56">
        <v>-1459790.2365792899</v>
      </c>
      <c r="L56">
        <v>232535028.99999899</v>
      </c>
      <c r="M56">
        <v>0</v>
      </c>
      <c r="N56">
        <v>1.1512130358199999</v>
      </c>
      <c r="O56">
        <v>0</v>
      </c>
      <c r="P56">
        <v>26042245.269999899</v>
      </c>
      <c r="Q56">
        <v>0.70198121073034003</v>
      </c>
      <c r="R56">
        <v>2.2467999999999901</v>
      </c>
      <c r="S56">
        <v>41148.635000000002</v>
      </c>
      <c r="T56">
        <v>31.36</v>
      </c>
      <c r="U56">
        <v>3.5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-46579034.451082297</v>
      </c>
      <c r="AE56">
        <v>0</v>
      </c>
      <c r="AF56">
        <v>-56502325.618615702</v>
      </c>
      <c r="AG56">
        <v>0</v>
      </c>
      <c r="AH56">
        <v>3491462.1806977699</v>
      </c>
      <c r="AI56">
        <v>-583253.26178469998</v>
      </c>
      <c r="AJ56">
        <v>15205112.537418</v>
      </c>
      <c r="AK56">
        <v>2636539.7898162398</v>
      </c>
      <c r="AL56">
        <v>-841477.71213293204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-83172976.535683602</v>
      </c>
      <c r="AW56">
        <v>-82598745.553027302</v>
      </c>
      <c r="AX56">
        <v>9281904.5530254096</v>
      </c>
      <c r="AY56">
        <v>0</v>
      </c>
      <c r="AZ56">
        <v>-73316841.000001907</v>
      </c>
      <c r="BA56"/>
      <c r="BB56"/>
    </row>
    <row r="57" spans="1:54" x14ac:dyDescent="0.2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20244645.535760399</v>
      </c>
      <c r="K57">
        <v>478692.79093648097</v>
      </c>
      <c r="L57">
        <v>243107286.99999899</v>
      </c>
      <c r="M57">
        <v>0</v>
      </c>
      <c r="N57">
        <v>1.20597552096</v>
      </c>
      <c r="O57">
        <v>0</v>
      </c>
      <c r="P57">
        <v>26563773.749999899</v>
      </c>
      <c r="Q57">
        <v>0.69839341816490697</v>
      </c>
      <c r="R57">
        <v>2.5669</v>
      </c>
      <c r="S57">
        <v>39531.589999999997</v>
      </c>
      <c r="T57">
        <v>31</v>
      </c>
      <c r="U57">
        <v>3.5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22784448.220681001</v>
      </c>
      <c r="AE57">
        <v>0</v>
      </c>
      <c r="AF57">
        <v>-16308411.813094201</v>
      </c>
      <c r="AG57">
        <v>0</v>
      </c>
      <c r="AH57">
        <v>4881593.7827261696</v>
      </c>
      <c r="AI57">
        <v>-1612398.9423768399</v>
      </c>
      <c r="AJ57">
        <v>15302946.9173308</v>
      </c>
      <c r="AK57">
        <v>3215167.5956603698</v>
      </c>
      <c r="AL57">
        <v>-812675.18942878395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27450670.571498498</v>
      </c>
      <c r="AW57">
        <v>27310478.392462399</v>
      </c>
      <c r="AX57">
        <v>-45764597.392460302</v>
      </c>
      <c r="AY57">
        <v>0</v>
      </c>
      <c r="AZ57">
        <v>-18454118.999997798</v>
      </c>
      <c r="BA57"/>
      <c r="BB57"/>
    </row>
    <row r="58" spans="1:54" x14ac:dyDescent="0.2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21327343.207934499</v>
      </c>
      <c r="K58">
        <v>1082697.6721741101</v>
      </c>
      <c r="L58">
        <v>254087770.99999899</v>
      </c>
      <c r="M58">
        <v>0</v>
      </c>
      <c r="N58">
        <v>1.1702642381999999</v>
      </c>
      <c r="O58">
        <v>0</v>
      </c>
      <c r="P58">
        <v>27081157.499999899</v>
      </c>
      <c r="Q58">
        <v>0.69604989521012905</v>
      </c>
      <c r="R58">
        <v>3.0314999999999901</v>
      </c>
      <c r="S58">
        <v>38116.919999999896</v>
      </c>
      <c r="T58">
        <v>30.68</v>
      </c>
      <c r="U58">
        <v>3.5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22266464.2209429</v>
      </c>
      <c r="AE58">
        <v>0</v>
      </c>
      <c r="AF58">
        <v>10540834.094417701</v>
      </c>
      <c r="AG58">
        <v>0</v>
      </c>
      <c r="AH58">
        <v>4671012.9048612705</v>
      </c>
      <c r="AI58">
        <v>-1036230.3578777</v>
      </c>
      <c r="AJ58">
        <v>19641413.347507801</v>
      </c>
      <c r="AK58">
        <v>2874339.0643200502</v>
      </c>
      <c r="AL58">
        <v>-710585.03696564503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58247248.237206496</v>
      </c>
      <c r="AW58">
        <v>59322765.245739304</v>
      </c>
      <c r="AX58">
        <v>16854169.754258201</v>
      </c>
      <c r="AY58">
        <v>0</v>
      </c>
      <c r="AZ58">
        <v>76176934.999997601</v>
      </c>
      <c r="BA58"/>
      <c r="BB58"/>
    </row>
    <row r="59" spans="1:54" x14ac:dyDescent="0.2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21476615.887767799</v>
      </c>
      <c r="K59">
        <v>149272.67983333301</v>
      </c>
      <c r="L59">
        <v>252268421</v>
      </c>
      <c r="M59">
        <v>0</v>
      </c>
      <c r="N59">
        <v>1.202828105</v>
      </c>
      <c r="O59">
        <v>0</v>
      </c>
      <c r="P59">
        <v>27655014.75</v>
      </c>
      <c r="Q59">
        <v>0.70081421238459896</v>
      </c>
      <c r="R59">
        <v>3.3499999999999899</v>
      </c>
      <c r="S59">
        <v>36028.75</v>
      </c>
      <c r="T59">
        <v>30.18</v>
      </c>
      <c r="U59">
        <v>3.7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-3826210.6589630698</v>
      </c>
      <c r="AE59">
        <v>0</v>
      </c>
      <c r="AF59">
        <v>-10186709.025641199</v>
      </c>
      <c r="AG59">
        <v>0</v>
      </c>
      <c r="AH59">
        <v>5427302.6205821997</v>
      </c>
      <c r="AI59">
        <v>2254493.7563626198</v>
      </c>
      <c r="AJ59">
        <v>12991766.4682872</v>
      </c>
      <c r="AK59">
        <v>4752422.2105713803</v>
      </c>
      <c r="AL59">
        <v>-1186324.50791581</v>
      </c>
      <c r="AM59">
        <v>-1811889.2047870599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8414851.6584962904</v>
      </c>
      <c r="AW59">
        <v>8296857.1443379698</v>
      </c>
      <c r="AX59">
        <v>-34170157.144337498</v>
      </c>
      <c r="AY59">
        <v>0</v>
      </c>
      <c r="AZ59">
        <v>-25873299.999999501</v>
      </c>
      <c r="BA59"/>
      <c r="BB59"/>
    </row>
    <row r="60" spans="1:54" x14ac:dyDescent="0.2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21548218.2429002</v>
      </c>
      <c r="K60">
        <v>71602.355132389799</v>
      </c>
      <c r="L60">
        <v>256261700.99999899</v>
      </c>
      <c r="M60">
        <v>0</v>
      </c>
      <c r="N60">
        <v>1.2309854982699999</v>
      </c>
      <c r="O60">
        <v>0</v>
      </c>
      <c r="P60">
        <v>27714120</v>
      </c>
      <c r="Q60">
        <v>0.69978105660465495</v>
      </c>
      <c r="R60">
        <v>3.4605999999999901</v>
      </c>
      <c r="S60">
        <v>36660.58</v>
      </c>
      <c r="T60">
        <v>30.4</v>
      </c>
      <c r="U60">
        <v>3.6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8222083.6345542204</v>
      </c>
      <c r="AE60">
        <v>0</v>
      </c>
      <c r="AF60">
        <v>-8503364.2332102302</v>
      </c>
      <c r="AG60">
        <v>0</v>
      </c>
      <c r="AH60">
        <v>539413.49576975696</v>
      </c>
      <c r="AI60">
        <v>-477670.03641741403</v>
      </c>
      <c r="AJ60">
        <v>4180925.8240630501</v>
      </c>
      <c r="AK60">
        <v>-1430668.97276035</v>
      </c>
      <c r="AL60">
        <v>510957.993768332</v>
      </c>
      <c r="AM60">
        <v>887188.27909027098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3928865.98485763</v>
      </c>
      <c r="AW60">
        <v>3865871.7558698701</v>
      </c>
      <c r="AX60">
        <v>-62694573.755870298</v>
      </c>
      <c r="AY60">
        <v>0</v>
      </c>
      <c r="AZ60">
        <v>-58828702.000000402</v>
      </c>
      <c r="BA60"/>
      <c r="BB60"/>
    </row>
    <row r="61" spans="1:54" x14ac:dyDescent="0.2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21981162.8670182</v>
      </c>
      <c r="K61">
        <v>432944.62411794002</v>
      </c>
      <c r="L61">
        <v>260943221</v>
      </c>
      <c r="M61">
        <v>0</v>
      </c>
      <c r="N61">
        <v>1.24213280256</v>
      </c>
      <c r="O61">
        <v>0</v>
      </c>
      <c r="P61">
        <v>27956797.669999901</v>
      </c>
      <c r="Q61">
        <v>0.69861119861852705</v>
      </c>
      <c r="R61">
        <v>3.91949999999999</v>
      </c>
      <c r="S61">
        <v>36716.94</v>
      </c>
      <c r="T61">
        <v>30.42</v>
      </c>
      <c r="U61">
        <v>3.7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9001569.9128233492</v>
      </c>
      <c r="AE61">
        <v>0</v>
      </c>
      <c r="AF61">
        <v>-3174594.6553274002</v>
      </c>
      <c r="AG61">
        <v>0</v>
      </c>
      <c r="AH61">
        <v>2092505.9210791001</v>
      </c>
      <c r="AI61">
        <v>-513418.128241873</v>
      </c>
      <c r="AJ61">
        <v>15560198.20482</v>
      </c>
      <c r="AK61">
        <v>-120071.205288995</v>
      </c>
      <c r="AL61">
        <v>44085.243398793202</v>
      </c>
      <c r="AM61">
        <v>-841533.36172624805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22048741.931536701</v>
      </c>
      <c r="AW61">
        <v>22115393.646152001</v>
      </c>
      <c r="AX61">
        <v>-10260186.6461515</v>
      </c>
      <c r="AY61">
        <v>0</v>
      </c>
      <c r="AZ61">
        <v>11855207.0000004</v>
      </c>
      <c r="BA61"/>
      <c r="BB61"/>
    </row>
    <row r="62" spans="1:54" x14ac:dyDescent="0.2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20983655.475899201</v>
      </c>
      <c r="K62">
        <v>-997507.39111894695</v>
      </c>
      <c r="L62">
        <v>261208990.99999899</v>
      </c>
      <c r="M62">
        <v>0</v>
      </c>
      <c r="N62">
        <v>1.2984894877499999</v>
      </c>
      <c r="O62">
        <v>0</v>
      </c>
      <c r="P62">
        <v>27734538</v>
      </c>
      <c r="Q62">
        <v>0.70705174720515196</v>
      </c>
      <c r="R62">
        <v>2.84309999999999</v>
      </c>
      <c r="S62">
        <v>35494.29</v>
      </c>
      <c r="T62">
        <v>30.61</v>
      </c>
      <c r="U62">
        <v>3.8999999999999901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509651.42683237302</v>
      </c>
      <c r="AE62">
        <v>0</v>
      </c>
      <c r="AF62">
        <v>-15890580.9530131</v>
      </c>
      <c r="AG62">
        <v>0</v>
      </c>
      <c r="AH62">
        <v>-1932859.9884963499</v>
      </c>
      <c r="AI62">
        <v>3751403.24109382</v>
      </c>
      <c r="AJ62">
        <v>-38693166.636340499</v>
      </c>
      <c r="AK62">
        <v>2678971.8098487998</v>
      </c>
      <c r="AL62">
        <v>423392.66359329497</v>
      </c>
      <c r="AM62">
        <v>-1700543.86474928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-50853732.301230997</v>
      </c>
      <c r="AW62">
        <v>-50488410.731286503</v>
      </c>
      <c r="AX62">
        <v>16932510.731285099</v>
      </c>
      <c r="AY62">
        <v>0</v>
      </c>
      <c r="AZ62">
        <v>-33555900.000001401</v>
      </c>
      <c r="BA62"/>
      <c r="BB62"/>
    </row>
    <row r="63" spans="1:54" x14ac:dyDescent="0.2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20165681.1429452</v>
      </c>
      <c r="K63">
        <v>-817974.33295406005</v>
      </c>
      <c r="L63">
        <v>234440206.99999899</v>
      </c>
      <c r="M63">
        <v>0</v>
      </c>
      <c r="N63">
        <v>1.3328625246499901</v>
      </c>
      <c r="O63">
        <v>0</v>
      </c>
      <c r="P63">
        <v>27553600.749999899</v>
      </c>
      <c r="Q63">
        <v>0.71198282361478205</v>
      </c>
      <c r="R63">
        <v>3.2889999999999899</v>
      </c>
      <c r="S63">
        <v>35213</v>
      </c>
      <c r="T63">
        <v>30.93</v>
      </c>
      <c r="U63">
        <v>3.8999999999999901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-51229712.277286202</v>
      </c>
      <c r="AE63">
        <v>0</v>
      </c>
      <c r="AF63">
        <v>-9241846.7825973295</v>
      </c>
      <c r="AG63">
        <v>0</v>
      </c>
      <c r="AH63">
        <v>-1537412.1365938899</v>
      </c>
      <c r="AI63">
        <v>2124029.2390560498</v>
      </c>
      <c r="AJ63">
        <v>17113954.2142663</v>
      </c>
      <c r="AK63">
        <v>609847.79531761596</v>
      </c>
      <c r="AL63">
        <v>691665.28840056399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-41469474.6594368</v>
      </c>
      <c r="AW63">
        <v>-42061476.281564601</v>
      </c>
      <c r="AX63">
        <v>18854265.2815644</v>
      </c>
      <c r="AY63">
        <v>0</v>
      </c>
      <c r="AZ63">
        <v>-23207211.000000101</v>
      </c>
      <c r="BA63"/>
      <c r="BB63"/>
    </row>
    <row r="64" spans="1:54" x14ac:dyDescent="0.2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20111140.1046183</v>
      </c>
      <c r="K64">
        <v>-54541.038326874303</v>
      </c>
      <c r="L64">
        <v>228510747.99999899</v>
      </c>
      <c r="M64">
        <v>0</v>
      </c>
      <c r="N64">
        <v>1.4103132355200001</v>
      </c>
      <c r="O64">
        <v>0</v>
      </c>
      <c r="P64">
        <v>27682634.670000002</v>
      </c>
      <c r="Q64">
        <v>0.71184921256512901</v>
      </c>
      <c r="R64">
        <v>4.0655999999999999</v>
      </c>
      <c r="S64">
        <v>34147.68</v>
      </c>
      <c r="T64">
        <v>31.299999999999901</v>
      </c>
      <c r="U64">
        <v>3.8999999999999901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-12098335.2359237</v>
      </c>
      <c r="AE64">
        <v>0</v>
      </c>
      <c r="AF64">
        <v>-19795021.104775399</v>
      </c>
      <c r="AG64">
        <v>0</v>
      </c>
      <c r="AH64">
        <v>1075130.8060596599</v>
      </c>
      <c r="AI64">
        <v>-56257.419454822302</v>
      </c>
      <c r="AJ64">
        <v>25490543.0713282</v>
      </c>
      <c r="AK64">
        <v>2305887.8702718201</v>
      </c>
      <c r="AL64">
        <v>782576.52821878903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-2295475.48427549</v>
      </c>
      <c r="AW64">
        <v>-2855576.7324477001</v>
      </c>
      <c r="AX64">
        <v>-28880753.267551102</v>
      </c>
      <c r="AY64">
        <v>0</v>
      </c>
      <c r="AZ64">
        <v>-31736329.9999988</v>
      </c>
      <c r="BA64"/>
      <c r="BB64"/>
    </row>
    <row r="65" spans="1:74" x14ac:dyDescent="0.2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19908240.317110699</v>
      </c>
      <c r="K65">
        <v>-202899.787507578</v>
      </c>
      <c r="L65">
        <v>227959423.99999899</v>
      </c>
      <c r="M65">
        <v>0</v>
      </c>
      <c r="N65">
        <v>1.36910030643</v>
      </c>
      <c r="O65">
        <v>0</v>
      </c>
      <c r="P65">
        <v>27909105.420000002</v>
      </c>
      <c r="Q65">
        <v>0.70702565886186597</v>
      </c>
      <c r="R65">
        <v>4.1093000000000002</v>
      </c>
      <c r="S65">
        <v>33963.31</v>
      </c>
      <c r="T65">
        <v>31.51</v>
      </c>
      <c r="U65">
        <v>4.0999999999999996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-1112310.66126201</v>
      </c>
      <c r="AE65">
        <v>0</v>
      </c>
      <c r="AF65">
        <v>10286120.5413123</v>
      </c>
      <c r="AG65">
        <v>0</v>
      </c>
      <c r="AH65">
        <v>1819259.9217173799</v>
      </c>
      <c r="AI65">
        <v>-1968084.85187924</v>
      </c>
      <c r="AJ65">
        <v>1261776.0729549699</v>
      </c>
      <c r="AK65">
        <v>393791.38283874898</v>
      </c>
      <c r="AL65">
        <v>430744.91572990402</v>
      </c>
      <c r="AM65">
        <v>-1565273.6671887899</v>
      </c>
      <c r="AN65">
        <v>0</v>
      </c>
      <c r="AO65">
        <v>0</v>
      </c>
      <c r="AP65">
        <v>-19681089.6061197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-10135065.951896399</v>
      </c>
      <c r="AW65">
        <v>-10331742.7225993</v>
      </c>
      <c r="AX65">
        <v>18925308.7226009</v>
      </c>
      <c r="AY65">
        <v>0</v>
      </c>
      <c r="AZ65">
        <v>8593566.0000015497</v>
      </c>
      <c r="BA65"/>
      <c r="BB65"/>
    </row>
    <row r="66" spans="1:74" x14ac:dyDescent="0.2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18306742.1371888</v>
      </c>
      <c r="K66">
        <v>-1601498.1799218899</v>
      </c>
      <c r="L66">
        <v>232024740.99999899</v>
      </c>
      <c r="M66">
        <v>0</v>
      </c>
      <c r="N66">
        <v>1.6314814637999999</v>
      </c>
      <c r="O66">
        <v>0</v>
      </c>
      <c r="P66">
        <v>28818049.079999998</v>
      </c>
      <c r="Q66">
        <v>0.70818988617793599</v>
      </c>
      <c r="R66">
        <v>3.9420000000000002</v>
      </c>
      <c r="S66">
        <v>33700.32</v>
      </c>
      <c r="T66">
        <v>29.93</v>
      </c>
      <c r="U66">
        <v>4.2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1</v>
      </c>
      <c r="AC66">
        <v>0</v>
      </c>
      <c r="AD66">
        <v>8244938.4984470997</v>
      </c>
      <c r="AE66">
        <v>0</v>
      </c>
      <c r="AF66">
        <v>-60981754.960969202</v>
      </c>
      <c r="AG66">
        <v>0</v>
      </c>
      <c r="AH66">
        <v>7234929.6137362299</v>
      </c>
      <c r="AI66">
        <v>479581.23928396101</v>
      </c>
      <c r="AJ66">
        <v>-4916635.6672476502</v>
      </c>
      <c r="AK66">
        <v>570221.69800694205</v>
      </c>
      <c r="AL66">
        <v>-3262187.9211362102</v>
      </c>
      <c r="AM66">
        <v>-789506.211003214</v>
      </c>
      <c r="AN66">
        <v>0</v>
      </c>
      <c r="AO66">
        <v>0</v>
      </c>
      <c r="AP66">
        <v>-19846245.422509599</v>
      </c>
      <c r="AQ66">
        <v>0</v>
      </c>
      <c r="AR66">
        <v>0</v>
      </c>
      <c r="AS66">
        <v>0</v>
      </c>
      <c r="AT66">
        <v>-11132935.685656101</v>
      </c>
      <c r="AU66">
        <v>0</v>
      </c>
      <c r="AV66">
        <v>-84399594.819047898</v>
      </c>
      <c r="AW66">
        <v>-83071389.760292605</v>
      </c>
      <c r="AX66">
        <v>81921902.760292694</v>
      </c>
      <c r="AY66">
        <v>0</v>
      </c>
      <c r="AZ66">
        <v>-1149486.9999998801</v>
      </c>
      <c r="BA66"/>
      <c r="BB66"/>
    </row>
    <row r="67" spans="1:74" x14ac:dyDescent="0.2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17937853.089801699</v>
      </c>
      <c r="K67">
        <v>-368889.04738713801</v>
      </c>
      <c r="L67">
        <v>232003465</v>
      </c>
      <c r="M67">
        <v>0</v>
      </c>
      <c r="N67">
        <v>1.62762807398</v>
      </c>
      <c r="O67">
        <v>0</v>
      </c>
      <c r="P67">
        <v>29110612.079999998</v>
      </c>
      <c r="Q67">
        <v>0.71033623275977098</v>
      </c>
      <c r="R67">
        <v>3.75239999999999</v>
      </c>
      <c r="S67">
        <v>33580.799999999901</v>
      </c>
      <c r="T67">
        <v>30.2</v>
      </c>
      <c r="U67">
        <v>4.2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-42554.895286797197</v>
      </c>
      <c r="AE67">
        <v>0</v>
      </c>
      <c r="AF67">
        <v>876336.06194725598</v>
      </c>
      <c r="AG67">
        <v>0</v>
      </c>
      <c r="AH67">
        <v>2272260.1431499301</v>
      </c>
      <c r="AI67">
        <v>883335.36355277605</v>
      </c>
      <c r="AJ67">
        <v>-5768488.5417536497</v>
      </c>
      <c r="AK67">
        <v>260289.45901652399</v>
      </c>
      <c r="AL67">
        <v>557874.15936622606</v>
      </c>
      <c r="AM67">
        <v>0</v>
      </c>
      <c r="AN67">
        <v>0</v>
      </c>
      <c r="AO67">
        <v>0</v>
      </c>
      <c r="AP67">
        <v>-19824153.9573466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-20785102.2073544</v>
      </c>
      <c r="AW67">
        <v>-20785424.672818899</v>
      </c>
      <c r="AX67">
        <v>10223338.672816301</v>
      </c>
      <c r="AY67">
        <v>0</v>
      </c>
      <c r="AZ67">
        <v>-10562086.0000026</v>
      </c>
      <c r="BA67"/>
      <c r="BB67"/>
    </row>
    <row r="68" spans="1:74" x14ac:dyDescent="0.2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16848136.487361301</v>
      </c>
      <c r="K68">
        <v>-1089716.6024404201</v>
      </c>
      <c r="L68">
        <v>232760765</v>
      </c>
      <c r="M68">
        <v>0</v>
      </c>
      <c r="N68">
        <v>1.6811518782799999</v>
      </c>
      <c r="O68">
        <v>0</v>
      </c>
      <c r="P68">
        <v>29378317.829999901</v>
      </c>
      <c r="Q68">
        <v>0.71350123486694395</v>
      </c>
      <c r="R68">
        <v>2.7029999999999998</v>
      </c>
      <c r="S68">
        <v>34173.339999999902</v>
      </c>
      <c r="T68">
        <v>30.169999999999899</v>
      </c>
      <c r="U68">
        <v>4.0999999999999996</v>
      </c>
      <c r="V68">
        <v>0</v>
      </c>
      <c r="W68">
        <v>0</v>
      </c>
      <c r="X68">
        <v>4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1497949.2020632001</v>
      </c>
      <c r="AE68">
        <v>0</v>
      </c>
      <c r="AF68">
        <v>-11860897.9673694</v>
      </c>
      <c r="AG68">
        <v>0</v>
      </c>
      <c r="AH68">
        <v>2037984.3999222701</v>
      </c>
      <c r="AI68">
        <v>1289490.5172834301</v>
      </c>
      <c r="AJ68">
        <v>-35871107.9767671</v>
      </c>
      <c r="AK68">
        <v>-1267381.6407826799</v>
      </c>
      <c r="AL68">
        <v>-61332.889912483901</v>
      </c>
      <c r="AM68">
        <v>781149.51434068405</v>
      </c>
      <c r="AN68">
        <v>0</v>
      </c>
      <c r="AO68">
        <v>0</v>
      </c>
      <c r="AP68">
        <v>-19621166.0549892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-63075312.896211401</v>
      </c>
      <c r="AW68">
        <v>-62022242.077103198</v>
      </c>
      <c r="AX68">
        <v>38403682.077104397</v>
      </c>
      <c r="AY68">
        <v>0</v>
      </c>
      <c r="AZ68">
        <v>-23618559.9999988</v>
      </c>
      <c r="BA68"/>
      <c r="BB68"/>
    </row>
    <row r="69" spans="1:74" x14ac:dyDescent="0.2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16213041.1793379</v>
      </c>
      <c r="K69">
        <v>-635095.30802337604</v>
      </c>
      <c r="L69">
        <v>232107588.99999899</v>
      </c>
      <c r="M69">
        <v>0</v>
      </c>
      <c r="N69">
        <v>1.6875652615500001</v>
      </c>
      <c r="O69">
        <v>0</v>
      </c>
      <c r="P69">
        <v>29437697.499999899</v>
      </c>
      <c r="Q69">
        <v>0.71426500750022204</v>
      </c>
      <c r="R69">
        <v>2.4255</v>
      </c>
      <c r="S69">
        <v>35302.049999999901</v>
      </c>
      <c r="T69">
        <v>29.8799999999999</v>
      </c>
      <c r="U69">
        <v>4.5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-1260097.31645456</v>
      </c>
      <c r="AE69">
        <v>0</v>
      </c>
      <c r="AF69">
        <v>-1379866.0052244901</v>
      </c>
      <c r="AG69">
        <v>0</v>
      </c>
      <c r="AH69">
        <v>438786.824582464</v>
      </c>
      <c r="AI69">
        <v>303833.25165635499</v>
      </c>
      <c r="AJ69">
        <v>-11074738.0744217</v>
      </c>
      <c r="AK69">
        <v>-2298836.8140127398</v>
      </c>
      <c r="AL69">
        <v>-579018.11556067294</v>
      </c>
      <c r="AM69">
        <v>-3046484.3371702698</v>
      </c>
      <c r="AN69">
        <v>0</v>
      </c>
      <c r="AO69">
        <v>0</v>
      </c>
      <c r="AP69">
        <v>-19167251.747616399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-38063672.334222198</v>
      </c>
      <c r="AW69">
        <v>-37594682.625418603</v>
      </c>
      <c r="AX69">
        <v>39519086.625420198</v>
      </c>
      <c r="AY69">
        <v>0</v>
      </c>
      <c r="AZ69">
        <v>1924404.0000016601</v>
      </c>
      <c r="BA69"/>
      <c r="BB69"/>
    </row>
    <row r="70" spans="1:74" x14ac:dyDescent="0.2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15897958.3004665</v>
      </c>
      <c r="K70">
        <v>-315082.87887141801</v>
      </c>
      <c r="L70">
        <v>230935446.99999899</v>
      </c>
      <c r="M70">
        <v>0</v>
      </c>
      <c r="N70">
        <v>1.7337943710599999</v>
      </c>
      <c r="O70">
        <v>0</v>
      </c>
      <c r="P70">
        <v>29668394.669999901</v>
      </c>
      <c r="Q70">
        <v>0.71555075149007497</v>
      </c>
      <c r="R70">
        <v>2.6928000000000001</v>
      </c>
      <c r="S70">
        <v>35945.819999999898</v>
      </c>
      <c r="T70">
        <v>30</v>
      </c>
      <c r="U70">
        <v>4.5</v>
      </c>
      <c r="V70">
        <v>0</v>
      </c>
      <c r="W70">
        <v>0</v>
      </c>
      <c r="X70">
        <v>6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-2273424.5677918098</v>
      </c>
      <c r="AE70">
        <v>0</v>
      </c>
      <c r="AF70">
        <v>-9827234.5340522397</v>
      </c>
      <c r="AG70">
        <v>0</v>
      </c>
      <c r="AH70">
        <v>1700726.44718942</v>
      </c>
      <c r="AI70">
        <v>512516.79825150297</v>
      </c>
      <c r="AJ70">
        <v>10821232.9679843</v>
      </c>
      <c r="AK70">
        <v>-1281589.8878707499</v>
      </c>
      <c r="AL70">
        <v>240154.57721616299</v>
      </c>
      <c r="AM70">
        <v>0</v>
      </c>
      <c r="AN70">
        <v>0</v>
      </c>
      <c r="AO70">
        <v>0</v>
      </c>
      <c r="AP70">
        <v>-19204235.988347702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-19311854.187421098</v>
      </c>
      <c r="AW70">
        <v>-19419448.7167002</v>
      </c>
      <c r="AX70">
        <v>-37174535.283302002</v>
      </c>
      <c r="AY70">
        <v>0</v>
      </c>
      <c r="AZ70">
        <v>-56593984.000002198</v>
      </c>
      <c r="BA70"/>
      <c r="BB70"/>
    </row>
    <row r="71" spans="1:74" x14ac:dyDescent="0.2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15724207.8054698</v>
      </c>
      <c r="K71">
        <v>-173750.49499663699</v>
      </c>
      <c r="L71">
        <v>230662402</v>
      </c>
      <c r="M71">
        <v>0</v>
      </c>
      <c r="N71">
        <v>1.7232403279999999</v>
      </c>
      <c r="O71">
        <v>0</v>
      </c>
      <c r="P71">
        <v>29807700.839999899</v>
      </c>
      <c r="Q71">
        <v>0.71440492607780803</v>
      </c>
      <c r="R71">
        <v>2.9199999999999902</v>
      </c>
      <c r="S71">
        <v>36801.5</v>
      </c>
      <c r="T71">
        <v>30.01</v>
      </c>
      <c r="U71">
        <v>4.5999999999999996</v>
      </c>
      <c r="V71">
        <v>0</v>
      </c>
      <c r="W71">
        <v>0</v>
      </c>
      <c r="X71">
        <v>7</v>
      </c>
      <c r="Y71">
        <v>0</v>
      </c>
      <c r="Z71">
        <v>0</v>
      </c>
      <c r="AA71">
        <v>0</v>
      </c>
      <c r="AB71">
        <v>1</v>
      </c>
      <c r="AC71">
        <v>0</v>
      </c>
      <c r="AD71">
        <v>-501590.63527974201</v>
      </c>
      <c r="AE71">
        <v>0</v>
      </c>
      <c r="AF71">
        <v>2115371.1923325402</v>
      </c>
      <c r="AG71">
        <v>0</v>
      </c>
      <c r="AH71">
        <v>962459.49187749997</v>
      </c>
      <c r="AI71">
        <v>-430666.11970935098</v>
      </c>
      <c r="AJ71">
        <v>8102906.6949057896</v>
      </c>
      <c r="AK71">
        <v>-1573577.77898339</v>
      </c>
      <c r="AL71">
        <v>18877.3496633289</v>
      </c>
      <c r="AM71">
        <v>-720698.23643225303</v>
      </c>
      <c r="AN71">
        <v>0</v>
      </c>
      <c r="AO71">
        <v>0</v>
      </c>
      <c r="AP71">
        <v>-18116582.081893299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-10143500.123518899</v>
      </c>
      <c r="AW71">
        <v>-10302449.7917451</v>
      </c>
      <c r="AX71">
        <v>3448926.7917453898</v>
      </c>
      <c r="AY71">
        <v>0</v>
      </c>
      <c r="AZ71">
        <v>-6853522.9999997597</v>
      </c>
      <c r="BA71"/>
      <c r="BB71"/>
    </row>
    <row r="72" spans="1:74" x14ac:dyDescent="0.2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A72"/>
      <c r="BB72"/>
    </row>
    <row r="73" spans="1:74" x14ac:dyDescent="0.2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A73"/>
    </row>
    <row r="74" spans="1:74" x14ac:dyDescent="0.2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A74"/>
    </row>
    <row r="75" spans="1:74" s="5" customFormat="1" ht="17" x14ac:dyDescent="0.2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87</v>
      </c>
      <c r="M75" t="s">
        <v>91</v>
      </c>
      <c r="N75" t="s">
        <v>88</v>
      </c>
      <c r="O75" t="s">
        <v>92</v>
      </c>
      <c r="P75" t="s">
        <v>8</v>
      </c>
      <c r="Q75" t="s">
        <v>72</v>
      </c>
      <c r="R75" t="s">
        <v>82</v>
      </c>
      <c r="S75" t="s">
        <v>14</v>
      </c>
      <c r="T75" t="s">
        <v>9</v>
      </c>
      <c r="U75" t="s">
        <v>28</v>
      </c>
      <c r="V75" t="s">
        <v>77</v>
      </c>
      <c r="W75" t="s">
        <v>78</v>
      </c>
      <c r="X75" t="s">
        <v>89</v>
      </c>
      <c r="Y75" t="s">
        <v>90</v>
      </c>
      <c r="Z75" t="s">
        <v>93</v>
      </c>
      <c r="AA75" t="s">
        <v>69</v>
      </c>
      <c r="AB75" t="s">
        <v>43</v>
      </c>
      <c r="AC75" t="s">
        <v>44</v>
      </c>
      <c r="AD75" t="s">
        <v>94</v>
      </c>
      <c r="AE75" t="s">
        <v>95</v>
      </c>
      <c r="AF75" t="s">
        <v>96</v>
      </c>
      <c r="AG75" t="s">
        <v>97</v>
      </c>
      <c r="AH75" t="s">
        <v>10</v>
      </c>
      <c r="AI75" t="s">
        <v>74</v>
      </c>
      <c r="AJ75" t="s">
        <v>83</v>
      </c>
      <c r="AK75" t="s">
        <v>29</v>
      </c>
      <c r="AL75" t="s">
        <v>11</v>
      </c>
      <c r="AM75" t="s">
        <v>30</v>
      </c>
      <c r="AN75" t="s">
        <v>79</v>
      </c>
      <c r="AO75" t="s">
        <v>85</v>
      </c>
      <c r="AP75" t="s">
        <v>98</v>
      </c>
      <c r="AQ75" t="s">
        <v>99</v>
      </c>
      <c r="AR75" t="s">
        <v>100</v>
      </c>
      <c r="AS75" t="s">
        <v>84</v>
      </c>
      <c r="AT75" t="s">
        <v>75</v>
      </c>
      <c r="AU75" t="s">
        <v>76</v>
      </c>
      <c r="AV75" t="s">
        <v>38</v>
      </c>
      <c r="AW75" t="s">
        <v>39</v>
      </c>
      <c r="AX75" t="s">
        <v>40</v>
      </c>
      <c r="AY75" t="s">
        <v>41</v>
      </c>
      <c r="AZ75" t="s">
        <v>42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</row>
    <row r="76" spans="1:74" x14ac:dyDescent="0.2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1288939109.99999</v>
      </c>
      <c r="F76">
        <v>1600147407</v>
      </c>
      <c r="G76">
        <v>0</v>
      </c>
      <c r="H76">
        <v>1288939109.99999</v>
      </c>
      <c r="I76">
        <v>0</v>
      </c>
      <c r="J76">
        <v>1026555708.58699</v>
      </c>
      <c r="K76">
        <v>0</v>
      </c>
      <c r="L76">
        <v>0</v>
      </c>
      <c r="M76">
        <v>49932404.401087999</v>
      </c>
      <c r="N76">
        <v>0</v>
      </c>
      <c r="O76">
        <v>1.64428480391638</v>
      </c>
      <c r="P76">
        <v>8455732.9469062109</v>
      </c>
      <c r="Q76">
        <v>0.44345565364207301</v>
      </c>
      <c r="R76">
        <v>1.9562821014237</v>
      </c>
      <c r="S76">
        <v>43683.908616914901</v>
      </c>
      <c r="T76">
        <v>11.084471518324801</v>
      </c>
      <c r="U76">
        <v>3.902560944093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1288939109.99999</v>
      </c>
      <c r="AZ76">
        <v>1288939109.99999</v>
      </c>
      <c r="BA76"/>
      <c r="BB76"/>
    </row>
    <row r="77" spans="1:74" x14ac:dyDescent="0.2">
      <c r="A77" t="str">
        <f t="shared" si="2"/>
        <v>1_1_2003</v>
      </c>
      <c r="B77">
        <v>1</v>
      </c>
      <c r="C77">
        <v>1</v>
      </c>
      <c r="D77" s="162">
        <v>2003</v>
      </c>
      <c r="E77">
        <v>1288939109.99999</v>
      </c>
      <c r="F77">
        <v>1600147407</v>
      </c>
      <c r="G77">
        <v>1288939109.99999</v>
      </c>
      <c r="H77">
        <v>1274900577.99999</v>
      </c>
      <c r="I77">
        <v>-14038531.999999501</v>
      </c>
      <c r="J77">
        <v>1334420921.8322201</v>
      </c>
      <c r="K77">
        <v>63604637.279050797</v>
      </c>
      <c r="L77">
        <v>0</v>
      </c>
      <c r="M77">
        <v>53602940.288169198</v>
      </c>
      <c r="N77">
        <v>0</v>
      </c>
      <c r="O77">
        <v>1.6341998736408201</v>
      </c>
      <c r="P77">
        <v>8598581.7896695491</v>
      </c>
      <c r="Q77">
        <v>0.44749378436914899</v>
      </c>
      <c r="R77">
        <v>2.2341232637125801</v>
      </c>
      <c r="S77">
        <v>42670.716778018803</v>
      </c>
      <c r="T77">
        <v>10.9976736464378</v>
      </c>
      <c r="U77">
        <v>3.902560944093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52907869.729852498</v>
      </c>
      <c r="AF77">
        <v>0</v>
      </c>
      <c r="AG77">
        <v>954635.71280785406</v>
      </c>
      <c r="AH77">
        <v>5109044.0259117102</v>
      </c>
      <c r="AI77">
        <v>-2790897.2210295</v>
      </c>
      <c r="AJ77">
        <v>16589414.0764565</v>
      </c>
      <c r="AK77">
        <v>2182484.8376568402</v>
      </c>
      <c r="AL77">
        <v>-223889.860754439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68965400.192958504</v>
      </c>
      <c r="AW77">
        <v>69719250.906336695</v>
      </c>
      <c r="AX77">
        <v>-79995838.906336606</v>
      </c>
      <c r="AY77">
        <v>0</v>
      </c>
      <c r="AZ77">
        <v>-10276587.999999801</v>
      </c>
      <c r="BA77"/>
      <c r="BB77"/>
    </row>
    <row r="78" spans="1:74" x14ac:dyDescent="0.2">
      <c r="A78" t="str">
        <f t="shared" si="2"/>
        <v>1_1_2004</v>
      </c>
      <c r="B78">
        <v>1</v>
      </c>
      <c r="C78">
        <v>1</v>
      </c>
      <c r="D78" s="162">
        <v>2004</v>
      </c>
      <c r="E78">
        <v>1296634996.99999</v>
      </c>
      <c r="F78">
        <v>1611534497</v>
      </c>
      <c r="G78">
        <v>1274900577.99999</v>
      </c>
      <c r="H78">
        <v>1354636471</v>
      </c>
      <c r="I78">
        <v>72040006.000000805</v>
      </c>
      <c r="J78">
        <v>1394737116.4590499</v>
      </c>
      <c r="K78">
        <v>53291850.5919649</v>
      </c>
      <c r="L78">
        <v>0</v>
      </c>
      <c r="M78">
        <v>53750208.320538104</v>
      </c>
      <c r="N78">
        <v>0</v>
      </c>
      <c r="O78">
        <v>1.6039632578583201</v>
      </c>
      <c r="P78">
        <v>8769753.8845768701</v>
      </c>
      <c r="Q78">
        <v>0.44603777423240598</v>
      </c>
      <c r="R78">
        <v>2.5561682244003099</v>
      </c>
      <c r="S78">
        <v>41259.962849208197</v>
      </c>
      <c r="T78">
        <v>10.890791800554799</v>
      </c>
      <c r="U78">
        <v>3.8966104678570499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20110817.4288042</v>
      </c>
      <c r="AF78">
        <v>0</v>
      </c>
      <c r="AG78">
        <v>6288260.0700812098</v>
      </c>
      <c r="AH78">
        <v>6122847.9377800198</v>
      </c>
      <c r="AI78">
        <v>-761930.09194121195</v>
      </c>
      <c r="AJ78">
        <v>17595757.875653598</v>
      </c>
      <c r="AK78">
        <v>2961073.8115839902</v>
      </c>
      <c r="AL78">
        <v>-220782.35278385601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52096044.679177999</v>
      </c>
      <c r="AW78">
        <v>53310443.854430601</v>
      </c>
      <c r="AX78">
        <v>18729562.1455702</v>
      </c>
      <c r="AY78">
        <v>7695887</v>
      </c>
      <c r="AZ78">
        <v>79735893.000000805</v>
      </c>
      <c r="BA78"/>
      <c r="BB78"/>
    </row>
    <row r="79" spans="1:74" x14ac:dyDescent="0.2">
      <c r="A79" t="str">
        <f t="shared" si="2"/>
        <v>1_1_2005</v>
      </c>
      <c r="B79">
        <v>1</v>
      </c>
      <c r="C79">
        <v>1</v>
      </c>
      <c r="D79" s="162">
        <v>2005</v>
      </c>
      <c r="E79">
        <v>1304536664.99999</v>
      </c>
      <c r="F79">
        <v>1622733011</v>
      </c>
      <c r="G79">
        <v>1354636471</v>
      </c>
      <c r="H79">
        <v>1404388432.99999</v>
      </c>
      <c r="I79">
        <v>41850293.999998502</v>
      </c>
      <c r="J79">
        <v>1441930754.22067</v>
      </c>
      <c r="K79">
        <v>38102294.323194697</v>
      </c>
      <c r="L79">
        <v>0</v>
      </c>
      <c r="M79">
        <v>53886815.947280802</v>
      </c>
      <c r="N79">
        <v>0</v>
      </c>
      <c r="O79">
        <v>1.6171605728613201</v>
      </c>
      <c r="P79">
        <v>8932883.7708925996</v>
      </c>
      <c r="Q79">
        <v>0.44446829477549799</v>
      </c>
      <c r="R79">
        <v>3.0153663144971001</v>
      </c>
      <c r="S79">
        <v>40066.286860637701</v>
      </c>
      <c r="T79">
        <v>10.770660834933199</v>
      </c>
      <c r="U79">
        <v>3.89844811904922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7897513.6845846903</v>
      </c>
      <c r="AF79">
        <v>0</v>
      </c>
      <c r="AG79">
        <v>-3029852.5129537499</v>
      </c>
      <c r="AH79">
        <v>6652285.7228964204</v>
      </c>
      <c r="AI79">
        <v>-546858.80763554899</v>
      </c>
      <c r="AJ79">
        <v>23847854.022976901</v>
      </c>
      <c r="AK79">
        <v>2886342.1904317201</v>
      </c>
      <c r="AL79">
        <v>-247548.420011749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37459735.880288698</v>
      </c>
      <c r="AW79">
        <v>37653524.260589898</v>
      </c>
      <c r="AX79">
        <v>4196769.7394086001</v>
      </c>
      <c r="AY79">
        <v>7901667.9999999898</v>
      </c>
      <c r="AZ79">
        <v>49751961.999998502</v>
      </c>
      <c r="BA79"/>
      <c r="BB79"/>
    </row>
    <row r="80" spans="1:74" x14ac:dyDescent="0.2">
      <c r="A80" t="str">
        <f t="shared" si="2"/>
        <v>1_1_2006</v>
      </c>
      <c r="B80">
        <v>1</v>
      </c>
      <c r="C80">
        <v>1</v>
      </c>
      <c r="D80" s="162">
        <v>2006</v>
      </c>
      <c r="E80">
        <v>1304536664.99999</v>
      </c>
      <c r="F80">
        <v>1622733011</v>
      </c>
      <c r="G80">
        <v>1404388432.99999</v>
      </c>
      <c r="H80">
        <v>1466313949</v>
      </c>
      <c r="I80">
        <v>61925516.000001803</v>
      </c>
      <c r="J80">
        <v>1498435879.8661599</v>
      </c>
      <c r="K80">
        <v>56505125.645492204</v>
      </c>
      <c r="L80">
        <v>0</v>
      </c>
      <c r="M80">
        <v>55602614.908346198</v>
      </c>
      <c r="N80">
        <v>0</v>
      </c>
      <c r="O80">
        <v>1.6580792102602699</v>
      </c>
      <c r="P80">
        <v>9184079.1280833408</v>
      </c>
      <c r="Q80">
        <v>0.44439896498612003</v>
      </c>
      <c r="R80">
        <v>3.3069910161743099</v>
      </c>
      <c r="S80">
        <v>38280.2060297266</v>
      </c>
      <c r="T80">
        <v>10.702248974849599</v>
      </c>
      <c r="U80">
        <v>4.1640990511370504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38487982.437890097</v>
      </c>
      <c r="AF80">
        <v>0</v>
      </c>
      <c r="AG80">
        <v>-6623356.3325889697</v>
      </c>
      <c r="AH80">
        <v>8773115.0986231994</v>
      </c>
      <c r="AI80">
        <v>-9297.9888733987991</v>
      </c>
      <c r="AJ80">
        <v>14197292.1724982</v>
      </c>
      <c r="AK80">
        <v>4609569.4325866299</v>
      </c>
      <c r="AL80">
        <v>-197179.93108661001</v>
      </c>
      <c r="AM80">
        <v>-2873764.0559148602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56364360.833134398</v>
      </c>
      <c r="AW80">
        <v>56519022.694430597</v>
      </c>
      <c r="AX80">
        <v>5406493.3055711798</v>
      </c>
      <c r="AY80">
        <v>0</v>
      </c>
      <c r="AZ80">
        <v>61925516.000001803</v>
      </c>
      <c r="BA80"/>
      <c r="BB80"/>
    </row>
    <row r="81" spans="1:54" x14ac:dyDescent="0.2">
      <c r="A81" t="str">
        <f t="shared" si="2"/>
        <v>1_1_2007</v>
      </c>
      <c r="B81">
        <v>1</v>
      </c>
      <c r="C81">
        <v>1</v>
      </c>
      <c r="D81" s="162">
        <v>2007</v>
      </c>
      <c r="E81">
        <v>1304536664.99999</v>
      </c>
      <c r="F81">
        <v>1622733011</v>
      </c>
      <c r="G81">
        <v>1466313949</v>
      </c>
      <c r="H81">
        <v>1490391379</v>
      </c>
      <c r="I81">
        <v>24077429.9999994</v>
      </c>
      <c r="J81">
        <v>1559445250.48241</v>
      </c>
      <c r="K81">
        <v>61009370.616251297</v>
      </c>
      <c r="L81">
        <v>0</v>
      </c>
      <c r="M81">
        <v>59370868.793091901</v>
      </c>
      <c r="N81">
        <v>0</v>
      </c>
      <c r="O81">
        <v>1.66872488475637</v>
      </c>
      <c r="P81">
        <v>9248151.0689201597</v>
      </c>
      <c r="Q81">
        <v>0.43646275257080402</v>
      </c>
      <c r="R81">
        <v>3.4716298018220102</v>
      </c>
      <c r="S81">
        <v>38809.4845758581</v>
      </c>
      <c r="T81">
        <v>10.5610246145438</v>
      </c>
      <c r="U81">
        <v>4.3807667493960301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66275237.442195699</v>
      </c>
      <c r="AF81">
        <v>0</v>
      </c>
      <c r="AG81">
        <v>-2623517.2869072501</v>
      </c>
      <c r="AH81">
        <v>2516214.3775887801</v>
      </c>
      <c r="AI81">
        <v>-4550519.6211145502</v>
      </c>
      <c r="AJ81">
        <v>7876550.3835509596</v>
      </c>
      <c r="AK81">
        <v>-1391021.55222641</v>
      </c>
      <c r="AL81">
        <v>-401673.18840727501</v>
      </c>
      <c r="AM81">
        <v>-2432030.26920097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65269240.285479002</v>
      </c>
      <c r="AW81">
        <v>65016958.372583002</v>
      </c>
      <c r="AX81">
        <v>-40939528.372583501</v>
      </c>
      <c r="AY81">
        <v>0</v>
      </c>
      <c r="AZ81">
        <v>24077429.9999994</v>
      </c>
      <c r="BA81"/>
      <c r="BB81"/>
    </row>
    <row r="82" spans="1:54" x14ac:dyDescent="0.2">
      <c r="A82" t="str">
        <f t="shared" si="2"/>
        <v>1_1_2008</v>
      </c>
      <c r="B82">
        <v>1</v>
      </c>
      <c r="C82">
        <v>1</v>
      </c>
      <c r="D82" s="162">
        <v>2008</v>
      </c>
      <c r="E82">
        <v>1304536664.99999</v>
      </c>
      <c r="F82">
        <v>1622733011</v>
      </c>
      <c r="G82">
        <v>1490391379</v>
      </c>
      <c r="H82">
        <v>1563634307</v>
      </c>
      <c r="I82">
        <v>73242928.000000596</v>
      </c>
      <c r="J82">
        <v>1598617048.52087</v>
      </c>
      <c r="K82">
        <v>39171798.038458496</v>
      </c>
      <c r="L82">
        <v>0</v>
      </c>
      <c r="M82">
        <v>60720696.180242598</v>
      </c>
      <c r="N82">
        <v>0</v>
      </c>
      <c r="O82">
        <v>1.7224676618128401</v>
      </c>
      <c r="P82">
        <v>9291879.4741836209</v>
      </c>
      <c r="Q82">
        <v>0.44007330866257199</v>
      </c>
      <c r="R82">
        <v>3.9047266684501301</v>
      </c>
      <c r="S82">
        <v>38748.318441506301</v>
      </c>
      <c r="T82">
        <v>10.7060497576202</v>
      </c>
      <c r="U82">
        <v>4.4760410563086701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0.18946376796546399</v>
      </c>
      <c r="AC82">
        <v>0</v>
      </c>
      <c r="AD82">
        <v>0</v>
      </c>
      <c r="AE82">
        <v>28743799.177805599</v>
      </c>
      <c r="AF82">
        <v>0</v>
      </c>
      <c r="AG82">
        <v>-11093609.661896899</v>
      </c>
      <c r="AH82">
        <v>2128584.3128940798</v>
      </c>
      <c r="AI82">
        <v>2001990.89345888</v>
      </c>
      <c r="AJ82">
        <v>19908572.390547499</v>
      </c>
      <c r="AK82">
        <v>76777.215070985403</v>
      </c>
      <c r="AL82">
        <v>431928.20986938901</v>
      </c>
      <c r="AM82">
        <v>-1017422.58941077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-3064394.8661025702</v>
      </c>
      <c r="AU82">
        <v>0</v>
      </c>
      <c r="AV82">
        <v>38116225.082236297</v>
      </c>
      <c r="AW82">
        <v>37979747.761930697</v>
      </c>
      <c r="AX82">
        <v>35263180.238069899</v>
      </c>
      <c r="AY82">
        <v>0</v>
      </c>
      <c r="AZ82">
        <v>73242928.000000596</v>
      </c>
      <c r="BA82"/>
      <c r="BB82"/>
    </row>
    <row r="83" spans="1:54" x14ac:dyDescent="0.2">
      <c r="A83" t="str">
        <f t="shared" si="2"/>
        <v>1_1_2009</v>
      </c>
      <c r="B83">
        <v>1</v>
      </c>
      <c r="C83">
        <v>1</v>
      </c>
      <c r="D83" s="162">
        <v>2009</v>
      </c>
      <c r="E83">
        <v>1315885005.99999</v>
      </c>
      <c r="F83">
        <v>1636775019</v>
      </c>
      <c r="G83">
        <v>1563634307</v>
      </c>
      <c r="H83">
        <v>1542166468.99999</v>
      </c>
      <c r="I83">
        <v>-32816179.000001501</v>
      </c>
      <c r="J83">
        <v>1543391890.97773</v>
      </c>
      <c r="K83">
        <v>-71740037.677601203</v>
      </c>
      <c r="L83">
        <v>0</v>
      </c>
      <c r="M83">
        <v>60228814.572822303</v>
      </c>
      <c r="N83">
        <v>0</v>
      </c>
      <c r="O83">
        <v>1.82893803269755</v>
      </c>
      <c r="P83">
        <v>9223489.1182339005</v>
      </c>
      <c r="Q83">
        <v>0.44151068116868197</v>
      </c>
      <c r="R83">
        <v>2.8462521151519899</v>
      </c>
      <c r="S83">
        <v>37103.449917785103</v>
      </c>
      <c r="T83">
        <v>10.8032460409766</v>
      </c>
      <c r="U83">
        <v>4.6394372370407497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0.187829811019216</v>
      </c>
      <c r="AC83">
        <v>0</v>
      </c>
      <c r="AD83">
        <v>0</v>
      </c>
      <c r="AE83">
        <v>3863411.1025754502</v>
      </c>
      <c r="AF83">
        <v>0</v>
      </c>
      <c r="AG83">
        <v>-23450327.4580874</v>
      </c>
      <c r="AH83">
        <v>-697589.33382026898</v>
      </c>
      <c r="AI83">
        <v>721034.36435633304</v>
      </c>
      <c r="AJ83">
        <v>-53689810.907522298</v>
      </c>
      <c r="AK83">
        <v>4905990.0751179401</v>
      </c>
      <c r="AL83">
        <v>381828.06358722801</v>
      </c>
      <c r="AM83">
        <v>-1992265.4054424199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-69957729.499235496</v>
      </c>
      <c r="AW83">
        <v>-69535886.193894193</v>
      </c>
      <c r="AX83">
        <v>36719707.193892598</v>
      </c>
      <c r="AY83">
        <v>11348341</v>
      </c>
      <c r="AZ83">
        <v>-21467838.000001501</v>
      </c>
      <c r="BA83"/>
      <c r="BB83"/>
    </row>
    <row r="84" spans="1:54" x14ac:dyDescent="0.2">
      <c r="A84" t="str">
        <f t="shared" si="2"/>
        <v>1_1_2010</v>
      </c>
      <c r="B84">
        <v>1</v>
      </c>
      <c r="C84">
        <v>1</v>
      </c>
      <c r="D84" s="162">
        <v>2010</v>
      </c>
      <c r="E84">
        <v>1357920541.99999</v>
      </c>
      <c r="F84">
        <v>1684310471</v>
      </c>
      <c r="G84">
        <v>1542166468.99999</v>
      </c>
      <c r="H84">
        <v>1584263533</v>
      </c>
      <c r="I84">
        <v>61528.000000629501</v>
      </c>
      <c r="J84">
        <v>1622567577.14218</v>
      </c>
      <c r="K84">
        <v>31862829.842756402</v>
      </c>
      <c r="L84">
        <v>0</v>
      </c>
      <c r="M84">
        <v>58542062.920650803</v>
      </c>
      <c r="N84">
        <v>0</v>
      </c>
      <c r="O84">
        <v>1.84639026340027</v>
      </c>
      <c r="P84">
        <v>9075411.1666394807</v>
      </c>
      <c r="Q84">
        <v>0.45550484064964702</v>
      </c>
      <c r="R84">
        <v>3.3049430308570198</v>
      </c>
      <c r="S84">
        <v>36269.585627314998</v>
      </c>
      <c r="T84">
        <v>11.0604116095697</v>
      </c>
      <c r="U84">
        <v>4.8650127250228996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0.19551027088004699</v>
      </c>
      <c r="AC84">
        <v>0</v>
      </c>
      <c r="AD84">
        <v>0</v>
      </c>
      <c r="AE84">
        <v>-3614236.9424456302</v>
      </c>
      <c r="AF84">
        <v>0</v>
      </c>
      <c r="AG84">
        <v>-130934.765528424</v>
      </c>
      <c r="AH84">
        <v>921481.10288370599</v>
      </c>
      <c r="AI84">
        <v>9023447.5112702902</v>
      </c>
      <c r="AJ84">
        <v>25011456.4309613</v>
      </c>
      <c r="AK84">
        <v>2661130.0168197802</v>
      </c>
      <c r="AL84">
        <v>878898.60497828003</v>
      </c>
      <c r="AM84">
        <v>-2719614.3752265801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-320113.36026384903</v>
      </c>
      <c r="AU84">
        <v>0</v>
      </c>
      <c r="AV84">
        <v>31711514.223448899</v>
      </c>
      <c r="AW84">
        <v>31538553.386156999</v>
      </c>
      <c r="AX84">
        <v>-31477025.386156399</v>
      </c>
      <c r="AY84">
        <v>42035535.999999903</v>
      </c>
      <c r="AZ84">
        <v>42097064.000000603</v>
      </c>
      <c r="BA84"/>
      <c r="BB84"/>
    </row>
    <row r="85" spans="1:54" x14ac:dyDescent="0.2">
      <c r="A85" t="str">
        <f t="shared" si="2"/>
        <v>1_1_2011</v>
      </c>
      <c r="B85">
        <v>1</v>
      </c>
      <c r="C85">
        <v>1</v>
      </c>
      <c r="D85" s="162">
        <v>2011</v>
      </c>
      <c r="E85">
        <v>1357920541.99999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1664533573.1391699</v>
      </c>
      <c r="K85">
        <v>41965995.996982597</v>
      </c>
      <c r="L85">
        <v>0</v>
      </c>
      <c r="M85">
        <v>58648128.683592103</v>
      </c>
      <c r="N85">
        <v>0</v>
      </c>
      <c r="O85">
        <v>1.8637728774042599</v>
      </c>
      <c r="P85">
        <v>9159450.9602589998</v>
      </c>
      <c r="Q85">
        <v>0.45075925590674898</v>
      </c>
      <c r="R85">
        <v>4.05616919494837</v>
      </c>
      <c r="S85">
        <v>35668.3190565029</v>
      </c>
      <c r="T85">
        <v>11.3570696908715</v>
      </c>
      <c r="U85">
        <v>4.8273632355876099</v>
      </c>
      <c r="V85">
        <v>0</v>
      </c>
      <c r="W85">
        <v>0</v>
      </c>
      <c r="X85">
        <v>0</v>
      </c>
      <c r="Y85">
        <v>0</v>
      </c>
      <c r="Z85">
        <v>0.12084668721360201</v>
      </c>
      <c r="AA85">
        <v>0</v>
      </c>
      <c r="AB85">
        <v>0.35897183665993898</v>
      </c>
      <c r="AC85">
        <v>0</v>
      </c>
      <c r="AD85">
        <v>0</v>
      </c>
      <c r="AE85">
        <v>5120848.5620247498</v>
      </c>
      <c r="AF85">
        <v>0</v>
      </c>
      <c r="AG85">
        <v>-3231817.53006837</v>
      </c>
      <c r="AH85">
        <v>3558528.6564936</v>
      </c>
      <c r="AI85">
        <v>-2934944.9346888498</v>
      </c>
      <c r="AJ85">
        <v>36872819.469543003</v>
      </c>
      <c r="AK85">
        <v>1886352.9856807301</v>
      </c>
      <c r="AL85">
        <v>947163.06849404704</v>
      </c>
      <c r="AM85">
        <v>472907.01048427197</v>
      </c>
      <c r="AN85">
        <v>0</v>
      </c>
      <c r="AO85">
        <v>0</v>
      </c>
      <c r="AP85">
        <v>0</v>
      </c>
      <c r="AQ85">
        <v>0</v>
      </c>
      <c r="AR85">
        <v>403017.32747810002</v>
      </c>
      <c r="AS85">
        <v>0</v>
      </c>
      <c r="AT85">
        <v>-2558655.7175046899</v>
      </c>
      <c r="AU85">
        <v>0</v>
      </c>
      <c r="AV85">
        <v>40536218.897936597</v>
      </c>
      <c r="AW85">
        <v>40651520.336286098</v>
      </c>
      <c r="AX85">
        <v>25051361.663713701</v>
      </c>
      <c r="AY85">
        <v>0</v>
      </c>
      <c r="AZ85">
        <v>65702881.999999799</v>
      </c>
      <c r="BA85"/>
      <c r="BB85"/>
    </row>
    <row r="86" spans="1:54" x14ac:dyDescent="0.2">
      <c r="A86" t="str">
        <f t="shared" si="2"/>
        <v>1_1_2012</v>
      </c>
      <c r="B86">
        <v>1</v>
      </c>
      <c r="C86">
        <v>1</v>
      </c>
      <c r="D86" s="162">
        <v>2012</v>
      </c>
      <c r="E86">
        <v>1357920541.99999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1698382992.73049</v>
      </c>
      <c r="K86">
        <v>33849419.591320403</v>
      </c>
      <c r="L86">
        <v>0</v>
      </c>
      <c r="M86">
        <v>60228514.526974499</v>
      </c>
      <c r="N86">
        <v>0</v>
      </c>
      <c r="O86">
        <v>1.87757629079359</v>
      </c>
      <c r="P86">
        <v>9265369.1436843593</v>
      </c>
      <c r="Q86">
        <v>0.44667552967074198</v>
      </c>
      <c r="R86">
        <v>4.0850684443871499</v>
      </c>
      <c r="S86">
        <v>35332.063055995401</v>
      </c>
      <c r="T86">
        <v>11.244313444527</v>
      </c>
      <c r="U86">
        <v>4.8858900437047801</v>
      </c>
      <c r="V86">
        <v>0</v>
      </c>
      <c r="W86">
        <v>0</v>
      </c>
      <c r="X86">
        <v>0</v>
      </c>
      <c r="Y86">
        <v>0</v>
      </c>
      <c r="Z86">
        <v>0.619991742491807</v>
      </c>
      <c r="AA86">
        <v>0</v>
      </c>
      <c r="AB86">
        <v>0.36463924263986802</v>
      </c>
      <c r="AC86">
        <v>0</v>
      </c>
      <c r="AD86">
        <v>0</v>
      </c>
      <c r="AE86">
        <v>33133268.3049125</v>
      </c>
      <c r="AF86">
        <v>0</v>
      </c>
      <c r="AG86">
        <v>-1998482.4610954199</v>
      </c>
      <c r="AH86">
        <v>4514044.59008813</v>
      </c>
      <c r="AI86">
        <v>-2655213.90673187</v>
      </c>
      <c r="AJ86">
        <v>1368764.80127204</v>
      </c>
      <c r="AK86">
        <v>1068338.2640080201</v>
      </c>
      <c r="AL86">
        <v>-373645.08994880598</v>
      </c>
      <c r="AM86">
        <v>-757020.62808226398</v>
      </c>
      <c r="AN86">
        <v>0</v>
      </c>
      <c r="AO86">
        <v>0</v>
      </c>
      <c r="AP86">
        <v>0</v>
      </c>
      <c r="AQ86">
        <v>0</v>
      </c>
      <c r="AR86">
        <v>1741558.22373934</v>
      </c>
      <c r="AS86">
        <v>0</v>
      </c>
      <c r="AT86">
        <v>-116302.366001175</v>
      </c>
      <c r="AU86">
        <v>0</v>
      </c>
      <c r="AV86">
        <v>35925309.732160501</v>
      </c>
      <c r="AW86">
        <v>36193947.160454802</v>
      </c>
      <c r="AX86">
        <v>-1849891.1604549701</v>
      </c>
      <c r="AY86">
        <v>0</v>
      </c>
      <c r="AZ86">
        <v>34344055.999999903</v>
      </c>
      <c r="BA86"/>
      <c r="BB86"/>
    </row>
    <row r="87" spans="1:54" x14ac:dyDescent="0.2">
      <c r="A87" t="str">
        <f t="shared" si="2"/>
        <v>1_1_2013</v>
      </c>
      <c r="B87">
        <v>1</v>
      </c>
      <c r="C87">
        <v>1</v>
      </c>
      <c r="D87" s="162">
        <v>2013</v>
      </c>
      <c r="E87">
        <v>1357920541.99999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1700892222.5669401</v>
      </c>
      <c r="K87">
        <v>2509229.8364484301</v>
      </c>
      <c r="L87">
        <v>0</v>
      </c>
      <c r="M87">
        <v>61513379.605220102</v>
      </c>
      <c r="N87">
        <v>0</v>
      </c>
      <c r="O87">
        <v>2.0084616362367398</v>
      </c>
      <c r="P87">
        <v>9360035.1093612593</v>
      </c>
      <c r="Q87">
        <v>0.447001312958766</v>
      </c>
      <c r="R87">
        <v>3.9264334458579802</v>
      </c>
      <c r="S87">
        <v>35625.734670719801</v>
      </c>
      <c r="T87">
        <v>10.910247641198101</v>
      </c>
      <c r="U87">
        <v>4.8874813217163897</v>
      </c>
      <c r="V87">
        <v>0</v>
      </c>
      <c r="W87">
        <v>0</v>
      </c>
      <c r="X87">
        <v>0</v>
      </c>
      <c r="Y87">
        <v>0</v>
      </c>
      <c r="Z87">
        <v>1.54359979775606</v>
      </c>
      <c r="AA87">
        <v>0</v>
      </c>
      <c r="AB87">
        <v>0.36463924263986802</v>
      </c>
      <c r="AC87">
        <v>0</v>
      </c>
      <c r="AD87">
        <v>0</v>
      </c>
      <c r="AE87">
        <v>30928332.9025825</v>
      </c>
      <c r="AF87">
        <v>0</v>
      </c>
      <c r="AG87">
        <v>-25418315.9769114</v>
      </c>
      <c r="AH87">
        <v>4089940.9442238398</v>
      </c>
      <c r="AI87">
        <v>181375.68883743999</v>
      </c>
      <c r="AJ87">
        <v>-7688488.7470450997</v>
      </c>
      <c r="AK87">
        <v>-1032013.52275504</v>
      </c>
      <c r="AL87">
        <v>-1125450.88728879</v>
      </c>
      <c r="AM87">
        <v>-37519.051632841598</v>
      </c>
      <c r="AN87">
        <v>0</v>
      </c>
      <c r="AO87">
        <v>0</v>
      </c>
      <c r="AP87">
        <v>0</v>
      </c>
      <c r="AQ87">
        <v>0</v>
      </c>
      <c r="AR87">
        <v>3343956.59359182</v>
      </c>
      <c r="AS87">
        <v>0</v>
      </c>
      <c r="AT87">
        <v>0</v>
      </c>
      <c r="AU87">
        <v>0</v>
      </c>
      <c r="AV87">
        <v>3241817.9436024101</v>
      </c>
      <c r="AW87">
        <v>2830564.5238166498</v>
      </c>
      <c r="AX87">
        <v>5782392.47618376</v>
      </c>
      <c r="AY87">
        <v>0</v>
      </c>
      <c r="AZ87">
        <v>8612957.0000004098</v>
      </c>
      <c r="BA87"/>
      <c r="BB87"/>
    </row>
    <row r="88" spans="1:54" x14ac:dyDescent="0.2">
      <c r="A88" t="str">
        <f t="shared" si="2"/>
        <v>1_1_2014</v>
      </c>
      <c r="B88">
        <v>1</v>
      </c>
      <c r="C88">
        <v>1</v>
      </c>
      <c r="D88" s="162">
        <v>2014</v>
      </c>
      <c r="E88">
        <v>1357920541.99999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1737420735.0245299</v>
      </c>
      <c r="K88">
        <v>36528512.457597502</v>
      </c>
      <c r="L88">
        <v>0</v>
      </c>
      <c r="M88">
        <v>63396051.766034603</v>
      </c>
      <c r="N88">
        <v>0</v>
      </c>
      <c r="O88">
        <v>1.9796424919522899</v>
      </c>
      <c r="P88">
        <v>9471627.2095400691</v>
      </c>
      <c r="Q88">
        <v>0.446620210058637</v>
      </c>
      <c r="R88">
        <v>3.7159925873714301</v>
      </c>
      <c r="S88">
        <v>35762.044715306198</v>
      </c>
      <c r="T88">
        <v>10.8819876961769</v>
      </c>
      <c r="U88">
        <v>5.1402361395310496</v>
      </c>
      <c r="V88">
        <v>0</v>
      </c>
      <c r="W88">
        <v>0</v>
      </c>
      <c r="X88">
        <v>0</v>
      </c>
      <c r="Y88">
        <v>0</v>
      </c>
      <c r="Z88">
        <v>2.4966078729516701</v>
      </c>
      <c r="AA88">
        <v>0</v>
      </c>
      <c r="AB88">
        <v>0.59875677836236696</v>
      </c>
      <c r="AC88">
        <v>0</v>
      </c>
      <c r="AD88">
        <v>0</v>
      </c>
      <c r="AE88">
        <v>42467872.4405858</v>
      </c>
      <c r="AF88">
        <v>0</v>
      </c>
      <c r="AG88">
        <v>4708428.9750439301</v>
      </c>
      <c r="AH88">
        <v>4826180.0641054502</v>
      </c>
      <c r="AI88">
        <v>-246296.95296733899</v>
      </c>
      <c r="AJ88">
        <v>-10549663.558173001</v>
      </c>
      <c r="AK88">
        <v>-625573.77290861902</v>
      </c>
      <c r="AL88">
        <v>-127828.778849293</v>
      </c>
      <c r="AM88">
        <v>-3144341.86031667</v>
      </c>
      <c r="AN88">
        <v>0</v>
      </c>
      <c r="AO88">
        <v>0</v>
      </c>
      <c r="AP88">
        <v>0</v>
      </c>
      <c r="AQ88">
        <v>0</v>
      </c>
      <c r="AR88">
        <v>3476504.80811512</v>
      </c>
      <c r="AS88">
        <v>0</v>
      </c>
      <c r="AT88">
        <v>-4355750.7564673098</v>
      </c>
      <c r="AU88">
        <v>0</v>
      </c>
      <c r="AV88">
        <v>36429530.608168103</v>
      </c>
      <c r="AW88">
        <v>36615614.865709499</v>
      </c>
      <c r="AX88">
        <v>11517510.134289799</v>
      </c>
      <c r="AY88">
        <v>0</v>
      </c>
      <c r="AZ88">
        <v>48133124.999999397</v>
      </c>
      <c r="BA88"/>
      <c r="BB88"/>
    </row>
    <row r="89" spans="1:54" x14ac:dyDescent="0.2">
      <c r="A89" t="str">
        <f t="shared" si="2"/>
        <v>1_1_2015</v>
      </c>
      <c r="B89">
        <v>1</v>
      </c>
      <c r="C89">
        <v>1</v>
      </c>
      <c r="D89" s="162">
        <v>2015</v>
      </c>
      <c r="E89">
        <v>1357920541.99999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1659652262.03373</v>
      </c>
      <c r="K89">
        <v>-77768472.990807995</v>
      </c>
      <c r="L89">
        <v>0</v>
      </c>
      <c r="M89">
        <v>64060397.623078197</v>
      </c>
      <c r="N89">
        <v>0</v>
      </c>
      <c r="O89">
        <v>2.12248768362858</v>
      </c>
      <c r="P89">
        <v>9569548.7950727697</v>
      </c>
      <c r="Q89">
        <v>0.44756879555497098</v>
      </c>
      <c r="R89">
        <v>2.7360909293352398</v>
      </c>
      <c r="S89">
        <v>36783.3574777342</v>
      </c>
      <c r="T89">
        <v>10.8849810846443</v>
      </c>
      <c r="U89">
        <v>5.1642561372342799</v>
      </c>
      <c r="V89">
        <v>9.1007693143801194E-2</v>
      </c>
      <c r="W89">
        <v>0</v>
      </c>
      <c r="X89">
        <v>0</v>
      </c>
      <c r="Y89">
        <v>0</v>
      </c>
      <c r="Z89">
        <v>3.4966078729516701</v>
      </c>
      <c r="AA89">
        <v>0</v>
      </c>
      <c r="AB89">
        <v>0.90089463423110905</v>
      </c>
      <c r="AC89">
        <v>0</v>
      </c>
      <c r="AD89">
        <v>0</v>
      </c>
      <c r="AE89">
        <v>21287278.176963702</v>
      </c>
      <c r="AF89">
        <v>0</v>
      </c>
      <c r="AG89">
        <v>-24779479.867503501</v>
      </c>
      <c r="AH89">
        <v>4469579.5223895004</v>
      </c>
      <c r="AI89">
        <v>564069.60275118798</v>
      </c>
      <c r="AJ89">
        <v>-56606695.626608498</v>
      </c>
      <c r="AK89">
        <v>-3622274.0100973402</v>
      </c>
      <c r="AL89">
        <v>-42533.618109505798</v>
      </c>
      <c r="AM89">
        <v>-414223.92942585301</v>
      </c>
      <c r="AN89">
        <v>-17663190.0209723</v>
      </c>
      <c r="AO89">
        <v>0</v>
      </c>
      <c r="AP89">
        <v>0</v>
      </c>
      <c r="AQ89">
        <v>0</v>
      </c>
      <c r="AR89">
        <v>3796379.6261591702</v>
      </c>
      <c r="AS89">
        <v>0</v>
      </c>
      <c r="AT89">
        <v>-5575138.7001102101</v>
      </c>
      <c r="AU89">
        <v>0</v>
      </c>
      <c r="AV89">
        <v>-78586228.844563693</v>
      </c>
      <c r="AW89">
        <v>-77772491.764113694</v>
      </c>
      <c r="AX89">
        <v>59687002.7641133</v>
      </c>
      <c r="AY89">
        <v>0</v>
      </c>
      <c r="AZ89">
        <v>-18085489.000000302</v>
      </c>
      <c r="BA89"/>
      <c r="BB89"/>
    </row>
    <row r="90" spans="1:54" x14ac:dyDescent="0.2">
      <c r="A90" t="str">
        <f t="shared" si="2"/>
        <v>1_1_2016</v>
      </c>
      <c r="B90">
        <v>1</v>
      </c>
      <c r="C90">
        <v>1</v>
      </c>
      <c r="D90" s="162">
        <v>2016</v>
      </c>
      <c r="E90">
        <v>1357920541.99999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1638632858.41607</v>
      </c>
      <c r="K90">
        <v>-21019403.617653199</v>
      </c>
      <c r="L90">
        <v>0</v>
      </c>
      <c r="M90">
        <v>64564961.1953898</v>
      </c>
      <c r="N90">
        <v>0</v>
      </c>
      <c r="O90">
        <v>2.1718309915963601</v>
      </c>
      <c r="P90">
        <v>9643203.3315981403</v>
      </c>
      <c r="Q90">
        <v>0.44732073067715999</v>
      </c>
      <c r="R90">
        <v>2.4334024777688299</v>
      </c>
      <c r="S90">
        <v>37603.8361288671</v>
      </c>
      <c r="T90">
        <v>10.8034312406108</v>
      </c>
      <c r="U90">
        <v>5.67044548332637</v>
      </c>
      <c r="V90">
        <v>0.182015386287602</v>
      </c>
      <c r="W90">
        <v>0</v>
      </c>
      <c r="X90">
        <v>0</v>
      </c>
      <c r="Y90">
        <v>0</v>
      </c>
      <c r="Z90">
        <v>4.4966078729516701</v>
      </c>
      <c r="AA90">
        <v>0</v>
      </c>
      <c r="AB90">
        <v>0.99492762883617902</v>
      </c>
      <c r="AC90">
        <v>0</v>
      </c>
      <c r="AD90">
        <v>0</v>
      </c>
      <c r="AE90">
        <v>27078558.9672332</v>
      </c>
      <c r="AF90">
        <v>0</v>
      </c>
      <c r="AG90">
        <v>-7662114.35662721</v>
      </c>
      <c r="AH90">
        <v>3367002.8527270202</v>
      </c>
      <c r="AI90">
        <v>-152596.82559662199</v>
      </c>
      <c r="AJ90">
        <v>-20943595.364367999</v>
      </c>
      <c r="AK90">
        <v>-2643521.1162513802</v>
      </c>
      <c r="AL90">
        <v>-343072.77100964898</v>
      </c>
      <c r="AM90">
        <v>-6565759.1512884405</v>
      </c>
      <c r="AN90">
        <v>-16979244.2720038</v>
      </c>
      <c r="AO90">
        <v>0</v>
      </c>
      <c r="AP90">
        <v>0</v>
      </c>
      <c r="AQ90">
        <v>0</v>
      </c>
      <c r="AR90">
        <v>3756944.1570180701</v>
      </c>
      <c r="AS90">
        <v>0</v>
      </c>
      <c r="AT90">
        <v>-2008756.5832966401</v>
      </c>
      <c r="AU90">
        <v>0</v>
      </c>
      <c r="AV90">
        <v>-23096154.4634635</v>
      </c>
      <c r="AW90">
        <v>-22763182.187167201</v>
      </c>
      <c r="AX90">
        <v>-2128931.8128334498</v>
      </c>
      <c r="AY90">
        <v>0</v>
      </c>
      <c r="AZ90">
        <v>-24892114.0000007</v>
      </c>
      <c r="BA90"/>
      <c r="BB90"/>
    </row>
    <row r="91" spans="1:54" x14ac:dyDescent="0.2">
      <c r="A91" t="str">
        <f t="shared" si="2"/>
        <v>1_1_2017</v>
      </c>
      <c r="B91">
        <v>1</v>
      </c>
      <c r="C91">
        <v>1</v>
      </c>
      <c r="D91" s="162">
        <v>2017</v>
      </c>
      <c r="E91">
        <v>1357920541.99999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1693759101.30564</v>
      </c>
      <c r="K91">
        <v>55126242.889569201</v>
      </c>
      <c r="L91">
        <v>0</v>
      </c>
      <c r="M91">
        <v>66495613.310067602</v>
      </c>
      <c r="N91">
        <v>0</v>
      </c>
      <c r="O91">
        <v>2.1295453972595402</v>
      </c>
      <c r="P91">
        <v>9739666.0484840199</v>
      </c>
      <c r="Q91">
        <v>0.44626802398001703</v>
      </c>
      <c r="R91">
        <v>2.64736159722076</v>
      </c>
      <c r="S91">
        <v>38453.509365151003</v>
      </c>
      <c r="T91">
        <v>10.609794983468101</v>
      </c>
      <c r="U91">
        <v>5.8225167600417604</v>
      </c>
      <c r="V91">
        <v>0.182015386287602</v>
      </c>
      <c r="W91">
        <v>0</v>
      </c>
      <c r="X91">
        <v>0</v>
      </c>
      <c r="Y91">
        <v>0</v>
      </c>
      <c r="Z91">
        <v>5.4966078729516701</v>
      </c>
      <c r="AA91">
        <v>0</v>
      </c>
      <c r="AB91">
        <v>0.99492762883617902</v>
      </c>
      <c r="AC91">
        <v>0</v>
      </c>
      <c r="AD91">
        <v>0</v>
      </c>
      <c r="AE91">
        <v>34512551.220556296</v>
      </c>
      <c r="AF91">
        <v>0</v>
      </c>
      <c r="AG91">
        <v>6111718.0029884903</v>
      </c>
      <c r="AH91">
        <v>4119662.5505955699</v>
      </c>
      <c r="AI91">
        <v>-757988.05677281297</v>
      </c>
      <c r="AJ91">
        <v>14808840.901087901</v>
      </c>
      <c r="AK91">
        <v>-2674976.0365660698</v>
      </c>
      <c r="AL91">
        <v>-568861.355994944</v>
      </c>
      <c r="AM91">
        <v>-1944410.6428077801</v>
      </c>
      <c r="AN91">
        <v>0</v>
      </c>
      <c r="AO91">
        <v>0</v>
      </c>
      <c r="AP91">
        <v>0</v>
      </c>
      <c r="AQ91">
        <v>0</v>
      </c>
      <c r="AR91">
        <v>3702666.8193412502</v>
      </c>
      <c r="AS91">
        <v>0</v>
      </c>
      <c r="AT91">
        <v>0</v>
      </c>
      <c r="AU91">
        <v>0</v>
      </c>
      <c r="AV91">
        <v>57309203.402427897</v>
      </c>
      <c r="AW91">
        <v>57881738.340092003</v>
      </c>
      <c r="AX91">
        <v>-89327590.340090305</v>
      </c>
      <c r="AY91">
        <v>0</v>
      </c>
      <c r="AZ91">
        <v>-31445851.999998201</v>
      </c>
      <c r="BA91"/>
      <c r="BB91"/>
    </row>
    <row r="92" spans="1:54" x14ac:dyDescent="0.2">
      <c r="A92" t="str">
        <f t="shared" si="2"/>
        <v>1_1_2018</v>
      </c>
      <c r="B92">
        <v>1</v>
      </c>
      <c r="C92">
        <v>1</v>
      </c>
      <c r="D92" s="162">
        <v>2018</v>
      </c>
      <c r="E92">
        <v>1357920541.99999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1701949048.0040801</v>
      </c>
      <c r="K92">
        <v>8189946.6984387897</v>
      </c>
      <c r="L92">
        <v>0</v>
      </c>
      <c r="M92">
        <v>67315268.821722701</v>
      </c>
      <c r="N92">
        <v>0</v>
      </c>
      <c r="O92">
        <v>2.11628653933517</v>
      </c>
      <c r="P92">
        <v>9822983.8105922006</v>
      </c>
      <c r="Q92">
        <v>0.44702194057060202</v>
      </c>
      <c r="R92">
        <v>2.9200642266077401</v>
      </c>
      <c r="S92">
        <v>39392.249431887001</v>
      </c>
      <c r="T92">
        <v>10.4497030009138</v>
      </c>
      <c r="U92">
        <v>6.0631175541013302</v>
      </c>
      <c r="V92">
        <v>9.1007693143801194E-2</v>
      </c>
      <c r="W92">
        <v>0</v>
      </c>
      <c r="X92">
        <v>0</v>
      </c>
      <c r="Y92">
        <v>0</v>
      </c>
      <c r="Z92">
        <v>6.4966078729516701</v>
      </c>
      <c r="AA92">
        <v>0</v>
      </c>
      <c r="AB92">
        <v>1</v>
      </c>
      <c r="AC92">
        <v>0.64384680764332902</v>
      </c>
      <c r="AD92">
        <v>0</v>
      </c>
      <c r="AE92">
        <v>12907421.5227501</v>
      </c>
      <c r="AF92">
        <v>0</v>
      </c>
      <c r="AG92">
        <v>1457531.6585596099</v>
      </c>
      <c r="AH92">
        <v>3594796.0866791201</v>
      </c>
      <c r="AI92">
        <v>527495.52619181795</v>
      </c>
      <c r="AJ92">
        <v>17716162.434973098</v>
      </c>
      <c r="AK92">
        <v>-2824762.9309299001</v>
      </c>
      <c r="AL92">
        <v>-487302.73841011402</v>
      </c>
      <c r="AM92">
        <v>-3021030.5999476798</v>
      </c>
      <c r="AN92">
        <v>16179783.717286499</v>
      </c>
      <c r="AO92">
        <v>0</v>
      </c>
      <c r="AP92">
        <v>0</v>
      </c>
      <c r="AQ92">
        <v>0</v>
      </c>
      <c r="AR92">
        <v>3634099.0340764299</v>
      </c>
      <c r="AS92">
        <v>0</v>
      </c>
      <c r="AT92">
        <v>-93322.357991928104</v>
      </c>
      <c r="AU92">
        <v>-41042204.800437197</v>
      </c>
      <c r="AV92">
        <v>8548666.55279986</v>
      </c>
      <c r="AW92">
        <v>8176326.89755606</v>
      </c>
      <c r="AX92">
        <v>-38624791.8975567</v>
      </c>
      <c r="AY92">
        <v>0</v>
      </c>
      <c r="AZ92">
        <v>-30448465.0000006</v>
      </c>
      <c r="BA92"/>
      <c r="BB92"/>
    </row>
    <row r="93" spans="1:54" x14ac:dyDescent="0.2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40923579.069976397</v>
      </c>
      <c r="K93">
        <v>0</v>
      </c>
      <c r="L93">
        <v>0</v>
      </c>
      <c r="M93">
        <v>2988066.6864974699</v>
      </c>
      <c r="N93">
        <v>0</v>
      </c>
      <c r="O93">
        <v>1.22446132506114</v>
      </c>
      <c r="P93">
        <v>2748238.4134659702</v>
      </c>
      <c r="Q93">
        <v>0.38666408222786403</v>
      </c>
      <c r="R93">
        <v>1.95863721745606</v>
      </c>
      <c r="S93">
        <v>35513.769785103097</v>
      </c>
      <c r="T93">
        <v>7.6754355225931601</v>
      </c>
      <c r="U93">
        <v>3.5501668442365699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0.31724360697922399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47103514.999999903</v>
      </c>
      <c r="AZ93">
        <v>47103514.999999903</v>
      </c>
      <c r="BA93"/>
      <c r="BB93"/>
    </row>
    <row r="94" spans="1:54" x14ac:dyDescent="0.2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44033257.0051006</v>
      </c>
      <c r="K94">
        <v>2735929.10710508</v>
      </c>
      <c r="L94">
        <v>0</v>
      </c>
      <c r="M94">
        <v>3067152.0049922299</v>
      </c>
      <c r="N94">
        <v>0</v>
      </c>
      <c r="O94">
        <v>0.95425670327989498</v>
      </c>
      <c r="P94">
        <v>2800412.0870693899</v>
      </c>
      <c r="Q94">
        <v>0.383466594956062</v>
      </c>
      <c r="R94">
        <v>2.2248293383059701</v>
      </c>
      <c r="S94">
        <v>34792.153953380403</v>
      </c>
      <c r="T94">
        <v>7.72117924132505</v>
      </c>
      <c r="U94">
        <v>3.5583851803607498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0.314175693497945</v>
      </c>
      <c r="AC94">
        <v>0</v>
      </c>
      <c r="AD94">
        <v>0</v>
      </c>
      <c r="AE94">
        <v>693473.45967018697</v>
      </c>
      <c r="AF94">
        <v>0</v>
      </c>
      <c r="AG94">
        <v>1929086.8654708399</v>
      </c>
      <c r="AH94">
        <v>187597.89796113301</v>
      </c>
      <c r="AI94">
        <v>-53978.051059906</v>
      </c>
      <c r="AJ94">
        <v>584218.77311463305</v>
      </c>
      <c r="AK94">
        <v>64115.5759467916</v>
      </c>
      <c r="AL94">
        <v>4185.4147600492597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3408699.93586373</v>
      </c>
      <c r="AW94">
        <v>3577185.3550617602</v>
      </c>
      <c r="AX94">
        <v>-3542956.35506177</v>
      </c>
      <c r="AY94">
        <v>459964</v>
      </c>
      <c r="AZ94">
        <v>494192.99999998801</v>
      </c>
      <c r="BA94"/>
      <c r="BB94"/>
    </row>
    <row r="95" spans="1:54" x14ac:dyDescent="0.2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45983064.1744221</v>
      </c>
      <c r="K95">
        <v>1949807.1693214299</v>
      </c>
      <c r="L95">
        <v>0</v>
      </c>
      <c r="M95">
        <v>2963269.7546655</v>
      </c>
      <c r="N95">
        <v>0</v>
      </c>
      <c r="O95">
        <v>0.88758600432110801</v>
      </c>
      <c r="P95">
        <v>2846929.32774525</v>
      </c>
      <c r="Q95">
        <v>0.380213079512498</v>
      </c>
      <c r="R95">
        <v>2.5316819613867998</v>
      </c>
      <c r="S95">
        <v>33820.029088857598</v>
      </c>
      <c r="T95">
        <v>7.7640478477194597</v>
      </c>
      <c r="U95">
        <v>3.5583851803607498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0.314175693497945</v>
      </c>
      <c r="AC95">
        <v>0</v>
      </c>
      <c r="AD95">
        <v>0</v>
      </c>
      <c r="AE95">
        <v>946826.61306130304</v>
      </c>
      <c r="AF95">
        <v>0</v>
      </c>
      <c r="AG95">
        <v>584588.19611110596</v>
      </c>
      <c r="AH95">
        <v>203831.16969836099</v>
      </c>
      <c r="AI95">
        <v>-60788.505854066701</v>
      </c>
      <c r="AJ95">
        <v>623702.62051699695</v>
      </c>
      <c r="AK95">
        <v>92834.576767792401</v>
      </c>
      <c r="AL95">
        <v>4376.9832941320001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2395371.6535956198</v>
      </c>
      <c r="AW95">
        <v>2443570.9845678001</v>
      </c>
      <c r="AX95">
        <v>2235380.0154322302</v>
      </c>
      <c r="AY95">
        <v>0</v>
      </c>
      <c r="AZ95">
        <v>4678951.0000000298</v>
      </c>
      <c r="BA95"/>
      <c r="BB95"/>
    </row>
    <row r="96" spans="1:54" x14ac:dyDescent="0.2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49222655.518775403</v>
      </c>
      <c r="K96">
        <v>3239591.3443533699</v>
      </c>
      <c r="L96">
        <v>0</v>
      </c>
      <c r="M96">
        <v>3111608.7239264101</v>
      </c>
      <c r="N96">
        <v>0</v>
      </c>
      <c r="O96">
        <v>0.84445403853827095</v>
      </c>
      <c r="P96">
        <v>2900400.9844958899</v>
      </c>
      <c r="Q96">
        <v>0.37600376212261699</v>
      </c>
      <c r="R96">
        <v>2.98787226562842</v>
      </c>
      <c r="S96">
        <v>32966.477874573997</v>
      </c>
      <c r="T96">
        <v>7.7825434993937197</v>
      </c>
      <c r="U96">
        <v>3.5583851803607498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0.314175693497945</v>
      </c>
      <c r="AC96">
        <v>0</v>
      </c>
      <c r="AD96">
        <v>0</v>
      </c>
      <c r="AE96">
        <v>2076157.1689295401</v>
      </c>
      <c r="AF96">
        <v>0</v>
      </c>
      <c r="AG96">
        <v>353762.26574223902</v>
      </c>
      <c r="AH96">
        <v>256743.39376755999</v>
      </c>
      <c r="AI96">
        <v>-86756.898699233396</v>
      </c>
      <c r="AJ96">
        <v>911541.59859383502</v>
      </c>
      <c r="AK96">
        <v>88237.492509030097</v>
      </c>
      <c r="AL96">
        <v>2219.7325067516399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3601904.75334972</v>
      </c>
      <c r="AW96">
        <v>3673512.31480233</v>
      </c>
      <c r="AX96">
        <v>2739941.68519765</v>
      </c>
      <c r="AY96">
        <v>0</v>
      </c>
      <c r="AZ96">
        <v>6413453.9999999898</v>
      </c>
      <c r="BA96"/>
      <c r="BB96"/>
    </row>
    <row r="97" spans="1:54" x14ac:dyDescent="0.2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52558764.003511898</v>
      </c>
      <c r="K97">
        <v>3336108.4847364202</v>
      </c>
      <c r="L97">
        <v>0</v>
      </c>
      <c r="M97">
        <v>3372635.91564218</v>
      </c>
      <c r="N97">
        <v>0</v>
      </c>
      <c r="O97">
        <v>0.82515410950917401</v>
      </c>
      <c r="P97">
        <v>2968493.4504525298</v>
      </c>
      <c r="Q97">
        <v>0.375386769583476</v>
      </c>
      <c r="R97">
        <v>3.27363007287587</v>
      </c>
      <c r="S97">
        <v>31633.004303496102</v>
      </c>
      <c r="T97">
        <v>7.8729895351010697</v>
      </c>
      <c r="U97">
        <v>3.6039527806618099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0.314175693497945</v>
      </c>
      <c r="AC97">
        <v>0</v>
      </c>
      <c r="AD97">
        <v>0</v>
      </c>
      <c r="AE97">
        <v>2622980.0333889201</v>
      </c>
      <c r="AF97">
        <v>0</v>
      </c>
      <c r="AG97">
        <v>262317.61242443603</v>
      </c>
      <c r="AH97">
        <v>334190.443451208</v>
      </c>
      <c r="AI97">
        <v>-8052.0275806150803</v>
      </c>
      <c r="AJ97">
        <v>583723.50735011604</v>
      </c>
      <c r="AK97">
        <v>166655.372231721</v>
      </c>
      <c r="AL97">
        <v>12955.852845011799</v>
      </c>
      <c r="AM97">
        <v>-30045.689495368501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3944725.1046154299</v>
      </c>
      <c r="AW97">
        <v>3998724.2225528602</v>
      </c>
      <c r="AX97">
        <v>1736107.77744709</v>
      </c>
      <c r="AY97">
        <v>0</v>
      </c>
      <c r="AZ97">
        <v>5734831.9999999497</v>
      </c>
      <c r="BA97"/>
      <c r="BB97"/>
    </row>
    <row r="98" spans="1:54" x14ac:dyDescent="0.2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57885243.131774597</v>
      </c>
      <c r="K98">
        <v>2351407.2165425201</v>
      </c>
      <c r="L98">
        <v>0</v>
      </c>
      <c r="M98">
        <v>3742531.7688472499</v>
      </c>
      <c r="N98">
        <v>0</v>
      </c>
      <c r="O98">
        <v>0.99802413345686802</v>
      </c>
      <c r="P98">
        <v>2929215.4723490099</v>
      </c>
      <c r="Q98">
        <v>0.37154202438963502</v>
      </c>
      <c r="R98">
        <v>3.4715382637713801</v>
      </c>
      <c r="S98">
        <v>32002.695562030302</v>
      </c>
      <c r="T98">
        <v>7.6807238155797899</v>
      </c>
      <c r="U98">
        <v>3.9632681860798602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0.30348503466715798</v>
      </c>
      <c r="AC98">
        <v>0</v>
      </c>
      <c r="AD98">
        <v>0</v>
      </c>
      <c r="AE98">
        <v>3666355.5711446898</v>
      </c>
      <c r="AF98">
        <v>0</v>
      </c>
      <c r="AG98">
        <v>-857499.94812990399</v>
      </c>
      <c r="AH98">
        <v>106569.45527329</v>
      </c>
      <c r="AI98">
        <v>-162299.95357277899</v>
      </c>
      <c r="AJ98">
        <v>435320.867037674</v>
      </c>
      <c r="AK98">
        <v>-78400.121494224499</v>
      </c>
      <c r="AL98">
        <v>-33436.145336348301</v>
      </c>
      <c r="AM98">
        <v>-178205.09618947899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2898404.6287329099</v>
      </c>
      <c r="AW98">
        <v>2904950.44165305</v>
      </c>
      <c r="AX98">
        <v>1009542.558347</v>
      </c>
      <c r="AY98">
        <v>1675486</v>
      </c>
      <c r="AZ98">
        <v>5589979.0000000503</v>
      </c>
      <c r="BA98"/>
      <c r="BB98"/>
    </row>
    <row r="99" spans="1:54" x14ac:dyDescent="0.2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70572233.172222301</v>
      </c>
      <c r="K99">
        <v>9052381.6165433694</v>
      </c>
      <c r="L99">
        <v>0</v>
      </c>
      <c r="M99">
        <v>3896924.8286649799</v>
      </c>
      <c r="N99">
        <v>0</v>
      </c>
      <c r="O99">
        <v>0.93977045666623504</v>
      </c>
      <c r="P99">
        <v>2895500.65182896</v>
      </c>
      <c r="Q99">
        <v>0.35047201012238199</v>
      </c>
      <c r="R99">
        <v>3.8638884750685998</v>
      </c>
      <c r="S99">
        <v>32021.545966633101</v>
      </c>
      <c r="T99">
        <v>7.6301552176128098</v>
      </c>
      <c r="U99">
        <v>3.9876521555718498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0.27814092141244201</v>
      </c>
      <c r="AC99">
        <v>0</v>
      </c>
      <c r="AD99">
        <v>0</v>
      </c>
      <c r="AE99">
        <v>7587347.5180446897</v>
      </c>
      <c r="AF99">
        <v>0</v>
      </c>
      <c r="AG99">
        <v>-352870.39158880099</v>
      </c>
      <c r="AH99">
        <v>30527.811634964499</v>
      </c>
      <c r="AI99">
        <v>19425.9869630789</v>
      </c>
      <c r="AJ99">
        <v>841994.91413452302</v>
      </c>
      <c r="AK99">
        <v>42487.420000694001</v>
      </c>
      <c r="AL99">
        <v>18157.3599973532</v>
      </c>
      <c r="AM99">
        <v>17459.664284445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8204530.2834709398</v>
      </c>
      <c r="AW99">
        <v>8231244.3643167298</v>
      </c>
      <c r="AX99">
        <v>821253.63568319601</v>
      </c>
      <c r="AY99">
        <v>4486638.9999999898</v>
      </c>
      <c r="AZ99">
        <v>13539136.999999899</v>
      </c>
      <c r="BA99"/>
      <c r="BB99"/>
    </row>
    <row r="100" spans="1:54" x14ac:dyDescent="0.2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67000082.584458999</v>
      </c>
      <c r="K100">
        <v>-3572150.58776333</v>
      </c>
      <c r="L100">
        <v>0</v>
      </c>
      <c r="M100">
        <v>3862212.9981239801</v>
      </c>
      <c r="N100">
        <v>0</v>
      </c>
      <c r="O100">
        <v>1.13503110809188</v>
      </c>
      <c r="P100">
        <v>2873615.5909563601</v>
      </c>
      <c r="Q100">
        <v>0.35306818515556199</v>
      </c>
      <c r="R100">
        <v>2.8005855881024599</v>
      </c>
      <c r="S100">
        <v>30718.835568126098</v>
      </c>
      <c r="T100">
        <v>7.9748244602331502</v>
      </c>
      <c r="U100">
        <v>4.0581987556621897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0.27814092141244201</v>
      </c>
      <c r="AC100">
        <v>0</v>
      </c>
      <c r="AD100">
        <v>0</v>
      </c>
      <c r="AE100">
        <v>448247.01338715298</v>
      </c>
      <c r="AF100">
        <v>0</v>
      </c>
      <c r="AG100">
        <v>-2575539.0539262602</v>
      </c>
      <c r="AH100">
        <v>-104814.98432473501</v>
      </c>
      <c r="AI100">
        <v>83265.521733964095</v>
      </c>
      <c r="AJ100">
        <v>-2896017.4736665199</v>
      </c>
      <c r="AK100">
        <v>224503.06740348</v>
      </c>
      <c r="AL100">
        <v>58557.665044865702</v>
      </c>
      <c r="AM100">
        <v>-48964.772773186698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-4810763.0171212396</v>
      </c>
      <c r="AW100">
        <v>-4668487.9078504099</v>
      </c>
      <c r="AX100">
        <v>-5212694.0921495296</v>
      </c>
      <c r="AY100">
        <v>0</v>
      </c>
      <c r="AZ100">
        <v>-9881181.9999999404</v>
      </c>
      <c r="BA100"/>
      <c r="BB100"/>
    </row>
    <row r="101" spans="1:54" x14ac:dyDescent="0.2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68493913.665883705</v>
      </c>
      <c r="K101">
        <v>487684.494023179</v>
      </c>
      <c r="L101">
        <v>0</v>
      </c>
      <c r="M101">
        <v>3651703.6604625802</v>
      </c>
      <c r="N101">
        <v>0</v>
      </c>
      <c r="O101">
        <v>1.16794143281466</v>
      </c>
      <c r="P101">
        <v>2852151.6969436901</v>
      </c>
      <c r="Q101">
        <v>0.35513308630724999</v>
      </c>
      <c r="R101">
        <v>3.2660852247490402</v>
      </c>
      <c r="S101">
        <v>29966.431743468998</v>
      </c>
      <c r="T101">
        <v>7.9301054327543499</v>
      </c>
      <c r="U101">
        <v>4.0089942719692999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0.27223424204032598</v>
      </c>
      <c r="AC101">
        <v>0</v>
      </c>
      <c r="AD101">
        <v>0</v>
      </c>
      <c r="AE101">
        <v>-865955.93537137203</v>
      </c>
      <c r="AF101">
        <v>0</v>
      </c>
      <c r="AG101">
        <v>-273583.08117056702</v>
      </c>
      <c r="AH101">
        <v>38935.937534370401</v>
      </c>
      <c r="AI101">
        <v>54420.922181218702</v>
      </c>
      <c r="AJ101">
        <v>1235515.74490337</v>
      </c>
      <c r="AK101">
        <v>136124.24312668099</v>
      </c>
      <c r="AL101">
        <v>6350.7845276410098</v>
      </c>
      <c r="AM101">
        <v>49356.5890273845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381165.20475872798</v>
      </c>
      <c r="AW101">
        <v>393258.37836460402</v>
      </c>
      <c r="AX101">
        <v>-4337657.3783646198</v>
      </c>
      <c r="AY101">
        <v>1165687</v>
      </c>
      <c r="AZ101">
        <v>-2778712.00000002</v>
      </c>
      <c r="BA101"/>
      <c r="BB101"/>
    </row>
    <row r="102" spans="1:54" x14ac:dyDescent="0.2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73288553.466269702</v>
      </c>
      <c r="K102">
        <v>4794639.80038606</v>
      </c>
      <c r="L102">
        <v>0</v>
      </c>
      <c r="M102">
        <v>3875937.0241875299</v>
      </c>
      <c r="N102">
        <v>0</v>
      </c>
      <c r="O102">
        <v>1.1975799237850999</v>
      </c>
      <c r="P102">
        <v>2865273.642831</v>
      </c>
      <c r="Q102">
        <v>0.35320188584372902</v>
      </c>
      <c r="R102">
        <v>3.9927704960379802</v>
      </c>
      <c r="S102">
        <v>29426.8221675165</v>
      </c>
      <c r="T102">
        <v>8.3502916569628596</v>
      </c>
      <c r="U102">
        <v>4.0791861611951896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0.26992633518060899</v>
      </c>
      <c r="AC102">
        <v>0</v>
      </c>
      <c r="AD102">
        <v>0</v>
      </c>
      <c r="AE102">
        <v>3381870.8603427098</v>
      </c>
      <c r="AF102">
        <v>0</v>
      </c>
      <c r="AG102">
        <v>-189316.12991875899</v>
      </c>
      <c r="AH102">
        <v>100930.723753578</v>
      </c>
      <c r="AI102">
        <v>-73725.583589195099</v>
      </c>
      <c r="AJ102">
        <v>1603733.4241670601</v>
      </c>
      <c r="AK102">
        <v>105520.59091725601</v>
      </c>
      <c r="AL102">
        <v>67883.125155435104</v>
      </c>
      <c r="AM102">
        <v>-56461.545478209599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4940435.4653498698</v>
      </c>
      <c r="AW102">
        <v>4976450.5692732902</v>
      </c>
      <c r="AX102">
        <v>-1066540.5692733</v>
      </c>
      <c r="AY102">
        <v>469328</v>
      </c>
      <c r="AZ102">
        <v>4379237.9999999804</v>
      </c>
      <c r="BA102"/>
      <c r="BB102"/>
    </row>
    <row r="103" spans="1:54" x14ac:dyDescent="0.2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78843745.131297097</v>
      </c>
      <c r="K103">
        <v>3836423.93529962</v>
      </c>
      <c r="L103">
        <v>0</v>
      </c>
      <c r="M103">
        <v>4140949.1879227501</v>
      </c>
      <c r="N103">
        <v>0</v>
      </c>
      <c r="O103">
        <v>1.16958096107573</v>
      </c>
      <c r="P103">
        <v>2873847.8133243402</v>
      </c>
      <c r="Q103">
        <v>0.34747122969710198</v>
      </c>
      <c r="R103">
        <v>4.0037531914838302</v>
      </c>
      <c r="S103">
        <v>29075.687025196399</v>
      </c>
      <c r="T103">
        <v>8.3624406793883406</v>
      </c>
      <c r="U103">
        <v>4.4248857901299896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0.34080460599745599</v>
      </c>
      <c r="AC103">
        <v>0</v>
      </c>
      <c r="AD103">
        <v>0</v>
      </c>
      <c r="AE103">
        <v>4073600.0161037799</v>
      </c>
      <c r="AF103">
        <v>0</v>
      </c>
      <c r="AG103">
        <v>229545.79699928701</v>
      </c>
      <c r="AH103">
        <v>158610.86911169399</v>
      </c>
      <c r="AI103">
        <v>-212866.34786692599</v>
      </c>
      <c r="AJ103">
        <v>27603.196556662198</v>
      </c>
      <c r="AK103">
        <v>74830.500093231705</v>
      </c>
      <c r="AL103">
        <v>-1610.3961634965101</v>
      </c>
      <c r="AM103">
        <v>-170433.93246865299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-46562.146382553001</v>
      </c>
      <c r="AU103">
        <v>0</v>
      </c>
      <c r="AV103">
        <v>4105497.7380244602</v>
      </c>
      <c r="AW103">
        <v>4039153.5659042899</v>
      </c>
      <c r="AX103">
        <v>577392.43409576605</v>
      </c>
      <c r="AY103">
        <v>1651310</v>
      </c>
      <c r="AZ103">
        <v>6267856.0000000596</v>
      </c>
      <c r="BA103"/>
      <c r="BB103"/>
    </row>
    <row r="104" spans="1:54" x14ac:dyDescent="0.2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84520812.988937393</v>
      </c>
      <c r="K104">
        <v>5677067.8576403297</v>
      </c>
      <c r="L104">
        <v>0</v>
      </c>
      <c r="M104">
        <v>4862612.5704346197</v>
      </c>
      <c r="N104">
        <v>0</v>
      </c>
      <c r="O104">
        <v>1.2500587038933799</v>
      </c>
      <c r="P104">
        <v>2917601.6226869798</v>
      </c>
      <c r="Q104">
        <v>0.34637836707024799</v>
      </c>
      <c r="R104">
        <v>3.8547261390716998</v>
      </c>
      <c r="S104">
        <v>29719.3196618939</v>
      </c>
      <c r="T104">
        <v>8.19951098392057</v>
      </c>
      <c r="U104">
        <v>4.38035455702612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0.51006788421419602</v>
      </c>
      <c r="AC104">
        <v>0</v>
      </c>
      <c r="AD104">
        <v>0</v>
      </c>
      <c r="AE104">
        <v>7317815.7330658399</v>
      </c>
      <c r="AF104">
        <v>0</v>
      </c>
      <c r="AG104">
        <v>-928315.93422743003</v>
      </c>
      <c r="AH104">
        <v>237456.96511281299</v>
      </c>
      <c r="AI104">
        <v>-49732.827498348001</v>
      </c>
      <c r="AJ104">
        <v>-355006.68709221098</v>
      </c>
      <c r="AK104">
        <v>-122865.511267774</v>
      </c>
      <c r="AL104">
        <v>-24916.727822163</v>
      </c>
      <c r="AM104">
        <v>-5657.7429916910596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-209192.42388803401</v>
      </c>
      <c r="AU104">
        <v>0</v>
      </c>
      <c r="AV104">
        <v>5845465.1588567998</v>
      </c>
      <c r="AW104">
        <v>5637322.0108342404</v>
      </c>
      <c r="AX104">
        <v>-1756120.0108343</v>
      </c>
      <c r="AY104">
        <v>0</v>
      </c>
      <c r="AZ104">
        <v>3881201.9999999399</v>
      </c>
      <c r="BA104"/>
      <c r="BB104"/>
    </row>
    <row r="105" spans="1:54" x14ac:dyDescent="0.2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85175876.518455505</v>
      </c>
      <c r="K105">
        <v>655063.52951811603</v>
      </c>
      <c r="L105">
        <v>0</v>
      </c>
      <c r="M105">
        <v>4904447.6096593002</v>
      </c>
      <c r="N105">
        <v>0</v>
      </c>
      <c r="O105">
        <v>1.2614354281215301</v>
      </c>
      <c r="P105">
        <v>2945078.2567917299</v>
      </c>
      <c r="Q105">
        <v>0.34415309570934399</v>
      </c>
      <c r="R105">
        <v>3.64570479311794</v>
      </c>
      <c r="S105">
        <v>29682.6149538504</v>
      </c>
      <c r="T105">
        <v>8.2014029165720697</v>
      </c>
      <c r="U105">
        <v>4.4475435079560199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0.23491818703415501</v>
      </c>
      <c r="AB105">
        <v>0.518135739627403</v>
      </c>
      <c r="AC105">
        <v>0</v>
      </c>
      <c r="AD105">
        <v>0</v>
      </c>
      <c r="AE105">
        <v>1612479.8005779099</v>
      </c>
      <c r="AF105">
        <v>0</v>
      </c>
      <c r="AG105">
        <v>54041.148785272999</v>
      </c>
      <c r="AH105">
        <v>200350.212599502</v>
      </c>
      <c r="AI105">
        <v>-74574.174111000393</v>
      </c>
      <c r="AJ105">
        <v>-527911.12530814204</v>
      </c>
      <c r="AK105">
        <v>-15792.282397749101</v>
      </c>
      <c r="AL105">
        <v>-2039.9144132358599</v>
      </c>
      <c r="AM105">
        <v>-56557.585500368601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-404015.30903557601</v>
      </c>
      <c r="AT105">
        <v>-3198.9927473836301</v>
      </c>
      <c r="AU105">
        <v>0</v>
      </c>
      <c r="AV105">
        <v>772284.616016343</v>
      </c>
      <c r="AW105">
        <v>747085.31407284201</v>
      </c>
      <c r="AX105">
        <v>-2360128.3140728199</v>
      </c>
      <c r="AY105">
        <v>0</v>
      </c>
      <c r="AZ105">
        <v>-1613042.99999997</v>
      </c>
      <c r="BA105"/>
      <c r="BB105"/>
    </row>
    <row r="106" spans="1:54" x14ac:dyDescent="0.2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80592338.773476198</v>
      </c>
      <c r="K106">
        <v>-4583537.74497928</v>
      </c>
      <c r="L106">
        <v>0</v>
      </c>
      <c r="M106">
        <v>4977211.7846739898</v>
      </c>
      <c r="N106">
        <v>0</v>
      </c>
      <c r="O106">
        <v>1.2778337219458</v>
      </c>
      <c r="P106">
        <v>2976106.3369197599</v>
      </c>
      <c r="Q106">
        <v>0.34353704348631398</v>
      </c>
      <c r="R106">
        <v>2.6703047462224898</v>
      </c>
      <c r="S106">
        <v>31204.059856400199</v>
      </c>
      <c r="T106">
        <v>7.9518519189203296</v>
      </c>
      <c r="U106">
        <v>4.5844473443443698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1.2089191369055401</v>
      </c>
      <c r="AB106">
        <v>0.67952556034369505</v>
      </c>
      <c r="AC106">
        <v>0</v>
      </c>
      <c r="AD106">
        <v>0</v>
      </c>
      <c r="AE106">
        <v>782706.69840199302</v>
      </c>
      <c r="AF106">
        <v>0</v>
      </c>
      <c r="AG106">
        <v>-421530.20225797303</v>
      </c>
      <c r="AH106">
        <v>218481.44835609701</v>
      </c>
      <c r="AI106">
        <v>-8089.9232157406204</v>
      </c>
      <c r="AJ106">
        <v>-2808912.4454119201</v>
      </c>
      <c r="AK106">
        <v>-306655.66740245302</v>
      </c>
      <c r="AL106">
        <v>-39246.296001239702</v>
      </c>
      <c r="AM106">
        <v>-111565.233758352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-1735430.5249258699</v>
      </c>
      <c r="AT106">
        <v>-110804.61132696801</v>
      </c>
      <c r="AU106">
        <v>0</v>
      </c>
      <c r="AV106">
        <v>-4575731.8021354498</v>
      </c>
      <c r="AW106">
        <v>-4508512.8606082899</v>
      </c>
      <c r="AX106">
        <v>3091648.8606083202</v>
      </c>
      <c r="AY106">
        <v>0</v>
      </c>
      <c r="AZ106">
        <v>-1416863.99999997</v>
      </c>
      <c r="BA106"/>
      <c r="BB106"/>
    </row>
    <row r="107" spans="1:54" x14ac:dyDescent="0.2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79811550.0993177</v>
      </c>
      <c r="K107">
        <v>-780788.67415856896</v>
      </c>
      <c r="L107">
        <v>0</v>
      </c>
      <c r="M107">
        <v>5050092.6804625196</v>
      </c>
      <c r="N107">
        <v>0</v>
      </c>
      <c r="O107">
        <v>1.22505851890976</v>
      </c>
      <c r="P107">
        <v>2998380.81170859</v>
      </c>
      <c r="Q107">
        <v>0.34039172880135199</v>
      </c>
      <c r="R107">
        <v>2.3684573009887102</v>
      </c>
      <c r="S107">
        <v>31958.851422673299</v>
      </c>
      <c r="T107">
        <v>7.4829568673250799</v>
      </c>
      <c r="U107">
        <v>5.2694076883453604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2.2089191369055401</v>
      </c>
      <c r="AB107">
        <v>0.77958009454477495</v>
      </c>
      <c r="AC107">
        <v>0</v>
      </c>
      <c r="AD107">
        <v>0</v>
      </c>
      <c r="AE107">
        <v>1944925.4558483399</v>
      </c>
      <c r="AF107">
        <v>0</v>
      </c>
      <c r="AG107">
        <v>744474.71613174898</v>
      </c>
      <c r="AH107">
        <v>179487.72180796799</v>
      </c>
      <c r="AI107">
        <v>-118379.375558404</v>
      </c>
      <c r="AJ107">
        <v>-1010103.19122136</v>
      </c>
      <c r="AK107">
        <v>-106597.938852315</v>
      </c>
      <c r="AL107">
        <v>-49933.858475825597</v>
      </c>
      <c r="AM107">
        <v>-428314.197890907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-1873490.3760804001</v>
      </c>
      <c r="AT107">
        <v>-56259.547963907498</v>
      </c>
      <c r="AU107">
        <v>0</v>
      </c>
      <c r="AV107">
        <v>-782455.73615061305</v>
      </c>
      <c r="AW107">
        <v>-822039.08724031004</v>
      </c>
      <c r="AX107">
        <v>-259598.912759689</v>
      </c>
      <c r="AY107">
        <v>0</v>
      </c>
      <c r="AZ107">
        <v>-1081638</v>
      </c>
      <c r="BA107"/>
      <c r="BB107"/>
    </row>
    <row r="108" spans="1:54" x14ac:dyDescent="0.2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78399405.163737297</v>
      </c>
      <c r="K108">
        <v>-1412144.93558038</v>
      </c>
      <c r="L108">
        <v>0</v>
      </c>
      <c r="M108">
        <v>5041073.9419531897</v>
      </c>
      <c r="N108">
        <v>0</v>
      </c>
      <c r="O108">
        <v>1.25779698339497</v>
      </c>
      <c r="P108">
        <v>3021319.5660561202</v>
      </c>
      <c r="Q108">
        <v>0.33817861116871001</v>
      </c>
      <c r="R108">
        <v>2.5841557617845199</v>
      </c>
      <c r="S108">
        <v>31693.827253182699</v>
      </c>
      <c r="T108">
        <v>7.4049369301291303</v>
      </c>
      <c r="U108">
        <v>5.5099380587525797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3.2089191369055401</v>
      </c>
      <c r="AB108">
        <v>0.80557914467338898</v>
      </c>
      <c r="AC108">
        <v>0</v>
      </c>
      <c r="AD108">
        <v>0</v>
      </c>
      <c r="AE108">
        <v>183029.61229588601</v>
      </c>
      <c r="AF108">
        <v>0</v>
      </c>
      <c r="AG108">
        <v>-271231.09133099701</v>
      </c>
      <c r="AH108">
        <v>185485.68892608699</v>
      </c>
      <c r="AI108">
        <v>-89997.6697845569</v>
      </c>
      <c r="AJ108">
        <v>739990.43857878598</v>
      </c>
      <c r="AK108">
        <v>31951.394057781701</v>
      </c>
      <c r="AL108">
        <v>-36291.106614672397</v>
      </c>
      <c r="AM108">
        <v>-212082.58880387701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-1848389.6139324999</v>
      </c>
      <c r="AT108">
        <v>-87037.441738338093</v>
      </c>
      <c r="AU108">
        <v>0</v>
      </c>
      <c r="AV108">
        <v>-1418920.5734188401</v>
      </c>
      <c r="AW108">
        <v>-1426414.3667677201</v>
      </c>
      <c r="AX108">
        <v>-1736618.6332323099</v>
      </c>
      <c r="AY108">
        <v>0</v>
      </c>
      <c r="AZ108">
        <v>-3163033.00000004</v>
      </c>
      <c r="BA108"/>
      <c r="BB108"/>
    </row>
    <row r="109" spans="1:54" x14ac:dyDescent="0.2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78005962.710860297</v>
      </c>
      <c r="K109">
        <v>-393442.45287699503</v>
      </c>
      <c r="L109">
        <v>0</v>
      </c>
      <c r="M109">
        <v>5087908.4121240098</v>
      </c>
      <c r="N109">
        <v>0</v>
      </c>
      <c r="O109">
        <v>1.2557276465082501</v>
      </c>
      <c r="P109">
        <v>3045539.4790095701</v>
      </c>
      <c r="Q109">
        <v>0.34064764087298799</v>
      </c>
      <c r="R109">
        <v>2.8674048087374802</v>
      </c>
      <c r="S109">
        <v>31798.715648167199</v>
      </c>
      <c r="T109">
        <v>7.2343779632504601</v>
      </c>
      <c r="U109">
        <v>5.8615759225582398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4.2089191369055401</v>
      </c>
      <c r="AB109">
        <v>0.84038901753350603</v>
      </c>
      <c r="AC109">
        <v>0.54726427516599196</v>
      </c>
      <c r="AD109">
        <v>0</v>
      </c>
      <c r="AE109">
        <v>2235770.3991232701</v>
      </c>
      <c r="AF109">
        <v>0</v>
      </c>
      <c r="AG109">
        <v>150411.50714174399</v>
      </c>
      <c r="AH109">
        <v>164971.57081906</v>
      </c>
      <c r="AI109">
        <v>93423.559331230295</v>
      </c>
      <c r="AJ109">
        <v>888909.83958100004</v>
      </c>
      <c r="AK109">
        <v>-21948.352394865298</v>
      </c>
      <c r="AL109">
        <v>-36907.218405738597</v>
      </c>
      <c r="AM109">
        <v>-259257.07963975301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-1777125.6747965901</v>
      </c>
      <c r="AT109">
        <v>-23417.989606508399</v>
      </c>
      <c r="AU109">
        <v>-1748137.22177104</v>
      </c>
      <c r="AV109">
        <v>-344842.833907653</v>
      </c>
      <c r="AW109">
        <v>-317602.31227827398</v>
      </c>
      <c r="AX109">
        <v>-1317626.6877216599</v>
      </c>
      <c r="AY109">
        <v>0</v>
      </c>
      <c r="AZ109">
        <v>-1635228.9999999399</v>
      </c>
      <c r="BA109"/>
      <c r="BB109"/>
    </row>
    <row r="110" spans="1:54" x14ac:dyDescent="0.2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2041061870.8359799</v>
      </c>
      <c r="K110">
        <v>0</v>
      </c>
      <c r="L110">
        <v>0</v>
      </c>
      <c r="M110">
        <v>474570591.99999899</v>
      </c>
      <c r="N110">
        <v>0</v>
      </c>
      <c r="O110">
        <v>1.7610024585999999</v>
      </c>
      <c r="P110">
        <v>25697520.3899999</v>
      </c>
      <c r="Q110">
        <v>0.70319922136740198</v>
      </c>
      <c r="R110">
        <v>1.974</v>
      </c>
      <c r="S110">
        <v>42439.074999999903</v>
      </c>
      <c r="T110">
        <v>31.71</v>
      </c>
      <c r="U110">
        <v>3.5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2028458449</v>
      </c>
      <c r="AZ110">
        <v>2028458449</v>
      </c>
      <c r="BA110"/>
      <c r="BB110"/>
    </row>
    <row r="111" spans="1:54" x14ac:dyDescent="0.2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2114342097.9183199</v>
      </c>
      <c r="K111">
        <v>73280227.082347095</v>
      </c>
      <c r="L111">
        <v>0</v>
      </c>
      <c r="M111">
        <v>503552796.99999899</v>
      </c>
      <c r="N111">
        <v>0</v>
      </c>
      <c r="O111">
        <v>1.92921531457</v>
      </c>
      <c r="P111">
        <v>26042245.269999899</v>
      </c>
      <c r="Q111">
        <v>0.70198121073034003</v>
      </c>
      <c r="R111">
        <v>2.2467999999999901</v>
      </c>
      <c r="S111">
        <v>41148.635000000002</v>
      </c>
      <c r="T111">
        <v>31.36</v>
      </c>
      <c r="U111">
        <v>3.5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81201777.364868104</v>
      </c>
      <c r="AF111">
        <v>0</v>
      </c>
      <c r="AG111">
        <v>-41094920.521033697</v>
      </c>
      <c r="AH111">
        <v>5896951.5566774504</v>
      </c>
      <c r="AI111">
        <v>-985093.36547678499</v>
      </c>
      <c r="AJ111">
        <v>25680877.3535286</v>
      </c>
      <c r="AK111">
        <v>4453018.9969555195</v>
      </c>
      <c r="AL111">
        <v>-1421224.99046516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73731386.395054102</v>
      </c>
      <c r="AW111">
        <v>72827726.534787893</v>
      </c>
      <c r="AX111">
        <v>-101435445.534789</v>
      </c>
      <c r="AY111">
        <v>0</v>
      </c>
      <c r="AZ111">
        <v>-28607719.0000019</v>
      </c>
      <c r="BA111"/>
      <c r="BB111"/>
    </row>
    <row r="112" spans="1:54" x14ac:dyDescent="0.2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2212482380.09904</v>
      </c>
      <c r="K112">
        <v>98140282.180712402</v>
      </c>
      <c r="L112">
        <v>0</v>
      </c>
      <c r="M112">
        <v>521860484</v>
      </c>
      <c r="N112">
        <v>0</v>
      </c>
      <c r="O112">
        <v>1.9019918870399899</v>
      </c>
      <c r="P112">
        <v>26563773.749999899</v>
      </c>
      <c r="Q112">
        <v>0.69839341816490697</v>
      </c>
      <c r="R112">
        <v>2.5669</v>
      </c>
      <c r="S112">
        <v>39531.589999999997</v>
      </c>
      <c r="T112">
        <v>31</v>
      </c>
      <c r="U112">
        <v>3.5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47852710.975230202</v>
      </c>
      <c r="AF112">
        <v>0</v>
      </c>
      <c r="AG112">
        <v>6472751.5470821401</v>
      </c>
      <c r="AH112">
        <v>8657032.4365650192</v>
      </c>
      <c r="AI112">
        <v>-2859432.9159941101</v>
      </c>
      <c r="AJ112">
        <v>27138290.020596799</v>
      </c>
      <c r="AK112">
        <v>5701787.4496473502</v>
      </c>
      <c r="AL112">
        <v>-1441200.5153258799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91521938.997801602</v>
      </c>
      <c r="AW112">
        <v>92825997.814987704</v>
      </c>
      <c r="AX112">
        <v>22476724.1850124</v>
      </c>
      <c r="AY112">
        <v>0</v>
      </c>
      <c r="AZ112">
        <v>115302722</v>
      </c>
      <c r="BA112"/>
      <c r="BB112"/>
    </row>
    <row r="113" spans="1:54" x14ac:dyDescent="0.2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2366703360.94734</v>
      </c>
      <c r="K113">
        <v>154220980.848304</v>
      </c>
      <c r="L113">
        <v>0</v>
      </c>
      <c r="M113">
        <v>527998936.99999899</v>
      </c>
      <c r="N113">
        <v>0</v>
      </c>
      <c r="O113">
        <v>1.60869959421</v>
      </c>
      <c r="P113">
        <v>27081157.499999899</v>
      </c>
      <c r="Q113">
        <v>0.69604989521012905</v>
      </c>
      <c r="R113">
        <v>3.0314999999999901</v>
      </c>
      <c r="S113">
        <v>38116.919999999896</v>
      </c>
      <c r="T113">
        <v>30.68</v>
      </c>
      <c r="U113">
        <v>3.5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16441465.0097242</v>
      </c>
      <c r="AF113">
        <v>0</v>
      </c>
      <c r="AG113">
        <v>79447538.232779205</v>
      </c>
      <c r="AH113">
        <v>8906941.2282657791</v>
      </c>
      <c r="AI113">
        <v>-1975940.35481168</v>
      </c>
      <c r="AJ113">
        <v>37453314.278848797</v>
      </c>
      <c r="AK113">
        <v>5480945.9184672404</v>
      </c>
      <c r="AL113">
        <v>-1354982.1614389301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144399282.15183401</v>
      </c>
      <c r="AW113">
        <v>147436672.466297</v>
      </c>
      <c r="AX113">
        <v>244622398.53369799</v>
      </c>
      <c r="AY113">
        <v>0</v>
      </c>
      <c r="AZ113">
        <v>392059070.99999601</v>
      </c>
      <c r="BA113"/>
      <c r="BB113"/>
    </row>
    <row r="114" spans="1:54" x14ac:dyDescent="0.2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2454630520.8616199</v>
      </c>
      <c r="K114">
        <v>87927159.914279893</v>
      </c>
      <c r="L114">
        <v>0</v>
      </c>
      <c r="M114">
        <v>539962610</v>
      </c>
      <c r="N114">
        <v>0</v>
      </c>
      <c r="O114">
        <v>1.5876467787499999</v>
      </c>
      <c r="P114">
        <v>27655014.75</v>
      </c>
      <c r="Q114">
        <v>0.70081421238459896</v>
      </c>
      <c r="R114">
        <v>3.3499999999999899</v>
      </c>
      <c r="S114">
        <v>36028.75</v>
      </c>
      <c r="T114">
        <v>30.18</v>
      </c>
      <c r="U114">
        <v>3.7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37473752.325089</v>
      </c>
      <c r="AF114">
        <v>0</v>
      </c>
      <c r="AG114">
        <v>7040713.7469410198</v>
      </c>
      <c r="AH114">
        <v>11479028.805366101</v>
      </c>
      <c r="AI114">
        <v>4768372.1693831896</v>
      </c>
      <c r="AJ114">
        <v>27478265.346121602</v>
      </c>
      <c r="AK114">
        <v>10051621.4525289</v>
      </c>
      <c r="AL114">
        <v>-2509138.3604138498</v>
      </c>
      <c r="AM114">
        <v>-3832240.4015222299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91950375.083493903</v>
      </c>
      <c r="AW114">
        <v>93147320.4823872</v>
      </c>
      <c r="AX114">
        <v>3287931.5176156</v>
      </c>
      <c r="AY114">
        <v>0</v>
      </c>
      <c r="AZ114">
        <v>96435252.000002801</v>
      </c>
      <c r="BA114"/>
      <c r="BB114"/>
    </row>
    <row r="115" spans="1:54" x14ac:dyDescent="0.2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2494459267.10425</v>
      </c>
      <c r="K115">
        <v>39828746.242625698</v>
      </c>
      <c r="L115">
        <v>0</v>
      </c>
      <c r="M115">
        <v>543107373</v>
      </c>
      <c r="N115">
        <v>0</v>
      </c>
      <c r="O115">
        <v>1.5239354946199899</v>
      </c>
      <c r="P115">
        <v>27714120</v>
      </c>
      <c r="Q115">
        <v>0.69978105660465495</v>
      </c>
      <c r="R115">
        <v>3.4605999999999901</v>
      </c>
      <c r="S115">
        <v>36660.58</v>
      </c>
      <c r="T115">
        <v>30.4</v>
      </c>
      <c r="U115">
        <v>3.6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10030752.2893505</v>
      </c>
      <c r="AF115">
        <v>0</v>
      </c>
      <c r="AG115">
        <v>22560177.272261299</v>
      </c>
      <c r="AH115">
        <v>1211206.1142944701</v>
      </c>
      <c r="AI115">
        <v>-1072566.54359086</v>
      </c>
      <c r="AJ115">
        <v>9387905.4959320202</v>
      </c>
      <c r="AK115">
        <v>-3212442.81229176</v>
      </c>
      <c r="AL115">
        <v>1147311.7581470299</v>
      </c>
      <c r="AM115">
        <v>1992104.1586678999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42044447.732770696</v>
      </c>
      <c r="AW115">
        <v>42246694.830165602</v>
      </c>
      <c r="AX115">
        <v>105131590.16983899</v>
      </c>
      <c r="AY115">
        <v>0</v>
      </c>
      <c r="AZ115">
        <v>147378285.00000399</v>
      </c>
      <c r="BA115"/>
      <c r="BB115"/>
    </row>
    <row r="116" spans="1:54" x14ac:dyDescent="0.2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2569456166.8217101</v>
      </c>
      <c r="K116">
        <v>74996899.717463896</v>
      </c>
      <c r="L116">
        <v>0</v>
      </c>
      <c r="M116">
        <v>558408347</v>
      </c>
      <c r="N116">
        <v>0</v>
      </c>
      <c r="O116">
        <v>1.5489328795199999</v>
      </c>
      <c r="P116">
        <v>27956797.669999901</v>
      </c>
      <c r="Q116">
        <v>0.69861119861852705</v>
      </c>
      <c r="R116">
        <v>3.9195000000000002</v>
      </c>
      <c r="S116">
        <v>36716.94</v>
      </c>
      <c r="T116">
        <v>30.42</v>
      </c>
      <c r="U116">
        <v>3.7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51078172.192987204</v>
      </c>
      <c r="AF116">
        <v>0</v>
      </c>
      <c r="AG116">
        <v>-9367005.5807770006</v>
      </c>
      <c r="AH116">
        <v>5229831.6836532904</v>
      </c>
      <c r="AI116">
        <v>-1283193.6899163499</v>
      </c>
      <c r="AJ116">
        <v>38889838.616813302</v>
      </c>
      <c r="AK116">
        <v>-300095.77864945302</v>
      </c>
      <c r="AL116">
        <v>110182.915319865</v>
      </c>
      <c r="AM116">
        <v>-2103257.0535033699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82254473.3059275</v>
      </c>
      <c r="AW116">
        <v>82710681.333939001</v>
      </c>
      <c r="AX116">
        <v>-15077502.3339442</v>
      </c>
      <c r="AY116">
        <v>0</v>
      </c>
      <c r="AZ116">
        <v>67633178.999994695</v>
      </c>
      <c r="BA116"/>
      <c r="BB116"/>
    </row>
    <row r="117" spans="1:54" x14ac:dyDescent="0.2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2470622263.7328701</v>
      </c>
      <c r="K117">
        <v>-98833903.088836595</v>
      </c>
      <c r="L117">
        <v>0</v>
      </c>
      <c r="M117">
        <v>562176551</v>
      </c>
      <c r="N117">
        <v>0</v>
      </c>
      <c r="O117">
        <v>1.63249305102</v>
      </c>
      <c r="P117">
        <v>27734538</v>
      </c>
      <c r="Q117">
        <v>0.70705174720515196</v>
      </c>
      <c r="R117">
        <v>2.84309999999999</v>
      </c>
      <c r="S117">
        <v>35494.29</v>
      </c>
      <c r="T117">
        <v>30.61</v>
      </c>
      <c r="U117">
        <v>3.9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12580115.627014499</v>
      </c>
      <c r="AF117">
        <v>0</v>
      </c>
      <c r="AG117">
        <v>-31290351.634305201</v>
      </c>
      <c r="AH117">
        <v>-4896849.1895022197</v>
      </c>
      <c r="AI117">
        <v>9504079.9799146894</v>
      </c>
      <c r="AJ117">
        <v>-98028104.886085495</v>
      </c>
      <c r="AK117">
        <v>6787103.57389249</v>
      </c>
      <c r="AL117">
        <v>1072654.0121361299</v>
      </c>
      <c r="AM117">
        <v>-4308282.4909054302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-108579635.00783999</v>
      </c>
      <c r="AW117">
        <v>-108419477.11151899</v>
      </c>
      <c r="AX117">
        <v>7029638.1115201497</v>
      </c>
      <c r="AY117">
        <v>0</v>
      </c>
      <c r="AZ117">
        <v>-101389838.999999</v>
      </c>
      <c r="BA117"/>
      <c r="BB117"/>
    </row>
    <row r="118" spans="1:54" x14ac:dyDescent="0.2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2484841027.7876101</v>
      </c>
      <c r="K118">
        <v>14218764.0547361</v>
      </c>
      <c r="L118">
        <v>0</v>
      </c>
      <c r="M118">
        <v>552453533.99999905</v>
      </c>
      <c r="N118">
        <v>0</v>
      </c>
      <c r="O118">
        <v>1.6339541181999999</v>
      </c>
      <c r="P118">
        <v>27553600.749999899</v>
      </c>
      <c r="Q118">
        <v>0.71198282361478205</v>
      </c>
      <c r="R118">
        <v>3.2889999999999899</v>
      </c>
      <c r="S118">
        <v>35213</v>
      </c>
      <c r="T118">
        <v>30.93</v>
      </c>
      <c r="U118">
        <v>3.9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-31209822.575968899</v>
      </c>
      <c r="AF118">
        <v>0</v>
      </c>
      <c r="AG118">
        <v>-521729.58026579599</v>
      </c>
      <c r="AH118">
        <v>-3871658.2992396201</v>
      </c>
      <c r="AI118">
        <v>5348933.5978822103</v>
      </c>
      <c r="AJ118">
        <v>43097996.489911601</v>
      </c>
      <c r="AK118">
        <v>1535777.0514583299</v>
      </c>
      <c r="AL118">
        <v>1741817.68856386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16121314.372341599</v>
      </c>
      <c r="AW118">
        <v>15638251.5607132</v>
      </c>
      <c r="AX118">
        <v>79874406.439289495</v>
      </c>
      <c r="AY118">
        <v>0</v>
      </c>
      <c r="AZ118">
        <v>95512658.000002801</v>
      </c>
      <c r="BA118"/>
      <c r="BB118"/>
    </row>
    <row r="119" spans="1:54" x14ac:dyDescent="0.2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2491011249.8526402</v>
      </c>
      <c r="K119">
        <v>6170222.06502866</v>
      </c>
      <c r="L119">
        <v>0</v>
      </c>
      <c r="M119">
        <v>542784231</v>
      </c>
      <c r="N119">
        <v>0</v>
      </c>
      <c r="O119">
        <v>1.73929841568</v>
      </c>
      <c r="P119">
        <v>27682634.670000002</v>
      </c>
      <c r="Q119">
        <v>0.71184921256512901</v>
      </c>
      <c r="R119">
        <v>4.0655999999999999</v>
      </c>
      <c r="S119">
        <v>34147.68</v>
      </c>
      <c r="T119">
        <v>31.299999999999901</v>
      </c>
      <c r="U119">
        <v>3.9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-32694987.2521003</v>
      </c>
      <c r="AF119">
        <v>0</v>
      </c>
      <c r="AG119">
        <v>-37916112.569449201</v>
      </c>
      <c r="AH119">
        <v>2864270.6987647698</v>
      </c>
      <c r="AI119">
        <v>-149876.16132322501</v>
      </c>
      <c r="AJ119">
        <v>67909704.757130206</v>
      </c>
      <c r="AK119">
        <v>6143147.4423682196</v>
      </c>
      <c r="AL119">
        <v>2084872.8421551301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8241019.7575455997</v>
      </c>
      <c r="AW119">
        <v>6984547.3912835699</v>
      </c>
      <c r="AX119">
        <v>55711841.608710699</v>
      </c>
      <c r="AY119">
        <v>0</v>
      </c>
      <c r="AZ119">
        <v>62696388.999994203</v>
      </c>
      <c r="BA119"/>
      <c r="BB119"/>
    </row>
    <row r="120" spans="1:54" x14ac:dyDescent="0.2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2509543465.19137</v>
      </c>
      <c r="K120">
        <v>18532215.338733599</v>
      </c>
      <c r="L120">
        <v>0</v>
      </c>
      <c r="M120">
        <v>542311539</v>
      </c>
      <c r="N120">
        <v>0</v>
      </c>
      <c r="O120">
        <v>1.6964752675200001</v>
      </c>
      <c r="P120">
        <v>27909105.420000002</v>
      </c>
      <c r="Q120">
        <v>0.70702565886186597</v>
      </c>
      <c r="R120">
        <v>4.1093000000000002</v>
      </c>
      <c r="S120">
        <v>33963.31</v>
      </c>
      <c r="T120">
        <v>31.51</v>
      </c>
      <c r="U120">
        <v>4.0999999999999996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-1658358.71290109</v>
      </c>
      <c r="AF120">
        <v>0</v>
      </c>
      <c r="AG120">
        <v>15722548.4908044</v>
      </c>
      <c r="AH120">
        <v>5108297.5528038098</v>
      </c>
      <c r="AI120">
        <v>-5526182.8793954803</v>
      </c>
      <c r="AJ120">
        <v>3542939.3836026001</v>
      </c>
      <c r="AK120">
        <v>1105726.30840537</v>
      </c>
      <c r="AL120">
        <v>1209488.08503877</v>
      </c>
      <c r="AM120">
        <v>-4395129.8811775297</v>
      </c>
      <c r="AN120">
        <v>0</v>
      </c>
      <c r="AO120">
        <v>0</v>
      </c>
      <c r="AP120">
        <v>0</v>
      </c>
      <c r="AQ120">
        <v>0</v>
      </c>
      <c r="AR120">
        <v>6269990.3531798599</v>
      </c>
      <c r="AS120">
        <v>0</v>
      </c>
      <c r="AT120">
        <v>0</v>
      </c>
      <c r="AU120">
        <v>0</v>
      </c>
      <c r="AV120">
        <v>21379318.700360801</v>
      </c>
      <c r="AW120">
        <v>21392511.087552801</v>
      </c>
      <c r="AX120">
        <v>32629972.912446599</v>
      </c>
      <c r="AY120">
        <v>0</v>
      </c>
      <c r="AZ120">
        <v>54022483.999999501</v>
      </c>
      <c r="BA120"/>
      <c r="BB120"/>
    </row>
    <row r="121" spans="1:54" x14ac:dyDescent="0.2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2503228409.6844101</v>
      </c>
      <c r="K121">
        <v>-6315055.5069589596</v>
      </c>
      <c r="L121">
        <v>0</v>
      </c>
      <c r="M121">
        <v>554417452</v>
      </c>
      <c r="N121">
        <v>0</v>
      </c>
      <c r="O121">
        <v>1.75772764368</v>
      </c>
      <c r="P121">
        <v>28818049.079999998</v>
      </c>
      <c r="Q121">
        <v>0.70818988617793599</v>
      </c>
      <c r="R121">
        <v>3.9420000000000002</v>
      </c>
      <c r="S121">
        <v>33700.32</v>
      </c>
      <c r="T121">
        <v>29.93</v>
      </c>
      <c r="U121">
        <v>4.2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1</v>
      </c>
      <c r="AC121">
        <v>0</v>
      </c>
      <c r="AD121">
        <v>0</v>
      </c>
      <c r="AE121">
        <v>43139104.709113702</v>
      </c>
      <c r="AF121">
        <v>0</v>
      </c>
      <c r="AG121">
        <v>-22683948.951900199</v>
      </c>
      <c r="AH121">
        <v>20524380.123167299</v>
      </c>
      <c r="AI121">
        <v>1360498.0532658601</v>
      </c>
      <c r="AJ121">
        <v>-13947737.5384722</v>
      </c>
      <c r="AK121">
        <v>1617631.06335578</v>
      </c>
      <c r="AL121">
        <v>-9254324.2990899403</v>
      </c>
      <c r="AM121">
        <v>-2239707.4262431399</v>
      </c>
      <c r="AN121">
        <v>0</v>
      </c>
      <c r="AO121">
        <v>0</v>
      </c>
      <c r="AP121">
        <v>0</v>
      </c>
      <c r="AQ121">
        <v>0</v>
      </c>
      <c r="AR121">
        <v>6387786.5598905096</v>
      </c>
      <c r="AS121">
        <v>0</v>
      </c>
      <c r="AT121">
        <v>-31582422.511112999</v>
      </c>
      <c r="AU121">
        <v>0</v>
      </c>
      <c r="AV121">
        <v>-6678740.2180253603</v>
      </c>
      <c r="AW121">
        <v>-7371843.2231029402</v>
      </c>
      <c r="AX121">
        <v>106602358.223106</v>
      </c>
      <c r="AY121">
        <v>0</v>
      </c>
      <c r="AZ121">
        <v>99230515.0000038</v>
      </c>
      <c r="BA121"/>
      <c r="BB121"/>
    </row>
    <row r="122" spans="1:54" x14ac:dyDescent="0.2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2527862932.7832999</v>
      </c>
      <c r="K122">
        <v>24634523.0988883</v>
      </c>
      <c r="L122">
        <v>0</v>
      </c>
      <c r="M122">
        <v>561346638.99999905</v>
      </c>
      <c r="N122">
        <v>0</v>
      </c>
      <c r="O122">
        <v>1.74858594174</v>
      </c>
      <c r="P122">
        <v>29110612.079999998</v>
      </c>
      <c r="Q122">
        <v>0.71033623275977098</v>
      </c>
      <c r="R122">
        <v>3.75239999999999</v>
      </c>
      <c r="S122">
        <v>33580.799999999901</v>
      </c>
      <c r="T122">
        <v>30.2</v>
      </c>
      <c r="U122">
        <v>4.2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0</v>
      </c>
      <c r="AB122">
        <v>1</v>
      </c>
      <c r="AC122">
        <v>0</v>
      </c>
      <c r="AD122">
        <v>0</v>
      </c>
      <c r="AE122">
        <v>25011905.241103601</v>
      </c>
      <c r="AF122">
        <v>0</v>
      </c>
      <c r="AG122">
        <v>3482401.41378828</v>
      </c>
      <c r="AH122">
        <v>6671824.4706350099</v>
      </c>
      <c r="AI122">
        <v>2593654.82957371</v>
      </c>
      <c r="AJ122">
        <v>-16937472.202499501</v>
      </c>
      <c r="AK122">
        <v>764263.54057657195</v>
      </c>
      <c r="AL122">
        <v>1638033.60245311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6604159.0291191395</v>
      </c>
      <c r="AS122">
        <v>0</v>
      </c>
      <c r="AT122">
        <v>0</v>
      </c>
      <c r="AU122">
        <v>0</v>
      </c>
      <c r="AV122">
        <v>29828769.9247499</v>
      </c>
      <c r="AW122">
        <v>29806051.448666401</v>
      </c>
      <c r="AX122">
        <v>78846556.551332101</v>
      </c>
      <c r="AY122">
        <v>0</v>
      </c>
      <c r="AZ122">
        <v>108652607.999998</v>
      </c>
      <c r="BA122"/>
      <c r="BB122"/>
    </row>
    <row r="123" spans="1:54" x14ac:dyDescent="0.2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2413939117.4151101</v>
      </c>
      <c r="K123">
        <v>-113923815.368195</v>
      </c>
      <c r="L123">
        <v>0</v>
      </c>
      <c r="M123">
        <v>562540969</v>
      </c>
      <c r="N123">
        <v>0</v>
      </c>
      <c r="O123">
        <v>1.88406904356</v>
      </c>
      <c r="P123">
        <v>29378317.829999901</v>
      </c>
      <c r="Q123">
        <v>0.71350123486694395</v>
      </c>
      <c r="R123">
        <v>2.7029999999999998</v>
      </c>
      <c r="S123">
        <v>34173.339999999902</v>
      </c>
      <c r="T123">
        <v>30.17</v>
      </c>
      <c r="U123">
        <v>4.0999999999999996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1</v>
      </c>
      <c r="AC123">
        <v>0</v>
      </c>
      <c r="AD123">
        <v>0</v>
      </c>
      <c r="AE123">
        <v>4418332.0194261102</v>
      </c>
      <c r="AF123">
        <v>0</v>
      </c>
      <c r="AG123">
        <v>-51810118.9046942</v>
      </c>
      <c r="AH123">
        <v>6262737.1316978</v>
      </c>
      <c r="AI123">
        <v>3962611.3643809902</v>
      </c>
      <c r="AJ123">
        <v>-110232109.671599</v>
      </c>
      <c r="AK123">
        <v>-3894670.6667943699</v>
      </c>
      <c r="AL123">
        <v>-188476.30387352101</v>
      </c>
      <c r="AM123">
        <v>2400476.7009284701</v>
      </c>
      <c r="AN123">
        <v>0</v>
      </c>
      <c r="AO123">
        <v>0</v>
      </c>
      <c r="AP123">
        <v>0</v>
      </c>
      <c r="AQ123">
        <v>0</v>
      </c>
      <c r="AR123">
        <v>6841076.4035889702</v>
      </c>
      <c r="AS123">
        <v>0</v>
      </c>
      <c r="AT123">
        <v>0</v>
      </c>
      <c r="AU123">
        <v>0</v>
      </c>
      <c r="AV123">
        <v>-142240141.92693901</v>
      </c>
      <c r="AW123">
        <v>-141393252.40766701</v>
      </c>
      <c r="AX123">
        <v>53990191.407665998</v>
      </c>
      <c r="AY123">
        <v>0</v>
      </c>
      <c r="AZ123">
        <v>-87403061.000001401</v>
      </c>
      <c r="BA123"/>
      <c r="BB123"/>
    </row>
    <row r="124" spans="1:54" x14ac:dyDescent="0.2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2375662213.1659098</v>
      </c>
      <c r="K124">
        <v>-38276904.249193601</v>
      </c>
      <c r="L124">
        <v>0</v>
      </c>
      <c r="M124">
        <v>562018755.99999905</v>
      </c>
      <c r="N124">
        <v>0</v>
      </c>
      <c r="O124">
        <v>1.8938954432999999</v>
      </c>
      <c r="P124">
        <v>29437697.499999899</v>
      </c>
      <c r="Q124">
        <v>0.71426500750022204</v>
      </c>
      <c r="R124">
        <v>2.4255</v>
      </c>
      <c r="S124">
        <v>35302.049999999901</v>
      </c>
      <c r="T124">
        <v>29.88</v>
      </c>
      <c r="U124">
        <v>4.5</v>
      </c>
      <c r="V124">
        <v>0</v>
      </c>
      <c r="W124">
        <v>0</v>
      </c>
      <c r="X124">
        <v>0</v>
      </c>
      <c r="Y124">
        <v>0</v>
      </c>
      <c r="Z124">
        <v>5</v>
      </c>
      <c r="AA124">
        <v>0</v>
      </c>
      <c r="AB124">
        <v>1</v>
      </c>
      <c r="AC124">
        <v>0</v>
      </c>
      <c r="AD124">
        <v>0</v>
      </c>
      <c r="AE124">
        <v>-1875047.1894322301</v>
      </c>
      <c r="AF124">
        <v>0</v>
      </c>
      <c r="AG124">
        <v>-3588091.5970698502</v>
      </c>
      <c r="AH124">
        <v>1341872.7104687099</v>
      </c>
      <c r="AI124">
        <v>929165.43088684301</v>
      </c>
      <c r="AJ124">
        <v>-33868129.043748103</v>
      </c>
      <c r="AK124">
        <v>-7030170.9479993796</v>
      </c>
      <c r="AL124">
        <v>-1770720.00481606</v>
      </c>
      <c r="AM124">
        <v>-9316583.7392887902</v>
      </c>
      <c r="AN124">
        <v>0</v>
      </c>
      <c r="AO124">
        <v>0</v>
      </c>
      <c r="AP124">
        <v>0</v>
      </c>
      <c r="AQ124">
        <v>0</v>
      </c>
      <c r="AR124">
        <v>6650493.73729211</v>
      </c>
      <c r="AS124">
        <v>0</v>
      </c>
      <c r="AT124">
        <v>0</v>
      </c>
      <c r="AU124">
        <v>0</v>
      </c>
      <c r="AV124">
        <v>-48527210.643706799</v>
      </c>
      <c r="AW124">
        <v>-48362375.665850498</v>
      </c>
      <c r="AX124">
        <v>70733050.665853307</v>
      </c>
      <c r="AY124">
        <v>0</v>
      </c>
      <c r="AZ124">
        <v>22370675.000002801</v>
      </c>
      <c r="BA124"/>
      <c r="BB124"/>
    </row>
    <row r="125" spans="1:54" x14ac:dyDescent="0.2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2417473442.1652298</v>
      </c>
      <c r="K125">
        <v>41811228.999320902</v>
      </c>
      <c r="L125">
        <v>0</v>
      </c>
      <c r="M125">
        <v>565251751</v>
      </c>
      <c r="N125">
        <v>0</v>
      </c>
      <c r="O125">
        <v>1.89783477048</v>
      </c>
      <c r="P125">
        <v>29668394.669999901</v>
      </c>
      <c r="Q125">
        <v>0.71555075149007497</v>
      </c>
      <c r="R125">
        <v>2.6928000000000001</v>
      </c>
      <c r="S125">
        <v>35945.819999999898</v>
      </c>
      <c r="T125">
        <v>30</v>
      </c>
      <c r="U125">
        <v>4.5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0</v>
      </c>
      <c r="AB125">
        <v>1</v>
      </c>
      <c r="AC125">
        <v>0</v>
      </c>
      <c r="AD125">
        <v>0</v>
      </c>
      <c r="AE125">
        <v>11691154.9746543</v>
      </c>
      <c r="AF125">
        <v>0</v>
      </c>
      <c r="AG125">
        <v>-1446053.9322704801</v>
      </c>
      <c r="AH125">
        <v>5229122.4524614103</v>
      </c>
      <c r="AI125">
        <v>1575804.91643996</v>
      </c>
      <c r="AJ125">
        <v>33271401.388338599</v>
      </c>
      <c r="AK125">
        <v>-3940428.2026585499</v>
      </c>
      <c r="AL125">
        <v>738388.99480731704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6699273.0688118702</v>
      </c>
      <c r="AS125">
        <v>0</v>
      </c>
      <c r="AT125">
        <v>0</v>
      </c>
      <c r="AU125">
        <v>0</v>
      </c>
      <c r="AV125">
        <v>53818663.660584502</v>
      </c>
      <c r="AW125">
        <v>54072838.489106402</v>
      </c>
      <c r="AX125">
        <v>-33087944.489105001</v>
      </c>
      <c r="AY125">
        <v>0</v>
      </c>
      <c r="AZ125">
        <v>20984894.000001401</v>
      </c>
      <c r="BA125"/>
      <c r="BB125"/>
    </row>
    <row r="126" spans="1:54" x14ac:dyDescent="0.2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2409370026.8484902</v>
      </c>
      <c r="K126">
        <v>-8103415.31674146</v>
      </c>
      <c r="L126">
        <v>0</v>
      </c>
      <c r="M126">
        <v>560645668</v>
      </c>
      <c r="N126">
        <v>0</v>
      </c>
      <c r="O126">
        <v>1.9555512669999999</v>
      </c>
      <c r="P126">
        <v>29807700.839999899</v>
      </c>
      <c r="Q126">
        <v>0.71440492607780803</v>
      </c>
      <c r="R126">
        <v>2.9199999999999902</v>
      </c>
      <c r="S126">
        <v>36801.5</v>
      </c>
      <c r="T126">
        <v>30.01</v>
      </c>
      <c r="U126">
        <v>4.5999999999999996</v>
      </c>
      <c r="V126">
        <v>0</v>
      </c>
      <c r="W126">
        <v>0</v>
      </c>
      <c r="X126">
        <v>0</v>
      </c>
      <c r="Y126">
        <v>0</v>
      </c>
      <c r="Z126">
        <v>7</v>
      </c>
      <c r="AA126">
        <v>0</v>
      </c>
      <c r="AB126">
        <v>1</v>
      </c>
      <c r="AC126">
        <v>0</v>
      </c>
      <c r="AD126">
        <v>0</v>
      </c>
      <c r="AE126">
        <v>-16713601.034459401</v>
      </c>
      <c r="AF126">
        <v>0</v>
      </c>
      <c r="AG126">
        <v>-21040440.6163022</v>
      </c>
      <c r="AH126">
        <v>3158303.2340395101</v>
      </c>
      <c r="AI126">
        <v>-1413227.4762192401</v>
      </c>
      <c r="AJ126">
        <v>26589624.4315897</v>
      </c>
      <c r="AK126">
        <v>-5163683.0747870104</v>
      </c>
      <c r="AL126">
        <v>61945.874080874797</v>
      </c>
      <c r="AM126">
        <v>-2364965.5804737601</v>
      </c>
      <c r="AN126">
        <v>0</v>
      </c>
      <c r="AO126">
        <v>0</v>
      </c>
      <c r="AP126">
        <v>0</v>
      </c>
      <c r="AQ126">
        <v>0</v>
      </c>
      <c r="AR126">
        <v>6745030.7002348397</v>
      </c>
      <c r="AS126">
        <v>0</v>
      </c>
      <c r="AT126">
        <v>0</v>
      </c>
      <c r="AU126">
        <v>0</v>
      </c>
      <c r="AV126">
        <v>-10141013.542296801</v>
      </c>
      <c r="AW126">
        <v>-10368920.8903556</v>
      </c>
      <c r="AX126">
        <v>-54285880.109643303</v>
      </c>
      <c r="AY126">
        <v>0</v>
      </c>
      <c r="AZ126">
        <v>-64654800.999999002</v>
      </c>
      <c r="BA126"/>
      <c r="BB126"/>
    </row>
  </sheetData>
  <autoFilter ref="A2:AZ71" xr:uid="{3CA238BD-C91E-F146-B6B1-3F98F35D9317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Jawad Mahmud Hoque</cp:lastModifiedBy>
  <dcterms:created xsi:type="dcterms:W3CDTF">2019-11-15T04:35:49Z</dcterms:created>
  <dcterms:modified xsi:type="dcterms:W3CDTF">2021-02-12T16:43:32Z</dcterms:modified>
</cp:coreProperties>
</file>