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Projects\WA\Common\PL file\"/>
    </mc:Choice>
  </mc:AlternateContent>
  <bookViews>
    <workbookView minimized="1" xWindow="0" yWindow="0" windowWidth="7125" windowHeight="3660" tabRatio="985"/>
  </bookViews>
  <sheets>
    <sheet name="Financial Advice" sheetId="64" r:id="rId1"/>
    <sheet name="Financial Advice -Bkp" sheetId="63" r:id="rId2"/>
    <sheet name="Angular" sheetId="56" r:id="rId3"/>
    <sheet name="My List" sheetId="44" r:id="rId4"/>
    <sheet name="Randstad Qs" sheetId="38" r:id="rId5"/>
    <sheet name="Apply History" sheetId="22" r:id="rId6"/>
    <sheet name="Credit Details" sheetId="1" r:id="rId7"/>
    <sheet name="Sheet4" sheetId="61" r:id="rId8"/>
    <sheet name="Sheet6" sheetId="65" r:id="rId9"/>
    <sheet name="Common Qs" sheetId="4" r:id="rId10"/>
    <sheet name="TODO" sheetId="25" r:id="rId11"/>
    <sheet name="Salary By State" sheetId="2" r:id="rId12"/>
    <sheet name="Jyothi" sheetId="51" r:id="rId13"/>
    <sheet name="Top Paying Firms" sheetId="3" r:id="rId14"/>
    <sheet name="Qs" sheetId="12" r:id="rId15"/>
    <sheet name="Job Search" sheetId="27" r:id="rId16"/>
    <sheet name="Booz Allen Hamilton" sheetId="30" r:id="rId17"/>
    <sheet name="Technologies" sheetId="5" r:id="rId18"/>
    <sheet name="FAQ" sheetId="9" r:id="rId19"/>
    <sheet name="Negotiation" sheetId="10" r:id="rId20"/>
    <sheet name="Statewise Avg. Salary" sheetId="11" r:id="rId21"/>
    <sheet name="Earnings" sheetId="50" r:id="rId22"/>
    <sheet name="Apartment Search" sheetId="13" r:id="rId23"/>
    <sheet name="TriZetto" sheetId="14" r:id="rId24"/>
    <sheet name="Basic Qs" sheetId="15" r:id="rId25"/>
    <sheet name="PLAN" sheetId="16" r:id="rId26"/>
    <sheet name="Sheet1" sheetId="17" r:id="rId27"/>
    <sheet name="Cost of Living" sheetId="18" r:id="rId28"/>
    <sheet name="Tax Calculator" sheetId="19" r:id="rId29"/>
    <sheet name="Salary Compare" sheetId="20" r:id="rId30"/>
    <sheet name="CTS details" sheetId="21" r:id="rId31"/>
    <sheet name="Amma VISA" sheetId="23" r:id="rId32"/>
    <sheet name="P.Loan Closure" sheetId="28" r:id="rId33"/>
    <sheet name="DCU P.Loan" sheetId="29" r:id="rId34"/>
    <sheet name="4715 TMS - Product Development" sheetId="31" r:id="rId35"/>
    <sheet name="Relocation" sheetId="32" r:id="rId36"/>
    <sheet name="TMS Initial Days" sheetId="33" r:id="rId37"/>
    <sheet name="Test Cases" sheetId="34" r:id="rId38"/>
    <sheet name="CommVault" sheetId="35" r:id="rId39"/>
    <sheet name="DS and Alg" sheetId="36" r:id="rId40"/>
    <sheet name="Sheet2" sheetId="37" r:id="rId41"/>
    <sheet name="Raja Bro." sheetId="39" r:id="rId42"/>
    <sheet name="Health Insurance" sheetId="40" r:id="rId43"/>
    <sheet name="References" sheetId="41" r:id="rId44"/>
    <sheet name="CAREER GOAL" sheetId="42" r:id="rId45"/>
    <sheet name="Global Logic" sheetId="43" r:id="rId46"/>
    <sheet name="Sheet3" sheetId="45" r:id="rId47"/>
    <sheet name="P&amp;M" sheetId="46" r:id="rId48"/>
    <sheet name="Task ToDo" sheetId="47" r:id="rId49"/>
    <sheet name="CR" sheetId="48" r:id="rId50"/>
    <sheet name="Goat Business - Contacts" sheetId="57" r:id="rId51"/>
    <sheet name="Sheet10" sheetId="58" r:id="rId52"/>
    <sheet name="My Solution - Visa Transfer" sheetId="59" r:id="rId53"/>
    <sheet name="My Solution- Maligai Kadai" sheetId="60" r:id="rId54"/>
    <sheet name="Sheet5" sheetId="62" r:id="rId55"/>
  </sheets>
  <definedNames>
    <definedName name="_xlnm._FilterDatabase" localSheetId="9" hidden="1">'Common Qs'!$D$1:$L$1</definedName>
    <definedName name="_xlnm._FilterDatabase" localSheetId="11" hidden="1">'Salary By State'!$A$8:$E$8</definedName>
    <definedName name="_xlnm._FilterDatabase" localSheetId="46" hidden="1">Sheet3!$A$1:$B$1</definedName>
    <definedName name="_xlnm._FilterDatabase" localSheetId="20" hidden="1">'Statewise Avg. Salary'!$A$1:$D$1</definedName>
    <definedName name="_xlnm._FilterDatabase" localSheetId="10" hidden="1">TODO!$A$1:$F$51</definedName>
    <definedName name="Alerts_Tile" localSheetId="0">'Financial Advice'!$M$32</definedName>
    <definedName name="Alerts_Tile" localSheetId="1">'Financial Advice -Bkp'!$M$32</definedName>
    <definedName name="alertsW_deleteAlert" localSheetId="0">'Financial Advice'!$M$38</definedName>
    <definedName name="alertsW_deleteAlert" localSheetId="1">'Financial Advice -Bkp'!$M$38</definedName>
    <definedName name="alertsW_viewAlert" localSheetId="0">'Financial Advice'!$M$36</definedName>
    <definedName name="alertsW_viewAlert" localSheetId="1">'Financial Advice -Bkp'!$M$36</definedName>
    <definedName name="Bill_Pay_tile" localSheetId="0">'Financial Advice'!$M$33</definedName>
    <definedName name="Bill_Pay_tile" localSheetId="1">'Financial Advice -Bkp'!$M$33</definedName>
    <definedName name="expand_transaction_from_arrow_26" localSheetId="31">'Amma VISA'!$J$19</definedName>
    <definedName name="expand_transaction_from_description_26" localSheetId="31">'Amma VISA'!$K$19</definedName>
    <definedName name="Messages_tile" localSheetId="0">'Financial Advice'!$M$54</definedName>
    <definedName name="Messages_tile" localSheetId="1">'Financial Advice -Bkp'!$M$54</definedName>
    <definedName name="Open_Account_Tile" localSheetId="0">'Financial Advice'!$M$56</definedName>
    <definedName name="Open_Account_Tile" localSheetId="1">'Financial Advice -Bkp'!$M$56</definedName>
    <definedName name="Special_Offers_and_Deals_tile" localSheetId="0">'Financial Advice'!$M$55</definedName>
    <definedName name="Special_Offers_and_Deals_tile" localSheetId="1">'Financial Advice -Bkp'!$M$55</definedName>
    <definedName name="Transfer_Tile" localSheetId="0">'Financial Advice'!$M$34</definedName>
    <definedName name="Transfer_Tile" localSheetId="1">'Financial Advice -Bkp'!$M$34</definedName>
  </definedNames>
  <calcPr calcId="171027"/>
</workbook>
</file>

<file path=xl/calcChain.xml><?xml version="1.0" encoding="utf-8"?>
<calcChain xmlns="http://schemas.openxmlformats.org/spreadsheetml/2006/main">
  <c r="G9" i="64" l="1"/>
  <c r="D99" i="64" l="1"/>
  <c r="C99" i="64"/>
  <c r="L83" i="64"/>
  <c r="L84" i="64" s="1"/>
  <c r="G38" i="64"/>
  <c r="L132" i="64"/>
  <c r="L131" i="64"/>
  <c r="L130" i="64"/>
  <c r="L129" i="64"/>
  <c r="L128" i="64"/>
  <c r="L127" i="64"/>
  <c r="L125" i="64"/>
  <c r="L124" i="64"/>
  <c r="J124" i="64"/>
  <c r="I135" i="64"/>
  <c r="J134" i="64"/>
  <c r="K134" i="64"/>
  <c r="F100" i="64"/>
  <c r="H100" i="64" s="1"/>
  <c r="E207" i="64"/>
  <c r="E208" i="64" s="1"/>
  <c r="K75" i="64"/>
  <c r="E192" i="64"/>
  <c r="L209" i="64"/>
  <c r="K209" i="64"/>
  <c r="G173" i="64"/>
  <c r="G185" i="64" s="1"/>
  <c r="L192" i="63"/>
  <c r="K192" i="63"/>
  <c r="J193" i="63"/>
  <c r="I193" i="63"/>
  <c r="H193" i="63"/>
  <c r="N89" i="64" l="1"/>
  <c r="N90" i="64" s="1"/>
  <c r="K66" i="63"/>
  <c r="K67" i="63"/>
  <c r="J95" i="63"/>
  <c r="O127" i="63" l="1"/>
  <c r="P159" i="64"/>
  <c r="P158" i="64"/>
  <c r="P157" i="64"/>
  <c r="P156" i="64"/>
  <c r="O120" i="63"/>
  <c r="G151" i="64"/>
  <c r="G149" i="64"/>
  <c r="H158" i="64" s="1"/>
  <c r="P148" i="64"/>
  <c r="L147" i="64"/>
  <c r="G147" i="64"/>
  <c r="L146" i="64"/>
  <c r="G146" i="64"/>
  <c r="L145" i="64"/>
  <c r="G145" i="64"/>
  <c r="P144" i="64"/>
  <c r="O144" i="64"/>
  <c r="L144" i="64"/>
  <c r="G143" i="64"/>
  <c r="G142" i="64"/>
  <c r="H142" i="64" s="1"/>
  <c r="G141" i="64"/>
  <c r="G140" i="64"/>
  <c r="H140" i="64" s="1"/>
  <c r="L139" i="64"/>
  <c r="G139" i="64"/>
  <c r="G138" i="64"/>
  <c r="E138" i="64"/>
  <c r="E139" i="64" s="1"/>
  <c r="J133" i="64"/>
  <c r="J132" i="64"/>
  <c r="K132" i="64" s="1"/>
  <c r="C132" i="64"/>
  <c r="J131" i="64"/>
  <c r="K131" i="64" s="1"/>
  <c r="C131" i="64"/>
  <c r="J130" i="64"/>
  <c r="K130" i="64" s="1"/>
  <c r="J129" i="64"/>
  <c r="K129" i="64" s="1"/>
  <c r="M128" i="64"/>
  <c r="J128" i="64"/>
  <c r="J127" i="64"/>
  <c r="K127" i="64" s="1"/>
  <c r="L126" i="64"/>
  <c r="J126" i="64"/>
  <c r="D126" i="64"/>
  <c r="E126" i="64" s="1"/>
  <c r="J125" i="64"/>
  <c r="K125" i="64" s="1"/>
  <c r="G118" i="64"/>
  <c r="J117" i="64"/>
  <c r="M115" i="64"/>
  <c r="L115" i="64"/>
  <c r="K115" i="64"/>
  <c r="J115" i="64"/>
  <c r="H115" i="64"/>
  <c r="F115" i="64"/>
  <c r="I106" i="64"/>
  <c r="I117" i="64" s="1"/>
  <c r="G106" i="64"/>
  <c r="G115" i="64" s="1"/>
  <c r="E106" i="64"/>
  <c r="E115" i="64" s="1"/>
  <c r="D106" i="64"/>
  <c r="D115" i="64" s="1"/>
  <c r="O103" i="64"/>
  <c r="U102" i="64"/>
  <c r="T102" i="64"/>
  <c r="K87" i="64"/>
  <c r="L65" i="64" s="1"/>
  <c r="O78" i="64"/>
  <c r="O76" i="64"/>
  <c r="I76" i="64"/>
  <c r="V75" i="64"/>
  <c r="O75" i="64"/>
  <c r="O74" i="64"/>
  <c r="O73" i="64"/>
  <c r="O72" i="64"/>
  <c r="O71" i="64"/>
  <c r="P68" i="64"/>
  <c r="S67" i="64"/>
  <c r="S66" i="64"/>
  <c r="T65" i="64" s="1"/>
  <c r="H65" i="64"/>
  <c r="G50" i="64"/>
  <c r="C50" i="64"/>
  <c r="M45" i="64"/>
  <c r="I43" i="64"/>
  <c r="I37" i="64"/>
  <c r="M34" i="64"/>
  <c r="M33" i="64"/>
  <c r="M31" i="64"/>
  <c r="M29" i="64"/>
  <c r="M28" i="64"/>
  <c r="I27" i="64"/>
  <c r="G27" i="64"/>
  <c r="H27" i="64" s="1"/>
  <c r="M26" i="64"/>
  <c r="M25" i="64"/>
  <c r="I24" i="64"/>
  <c r="I23" i="64"/>
  <c r="I22" i="64"/>
  <c r="I21" i="64"/>
  <c r="I19" i="64"/>
  <c r="I18" i="64"/>
  <c r="I13" i="64"/>
  <c r="H9" i="64"/>
  <c r="O8" i="64"/>
  <c r="S7" i="64" s="1"/>
  <c r="H8" i="64"/>
  <c r="I8" i="64" s="1"/>
  <c r="O7" i="64"/>
  <c r="I7" i="64"/>
  <c r="K7" i="64" s="1"/>
  <c r="S6" i="64"/>
  <c r="O5" i="64"/>
  <c r="E2" i="64"/>
  <c r="H2" i="64" s="1"/>
  <c r="L133" i="63"/>
  <c r="L126" i="63"/>
  <c r="K133" i="63"/>
  <c r="K132" i="63"/>
  <c r="K130" i="63"/>
  <c r="J133" i="63"/>
  <c r="J132" i="63"/>
  <c r="J131" i="63"/>
  <c r="K131" i="63" s="1"/>
  <c r="L131" i="63" s="1"/>
  <c r="J130" i="63"/>
  <c r="J129" i="63"/>
  <c r="K129" i="63" s="1"/>
  <c r="L129" i="63" s="1"/>
  <c r="J128" i="63"/>
  <c r="J127" i="63"/>
  <c r="J126" i="63"/>
  <c r="J125" i="63"/>
  <c r="J124" i="63"/>
  <c r="I122" i="63"/>
  <c r="G151" i="63"/>
  <c r="H151" i="63" s="1"/>
  <c r="G149" i="63"/>
  <c r="H158" i="63" s="1"/>
  <c r="P148" i="63"/>
  <c r="L147" i="63"/>
  <c r="G147" i="63"/>
  <c r="H147" i="63" s="1"/>
  <c r="L146" i="63"/>
  <c r="G146" i="63"/>
  <c r="H146" i="63" s="1"/>
  <c r="L145" i="63"/>
  <c r="G145" i="63"/>
  <c r="H145" i="63" s="1"/>
  <c r="I147" i="63" s="1"/>
  <c r="P144" i="63"/>
  <c r="O144" i="63"/>
  <c r="L144" i="63"/>
  <c r="G143" i="63"/>
  <c r="H143" i="63" s="1"/>
  <c r="G142" i="63"/>
  <c r="H142" i="63" s="1"/>
  <c r="G141" i="63"/>
  <c r="H141" i="63" s="1"/>
  <c r="G140" i="63"/>
  <c r="H140" i="63" s="1"/>
  <c r="I143" i="63" s="1"/>
  <c r="I148" i="63" s="1"/>
  <c r="L139" i="63"/>
  <c r="G139" i="63"/>
  <c r="H138" i="63"/>
  <c r="G138" i="63"/>
  <c r="E138" i="63"/>
  <c r="E139" i="63" s="1"/>
  <c r="J134" i="63"/>
  <c r="J135" i="63" s="1"/>
  <c r="J136" i="63" s="1"/>
  <c r="J137" i="63" s="1"/>
  <c r="J138" i="63" s="1"/>
  <c r="I134" i="63"/>
  <c r="L132" i="63"/>
  <c r="C132" i="63"/>
  <c r="C131" i="63"/>
  <c r="L130" i="63"/>
  <c r="L128" i="63"/>
  <c r="M128" i="63" s="1"/>
  <c r="K127" i="63"/>
  <c r="L127" i="63" s="1"/>
  <c r="E126" i="63"/>
  <c r="D126" i="63"/>
  <c r="K125" i="63"/>
  <c r="L125" i="63" s="1"/>
  <c r="K124" i="63"/>
  <c r="G118" i="63"/>
  <c r="J117" i="63"/>
  <c r="M115" i="63"/>
  <c r="L115" i="63"/>
  <c r="K115" i="63"/>
  <c r="K117" i="63" s="1"/>
  <c r="J115" i="63"/>
  <c r="H115" i="63"/>
  <c r="F115" i="63"/>
  <c r="I106" i="63"/>
  <c r="I117" i="63" s="1"/>
  <c r="G106" i="63"/>
  <c r="G115" i="63" s="1"/>
  <c r="G117" i="63" s="1"/>
  <c r="E106" i="63"/>
  <c r="E115" i="63" s="1"/>
  <c r="D106" i="63"/>
  <c r="D115" i="63" s="1"/>
  <c r="D103" i="63"/>
  <c r="O103" i="63" s="1"/>
  <c r="T102" i="63"/>
  <c r="U102" i="63" s="1"/>
  <c r="O94" i="63"/>
  <c r="K87" i="63"/>
  <c r="L76" i="63"/>
  <c r="O78" i="63"/>
  <c r="O76" i="63"/>
  <c r="I76" i="63"/>
  <c r="V75" i="63"/>
  <c r="O75" i="63"/>
  <c r="L75" i="63"/>
  <c r="O74" i="63"/>
  <c r="O73" i="63"/>
  <c r="O72" i="63"/>
  <c r="O71" i="63"/>
  <c r="P68" i="63"/>
  <c r="S67" i="63"/>
  <c r="T65" i="63" s="1"/>
  <c r="S66" i="63"/>
  <c r="O66" i="63"/>
  <c r="L65" i="63"/>
  <c r="H65" i="63"/>
  <c r="C50" i="63"/>
  <c r="M45" i="63"/>
  <c r="I43" i="63"/>
  <c r="G38" i="63"/>
  <c r="G50" i="63" s="1"/>
  <c r="M34" i="63"/>
  <c r="M33" i="63"/>
  <c r="M31" i="63"/>
  <c r="M29" i="63"/>
  <c r="M28" i="63"/>
  <c r="I27" i="63"/>
  <c r="G27" i="63"/>
  <c r="M26" i="63"/>
  <c r="M25" i="63"/>
  <c r="I24" i="63"/>
  <c r="I23" i="63"/>
  <c r="I22" i="63"/>
  <c r="I21" i="63"/>
  <c r="I19" i="63"/>
  <c r="I18" i="63"/>
  <c r="I13" i="63"/>
  <c r="I9" i="63"/>
  <c r="H9" i="63"/>
  <c r="O8" i="63"/>
  <c r="H8" i="63"/>
  <c r="I8" i="63" s="1"/>
  <c r="S7" i="63"/>
  <c r="O7" i="63"/>
  <c r="I7" i="63"/>
  <c r="S6" i="63"/>
  <c r="T7" i="63" s="1"/>
  <c r="O6" i="63"/>
  <c r="O5" i="63"/>
  <c r="O9" i="63" s="1"/>
  <c r="E2" i="63"/>
  <c r="H2" i="63" s="1"/>
  <c r="K133" i="64" l="1"/>
  <c r="J135" i="64"/>
  <c r="J40" i="64"/>
  <c r="O66" i="64"/>
  <c r="K117" i="64"/>
  <c r="H151" i="64"/>
  <c r="H138" i="64"/>
  <c r="H141" i="64"/>
  <c r="H143" i="64"/>
  <c r="H146" i="64"/>
  <c r="H157" i="64"/>
  <c r="D117" i="64"/>
  <c r="G117" i="64"/>
  <c r="T7" i="64"/>
  <c r="J27" i="64"/>
  <c r="J28" i="64" s="1"/>
  <c r="L21" i="63"/>
  <c r="J27" i="63"/>
  <c r="J28" i="63" s="1"/>
  <c r="P5" i="63"/>
  <c r="M58" i="63" s="1"/>
  <c r="K9" i="63"/>
  <c r="H27" i="63"/>
  <c r="O9" i="64"/>
  <c r="I9" i="64"/>
  <c r="K9" i="64" s="1"/>
  <c r="K10" i="64" s="1"/>
  <c r="L10" i="64" s="1"/>
  <c r="O6" i="64"/>
  <c r="P5" i="64" s="1"/>
  <c r="I2" i="64"/>
  <c r="G2" i="64"/>
  <c r="S8" i="64"/>
  <c r="T8" i="64" s="1"/>
  <c r="T9" i="64" s="1"/>
  <c r="I115" i="64"/>
  <c r="O115" i="64" s="1"/>
  <c r="O117" i="64" s="1"/>
  <c r="P117" i="64" s="1"/>
  <c r="J138" i="64"/>
  <c r="K124" i="64"/>
  <c r="H145" i="64"/>
  <c r="I147" i="64" s="1"/>
  <c r="H147" i="64"/>
  <c r="G152" i="64"/>
  <c r="G153" i="64"/>
  <c r="H153" i="64" s="1"/>
  <c r="G154" i="64"/>
  <c r="H154" i="64" s="1"/>
  <c r="H156" i="64"/>
  <c r="K134" i="63"/>
  <c r="L124" i="63"/>
  <c r="G2" i="63"/>
  <c r="I2" i="63"/>
  <c r="J143" i="63"/>
  <c r="L143" i="63" s="1"/>
  <c r="J142" i="63"/>
  <c r="L142" i="63" s="1"/>
  <c r="J141" i="63"/>
  <c r="L141" i="63" s="1"/>
  <c r="J140" i="63"/>
  <c r="L138" i="63"/>
  <c r="D117" i="63"/>
  <c r="L134" i="63"/>
  <c r="K7" i="63"/>
  <c r="S8" i="63"/>
  <c r="T8" i="63" s="1"/>
  <c r="T9" i="63" s="1"/>
  <c r="I37" i="63"/>
  <c r="J40" i="63" s="1"/>
  <c r="L72" i="63"/>
  <c r="I115" i="63"/>
  <c r="I100" i="63" s="1"/>
  <c r="J100" i="63" s="1"/>
  <c r="L121" i="63"/>
  <c r="H157" i="63"/>
  <c r="G152" i="63"/>
  <c r="G153" i="63"/>
  <c r="H153" i="63" s="1"/>
  <c r="G154" i="63"/>
  <c r="H154" i="63" s="1"/>
  <c r="H156" i="63"/>
  <c r="L133" i="64" l="1"/>
  <c r="K135" i="64"/>
  <c r="I143" i="64"/>
  <c r="I148" i="64" s="1"/>
  <c r="I100" i="64"/>
  <c r="J100" i="64" s="1"/>
  <c r="L21" i="64"/>
  <c r="G29" i="64"/>
  <c r="H29" i="64" s="1"/>
  <c r="K5" i="63"/>
  <c r="M58" i="64"/>
  <c r="K5" i="64"/>
  <c r="H152" i="64"/>
  <c r="H149" i="64"/>
  <c r="J143" i="64"/>
  <c r="L143" i="64" s="1"/>
  <c r="J142" i="64"/>
  <c r="L142" i="64" s="1"/>
  <c r="J141" i="64"/>
  <c r="L141" i="64" s="1"/>
  <c r="J140" i="64"/>
  <c r="L138" i="64"/>
  <c r="K138" i="63"/>
  <c r="M120" i="63"/>
  <c r="M126" i="63" s="1"/>
  <c r="O115" i="63"/>
  <c r="O117" i="63" s="1"/>
  <c r="P117" i="63" s="1"/>
  <c r="H152" i="63"/>
  <c r="H149" i="63"/>
  <c r="K10" i="63"/>
  <c r="L7" i="63" s="1"/>
  <c r="L6" i="63" s="1"/>
  <c r="L5" i="63" s="1"/>
  <c r="G29" i="63"/>
  <c r="H29" i="63" s="1"/>
  <c r="L140" i="63"/>
  <c r="K143" i="63"/>
  <c r="L135" i="64" l="1"/>
  <c r="L7" i="64"/>
  <c r="L6" i="64" s="1"/>
  <c r="L5" i="64" s="1"/>
  <c r="L121" i="64"/>
  <c r="M120" i="64" s="1"/>
  <c r="O120" i="64" s="1"/>
  <c r="M124" i="64" s="1"/>
  <c r="K138" i="64"/>
  <c r="L140" i="64"/>
  <c r="K143" i="64"/>
  <c r="M131" i="63"/>
  <c r="M124" i="63"/>
  <c r="M132" i="63"/>
  <c r="M127" i="63"/>
  <c r="M133" i="63"/>
  <c r="M125" i="63"/>
  <c r="M129" i="63"/>
  <c r="O129" i="63" s="1"/>
  <c r="M130" i="63"/>
  <c r="O130" i="63" s="1"/>
  <c r="O131" i="63"/>
  <c r="O124" i="63"/>
  <c r="P124" i="63" l="1"/>
  <c r="M126" i="64"/>
  <c r="M129" i="64"/>
  <c r="O129" i="64" s="1"/>
  <c r="M127" i="64"/>
  <c r="O127" i="64" s="1"/>
  <c r="M125" i="64"/>
  <c r="M130" i="64"/>
  <c r="O130" i="64" s="1"/>
  <c r="M132" i="64"/>
  <c r="M133" i="64"/>
  <c r="M131" i="64"/>
  <c r="M134" i="63"/>
  <c r="M135" i="63"/>
  <c r="F23" i="62"/>
  <c r="F3" i="62"/>
  <c r="F4" i="62"/>
  <c r="F5" i="62"/>
  <c r="F6" i="62"/>
  <c r="F7" i="62"/>
  <c r="F8" i="62"/>
  <c r="F9" i="62"/>
  <c r="F10" i="62"/>
  <c r="F11" i="62"/>
  <c r="F12" i="62"/>
  <c r="F13" i="62"/>
  <c r="F14" i="62"/>
  <c r="F15" i="62"/>
  <c r="F16" i="62"/>
  <c r="F17" i="62"/>
  <c r="F18" i="62"/>
  <c r="F19" i="62"/>
  <c r="F20" i="62"/>
  <c r="F21" i="62"/>
  <c r="F22" i="62"/>
  <c r="F2" i="62"/>
  <c r="G25" i="62"/>
  <c r="C26" i="62"/>
  <c r="E9" i="62"/>
  <c r="D9" i="62"/>
  <c r="E23" i="62"/>
  <c r="E3" i="62"/>
  <c r="E4" i="62"/>
  <c r="D3" i="62"/>
  <c r="D4" i="62"/>
  <c r="D5" i="62"/>
  <c r="E5" i="62" s="1"/>
  <c r="D6" i="62"/>
  <c r="E6" i="62" s="1"/>
  <c r="D7" i="62"/>
  <c r="E7" i="62" s="1"/>
  <c r="D8" i="62"/>
  <c r="E8" i="62" s="1"/>
  <c r="D10" i="62"/>
  <c r="E10" i="62" s="1"/>
  <c r="D11" i="62"/>
  <c r="E11" i="62" s="1"/>
  <c r="D12" i="62"/>
  <c r="E12" i="62" s="1"/>
  <c r="D13" i="62"/>
  <c r="E13" i="62" s="1"/>
  <c r="D14" i="62"/>
  <c r="E14" i="62" s="1"/>
  <c r="D15" i="62"/>
  <c r="E15" i="62" s="1"/>
  <c r="D16" i="62"/>
  <c r="E16" i="62" s="1"/>
  <c r="D17" i="62"/>
  <c r="E17" i="62" s="1"/>
  <c r="D18" i="62"/>
  <c r="E18" i="62" s="1"/>
  <c r="D19" i="62"/>
  <c r="E19" i="62" s="1"/>
  <c r="D20" i="62"/>
  <c r="E20" i="62" s="1"/>
  <c r="D21" i="62"/>
  <c r="E21" i="62" s="1"/>
  <c r="D22" i="62"/>
  <c r="E22" i="62" s="1"/>
  <c r="D2" i="62"/>
  <c r="E2" i="62" s="1"/>
  <c r="B23" i="62"/>
  <c r="M136" i="64" l="1"/>
  <c r="M135" i="64"/>
  <c r="O131" i="64"/>
  <c r="O124" i="64"/>
  <c r="C33" i="10"/>
  <c r="P124" i="64" l="1"/>
  <c r="C34" i="10"/>
  <c r="C35" i="10" s="1"/>
  <c r="C32" i="10"/>
  <c r="I203" i="1" l="1"/>
  <c r="I202" i="1"/>
  <c r="I200" i="1"/>
  <c r="I201" i="1"/>
  <c r="I199" i="1"/>
  <c r="I198" i="1"/>
  <c r="E1" i="50" l="1"/>
  <c r="H1" i="50" s="1"/>
  <c r="P21" i="45" l="1"/>
  <c r="P22" i="45"/>
  <c r="Q11" i="45"/>
  <c r="S11" i="45" s="1"/>
  <c r="R11" i="45" l="1"/>
  <c r="D66" i="1" l="1"/>
  <c r="E66" i="1" s="1"/>
  <c r="C47" i="1" l="1"/>
  <c r="D47" i="1" s="1"/>
  <c r="K3" i="40"/>
  <c r="D15" i="38"/>
  <c r="C15" i="38"/>
  <c r="D11" i="38"/>
  <c r="C11" i="38"/>
  <c r="D6" i="38"/>
  <c r="D22" i="38"/>
  <c r="C21" i="38"/>
  <c r="D21" i="38"/>
  <c r="E20" i="38"/>
  <c r="C20" i="38"/>
  <c r="D20" i="38" s="1"/>
  <c r="C19" i="38"/>
  <c r="D19" i="38" s="1"/>
  <c r="E62" i="38"/>
  <c r="E63" i="38"/>
  <c r="E64" i="38"/>
  <c r="E65" i="38"/>
  <c r="E61" i="38"/>
  <c r="E66" i="38"/>
  <c r="E67" i="38"/>
  <c r="E68" i="38"/>
  <c r="C6" i="38"/>
  <c r="D5" i="38"/>
  <c r="C5" i="38"/>
  <c r="J4" i="38"/>
  <c r="J3" i="38"/>
  <c r="B55" i="1"/>
  <c r="C52" i="1" s="1"/>
  <c r="D52" i="1" s="1"/>
  <c r="E52" i="1" s="1"/>
  <c r="E58" i="1" s="1"/>
  <c r="F58" i="1" s="1"/>
  <c r="B54" i="1"/>
  <c r="C46" i="1"/>
  <c r="L28" i="37"/>
  <c r="N27" i="37"/>
  <c r="G19" i="37"/>
  <c r="G36" i="37" s="1"/>
  <c r="G8" i="37" s="1"/>
  <c r="G10" i="37" s="1"/>
  <c r="D36" i="37"/>
  <c r="D8" i="37" s="1"/>
  <c r="D10" i="37" s="1"/>
  <c r="D7" i="37"/>
  <c r="D9" i="37" s="1"/>
  <c r="G7" i="37"/>
  <c r="G9" i="37" s="1"/>
  <c r="K2" i="29"/>
  <c r="G133" i="1"/>
  <c r="D169" i="1"/>
  <c r="D168" i="1" s="1"/>
  <c r="E168" i="1" s="1"/>
  <c r="F7" i="25"/>
  <c r="F60" i="25"/>
  <c r="D202" i="1"/>
  <c r="I40" i="1"/>
  <c r="I39" i="1"/>
  <c r="J14" i="1"/>
  <c r="D201" i="1"/>
  <c r="D209" i="1" s="1"/>
  <c r="C212" i="1"/>
  <c r="C213" i="1" s="1"/>
  <c r="C215" i="1" s="1"/>
  <c r="C204" i="1"/>
  <c r="K141" i="1"/>
  <c r="E14" i="32"/>
  <c r="E4" i="32"/>
  <c r="C7" i="28"/>
  <c r="C10" i="28" s="1"/>
  <c r="D18" i="28"/>
  <c r="E8" i="28"/>
  <c r="E9" i="28"/>
  <c r="I10" i="28"/>
  <c r="H10" i="28"/>
  <c r="N15" i="28"/>
  <c r="I16" i="28"/>
  <c r="M16" i="28" s="1"/>
  <c r="K8" i="28"/>
  <c r="K9" i="28"/>
  <c r="K7" i="28"/>
  <c r="J8" i="28"/>
  <c r="J9" i="28"/>
  <c r="J7" i="28"/>
  <c r="J10" i="28" s="1"/>
  <c r="I12" i="1"/>
  <c r="J8" i="1" s="1"/>
  <c r="H28" i="10"/>
  <c r="E133" i="1"/>
  <c r="J55" i="1"/>
  <c r="H3" i="23"/>
  <c r="F20" i="23"/>
  <c r="D20" i="23"/>
  <c r="T3" i="20"/>
  <c r="L4" i="20" s="1"/>
  <c r="N4" i="20" s="1"/>
  <c r="S3" i="20"/>
  <c r="S4" i="20"/>
  <c r="S14" i="20" s="1"/>
  <c r="T10" i="20"/>
  <c r="S11" i="20"/>
  <c r="T11" i="20" s="1"/>
  <c r="D4" i="20" s="1"/>
  <c r="F4" i="20" s="1"/>
  <c r="S10" i="20"/>
  <c r="S9" i="20"/>
  <c r="T9" i="20" s="1"/>
  <c r="S8" i="20"/>
  <c r="T8" i="20" s="1"/>
  <c r="S7" i="20"/>
  <c r="T7" i="20" s="1"/>
  <c r="S6" i="20"/>
  <c r="T6" i="20" s="1"/>
  <c r="S5" i="20"/>
  <c r="T5" i="20" s="1"/>
  <c r="G22" i="20"/>
  <c r="G23" i="20"/>
  <c r="G24" i="20"/>
  <c r="G25" i="20"/>
  <c r="G26" i="20"/>
  <c r="G27" i="20"/>
  <c r="G21" i="20"/>
  <c r="T4" i="20"/>
  <c r="N11" i="19"/>
  <c r="N12" i="19"/>
  <c r="N13" i="19"/>
  <c r="N14" i="19"/>
  <c r="N15" i="19"/>
  <c r="N16" i="19"/>
  <c r="N17" i="19"/>
  <c r="N18" i="19"/>
  <c r="N10" i="19"/>
  <c r="F5" i="19"/>
  <c r="D2" i="17"/>
  <c r="F2" i="17" s="1"/>
  <c r="L49" i="1"/>
  <c r="O48" i="1" s="1"/>
  <c r="L48" i="1"/>
  <c r="N48" i="1" s="1"/>
  <c r="O42" i="1"/>
  <c r="N42" i="1"/>
  <c r="K6" i="1"/>
  <c r="K2" i="1"/>
  <c r="H24" i="10"/>
  <c r="E22" i="2"/>
  <c r="E17" i="2"/>
  <c r="E50" i="2"/>
  <c r="E59" i="2"/>
  <c r="E36" i="2"/>
  <c r="E39" i="2"/>
  <c r="E9" i="2"/>
  <c r="E43" i="2"/>
  <c r="E60" i="2"/>
  <c r="E57" i="2"/>
  <c r="E21" i="2"/>
  <c r="E20" i="2"/>
  <c r="E54" i="2"/>
  <c r="E26" i="2"/>
  <c r="E41" i="2"/>
  <c r="E28" i="2"/>
  <c r="E58" i="2"/>
  <c r="E31" i="2"/>
  <c r="E35" i="2"/>
  <c r="E27" i="2"/>
  <c r="E55" i="2"/>
  <c r="E32" i="2"/>
  <c r="E30" i="2"/>
  <c r="E42" i="2"/>
  <c r="E52" i="2"/>
  <c r="E10" i="2"/>
  <c r="E11" i="2"/>
  <c r="E44" i="2"/>
  <c r="E29" i="2"/>
  <c r="E51" i="2"/>
  <c r="E37" i="2"/>
  <c r="E18" i="2"/>
  <c r="E23" i="2"/>
  <c r="E33" i="2"/>
  <c r="E62" i="2"/>
  <c r="E24" i="2"/>
  <c r="E25" i="2"/>
  <c r="E56" i="2"/>
  <c r="E12" i="2"/>
  <c r="E13" i="2"/>
  <c r="E14" i="2"/>
  <c r="E34" i="2"/>
  <c r="E45" i="2"/>
  <c r="E38" i="2"/>
  <c r="E15" i="2"/>
  <c r="E40" i="2"/>
  <c r="E53" i="2"/>
  <c r="E16" i="2"/>
  <c r="E61" i="2"/>
  <c r="E46" i="2"/>
  <c r="E63" i="2"/>
  <c r="E47" i="2"/>
  <c r="E48" i="2"/>
  <c r="E49" i="2"/>
  <c r="E19" i="2"/>
  <c r="J6" i="25"/>
  <c r="K15" i="25"/>
  <c r="L15" i="25"/>
  <c r="M15" i="25" s="1"/>
  <c r="M4" i="20" l="1"/>
  <c r="E7" i="28"/>
  <c r="F61" i="38"/>
  <c r="I35" i="1"/>
  <c r="J35" i="1" s="1"/>
  <c r="K35" i="1" s="1"/>
  <c r="N16" i="28"/>
  <c r="E40" i="37"/>
  <c r="D45" i="1"/>
</calcChain>
</file>

<file path=xl/comments1.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comments2.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sharedStrings.xml><?xml version="1.0" encoding="utf-8"?>
<sst xmlns="http://schemas.openxmlformats.org/spreadsheetml/2006/main" count="2794" uniqueCount="2002">
  <si>
    <t>BOA1</t>
  </si>
  <si>
    <t>BOA2</t>
  </si>
  <si>
    <t>AMEX</t>
  </si>
  <si>
    <t>DCU</t>
  </si>
  <si>
    <t>Kohls</t>
  </si>
  <si>
    <t>APS</t>
  </si>
  <si>
    <t>COX</t>
  </si>
  <si>
    <t>Car insurance</t>
  </si>
  <si>
    <t>ATT</t>
  </si>
  <si>
    <t>Gas</t>
  </si>
  <si>
    <t>State</t>
  </si>
  <si>
    <t>Net</t>
  </si>
  <si>
    <t>Arizona</t>
  </si>
  <si>
    <t>Alabama</t>
  </si>
  <si>
    <t>Alaska</t>
  </si>
  <si>
    <t>Weekly</t>
  </si>
  <si>
    <t>Arkansas</t>
  </si>
  <si>
    <t>California</t>
  </si>
  <si>
    <t>Connecticut</t>
  </si>
  <si>
    <t>Delaware</t>
  </si>
  <si>
    <t>Florida</t>
  </si>
  <si>
    <t>Georgia</t>
  </si>
  <si>
    <t>Hawaai</t>
  </si>
  <si>
    <t>Idaho</t>
  </si>
  <si>
    <t>Illinois</t>
  </si>
  <si>
    <t>Indiana</t>
  </si>
  <si>
    <t>lowa</t>
  </si>
  <si>
    <t>Kansas</t>
  </si>
  <si>
    <t>Kentaky</t>
  </si>
  <si>
    <t>Louisiana</t>
  </si>
  <si>
    <t>Maine</t>
  </si>
  <si>
    <t>Maryland</t>
  </si>
  <si>
    <t>Massachussets</t>
  </si>
  <si>
    <t>Michigan</t>
  </si>
  <si>
    <t>Minnesota</t>
  </si>
  <si>
    <t>Mississippi</t>
  </si>
  <si>
    <t>Missouri</t>
  </si>
  <si>
    <t>Montana</t>
  </si>
  <si>
    <t>Nebraska</t>
  </si>
  <si>
    <t>Nevada</t>
  </si>
  <si>
    <t>New Hamspire</t>
  </si>
  <si>
    <t>New Jercy</t>
  </si>
  <si>
    <t>New Mexico</t>
  </si>
  <si>
    <t>New York</t>
  </si>
  <si>
    <t>North Carolina</t>
  </si>
  <si>
    <t>North Dakota</t>
  </si>
  <si>
    <t>Ohio</t>
  </si>
  <si>
    <t>Oklahoma</t>
  </si>
  <si>
    <t>Oregon</t>
  </si>
  <si>
    <t>Pennysylvania</t>
  </si>
  <si>
    <t>Rhode Island</t>
  </si>
  <si>
    <t>South Carolina</t>
  </si>
  <si>
    <t>Tennesse</t>
  </si>
  <si>
    <t>Texas</t>
  </si>
  <si>
    <t>Utah</t>
  </si>
  <si>
    <t>Vermont</t>
  </si>
  <si>
    <t>Virginia</t>
  </si>
  <si>
    <t>Washington</t>
  </si>
  <si>
    <t>West Virginia</t>
  </si>
  <si>
    <t>Wisconsin</t>
  </si>
  <si>
    <t>Wyoming</t>
  </si>
  <si>
    <t>Washington DC</t>
  </si>
  <si>
    <t>Puerto Rico</t>
  </si>
  <si>
    <t>American Samoa</t>
  </si>
  <si>
    <t>Guam</t>
  </si>
  <si>
    <t>N. Mariana Islands</t>
  </si>
  <si>
    <t>US Virgin Islands</t>
  </si>
  <si>
    <t>115K</t>
  </si>
  <si>
    <t>Monthly</t>
  </si>
  <si>
    <t xml:space="preserve">South Dakota </t>
  </si>
  <si>
    <t>Top 10 to live</t>
  </si>
  <si>
    <t>Boston</t>
  </si>
  <si>
    <t>Name</t>
  </si>
  <si>
    <t>Avg Salary</t>
  </si>
  <si>
    <t>Mitchell/Martin</t>
  </si>
  <si>
    <t>QualComm</t>
  </si>
  <si>
    <t>Randstad</t>
  </si>
  <si>
    <t>Deloite</t>
  </si>
  <si>
    <t>MAsTech</t>
  </si>
  <si>
    <t>Ernst &amp; Young</t>
  </si>
  <si>
    <t>Kforce</t>
  </si>
  <si>
    <t>Tell me about yourself</t>
  </si>
  <si>
    <t>About your recent project.</t>
  </si>
  <si>
    <t>what is your goal?</t>
  </si>
  <si>
    <t>Technologies</t>
  </si>
  <si>
    <t>IS your CV is ready?</t>
  </si>
  <si>
    <t>Minimum Salary expected?</t>
  </si>
  <si>
    <t>Top 10 state to work?</t>
  </si>
  <si>
    <t>Do you have cover letter?</t>
  </si>
  <si>
    <t>Email Template to apply for job?</t>
  </si>
  <si>
    <t>How to do job search?</t>
  </si>
  <si>
    <t>Do you have social networking?</t>
  </si>
  <si>
    <t>personal branding</t>
  </si>
  <si>
    <t>websites: https://jsubramanian.branded.me/</t>
  </si>
  <si>
    <t>Resume Writing Tips</t>
  </si>
  <si>
    <t>Video Resumes</t>
  </si>
  <si>
    <t>how to send email messages when job searching</t>
  </si>
  <si>
    <t>Place where jobs will be posted?</t>
  </si>
  <si>
    <t>Jobs websites:</t>
  </si>
  <si>
    <t>dice.com, careerbuilder, flipdog, indeed</t>
  </si>
  <si>
    <t>What is the best time for interview?</t>
  </si>
  <si>
    <t>What is the hiring process of the company and in general?</t>
  </si>
  <si>
    <t>How to use social networking?</t>
  </si>
  <si>
    <t>When you need a new job?</t>
  </si>
  <si>
    <t>list of references</t>
  </si>
  <si>
    <t>SkypeId</t>
  </si>
  <si>
    <t>Voicemail</t>
  </si>
  <si>
    <t>Top HR / Management Questions</t>
  </si>
  <si>
    <t>What to do before interview?</t>
  </si>
  <si>
    <t>What to do before accepting any offer?</t>
  </si>
  <si>
    <t>How to maintain a BLOG?</t>
  </si>
  <si>
    <t>Reading habit</t>
  </si>
  <si>
    <t>English word pronounciation</t>
  </si>
  <si>
    <t>See english films/old tamil films</t>
  </si>
  <si>
    <t>challenges in previous roles / projects</t>
  </si>
  <si>
    <t>What is Green card processing</t>
  </si>
  <si>
    <t>Relocation policy?</t>
  </si>
  <si>
    <t>Thank you email for offer</t>
  </si>
  <si>
    <t>Thank you for arranging an interview.</t>
  </si>
  <si>
    <t>D.B.</t>
  </si>
  <si>
    <t>policy on layoff</t>
  </si>
  <si>
    <t>relocation policy</t>
  </si>
  <si>
    <t>bonus</t>
  </si>
  <si>
    <t>future opportunity</t>
  </si>
  <si>
    <t>business hours</t>
  </si>
  <si>
    <t>salary duration (monthly or bi-weekly)</t>
  </si>
  <si>
    <t>stability of project</t>
  </si>
  <si>
    <t>internal project?</t>
  </si>
  <si>
    <t>WPF</t>
  </si>
  <si>
    <t>MVVM</t>
  </si>
  <si>
    <t>Team Size</t>
  </si>
  <si>
    <t>Main Technologies</t>
  </si>
  <si>
    <t>when will I get my relocation reimbursement?</t>
  </si>
  <si>
    <t>green card processing policy?</t>
  </si>
  <si>
    <t>policy on certifications and learning reembursement.</t>
  </si>
  <si>
    <t>multi threading</t>
  </si>
  <si>
    <t>Resume preparations</t>
  </si>
  <si>
    <t>Offshore location and work timing?</t>
  </si>
  <si>
    <t>Meternity leave</t>
  </si>
  <si>
    <t>working hours</t>
  </si>
  <si>
    <t>H1B transfer will be  premium  ?</t>
  </si>
  <si>
    <t>How big the application is and team size</t>
  </si>
  <si>
    <t>what will be my role?</t>
  </si>
  <si>
    <t>definition for ideal candidate for this position?</t>
  </si>
  <si>
    <t>duration of each release/Deployment?</t>
  </si>
  <si>
    <t>what will be my first level challenge?</t>
  </si>
  <si>
    <t>offshore team size?</t>
  </si>
  <si>
    <t>where is current offshore team?</t>
  </si>
  <si>
    <t>what is onshore and offshore responsibilities?</t>
  </si>
  <si>
    <t>.NET 4</t>
  </si>
  <si>
    <t>C#</t>
  </si>
  <si>
    <t>who are all end user of the products (internal or external users)</t>
  </si>
  <si>
    <t>real time</t>
  </si>
  <si>
    <t>event driven</t>
  </si>
  <si>
    <t>design pattern</t>
  </si>
  <si>
    <t>UI design</t>
  </si>
  <si>
    <t>TDD</t>
  </si>
  <si>
    <t>automated acceptance testing</t>
  </si>
  <si>
    <t>code reviews</t>
  </si>
  <si>
    <t>when to provide production support?</t>
  </si>
  <si>
    <t>I need to travel to india during Fe or may 2016?</t>
  </si>
  <si>
    <t>performance tuning.</t>
  </si>
  <si>
    <t>Agile manner</t>
  </si>
  <si>
    <t>OOPS</t>
  </si>
  <si>
    <t>LINQ</t>
  </si>
  <si>
    <t>IOC</t>
  </si>
  <si>
    <t>TPL</t>
  </si>
  <si>
    <t>Rx</t>
  </si>
  <si>
    <t>Infragistics</t>
  </si>
  <si>
    <t>equity derivatives</t>
  </si>
  <si>
    <t>HR Question</t>
  </si>
  <si>
    <t>Management Questions</t>
  </si>
  <si>
    <t>.nET 4 new features</t>
  </si>
  <si>
    <t>What is the dress code?</t>
  </si>
  <si>
    <t>what is work timing?</t>
  </si>
  <si>
    <t>my value to the organization.</t>
  </si>
  <si>
    <t>as per my achievement history</t>
  </si>
  <si>
    <t>Wait and keep silent</t>
  </si>
  <si>
    <t>Its not a perfect time to negotiate</t>
  </si>
  <si>
    <t>Don’t accept offer immediately! Ask for time</t>
  </si>
  <si>
    <t>When will appraisal review will be happen each year, am I eligible for coming year?</t>
  </si>
  <si>
    <t>Asking for final offer in writing</t>
  </si>
  <si>
    <t>AZ</t>
  </si>
  <si>
    <t>NC</t>
  </si>
  <si>
    <t>2 week</t>
  </si>
  <si>
    <t>1 month</t>
  </si>
  <si>
    <t xml:space="preserve">I am thinkig like its too early to confirm on salary and I am very my impressed with company policy and benefits. So I would like to move ahead to submit my resume for the best position.
I would be be more happy if I get an offer for 110K. </t>
  </si>
  <si>
    <t>current Balance (4/17/2015)</t>
  </si>
  <si>
    <t xml:space="preserve">Credit Karma </t>
  </si>
  <si>
    <t>email</t>
  </si>
  <si>
    <t>Xoom</t>
  </si>
  <si>
    <t>2 weeks</t>
  </si>
  <si>
    <t>100k</t>
  </si>
  <si>
    <t>105k</t>
  </si>
  <si>
    <t>110k</t>
  </si>
  <si>
    <t>115k</t>
  </si>
  <si>
    <t>120k</t>
  </si>
  <si>
    <t>Deployment + ClickOnce</t>
  </si>
  <si>
    <t>Duetsche Bank</t>
  </si>
  <si>
    <t>Sogeti</t>
  </si>
  <si>
    <t>C#/.NET Developer</t>
  </si>
  <si>
    <t>Jacksonville</t>
  </si>
  <si>
    <t>Phoenix</t>
  </si>
  <si>
    <t>Bay Area</t>
  </si>
  <si>
    <t>New Jersey</t>
  </si>
  <si>
    <t>Atlanta</t>
  </si>
  <si>
    <t>Birmingham</t>
  </si>
  <si>
    <t>Charlotte</t>
  </si>
  <si>
    <t>Chicago</t>
  </si>
  <si>
    <t>Dallas</t>
  </si>
  <si>
    <t>Fort Worth</t>
  </si>
  <si>
    <t>Houston</t>
  </si>
  <si>
    <t>Minneapolis</t>
  </si>
  <si>
    <t>National</t>
  </si>
  <si>
    <t>Research Triangle Park</t>
  </si>
  <si>
    <t>Fibonacci without redundant calls</t>
  </si>
  <si>
    <t>Binary Search</t>
  </si>
  <si>
    <t>Bubble sort</t>
  </si>
  <si>
    <t>Specialist</t>
  </si>
  <si>
    <t>Multi Threading</t>
  </si>
  <si>
    <t>Memory Management</t>
  </si>
  <si>
    <t>Amex</t>
  </si>
  <si>
    <t>BOA</t>
  </si>
  <si>
    <t>Others</t>
  </si>
  <si>
    <t>ASP.NET</t>
  </si>
  <si>
    <t>SQL SERVER</t>
  </si>
  <si>
    <t>Design Patterns</t>
  </si>
  <si>
    <r>
      <rPr>
        <b/>
        <sz val="11"/>
        <color theme="1"/>
        <rFont val="Calibri"/>
        <family val="2"/>
        <scheme val="minor"/>
      </rPr>
      <t>1</t>
    </r>
    <r>
      <rPr>
        <sz val="11"/>
        <color theme="1"/>
        <rFont val="Calibri"/>
        <family val="2"/>
        <scheme val="minor"/>
      </rPr>
      <t>_23456</t>
    </r>
  </si>
  <si>
    <t>Boa</t>
  </si>
  <si>
    <t>jawahar1985</t>
  </si>
  <si>
    <r>
      <t>12345_</t>
    </r>
    <r>
      <rPr>
        <b/>
        <sz val="11"/>
        <color theme="1"/>
        <rFont val="Calibri"/>
        <family val="2"/>
        <scheme val="minor"/>
      </rPr>
      <t>6</t>
    </r>
  </si>
  <si>
    <t>Dial91</t>
  </si>
  <si>
    <t>Vonage</t>
  </si>
  <si>
    <t>GEICO</t>
  </si>
  <si>
    <t>AAA</t>
  </si>
  <si>
    <t>mobile no.</t>
  </si>
  <si>
    <r>
      <rPr>
        <b/>
        <sz val="11"/>
        <color theme="1"/>
        <rFont val="Calibri"/>
        <family val="2"/>
        <scheme val="minor"/>
      </rPr>
      <t>1</t>
    </r>
    <r>
      <rPr>
        <sz val="11"/>
        <color theme="1"/>
        <rFont val="Calibri"/>
        <family val="2"/>
        <scheme val="minor"/>
      </rPr>
      <t>23456</t>
    </r>
  </si>
  <si>
    <t>jawaharAPS</t>
  </si>
  <si>
    <t>BOA - 0851</t>
  </si>
  <si>
    <t>jawahar_Cox</t>
  </si>
  <si>
    <t>Dice.com</t>
  </si>
  <si>
    <t>CareerBuilder</t>
  </si>
  <si>
    <t>Indeed</t>
  </si>
  <si>
    <t>FlipDog</t>
  </si>
  <si>
    <t>LinkedIn</t>
  </si>
  <si>
    <t>Twitter</t>
  </si>
  <si>
    <t>StackOverflow</t>
  </si>
  <si>
    <t>Monster</t>
  </si>
  <si>
    <t>myvisajobs</t>
  </si>
  <si>
    <t>Rank</t>
  </si>
  <si>
    <t>Work State</t>
  </si>
  <si>
    <t>Number of LCA *</t>
  </si>
  <si>
    <t>Average Salary</t>
  </si>
  <si>
    <t>Massachusetts</t>
  </si>
  <si>
    <t>Pennsylvania</t>
  </si>
  <si>
    <t>Colorado</t>
  </si>
  <si>
    <t>Tennessee</t>
  </si>
  <si>
    <t>District of Columbia</t>
  </si>
  <si>
    <t>Iowa</t>
  </si>
  <si>
    <t>Kentucky</t>
  </si>
  <si>
    <t>New Hampshire</t>
  </si>
  <si>
    <t>Hawaii</t>
  </si>
  <si>
    <t>South Dakota</t>
  </si>
  <si>
    <t>Company websites</t>
  </si>
  <si>
    <t>Tweetmyjobs</t>
  </si>
  <si>
    <t>startuphire</t>
  </si>
  <si>
    <t>American Express</t>
  </si>
  <si>
    <t>Bank o America</t>
  </si>
  <si>
    <t>US Bank</t>
  </si>
  <si>
    <t>ViewState and Session</t>
  </si>
  <si>
    <t>SQL</t>
  </si>
  <si>
    <t>String Builder and String</t>
  </si>
  <si>
    <t>static and non static method?</t>
  </si>
  <si>
    <t>value type and reference type</t>
  </si>
  <si>
    <t>exe and dll</t>
  </si>
  <si>
    <t>GAC - Global Assembly Cache and what problem it solves?</t>
  </si>
  <si>
    <t>What is reflection?</t>
  </si>
  <si>
    <t>boxing and unboxing</t>
  </si>
  <si>
    <t>How is a strongly-named assembly different from one that isn’t strongly-named</t>
  </si>
  <si>
    <t>Partial class and its limitation</t>
  </si>
  <si>
    <t>managed code and unmanaged code</t>
  </si>
  <si>
    <t>String and string</t>
  </si>
  <si>
    <t>Covariance and contravariance in 4.0</t>
  </si>
  <si>
    <t>use of checked and unchecked keyword.</t>
  </si>
  <si>
    <t>Named Paremeter, Volatile and ParseTry.</t>
  </si>
  <si>
    <t>Extension Methods</t>
  </si>
  <si>
    <t>Serialization and deserialization</t>
  </si>
  <si>
    <t>TypeOf and GetType</t>
  </si>
  <si>
    <t>Yield keyword in C#</t>
  </si>
  <si>
    <t>Florida Blue</t>
  </si>
  <si>
    <t>volatile keyword</t>
  </si>
  <si>
    <t>cluster and non cluster index</t>
  </si>
  <si>
    <t>WCF</t>
  </si>
  <si>
    <t>AngularJS</t>
  </si>
  <si>
    <t>jQuery</t>
  </si>
  <si>
    <t>SQL Server</t>
  </si>
  <si>
    <t>Threading</t>
  </si>
  <si>
    <t>Entity Framework</t>
  </si>
  <si>
    <t>sql joins</t>
  </si>
  <si>
    <t>top nth salary of an employee</t>
  </si>
  <si>
    <t>Hashing</t>
  </si>
  <si>
    <t>SSIS</t>
  </si>
  <si>
    <t>MVC</t>
  </si>
  <si>
    <t>debug and release</t>
  </si>
  <si>
    <t>Optimistic and Pessimistic Locking</t>
  </si>
  <si>
    <t>checked and unchecked keyword</t>
  </si>
  <si>
    <t>Garbage Collection</t>
  </si>
  <si>
    <t>What is Thread Pool and How to create a thread pool</t>
  </si>
  <si>
    <t xml:space="preserve">maximum size of Thread pool and how many threads we can create using Thread Pool </t>
  </si>
  <si>
    <t>ways to create thread pool</t>
  </si>
  <si>
    <t>lock keywork (how it works)</t>
  </si>
  <si>
    <t>how - trace memory leak in an application</t>
  </si>
  <si>
    <t>struct and class?</t>
  </si>
  <si>
    <t>Observable Collection</t>
  </si>
  <si>
    <t>Routed Event</t>
  </si>
  <si>
    <t>Invoke and BeginInvoke</t>
  </si>
  <si>
    <t>Immutable object?</t>
  </si>
  <si>
    <t>background worker.</t>
  </si>
  <si>
    <t>concept of postback</t>
  </si>
  <si>
    <t>Response. Redirect and Server.Transfer</t>
  </si>
  <si>
    <t>Validation controls in ASP.NET</t>
  </si>
  <si>
    <t>ASP.NET MVC</t>
  </si>
  <si>
    <t>Explain MVC</t>
  </si>
  <si>
    <t>core feature of MVC</t>
  </si>
  <si>
    <t>ViewData, ViewBag, TempData</t>
  </si>
  <si>
    <t>Action Methods</t>
  </si>
  <si>
    <t>role of model</t>
  </si>
  <si>
    <t>Action Filters</t>
  </si>
  <si>
    <t>View Engine</t>
  </si>
  <si>
    <t>MVC5 new features</t>
  </si>
  <si>
    <t>D.F. Razor and ASP.NET Engine</t>
  </si>
  <si>
    <t>BootStrap in MVC5</t>
  </si>
  <si>
    <t>HTMLHelper</t>
  </si>
  <si>
    <t>Attribute Routing MVC5</t>
  </si>
  <si>
    <t>Apple One</t>
  </si>
  <si>
    <t>Razor View Engine</t>
  </si>
  <si>
    <t>Design Pattern</t>
  </si>
  <si>
    <t>Razor Engine</t>
  </si>
  <si>
    <t>What is Razor view engine?</t>
  </si>
  <si>
    <t>two popular asp.net mvc view engines</t>
  </si>
  <si>
    <t>file extension for Razore view engine files</t>
  </si>
  <si>
    <t>simple example of textbox</t>
  </si>
  <si>
    <t>HTML code will be produce by "@Html.TextBox("Name")"?</t>
  </si>
  <si>
    <t>difference between @Html.TextBox and @Html.TextBoxFor</t>
  </si>
  <si>
    <t>TextBoxFor input extension is first time introduce in which MVC version</t>
  </si>
  <si>
    <t>What is the syntax for server side comment in razor view</t>
  </si>
  <si>
    <t>How to add Namespaces in Razor view engine</t>
  </si>
  <si>
    <t>persistence mechanism in MVC - 
ViewData, ViewBag, TempData,
Session, QueryString, hidden field, request.From</t>
  </si>
  <si>
    <t>Tips to get full time job in USA with H1B Visa?</t>
  </si>
  <si>
    <t>market value for 8 yrs exp .NET resource.</t>
  </si>
  <si>
    <t>any possibility from 85 to 120K with same Cost of living area?</t>
  </si>
  <si>
    <t>any negotiation tactics r psycology behind it?</t>
  </si>
  <si>
    <t>State where we have lot of opportunities?</t>
  </si>
  <si>
    <t>WPF or ASP.NET or any other technology for future?</t>
  </si>
  <si>
    <t>Monster/Dice like website - is it really usefule?</t>
  </si>
  <si>
    <t>applying through company website?</t>
  </si>
  <si>
    <t>session state mode - InProc(w3wp.exe)
State Server (ASO.NET State Services)
SQL Server (aspnet_regSQL)</t>
  </si>
  <si>
    <t>Handler and modules</t>
  </si>
  <si>
    <t>BOA Debit</t>
  </si>
  <si>
    <t>Security in WCF</t>
  </si>
  <si>
    <t>primary key and unique key?</t>
  </si>
  <si>
    <t>increase the performanc of poor stored proc/query?</t>
  </si>
  <si>
    <t>WHERE and HAVING Clause.</t>
  </si>
  <si>
    <t>delete, truncate  and drop?</t>
  </si>
  <si>
    <t>DDL and DML?</t>
  </si>
  <si>
    <t>Normalization and its types?</t>
  </si>
  <si>
    <t>Keys - primary, Foreign, Unique, Composite</t>
  </si>
  <si>
    <t>Views, Materialized Views - adv and disadv of views.</t>
  </si>
  <si>
    <t>Stored proc and its advantages?</t>
  </si>
  <si>
    <t>Trigger?</t>
  </si>
  <si>
    <t>like keyword used in where clause?</t>
  </si>
  <si>
    <t>SQL Injection?</t>
  </si>
  <si>
    <t>Query to display current date?</t>
  </si>
  <si>
    <t>query to remove duplicate records in result?</t>
  </si>
  <si>
    <t>names of employee starts with 's'?</t>
  </si>
  <si>
    <t>SQL to drop foreig key on Employee Table?</t>
  </si>
  <si>
    <t>How web works?</t>
  </si>
  <si>
    <t>Diff between asmx web service and WCF.</t>
  </si>
  <si>
    <t>ways of hosting WCF</t>
  </si>
  <si>
    <t>DataContract serializer and how it differ from XMLSerializer?</t>
  </si>
  <si>
    <t>How can we use MessageContract partially with data contract for a service operation in WCF?</t>
  </si>
  <si>
    <t>endpoint - (ABC - Address, Binding, Contract)</t>
  </si>
  <si>
    <t>WCf Fault Exception?</t>
  </si>
  <si>
    <t>IEnnumerable and Ienumerator</t>
  </si>
  <si>
    <t>advantage of MVC?</t>
  </si>
  <si>
    <t>Binding and its types</t>
  </si>
  <si>
    <t>BMO</t>
  </si>
  <si>
    <t>jeya1984, One23456</t>
  </si>
  <si>
    <t>Data Structure</t>
  </si>
  <si>
    <t>ArrayList and List</t>
  </si>
  <si>
    <t>Linked List</t>
  </si>
  <si>
    <t>Ienumerable&lt;&gt;, Iquerable&lt;&gt;, Ilist&lt;&gt;</t>
  </si>
  <si>
    <t>Ienumerable, Icomparable, Icomparer</t>
  </si>
  <si>
    <t>SortedList, SortSet</t>
  </si>
  <si>
    <t xml:space="preserve"> Array and ArrayList</t>
  </si>
  <si>
    <t>Stack (LIFO)</t>
  </si>
  <si>
    <t>Queue (FIFO)</t>
  </si>
  <si>
    <t>Dictionary</t>
  </si>
  <si>
    <t xml:space="preserve"> diff betw hasttable and dictionary</t>
  </si>
  <si>
    <t>HasheTable</t>
  </si>
  <si>
    <t>data contratct and message contract</t>
  </si>
  <si>
    <t>why do you use message contract in WCF? - provide more control over soap message eg:  sending user credential</t>
  </si>
  <si>
    <t>why do you need to pass credential in header, can't we pass it as parameter? - credential is for service level and not doing anything with method.</t>
  </si>
  <si>
    <t>soap xml and if we send in xml, how can we protect that data? -- using message contract, we can sign and encrypt message. Use protection level named parameter.</t>
  </si>
  <si>
    <t>What is WCF and why we need this?</t>
  </si>
  <si>
    <t>can we have multiple endpoint for different binding for different client? - Yes</t>
  </si>
  <si>
    <t>message patterns support by WCF - one way, request-reply, Duplex</t>
  </si>
  <si>
    <t>standard binding to replace asmx web service? - BasicHttpBinding</t>
  </si>
  <si>
    <t>Data Structures</t>
  </si>
  <si>
    <t>BootStrap</t>
  </si>
  <si>
    <t>Basic Algorithms</t>
  </si>
  <si>
    <t xml:space="preserve">Multi Threading </t>
  </si>
  <si>
    <t>dependency Property</t>
  </si>
  <si>
    <t>Attached Event</t>
  </si>
  <si>
    <t>Attached Property</t>
  </si>
  <si>
    <t>what is wpf?</t>
  </si>
  <si>
    <t>how to create a message box using MVVM</t>
  </si>
  <si>
    <t>Error Handling</t>
  </si>
  <si>
    <t xml:space="preserve">Icomparable (our class can implement ToCompare) and Icomparer - Need to write custom class to implement CompareTo </t>
  </si>
  <si>
    <t>School</t>
  </si>
  <si>
    <t>Office</t>
  </si>
  <si>
    <t>Current Owe</t>
  </si>
  <si>
    <t>async and await in C#</t>
  </si>
  <si>
    <t>use of private constructor in C#</t>
  </si>
  <si>
    <t>C# indexer - Simplify the way we access the collection from class!</t>
  </si>
  <si>
    <t>when to use dictionary over list?</t>
  </si>
  <si>
    <t>can we implement interface same method?</t>
  </si>
  <si>
    <t>use of params keyword - to create dynamic input parameters.</t>
  </si>
  <si>
    <t>Dependency Injection</t>
  </si>
  <si>
    <t>IOC Container</t>
  </si>
  <si>
    <t>Different types of collection in C# - index based, key/value pair, prioritiized and specialized</t>
  </si>
  <si>
    <t>Tools</t>
  </si>
  <si>
    <t>Log4Net</t>
  </si>
  <si>
    <t>Enums in C#, why and what is the use?</t>
  </si>
  <si>
    <t>What are Generics and What are Generics Collection</t>
  </si>
  <si>
    <t>Can we overload MVC Action? - By ActionName Attribute</t>
  </si>
  <si>
    <t>Model and strongly types views?</t>
  </si>
  <si>
    <t>Model Binders</t>
  </si>
  <si>
    <t>TempDate , Peek and Keep?</t>
  </si>
  <si>
    <t>data Annotation and HTML Helper classes?</t>
  </si>
  <si>
    <t>need of viewModel in MVC?</t>
  </si>
  <si>
    <t>can we use Entity Framework in MVC?</t>
  </si>
  <si>
    <t>How to implement viewmodel, PartialView and webgrid?</t>
  </si>
  <si>
    <t>im plement Ajax using JSON and jQuery using MVC?</t>
  </si>
  <si>
    <t>use of Async Controllers in MVC?</t>
  </si>
  <si>
    <t>How to deploy MVC App in IIS?</t>
  </si>
  <si>
    <t>windows and forms authentication in MVC?</t>
  </si>
  <si>
    <t>MVC Areas for better modular development?</t>
  </si>
  <si>
    <t>Implement MVC in Angular?</t>
  </si>
  <si>
    <t>what problem does delegate solve? -- 
Callback and communicate between 2 types/objects
Decoupling btw business object and UI</t>
  </si>
  <si>
    <t>Types of Action Result?</t>
  </si>
  <si>
    <t>Client Framework</t>
  </si>
  <si>
    <t>Angular</t>
  </si>
  <si>
    <t>node</t>
  </si>
  <si>
    <t>KnockOut</t>
  </si>
  <si>
    <t>what is interface and wts diff btw interface and class?</t>
  </si>
  <si>
    <t>VS LightSwitch</t>
  </si>
  <si>
    <t>Threading Qs</t>
  </si>
  <si>
    <t>How IIS Works</t>
  </si>
  <si>
    <t>Global.asax - Application Level State</t>
  </si>
  <si>
    <t>,NET</t>
  </si>
  <si>
    <t>.Net Architecture</t>
  </si>
  <si>
    <t>Interview Startup Qs:</t>
  </si>
  <si>
    <t>Role in your current project (Refer .NET Mock Interview)</t>
  </si>
  <si>
    <t>Explain on your project</t>
  </si>
  <si>
    <t>Authentication Types - Windows, Forms and passport</t>
  </si>
  <si>
    <t>skill matrix</t>
  </si>
  <si>
    <t>Any question? After interview</t>
  </si>
  <si>
    <t>Bad and good boss</t>
  </si>
  <si>
    <t>Bad and good project</t>
  </si>
  <si>
    <t>how will you study project without any documents</t>
  </si>
  <si>
    <t>What is Nhibernate</t>
  </si>
  <si>
    <t>How will you get work from others</t>
  </si>
  <si>
    <t>big file operations?</t>
  </si>
  <si>
    <t>OOPS Concepts and real time example</t>
  </si>
  <si>
    <t>reason for leaving</t>
  </si>
  <si>
    <t>Expected Salary?</t>
  </si>
  <si>
    <t>what is asynchronous operation</t>
  </si>
  <si>
    <t>MVC Versions and features</t>
  </si>
  <si>
    <t>Dependency and normal Property</t>
  </si>
  <si>
    <t>Binding ViewModel to View</t>
  </si>
  <si>
    <t>Style and Content Template</t>
  </si>
  <si>
    <t>services?</t>
  </si>
  <si>
    <t>angular expression?</t>
  </si>
  <si>
    <t>D.Btw Angular expression and javascript expression?</t>
  </si>
  <si>
    <t>advantages?</t>
  </si>
  <si>
    <t>data binding?</t>
  </si>
  <si>
    <t>what makes its better?</t>
  </si>
  <si>
    <t>string interpolation?</t>
  </si>
  <si>
    <t>compilation process of HTML happens? When?</t>
  </si>
  <si>
    <t>linking functions and its types?</t>
  </si>
  <si>
    <t>factory method in Angular?</t>
  </si>
  <si>
    <t>styling form that ngModel adds to CSS Classes?</t>
  </si>
  <si>
    <t>characteristics of 'Scope'</t>
  </si>
  <si>
    <t xml:space="preserve">What is your biggest weakness? </t>
  </si>
  <si>
    <t xml:space="preserve">Tell us about a time you and a coworker had a disagreement and how was it resolved?   </t>
  </si>
  <si>
    <t xml:space="preserve">generic questions on C#, OO programming, Database Tuning.  </t>
  </si>
  <si>
    <t xml:space="preserve">Questions were pretty generic to an interview. There were a couple of SQL questions I didn't know the answer to, but my background is not in databases.  </t>
  </si>
  <si>
    <t xml:space="preserve">Why should I hire you?   </t>
  </si>
  <si>
    <t>Easy 3 round interview process. 1 - HR round with salary discussion and expectations. 2 - Technical Resume review with a Manager. 3 - Onsite meeting with managers and director.</t>
  </si>
  <si>
    <t xml:space="preserve">What can you bring with you to this position that others can't?   </t>
  </si>
  <si>
    <t xml:space="preserve">What do you know about the company?   </t>
  </si>
  <si>
    <t xml:space="preserve">Nothing super difficult. The hiring manager did a very deep dive into my experience to find what I had done before. He studied my resume carefully </t>
  </si>
  <si>
    <t>Negotiated with the HR representative. I rejected the first offer and they came back with a little more the second time.</t>
  </si>
  <si>
    <t xml:space="preserve">Can you describe what a cross-site scripting attack is attacking or taking advantage of?  </t>
  </si>
  <si>
    <t xml:space="preserve">What was the hardest thing you've ever Done?  </t>
  </si>
  <si>
    <t>Explain why you would be a good fit for this position?   - Skils and exp, key resource, not only bg and people skill, passionalte about industry</t>
  </si>
  <si>
    <t>How many 12"x 12" soccer balls do you think you could fit in this room?   --&gt; 10X10X10 room =&gt; 1000 ball =&gt; 10" = 0.83 ft =&gt; no of balls = 1000/0.83 ~ 1200</t>
  </si>
  <si>
    <t>EWS</t>
  </si>
  <si>
    <t>Trizetto</t>
  </si>
  <si>
    <t>Apartment</t>
  </si>
  <si>
    <t>Salary</t>
  </si>
  <si>
    <t>Loan</t>
  </si>
  <si>
    <t>Grocery</t>
  </si>
  <si>
    <t>india</t>
  </si>
  <si>
    <t>insurance</t>
  </si>
  <si>
    <t>State looking for</t>
  </si>
  <si>
    <t>North Carolia</t>
  </si>
  <si>
    <t>Company to work</t>
  </si>
  <si>
    <t>Google</t>
  </si>
  <si>
    <t>Microsoft</t>
  </si>
  <si>
    <t>Amazon</t>
  </si>
  <si>
    <t>ultimate software</t>
  </si>
  <si>
    <t>Facebook</t>
  </si>
  <si>
    <t>twitter</t>
  </si>
  <si>
    <t>dropbox</t>
  </si>
  <si>
    <t>shutterfly</t>
  </si>
  <si>
    <t>directives and some example</t>
  </si>
  <si>
    <t>Algorithms</t>
  </si>
  <si>
    <t>B-Tree</t>
  </si>
  <si>
    <t>scope? $scope and $rootScope?</t>
  </si>
  <si>
    <t>what routes does? Routing?</t>
  </si>
  <si>
    <t>key features? Data Binding, DI, Directives, 
Filter, Routing, Deep Linking</t>
  </si>
  <si>
    <t>Graph Theory</t>
  </si>
  <si>
    <t>Tree Theory</t>
  </si>
  <si>
    <t>Topological Sort (node don't have input then continue the same...)</t>
  </si>
  <si>
    <t>Resume Preparation</t>
  </si>
  <si>
    <t>Attend as many as interview</t>
  </si>
  <si>
    <t>preparing interview questions</t>
  </si>
  <si>
    <t>preparing behavioural questions</t>
  </si>
  <si>
    <t>work out on hackerRanks (Data Structures and string patterns)</t>
  </si>
  <si>
    <t>Talk with friends for Referral</t>
  </si>
  <si>
    <t>List of companies to apply</t>
  </si>
  <si>
    <t>Apply for jobs</t>
  </si>
  <si>
    <t>Capital</t>
  </si>
  <si>
    <t>Charleston</t>
  </si>
  <si>
    <t>Low Temp</t>
  </si>
  <si>
    <t>High Temp</t>
  </si>
  <si>
    <t>26-42</t>
  </si>
  <si>
    <t>66-85</t>
  </si>
  <si>
    <t>Richmond</t>
  </si>
  <si>
    <t>28 - 47</t>
  </si>
  <si>
    <t>69 - 90</t>
  </si>
  <si>
    <t>29-44</t>
  </si>
  <si>
    <t>72 - 90</t>
  </si>
  <si>
    <t>annapolis</t>
  </si>
  <si>
    <t>phoenix</t>
  </si>
  <si>
    <t>45 - 66</t>
  </si>
  <si>
    <t>84-106</t>
  </si>
  <si>
    <t>Raleigh</t>
  </si>
  <si>
    <t>30-51</t>
  </si>
  <si>
    <t>69-90</t>
  </si>
  <si>
    <t>34 - 52</t>
  </si>
  <si>
    <t>71-89</t>
  </si>
  <si>
    <t>421-5161212-020</t>
  </si>
  <si>
    <t>SRP</t>
  </si>
  <si>
    <t>gas</t>
  </si>
  <si>
    <t>car loan</t>
  </si>
  <si>
    <t>acc</t>
  </si>
  <si>
    <t>swim</t>
  </si>
  <si>
    <t>SouthWest Gas</t>
  </si>
  <si>
    <t>Water</t>
  </si>
  <si>
    <t>State Tax</t>
  </si>
  <si>
    <t>Medicare Tax</t>
  </si>
  <si>
    <t>Social Security Tax</t>
  </si>
  <si>
    <t>e bay</t>
  </si>
  <si>
    <t>currently looking ofr:</t>
  </si>
  <si>
    <t>Cisco - Tennensee</t>
  </si>
  <si>
    <t>Masy's</t>
  </si>
  <si>
    <t>Barani</t>
  </si>
  <si>
    <t>Mitchell</t>
  </si>
  <si>
    <t>month</t>
  </si>
  <si>
    <t>avg</t>
  </si>
  <si>
    <t>car</t>
  </si>
  <si>
    <t>Bank Rate</t>
  </si>
  <si>
    <t>Sperling best place</t>
  </si>
  <si>
    <t>cnn money</t>
  </si>
  <si>
    <t>numbeo</t>
  </si>
  <si>
    <t>pay scale</t>
  </si>
  <si>
    <t>nerd wallet</t>
  </si>
  <si>
    <t>biweekly salary</t>
  </si>
  <si>
    <t>No. of weeks</t>
  </si>
  <si>
    <t>yearly salaery</t>
  </si>
  <si>
    <t>state tax</t>
  </si>
  <si>
    <t>monthly</t>
  </si>
  <si>
    <t>Savings</t>
  </si>
  <si>
    <t>CA</t>
  </si>
  <si>
    <t>125K</t>
  </si>
  <si>
    <t>130K</t>
  </si>
  <si>
    <t>135K</t>
  </si>
  <si>
    <t>140K</t>
  </si>
  <si>
    <t>145K</t>
  </si>
  <si>
    <t>150K</t>
  </si>
  <si>
    <t>155K</t>
  </si>
  <si>
    <t>160k</t>
  </si>
  <si>
    <t>160K</t>
  </si>
  <si>
    <t>% Calc</t>
  </si>
  <si>
    <t>cts id</t>
  </si>
  <si>
    <t>self portal</t>
  </si>
  <si>
    <t xml:space="preserve">ABN-PS-AP5201.dev.trizetto.com. </t>
  </si>
  <si>
    <t xml:space="preserve"> 
FYI here’s the URL: https://abx-dev-vcac-01.dev.trizetto.com/vcac/org/tzdev
And please use this format for your username: First.Last@Dev.TriZetto.Com
</t>
  </si>
  <si>
    <t xml:space="preserve">I hope you are having a great day.
ARE YOU STILL LOOKING FOR A sr. sw engg over at trizetto?
</t>
  </si>
  <si>
    <t xml:space="preserve">CBS </t>
  </si>
  <si>
    <t>ADP</t>
  </si>
  <si>
    <t>LexisNexis - Alpharetta, GA</t>
  </si>
  <si>
    <t>Credigy</t>
  </si>
  <si>
    <t>Looking Glass</t>
  </si>
  <si>
    <t>SkyePOint</t>
  </si>
  <si>
    <t xml:space="preserve">GE - </t>
  </si>
  <si>
    <t>Sr Software Engineer (C# / ASP.NET), 2253815</t>
  </si>
  <si>
    <t>Tek Systems</t>
  </si>
  <si>
    <t>EVOQ Medical, Inc.</t>
  </si>
  <si>
    <t>Tell a genuine reason</t>
  </si>
  <si>
    <t>employment letter</t>
  </si>
  <si>
    <t>pay stubs</t>
  </si>
  <si>
    <t>bank letter</t>
  </si>
  <si>
    <t>must be less than 6 months old</t>
  </si>
  <si>
    <t>Form I-134</t>
  </si>
  <si>
    <t>Affidavit of Support Form</t>
  </si>
  <si>
    <t>Jawa's</t>
  </si>
  <si>
    <t>Birth Certificate</t>
  </si>
  <si>
    <t>Photocopy of all passport pages</t>
  </si>
  <si>
    <t>I-797</t>
  </si>
  <si>
    <t>VISA</t>
  </si>
  <si>
    <t>For Spouse Parents</t>
  </si>
  <si>
    <t>Marriage certificate</t>
  </si>
  <si>
    <t>all pages of priya passport</t>
  </si>
  <si>
    <t>Amex1</t>
  </si>
  <si>
    <t>Amex2</t>
  </si>
  <si>
    <t>Southwest gas</t>
  </si>
  <si>
    <t>Rent</t>
  </si>
  <si>
    <t>Cox</t>
  </si>
  <si>
    <t>Diff Date</t>
  </si>
  <si>
    <t>date</t>
  </si>
  <si>
    <t>vonage</t>
  </si>
  <si>
    <t>Column1</t>
  </si>
  <si>
    <t>BOA-Debit</t>
  </si>
  <si>
    <t>BOA - Debit</t>
  </si>
  <si>
    <t>DCU - Debit</t>
  </si>
  <si>
    <t>CC</t>
  </si>
  <si>
    <t>Column2</t>
  </si>
  <si>
    <t>http://www.path2usa.com/visitor-visa-guide/photograph-requirements</t>
  </si>
  <si>
    <t>Photo</t>
  </si>
  <si>
    <t>VISA Application</t>
  </si>
  <si>
    <t>Passport</t>
  </si>
  <si>
    <t>father details</t>
  </si>
  <si>
    <t>mother details</t>
  </si>
  <si>
    <t>Appa Details (including Birth date)</t>
  </si>
  <si>
    <t>yout education detaisl</t>
  </si>
  <si>
    <t>passport</t>
  </si>
  <si>
    <t>AA005K4WTC - 1954 - SUBRAMA - MOTHER</t>
  </si>
  <si>
    <t> 09/11/2015</t>
  </si>
  <si>
    <t>Collapse transaction for Transaction date: 09/11/2015PHYSICIANS BILLING SOLUTI800-8339986 FL</t>
  </si>
  <si>
    <t>Transaction date:</t>
  </si>
  <si>
    <t>Card type:</t>
  </si>
  <si>
    <t>Visa</t>
  </si>
  <si>
    <t>Transaction type:</t>
  </si>
  <si>
    <t>Purchases</t>
  </si>
  <si>
    <t>Merchant description:</t>
  </si>
  <si>
    <t>MEDICAL SERVICES &amp; HEALTH PRACTITIONERS NOT E</t>
  </si>
  <si>
    <t>Merchant information:</t>
  </si>
  <si>
    <t>800-8339986 , FL</t>
  </si>
  <si>
    <t>Offer ID:</t>
  </si>
  <si>
    <t>D6936FY4Z</t>
  </si>
  <si>
    <t>Reference number:</t>
  </si>
  <si>
    <t>Type Purchases</t>
  </si>
  <si>
    <t>savings</t>
  </si>
  <si>
    <t>1. DS_160 Visa Confirmation page.</t>
  </si>
  <si>
    <t>2. Visa appointment final confirmation page.</t>
  </si>
  <si>
    <t>3. Original passports.</t>
  </si>
  <si>
    <t>4. Two Passport photographs. Not required jst as backup</t>
  </si>
  <si>
    <t>5. Copy of DS-160 all pages.</t>
  </si>
  <si>
    <t>6. Bank application paid fee receipt.</t>
  </si>
  <si>
    <t>7. I134 - Invitation Affidavit.</t>
  </si>
  <si>
    <t>8. Invitation letter- sample attached herewith.</t>
  </si>
  <si>
    <t>9. Visa Sponsoring persons full passports (new and old- if multiple passports)</t>
  </si>
  <si>
    <t>10. Employment verification letter.</t>
  </si>
  <si>
    <t>11. Bank account verification letter showing funds in account.</t>
  </si>
  <si>
    <t>12. Letter to Consulate- sample attached herewith.</t>
  </si>
  <si>
    <t>13. All W2 US Tax returns.</t>
  </si>
  <si>
    <t>14. All I797 Approvals.</t>
  </si>
  <si>
    <t>15. I140 approvals if any.</t>
  </si>
  <si>
    <t>16. Visa sponsors recent 4 payslips.</t>
  </si>
  <si>
    <t>17. Dependants indian bank account passbooks, pan card, adhar card</t>
  </si>
  <si>
    <t>18. Audited property stamp paper if any property on parents names.</t>
  </si>
  <si>
    <t>19 . Visa Sponsors birth certificate, education qualification copies.</t>
  </si>
  <si>
    <t xml:space="preserve">20. Visa Sponsors I-94. </t>
  </si>
  <si>
    <t>travel insurance</t>
  </si>
  <si>
    <t>Me</t>
  </si>
  <si>
    <t>Arun Bro</t>
  </si>
  <si>
    <t>Dhanabal</t>
  </si>
  <si>
    <t>Rupesh</t>
  </si>
  <si>
    <t>Appa Death Certificate</t>
  </si>
  <si>
    <t>Flight and Train Tickets</t>
  </si>
  <si>
    <t>tax return</t>
  </si>
  <si>
    <t>AMEX 2</t>
  </si>
  <si>
    <t>Banner Health</t>
  </si>
  <si>
    <t>Car Loan</t>
  </si>
  <si>
    <t>DCU Loan</t>
  </si>
  <si>
    <t>net flix</t>
  </si>
  <si>
    <t>Column3</t>
  </si>
  <si>
    <t>DCU 1</t>
  </si>
  <si>
    <t>DCU 2</t>
  </si>
  <si>
    <t>DCU 3</t>
  </si>
  <si>
    <t>Boa 5011</t>
  </si>
  <si>
    <t>current</t>
  </si>
  <si>
    <t xml:space="preserve">JSubramanian7@Cognizant </t>
  </si>
  <si>
    <t>SWIM</t>
  </si>
  <si>
    <t>UBER</t>
  </si>
  <si>
    <t>8610</t>
  </si>
  <si>
    <t>dial 91</t>
  </si>
  <si>
    <t>Apple pay</t>
  </si>
  <si>
    <t>Limit</t>
  </si>
  <si>
    <t>geico</t>
  </si>
  <si>
    <t>Boa 9070</t>
  </si>
  <si>
    <t>Boa  8610</t>
  </si>
  <si>
    <t>channel live - roku device</t>
  </si>
  <si>
    <t>amazon return?</t>
  </si>
  <si>
    <t>amazon - installment details?</t>
  </si>
  <si>
    <t>amma insurance?</t>
  </si>
  <si>
    <t>Metexim Skilled Certificate</t>
  </si>
  <si>
    <t>Redim Skilled Certificate</t>
  </si>
  <si>
    <t>tax adjustment - state and feeral</t>
  </si>
  <si>
    <t>shahana and vanitha VISA</t>
  </si>
  <si>
    <t>Machan Doc. Send</t>
  </si>
  <si>
    <t>Client Rate</t>
  </si>
  <si>
    <t>My %</t>
  </si>
  <si>
    <t>By Hand</t>
  </si>
  <si>
    <r>
      <t>Change - Gold Medal Swim and</t>
    </r>
    <r>
      <rPr>
        <sz val="11"/>
        <color rgb="FF92D050"/>
        <rFont val="Calibri"/>
        <family val="2"/>
        <scheme val="minor"/>
      </rPr>
      <t xml:space="preserve"> Scholl pay method</t>
    </r>
  </si>
  <si>
    <t>apartment lease close? -- May 6 2016</t>
  </si>
  <si>
    <t>Talk with Suresh EWS, Ramesh bro</t>
  </si>
  <si>
    <t xml:space="preserve">Username – subramaj
Password – 4N"NbF"q
</t>
  </si>
  <si>
    <t>BOA 1</t>
  </si>
  <si>
    <t>BOA 2</t>
  </si>
  <si>
    <t>BOA 3</t>
  </si>
  <si>
    <t>DCU CC</t>
  </si>
  <si>
    <t>Instrumentation - Ability to monitor an application 
       Debugging  - in Dev
        Tracing - in Prod.</t>
  </si>
  <si>
    <t>How can we achieve operator overloading while exposing WCF Services?</t>
  </si>
  <si>
    <t>XXXXXXXXXXXX8809</t>
  </si>
  <si>
    <t>16 months</t>
  </si>
  <si>
    <t xml:space="preserve">PROGRESSIVE MED ASS 480-374-7355 AZ </t>
  </si>
  <si>
    <t>Ahwatukee</t>
  </si>
  <si>
    <t>Total: 177</t>
  </si>
  <si>
    <t>(750$)</t>
  </si>
  <si>
    <t>0851 (CHECKING)</t>
  </si>
  <si>
    <t>Balance</t>
  </si>
  <si>
    <t>Usage %</t>
  </si>
  <si>
    <t>CHECKING</t>
  </si>
  <si>
    <t>144(PERSONAL)</t>
  </si>
  <si>
    <t>APR%</t>
  </si>
  <si>
    <t>143 (VEHICLE)</t>
  </si>
  <si>
    <t>Total Balance</t>
  </si>
  <si>
    <t>Total Limit</t>
  </si>
  <si>
    <t>BT</t>
  </si>
  <si>
    <t>where to put/place jquery files in mvc project?</t>
  </si>
  <si>
    <t>jquery</t>
  </si>
  <si>
    <t>what is module content?</t>
  </si>
  <si>
    <t>how to call controller from UI?</t>
  </si>
  <si>
    <t>layout in MVC?</t>
  </si>
  <si>
    <t>any  concepts in mvc?</t>
  </si>
  <si>
    <t>Angular JS Developer(Job Number: 00018400211)</t>
  </si>
  <si>
    <t>Bootstrab</t>
  </si>
  <si>
    <t>what is twitter bootstrap</t>
  </si>
  <si>
    <t>Instance modes in WCF -&gt; PerCall, PerSession, Single</t>
  </si>
  <si>
    <t>modes of security in WCF?  - message and transport
Diff btw transport and message level security? - 
Transport (point to point channel security)
Message (end to end channel security)</t>
  </si>
  <si>
    <t>Types of contract --&gt; Service, Operation, Data,  Message, Fault</t>
  </si>
  <si>
    <t>How to manage automatic update of WCF service? - Pre Build Script + svcutil.exe
How to make changes to wcf service without breaking clients</t>
  </si>
  <si>
    <t>Core Components of WCF  Service Class, Hosting environment and EndPoint</t>
  </si>
  <si>
    <t>Trizetto ID</t>
  </si>
  <si>
    <t>Flight</t>
  </si>
  <si>
    <t>Car</t>
  </si>
  <si>
    <t>hotel</t>
  </si>
  <si>
    <t>boa 1</t>
  </si>
  <si>
    <t>boa 2</t>
  </si>
  <si>
    <t>boa 3</t>
  </si>
  <si>
    <t>Acc</t>
  </si>
  <si>
    <t>pay off amount</t>
  </si>
  <si>
    <t xml:space="preserve">balance </t>
  </si>
  <si>
    <t>on 6/19</t>
  </si>
  <si>
    <t>Payment 1</t>
  </si>
  <si>
    <t>Payment 2</t>
  </si>
  <si>
    <t>Payment 3</t>
  </si>
  <si>
    <t>Payment 4</t>
  </si>
  <si>
    <t>Payment 5</t>
  </si>
  <si>
    <t>Payment 6</t>
  </si>
  <si>
    <t>Payment 7</t>
  </si>
  <si>
    <t>Payment 8</t>
  </si>
  <si>
    <t>Payment 9</t>
  </si>
  <si>
    <t>Payment 10</t>
  </si>
  <si>
    <t>Payment 11</t>
  </si>
  <si>
    <t>Payment 12</t>
  </si>
  <si>
    <t>Payment 13</t>
  </si>
  <si>
    <t>Payment 14</t>
  </si>
  <si>
    <t>Payment 15</t>
  </si>
  <si>
    <t>Payment 16</t>
  </si>
  <si>
    <t>Payment 17</t>
  </si>
  <si>
    <t>Payment 18</t>
  </si>
  <si>
    <t>Payment 19</t>
  </si>
  <si>
    <t>Payment 20</t>
  </si>
  <si>
    <t>Payment 21</t>
  </si>
  <si>
    <t>Payment 22</t>
  </si>
  <si>
    <t>Payment 23</t>
  </si>
  <si>
    <t>Payment 24</t>
  </si>
  <si>
    <t>Payment 25</t>
  </si>
  <si>
    <t>Payment 26</t>
  </si>
  <si>
    <t>Payment 27</t>
  </si>
  <si>
    <t>Payment 28</t>
  </si>
  <si>
    <t>Payment 29</t>
  </si>
  <si>
    <t>Payment 30</t>
  </si>
  <si>
    <t>Payment 31</t>
  </si>
  <si>
    <t>Payment 32</t>
  </si>
  <si>
    <t>Payment 33</t>
  </si>
  <si>
    <t>Payment 34</t>
  </si>
  <si>
    <t>Payment 35</t>
  </si>
  <si>
    <t>Payment 36</t>
  </si>
  <si>
    <t>Grand Total</t>
  </si>
  <si>
    <t>1762 Walker Ave, Union, NJ 07083</t>
  </si>
  <si>
    <t>Mill Run at union</t>
  </si>
  <si>
    <t>http://www.apartmentguide.com/apartments/New-Jersey/Union/#_</t>
  </si>
  <si>
    <t>https://newjersey.craigslist.org/apa/5629303793.html</t>
  </si>
  <si>
    <t>https://newjersey.craigslist.org/apa/5615291210.html</t>
  </si>
  <si>
    <t>Phoenix to NJ</t>
  </si>
  <si>
    <t>http://www.roadtripamerica.com/forum/archive/index.php?t-24288.html</t>
  </si>
  <si>
    <t>Personal Loan</t>
  </si>
  <si>
    <t>Total Credit Balance</t>
  </si>
  <si>
    <t>https://newjersey.craigslist.org/apa/5624892812.html</t>
  </si>
  <si>
    <t>Atlanta, Georgia</t>
  </si>
  <si>
    <t>http://www.jobs.net/jobs/booz-allen-hamilton/en-us/job/United-States/NET-Software-Engineer-Senior/J3K6916RQYYTRTL93NX/</t>
  </si>
  <si>
    <t xml:space="preserve">SQL </t>
  </si>
  <si>
    <t xml:space="preserve">Web application development </t>
  </si>
  <si>
    <t xml:space="preserve">ASP.NET, MVC, or Web forms development </t>
  </si>
  <si>
    <t xml:space="preserve">Visual Studio 2015 and 2013, SQL Server Management Studio 2012, and Team Foundation Server 2013 and 2012 </t>
  </si>
  <si>
    <t xml:space="preserve">JavaScript, including jQuery, jQuery UI, AngularJS, NodeJS, and Entity Framework </t>
  </si>
  <si>
    <t>Agile development </t>
  </si>
  <si>
    <t xml:space="preserve">HTML5, CSS3, EPLC , ReSharper, NUnit, NLog, and JSON </t>
  </si>
  <si>
    <t>https://newjersey.craigslist.org/apa/5657019206.html</t>
  </si>
  <si>
    <t>triwiki</t>
  </si>
  <si>
    <t>GOTO Meeting</t>
  </si>
  <si>
    <t>Timesheet - ORACLE</t>
  </si>
  <si>
    <t>Jawahar1985 - Sarvesh2011</t>
  </si>
  <si>
    <t>Project Name</t>
  </si>
  <si>
    <t>4715 TMS - Product Development</t>
  </si>
  <si>
    <t>Manager</t>
  </si>
  <si>
    <t>Raines Moshe, Ran</t>
  </si>
  <si>
    <t>VP</t>
  </si>
  <si>
    <t>Akram Ali</t>
  </si>
  <si>
    <t>Thomas Cooke</t>
  </si>
  <si>
    <t>QA Director</t>
  </si>
  <si>
    <t>Product Owner (Product Design) - Mgr</t>
  </si>
  <si>
    <t>Aziz Naveed</t>
  </si>
  <si>
    <t>Sravan Kumar, Muttevi</t>
  </si>
  <si>
    <t>QA Manager</t>
  </si>
  <si>
    <t>Venkateshwar, Makthal</t>
  </si>
  <si>
    <t>Sr. SW Engg (Lead Architect)</t>
  </si>
  <si>
    <t>`</t>
  </si>
  <si>
    <t xml:space="preserve">https://doc.trizetto.com/display/T3TMS/T3+-+TriZetto+Medicare+Solutions+Team+Wiki
</t>
  </si>
  <si>
    <t>Tri Wiki - SE --&gt; Knowledge Transfer</t>
  </si>
  <si>
    <t>To Know</t>
  </si>
  <si>
    <t>Tirzetto.Scripts  --&gt; Project to organize all bild projects</t>
  </si>
  <si>
    <t>Build Script (MSBuild )</t>
  </si>
  <si>
    <t>IDesign Method</t>
  </si>
  <si>
    <t>Net Amount</t>
  </si>
  <si>
    <t>Hotel</t>
  </si>
  <si>
    <t>Things</t>
  </si>
  <si>
    <t>PHOENIX</t>
  </si>
  <si>
    <t>NEWJERSEY</t>
  </si>
  <si>
    <t>PHX</t>
  </si>
  <si>
    <t>NJ</t>
  </si>
  <si>
    <t>DIFF</t>
  </si>
  <si>
    <t>https://newjersey.craigslist.org/apa/5644948658.html</t>
  </si>
  <si>
    <t>SCHOOLS</t>
  </si>
  <si>
    <t>Orange Ave School
901 Orange Ave, Cranford, NJ 07016</t>
  </si>
  <si>
    <t>To Office</t>
  </si>
  <si>
    <t>TO Home</t>
  </si>
  <si>
    <t>4.6 miles --&gt; 12 mins</t>
  </si>
  <si>
    <t>South Mountain Elementary School
2 Southern Slope Dr, Millburn, NJ 07041</t>
  </si>
  <si>
    <t>5.1 --&gt; 13</t>
  </si>
  <si>
    <t>Lafayette Elementary School
221 Lafayette Ave, Chatham, NJ 07928</t>
  </si>
  <si>
    <t>13 -- &gt; 20</t>
  </si>
  <si>
    <t>Thomas P. Hughes Elementary School
446 Snyder Ave, Berkeley Hts, NJ 07922</t>
  </si>
  <si>
    <t>14.9 --&gt; 20</t>
  </si>
  <si>
    <t>James Madison Intermediate Elementary School
838 New Dover Rd, Edison, NJ 08820</t>
  </si>
  <si>
    <t>14.7 --&gt; 20</t>
  </si>
  <si>
    <t>Martin Luther King Elementary School
285 Tingley Ln, Edison, NJ 08820</t>
  </si>
  <si>
    <t>12.7 --&gt; 21</t>
  </si>
  <si>
    <t>Menlo Park Elementary School
155 Monroe Ave, Edison, NJ 08820</t>
  </si>
  <si>
    <t>13.8 --&gt; 19</t>
  </si>
  <si>
    <t>10.6 --&gt; 17</t>
  </si>
  <si>
    <t>Mount Pleasant Elementary School
11 Broadlawn Dr, Livingston, NJ 07039</t>
  </si>
  <si>
    <t>15.1 --&gt; 21</t>
  </si>
  <si>
    <t>Kings Road Elementary School
215 Kings Rd, Madison, NJ 07940</t>
  </si>
  <si>
    <t>13 --&gt; 21</t>
  </si>
  <si>
    <t>Deerfield Elementary School
26 Troy Ln, Short Hills, NJ 07078</t>
  </si>
  <si>
    <t>8 --&gt; 19</t>
  </si>
  <si>
    <t>Glenwood Elementary School
325 Taylor Rd South, Short Hills, NJ 07078</t>
  </si>
  <si>
    <t>6.7 --&gt; 18</t>
  </si>
  <si>
    <t>Hartshorn Elementary School
400 Hartshorn Dr, Short Hills, NJ 07078</t>
  </si>
  <si>
    <t>9.6 --&gt; 14</t>
  </si>
  <si>
    <t>Salt Brook Elementary School
40 Maple St, New Providence, NJ 07974</t>
  </si>
  <si>
    <t>15.8 --&gt; 22</t>
  </si>
  <si>
    <t>Brayton Elementary School
89 Tulip St, Summit, NJ 07901</t>
  </si>
  <si>
    <t>10.5 --&gt; 17</t>
  </si>
  <si>
    <t>Franklin Elementary School
136 Blackburn Rd, Summit, NJ 07901</t>
  </si>
  <si>
    <t>11.2 --&gt; 20</t>
  </si>
  <si>
    <t>Lincoln Hubbard Elementary School
52 Woodland Ave, Summit, NJ 07901</t>
  </si>
  <si>
    <t>Brookdale Avenue Elementary School
14 Brookdale Court, Verona, NJ 07044</t>
  </si>
  <si>
    <t>Franklin Elementary School
700 Prospect St, Westfield, NJ 07090</t>
  </si>
  <si>
    <t>Tamaques Elementary School
641 Willow Grove Rd, Westfield, NJ 07090</t>
  </si>
  <si>
    <t>Washington Elementary School
900 St Marks Ave, Westfield, NJ 07090</t>
  </si>
  <si>
    <t>Wilson Elementary School
301 Linden Ave, Westfield, NJ 07090</t>
  </si>
  <si>
    <t>11 --&gt; 17</t>
  </si>
  <si>
    <t>13.9 --&gt; 22</t>
  </si>
  <si>
    <t>9.4 --&gt; 18</t>
  </si>
  <si>
    <t>10.2 --&gt; 17</t>
  </si>
  <si>
    <t>6.8 --&gt; 17</t>
  </si>
  <si>
    <t>7.1 --&gt; 17</t>
  </si>
  <si>
    <t>Ridgewood Avenue School --&gt; Franklin Manor Apartments, 70 Fremont Street # C, Bloomfield, NJ 07003
235 Ridgewood Ave, Glen Ridge, NJ 07028</t>
  </si>
  <si>
    <t>TODO</t>
  </si>
  <si>
    <t>Gas Service</t>
  </si>
  <si>
    <t>Water Service</t>
  </si>
  <si>
    <t>Internet</t>
  </si>
  <si>
    <t>10L Plan</t>
  </si>
  <si>
    <t>Axis Bank</t>
  </si>
  <si>
    <t>Remit</t>
  </si>
  <si>
    <t>office</t>
  </si>
  <si>
    <t>97 Horizon Dr, Edison, NJ 08817</t>
  </si>
  <si>
    <t>Address - Lakshmi Kanthan</t>
  </si>
  <si>
    <t>48 Laura Ave, Edison, NJ 08820</t>
  </si>
  <si>
    <t>Which network to use</t>
  </si>
  <si>
    <t>How to access guest network</t>
  </si>
  <si>
    <t>List of Softwares to install:</t>
  </si>
  <si>
    <t>Visual Studio 2015 -  Professional</t>
  </si>
  <si>
    <t>SQL Server 2014 - Professiional</t>
  </si>
  <si>
    <t>Odata</t>
  </si>
  <si>
    <t>Custom Control</t>
  </si>
  <si>
    <t>KendoUI Grid</t>
  </si>
  <si>
    <t>What is RA?</t>
  </si>
  <si>
    <t>Iqueryable</t>
  </si>
  <si>
    <t>Web API (RESTful APIs)</t>
  </si>
  <si>
    <t>AIM</t>
  </si>
  <si>
    <t>Building Odata Services using Web API?</t>
  </si>
  <si>
    <t>Car gas</t>
  </si>
  <si>
    <t>SRP (Electricity)</t>
  </si>
  <si>
    <t>SouthWest (Gas)</t>
  </si>
  <si>
    <t>CA - Cloud Service Management</t>
  </si>
  <si>
    <t>email - Sarvesh@2011</t>
  </si>
  <si>
    <t>Balance Tracking</t>
  </si>
  <si>
    <t>Date</t>
  </si>
  <si>
    <t>JC Penny</t>
  </si>
  <si>
    <t>Preferred Cities</t>
  </si>
  <si>
    <t>Preferred State</t>
  </si>
  <si>
    <t>Virginia Beach</t>
  </si>
  <si>
    <t>Jacksonville, Miami, Tampa</t>
  </si>
  <si>
    <t>Node.js</t>
  </si>
  <si>
    <t>AVG Credit Card Utilization</t>
  </si>
  <si>
    <t>JavaScript</t>
  </si>
  <si>
    <t>Agile - Scrum</t>
  </si>
  <si>
    <t>Web Application security</t>
  </si>
  <si>
    <t>CSS3 and Bootstrap</t>
  </si>
  <si>
    <t>Automated Test Driven Development (including continual integration)</t>
  </si>
  <si>
    <t>Primary Skills: Anjular JS, ASP.Net, Asp.net MVC, C#, WCF, AJAX, JQUERY, Java Script, JSON, Oracle 10G/11G
Secondary Skills: SSRS, SSAS, XAML, WPF, Silverlight, HTML5, ASP , Aspose Cell.net
Software Skills: Visio, Excel, PPT</t>
  </si>
  <si>
    <t>Salary Rem.</t>
  </si>
  <si>
    <t>CITI</t>
  </si>
  <si>
    <t>Food</t>
  </si>
  <si>
    <t>ok</t>
  </si>
  <si>
    <t>Car insurance - GEICO</t>
  </si>
  <si>
    <t xml:space="preserve">Amex </t>
  </si>
  <si>
    <t xml:space="preserve">AMEX </t>
  </si>
  <si>
    <t>2nd DEC 2016</t>
  </si>
  <si>
    <t>Rent To Tenant</t>
  </si>
  <si>
    <t>1500 (including water/heat/ac/gas/electricity)</t>
  </si>
  <si>
    <t>1350 (including everything like above except internet cable)</t>
  </si>
  <si>
    <t>Security Deposit ( 1.5 months)</t>
  </si>
  <si>
    <t>Aug Rent Start Date</t>
  </si>
  <si>
    <t>Aug Rent</t>
  </si>
  <si>
    <t>Total owe to Pavan By Jawahar</t>
  </si>
  <si>
    <t>Room Sharing Price</t>
  </si>
  <si>
    <t>Per Month</t>
  </si>
  <si>
    <t>Per Day</t>
  </si>
  <si>
    <t>Dinesh Staying days</t>
  </si>
  <si>
    <t>Ramesh owe to jawahar</t>
  </si>
  <si>
    <t>Lease end Date</t>
  </si>
  <si>
    <t>(1500 + 750) = 2250</t>
  </si>
  <si>
    <t>Offer Rent given by Pavan</t>
  </si>
  <si>
    <t>Offer</t>
  </si>
  <si>
    <t>Fro JULY 16th to JULY 22nd - 7 days</t>
  </si>
  <si>
    <t>Dinesh Sharing</t>
  </si>
  <si>
    <t>Dinesh</t>
  </si>
  <si>
    <t>Checking acc.</t>
  </si>
  <si>
    <t>icici</t>
  </si>
  <si>
    <t>Have</t>
  </si>
  <si>
    <t>Need in RS</t>
  </si>
  <si>
    <t>Need in $</t>
  </si>
  <si>
    <t>BOI</t>
  </si>
  <si>
    <t>Vacuum Cleaner</t>
  </si>
  <si>
    <t>Room Sharing</t>
  </si>
  <si>
    <t>internet Fee</t>
  </si>
  <si>
    <t>Already paid</t>
  </si>
  <si>
    <t>p-</t>
  </si>
  <si>
    <t>SUBRAMANIANJA - Jeya2010</t>
  </si>
  <si>
    <t>Update W4</t>
  </si>
  <si>
    <t>Aug Rent Pay</t>
  </si>
  <si>
    <t xml:space="preserve">Internet connection </t>
  </si>
  <si>
    <t>Update CTS insurance</t>
  </si>
  <si>
    <t>Reembursement
-- Hotel - 2
-- Pune Trip</t>
  </si>
  <si>
    <t>Check Access</t>
  </si>
  <si>
    <t>http://pdstfs.trizetto.com:8080/tfs</t>
  </si>
  <si>
    <t>CHASE BANK Credit CARD</t>
  </si>
  <si>
    <t>Balance Transfer</t>
  </si>
  <si>
    <t>Skilled Certificate from EWS</t>
  </si>
  <si>
    <t>I phone cover</t>
  </si>
  <si>
    <t>4 month - (4 * 150 = 600)</t>
  </si>
  <si>
    <t>School
Lease Agreement
Birth Cert.
Immu.
VISA</t>
  </si>
  <si>
    <t>Flight ticket for GoAIr</t>
  </si>
  <si>
    <t>Tamil School</t>
  </si>
  <si>
    <t>TV</t>
  </si>
  <si>
    <t>ask for lease</t>
  </si>
  <si>
    <t>iron xox, rice cooker, thambi stand, dress for me</t>
  </si>
  <si>
    <t>slipper</t>
  </si>
  <si>
    <t>color</t>
  </si>
  <si>
    <t>\\abs-tzg-vdm-20.dev.trizetto.com\TMS\users</t>
  </si>
  <si>
    <t>\\dev.trizetto.com\dfs</t>
  </si>
  <si>
    <t>Environment Setup</t>
  </si>
  <si>
    <t>Visual Studio 2015</t>
  </si>
  <si>
    <t>TFS code setup</t>
  </si>
  <si>
    <t>HP Fortify</t>
  </si>
  <si>
    <t>\\dev.trizetto.com\dfs\release_management\Development</t>
  </si>
  <si>
    <t>IIS</t>
  </si>
  <si>
    <t>AXIS Bank VISA Renewal</t>
  </si>
  <si>
    <t>New AMEX CARD</t>
  </si>
  <si>
    <t>How much balance on 8610? - 6000$</t>
  </si>
  <si>
    <t>Driving License address change</t>
  </si>
  <si>
    <t>Car No. Plate</t>
  </si>
  <si>
    <t>Env Setup</t>
  </si>
  <si>
    <t>VS 2015</t>
  </si>
  <si>
    <t xml:space="preserve">TFS </t>
  </si>
  <si>
    <t>SQL 2014</t>
  </si>
  <si>
    <t>DB Connectivity</t>
  </si>
  <si>
    <t>Run Solution</t>
  </si>
  <si>
    <t>Get Latest</t>
  </si>
  <si>
    <t xml:space="preserve"> tomorrow (Friday)</t>
  </si>
  <si>
    <t xml:space="preserve">send emial to irina , ask questions - email sent! </t>
  </si>
  <si>
    <t>can i use existing  CTS Insurance Card in NJ? - sent email</t>
  </si>
  <si>
    <t>Yes</t>
  </si>
  <si>
    <t xml:space="preserve">Bank Statement - ST - appointment @ 1:30-- @ 3 PM </t>
  </si>
  <si>
    <t>GEICO ID Card -  ok</t>
  </si>
  <si>
    <t xml:space="preserve">Ask For Rental Agreement - asked
</t>
  </si>
  <si>
    <t>Take I-94 Print out -</t>
  </si>
  <si>
    <t>Driving License - Tomorrow</t>
  </si>
  <si>
    <t>Health Form - ok</t>
  </si>
  <si>
    <t>Enrollment Form - ok</t>
  </si>
  <si>
    <t>Accept Performance Review - How to? - ask Ran -- ok done.</t>
  </si>
  <si>
    <t>Update Insurance (Add Dependents) - ok.</t>
  </si>
  <si>
    <t xml:space="preserve">Call Air Go friend - ok got it </t>
  </si>
  <si>
    <t>Immunization Certificate (Latest - Call School) - called school they will send</t>
  </si>
  <si>
    <t>Do Balance Transfer</t>
  </si>
  <si>
    <t>Internet Connection Name Change</t>
  </si>
  <si>
    <t>Car No. Plate Change</t>
  </si>
  <si>
    <t>Take back up of Skiled Certifice  Redim and Metexim's</t>
  </si>
  <si>
    <t>Thambi School</t>
  </si>
  <si>
    <t>Call Naga Bro</t>
  </si>
  <si>
    <t>Pune Trip</t>
  </si>
  <si>
    <t>Reply for Alan</t>
  </si>
  <si>
    <t>Reply for Jersey Group</t>
  </si>
  <si>
    <t>Windows Service Support</t>
  </si>
  <si>
    <t>Talk To Raja Bro and other bros.</t>
  </si>
  <si>
    <t>send medicine to VIJAY!</t>
  </si>
  <si>
    <t>COncur1</t>
  </si>
  <si>
    <t>Sal</t>
  </si>
  <si>
    <t>BT2</t>
  </si>
  <si>
    <t>Total</t>
  </si>
  <si>
    <t>Total Technical Qs</t>
  </si>
  <si>
    <t>Total Behavioural Qs</t>
  </si>
  <si>
    <t>Raleigh, Chorlette</t>
  </si>
  <si>
    <t>Go To CBP office  - I 539 - reply back to Irina - priya/sarvesh i94 renewal?</t>
  </si>
  <si>
    <t>How to troubleshoot .NET application --&gt; Refer Log, Stack Trace, Search engine</t>
  </si>
  <si>
    <t>Maximum Rectangular Area in a Histogram</t>
  </si>
  <si>
    <t>Divide and Conquer</t>
  </si>
  <si>
    <t>O(nLogn)</t>
  </si>
  <si>
    <t>O(n)</t>
  </si>
  <si>
    <t>what is selector</t>
  </si>
  <si>
    <t>Amazon Return Receipt</t>
  </si>
  <si>
    <t>Install WIX Installer</t>
  </si>
  <si>
    <t>Authentication Dropdown will be ena ble with one more option - Windows Authentication</t>
  </si>
  <si>
    <t>C# New Features</t>
  </si>
  <si>
    <t>Expression Tree</t>
  </si>
  <si>
    <t>Two Sigma Investments, Llc</t>
  </si>
  <si>
    <t>SOLID Principles in C# - SR, OC, LSub, IS, Dinv.</t>
  </si>
  <si>
    <t>Top 10 Paying - Fin Corp</t>
  </si>
  <si>
    <t>BNP Paribas</t>
  </si>
  <si>
    <t>PayPal</t>
  </si>
  <si>
    <t>Dun &amp; BradStreet</t>
  </si>
  <si>
    <t>BlackRock</t>
  </si>
  <si>
    <t>MasterCard</t>
  </si>
  <si>
    <t>Bloomberg L.P.</t>
  </si>
  <si>
    <t>Barclays</t>
  </si>
  <si>
    <t>CME Group</t>
  </si>
  <si>
    <t>Macquarie Group</t>
  </si>
  <si>
    <t>DI</t>
  </si>
  <si>
    <t>Fax to Sarvesh School</t>
  </si>
  <si>
    <t>Sarvesh Gen Doctor opp -  Sep 1 10:30 AM - 732 985 0666</t>
  </si>
  <si>
    <t>check cigna - Dental Coverage -Met Life:  800.942.0854</t>
  </si>
  <si>
    <t>Diff Btw Stored Procedure and Function and Trigger
Fn --&gt; cant do update and can call only in statement and must return vallues
SP --&gt; can do update and call using EXEC and may return values</t>
  </si>
  <si>
    <t xml:space="preserve">Difference between Scan and Seek? </t>
  </si>
  <si>
    <t>Relocation Ass</t>
  </si>
  <si>
    <t xml:space="preserve">Pune Return Concur Receipt - (403.28 + 495.21 + 200.85)   + 767.46 </t>
  </si>
  <si>
    <t>Why getting many call to Vonage? *77 to enable and *87 to disable</t>
  </si>
  <si>
    <t>EWS Skilled Certificate - or any employee</t>
  </si>
  <si>
    <t>Thambi Transportation - print transportation form - 500 cheque -  Check Shift?</t>
  </si>
  <si>
    <t>AGM name added?</t>
  </si>
  <si>
    <t>Transport</t>
  </si>
  <si>
    <t>Prasanna</t>
  </si>
  <si>
    <t>Pavan</t>
  </si>
  <si>
    <t>.exe and .dll</t>
  </si>
  <si>
    <t>Algorithm and data structure</t>
  </si>
  <si>
    <t>For a given array of integers, calculate the largest rectangle of histogram.</t>
  </si>
  <si>
    <t>Write a generic class to return the maximum value in an array.</t>
  </si>
  <si>
    <t>Write a class for user defined exception</t>
  </si>
  <si>
    <t>Other two from multi-threading and linked list.</t>
  </si>
  <si>
    <t>How can you dynamically allocate memory in stack as opposed to malloc which happens in heap ?</t>
  </si>
  <si>
    <t>Which is faster between stack and heap</t>
  </si>
  <si>
    <t>What is static key word why is it used ?</t>
  </si>
  <si>
    <t xml:space="preserve">What is a hashmap, it's complecxity for lookup and what is the data structure inside a hashmap and concepts on chaining and collision  </t>
  </si>
  <si>
    <t>write a code to find mirror image of tree</t>
  </si>
  <si>
    <t xml:space="preserve">Hackathon round question will be mostly based on heap management  </t>
  </si>
  <si>
    <t xml:space="preserve">How multi-threading works(in detail) ? </t>
  </si>
  <si>
    <t>Implement your own malloc function?</t>
  </si>
  <si>
    <t>Tell me about your project experience.</t>
  </si>
  <si>
    <t>Can you tell me the difference between stack and heap and their memory location?</t>
  </si>
  <si>
    <t>Implement a circular linked list</t>
  </si>
  <si>
    <t>bit level manipulation programs</t>
  </si>
  <si>
    <t xml:space="preserve">They asked some very complex database integration services </t>
  </si>
  <si>
    <t>What does the static keyword do?  - make the class static</t>
  </si>
  <si>
    <t>char *a="something"; Valid / Invalid. --&gt; invalid bcos *a always have addressof variable ie &amp;a</t>
  </si>
  <si>
    <t>Extra</t>
  </si>
  <si>
    <t>Sarvesh ID</t>
  </si>
  <si>
    <t>AXIS Bank VISA verification</t>
  </si>
  <si>
    <t xml:space="preserve">SOLID </t>
  </si>
  <si>
    <t xml:space="preserve"> object-oriented design</t>
  </si>
  <si>
    <t>HTML</t>
  </si>
  <si>
    <t>CSS</t>
  </si>
  <si>
    <t>Jquery</t>
  </si>
  <si>
    <t>Bootstrap</t>
  </si>
  <si>
    <t>ASP.NET (MVC)</t>
  </si>
  <si>
    <t>MS SQL</t>
  </si>
  <si>
    <t>unit test cases</t>
  </si>
  <si>
    <t xml:space="preserve">WCF </t>
  </si>
  <si>
    <t>Entity Framework 4+</t>
  </si>
  <si>
    <t>Agile</t>
  </si>
  <si>
    <t>the 2016 TriZetto Compliance Training Curriculum</t>
  </si>
  <si>
    <t>Doctor oppointment - 2:15 Tomorrow 9/2</t>
  </si>
  <si>
    <t>Install VS Professional - Shelve the changes</t>
  </si>
  <si>
    <t>Sarvesh Dental opp - Tomorrow Sep 2 9:30 AM - 
732 248 3368</t>
  </si>
  <si>
    <t>I-Phone Cover</t>
  </si>
  <si>
    <t>CommVault Exam</t>
  </si>
  <si>
    <t>Photo for my website</t>
  </si>
  <si>
    <t>3.5 --&gt; 1,54,000</t>
  </si>
  <si>
    <t>2L --&gt; 1, 65000</t>
  </si>
  <si>
    <t>PPR085100273146</t>
  </si>
  <si>
    <t>PPR008200654193</t>
  </si>
  <si>
    <t>Authorized Letter.</t>
  </si>
  <si>
    <t>Chequ/DD --&gt; loan center</t>
  </si>
  <si>
    <t>Cash --&gt; any  Branch</t>
  </si>
  <si>
    <t>Deposit Slip.</t>
  </si>
  <si>
    <t>Letter , Signature.</t>
  </si>
  <si>
    <t>ICICI Details.</t>
  </si>
  <si>
    <t>3.5 --&gt; 1 54000</t>
  </si>
  <si>
    <t>2015 Dec</t>
  </si>
  <si>
    <t>2 --&gt;  1 65 823 + 69</t>
  </si>
  <si>
    <t>2018 Feb</t>
  </si>
  <si>
    <t>2015 DEC (8144)</t>
  </si>
  <si>
    <t>2018 FEB (4700)</t>
  </si>
  <si>
    <t>What are buffer overflows and how do you avoid them? - Don’t trust data from external sources</t>
  </si>
  <si>
    <t>What is a virtual function? 
What is pure virtual function?  -- Abstract method
What is virtual constructor/destructor? 
What is virtual table and virtual pointer?</t>
  </si>
  <si>
    <t>generic class, 
exceptions, 
multi-threading, 
linked list, 
tree,
arrays.</t>
  </si>
  <si>
    <t xml:space="preserve"> js, 
IIS, 
datasets, 
some programming (send code later) directory structure design and traversal and sort two sorted arrays</t>
  </si>
  <si>
    <t>Complexity</t>
  </si>
  <si>
    <t>Algorithm</t>
  </si>
  <si>
    <t>Questions?</t>
  </si>
  <si>
    <t>Space Complexity</t>
  </si>
  <si>
    <t>Time Complexity</t>
  </si>
  <si>
    <t>Array</t>
  </si>
  <si>
    <t>List</t>
  </si>
  <si>
    <t>ArrayList</t>
  </si>
  <si>
    <t>HashMap</t>
  </si>
  <si>
    <t>Changing and Collision in Hashmap</t>
  </si>
  <si>
    <t>Circular Linked List</t>
  </si>
  <si>
    <t>Big O Notation &lt;=</t>
  </si>
  <si>
    <t>Big Omega &gt;=</t>
  </si>
  <si>
    <t>Big Theta ==</t>
  </si>
  <si>
    <t>Little Oh &lt;</t>
  </si>
  <si>
    <t>Little Omega &gt;</t>
  </si>
  <si>
    <t>Linear Search</t>
  </si>
  <si>
    <t>Normalization, Denormalization</t>
  </si>
  <si>
    <t>normal sub query (outer query depends on inner query) 
and 
corelated sub query (inner query depends on outer query)</t>
  </si>
  <si>
    <t>handle exception in sql server -- &gt;TRY, CATCH Block</t>
  </si>
  <si>
    <t>Hash Table</t>
  </si>
  <si>
    <t>Map</t>
  </si>
  <si>
    <t>Graphs</t>
  </si>
  <si>
    <t>Timesheet</t>
  </si>
  <si>
    <t>Total Credit Card Utilizatio</t>
  </si>
  <si>
    <t>Bubble Sort</t>
  </si>
  <si>
    <t>Question</t>
  </si>
  <si>
    <t>How to find largest rectangle in histogram graph?</t>
  </si>
  <si>
    <t xml:space="preserve">Total Loan </t>
  </si>
  <si>
    <t>compare shyamala pay check</t>
  </si>
  <si>
    <t>check for address change for reembursement check</t>
  </si>
  <si>
    <t>Full Body Checkup - Family</t>
  </si>
  <si>
    <t>Dental checkup - Family</t>
  </si>
  <si>
    <t>Vision Checkip - Family</t>
  </si>
  <si>
    <t>SHYAMALA</t>
  </si>
  <si>
    <t>JAWAHAR</t>
  </si>
  <si>
    <t>DEDUCTIONS</t>
  </si>
  <si>
    <t>Federal Income Tax</t>
  </si>
  <si>
    <t>Dental</t>
  </si>
  <si>
    <t>Medial</t>
  </si>
  <si>
    <t>Vision</t>
  </si>
  <si>
    <t>Net Pay (Deposit into Bank)</t>
  </si>
  <si>
    <t>Annual Salary (Gross)</t>
  </si>
  <si>
    <t>Annual Salary (Net)</t>
  </si>
  <si>
    <t>Monthly Salary (Gross)</t>
  </si>
  <si>
    <t>Monthly Salary (Net)</t>
  </si>
  <si>
    <t>Dep Life-Spse</t>
  </si>
  <si>
    <t>401 K</t>
  </si>
  <si>
    <t>FSA Health care</t>
  </si>
  <si>
    <t>Federal FICA Med Hospitalty Ins/ EE</t>
  </si>
  <si>
    <t>Fed OASDI/Disability - EE</t>
  </si>
  <si>
    <t>FED Credit - LTD</t>
  </si>
  <si>
    <t>Spouse/DP Wellness Credit</t>
  </si>
  <si>
    <t>Ass Wellness Credit</t>
  </si>
  <si>
    <t xml:space="preserve">Spouse/DP Rate Credit </t>
  </si>
  <si>
    <t>Life</t>
  </si>
  <si>
    <t xml:space="preserve">State Tax </t>
  </si>
  <si>
    <t>G.T.L</t>
  </si>
  <si>
    <t>Gross Pay in pay check 
(Bi Monthly)</t>
  </si>
  <si>
    <t>Gross Pay in pay check
(Bi-Weekly)</t>
  </si>
  <si>
    <t>Sarvesh - Karate</t>
  </si>
  <si>
    <t>Sarvesh - Swimming</t>
  </si>
  <si>
    <t>Sarvesh _ Hindi</t>
  </si>
  <si>
    <t>Sarvesh - Other Language</t>
  </si>
  <si>
    <t>Email reg Petition</t>
  </si>
  <si>
    <t>Linked List &amp; Circular Linked List</t>
  </si>
  <si>
    <t>Tree</t>
  </si>
  <si>
    <t>Code to sort an array</t>
  </si>
  <si>
    <t>What is multi threading , how is it working</t>
  </si>
  <si>
    <t>Diff Btw For and For Each</t>
  </si>
  <si>
    <t>USD to INR Value</t>
  </si>
  <si>
    <t>BOA Acc</t>
  </si>
  <si>
    <t>DCU Acc</t>
  </si>
  <si>
    <t>BOA CC</t>
  </si>
  <si>
    <t>jc penny (Extra)</t>
  </si>
  <si>
    <t>Need to check BT details on 9070 and 5011</t>
  </si>
  <si>
    <t>Take 401K money.</t>
  </si>
  <si>
    <t>Sarvesh YMCA</t>
  </si>
  <si>
    <t>max pool - remove for Win. Auth</t>
  </si>
  <si>
    <t>check</t>
  </si>
  <si>
    <t>school</t>
  </si>
  <si>
    <t>extra</t>
  </si>
  <si>
    <t>Amma</t>
  </si>
  <si>
    <t>Uncle</t>
  </si>
  <si>
    <t>why DCU car loan due date - next month?</t>
  </si>
  <si>
    <t>mvc project folder structure?--
App_Data
Content
Script
Model
View
Controller
web.config and Global.asax</t>
  </si>
  <si>
    <t>Different types of constraints - specify rules for data in a column PK, FK, UK</t>
  </si>
  <si>
    <t xml:space="preserve">Database transction and its properties.  - ACID
(Atomic Property -Complete 100% or nothing
Consistency - should not violate any constrait
Isolation --&gt; one should not disturb others
Durability --&gt; make sure it saved correctly in medium
</t>
  </si>
  <si>
    <t>union (select distinct rows) and union ALL (select all even duplicated)?</t>
  </si>
  <si>
    <t>Lazy Loading</t>
  </si>
  <si>
    <t>if client have holiday and not randstad, what?</t>
  </si>
  <si>
    <t>How much % of medical/vision/dental will share?</t>
  </si>
  <si>
    <t>when will I know if my contract is going to end?</t>
  </si>
  <si>
    <t>can u able to deposit in 2 chcking account?</t>
  </si>
  <si>
    <t>work location?</t>
  </si>
  <si>
    <t>how many months a contract? Pls share that document.</t>
  </si>
  <si>
    <t>can I do WFH/work from remote option?if client said ok?</t>
  </si>
  <si>
    <t>can I have any meeting with team before join?</t>
  </si>
  <si>
    <t>I need the list of document to initaite my green card.</t>
  </si>
  <si>
    <t>any contacts who worked for randstad in charlette?</t>
  </si>
  <si>
    <t>to whom I need to report?</t>
  </si>
  <si>
    <t>time card entry process?</t>
  </si>
  <si>
    <t>who are al insurance provider? Pls provide me an options?</t>
  </si>
  <si>
    <t>after joined who will be my point of contact? Is a single/multiple point of contact?</t>
  </si>
  <si>
    <t>Less Benefits and Less Growth</t>
  </si>
  <si>
    <t>Unlimited PTO</t>
  </si>
  <si>
    <t>8 days per year</t>
  </si>
  <si>
    <t>6.4% binus</t>
  </si>
  <si>
    <t>How the evaluation will happen, usually how muct salary increase? Any bonus?</t>
  </si>
  <si>
    <t>relocation policy?</t>
  </si>
  <si>
    <t>401K</t>
  </si>
  <si>
    <t>Paid  Sick Leaves</t>
  </si>
  <si>
    <t>Paid  Holidays</t>
  </si>
  <si>
    <t>Paid Vacations</t>
  </si>
  <si>
    <t>Charlette</t>
  </si>
  <si>
    <t>1 month 
Grosssalary</t>
  </si>
  <si>
    <t>1 month 
Net Salary</t>
  </si>
  <si>
    <t>State Income Tax (AZ + NJ)</t>
  </si>
  <si>
    <t>Medical</t>
  </si>
  <si>
    <t>CT</t>
  </si>
  <si>
    <t>TCS</t>
  </si>
  <si>
    <t>CTS</t>
  </si>
  <si>
    <t>RT</t>
  </si>
  <si>
    <t>Annual</t>
  </si>
  <si>
    <t>Take Home</t>
  </si>
  <si>
    <t>Taxes</t>
  </si>
  <si>
    <t>Insurance</t>
  </si>
  <si>
    <t>How much they offer you and how much they pay you extra?</t>
  </si>
  <si>
    <t>How big is this company and total employees?</t>
  </si>
  <si>
    <t>is it mandatory to take company insurance? How much company is contributing?</t>
  </si>
  <si>
    <t>is my petition will be filed as premium?</t>
  </si>
  <si>
    <t>who will pay my GC process fee, if I have to pay after PERM, how much is a cost?</t>
  </si>
  <si>
    <t>What is the bench period?</t>
  </si>
  <si>
    <t xml:space="preserve"> </t>
  </si>
  <si>
    <t>Sim Card</t>
  </si>
  <si>
    <t>Extra Vonage connection.</t>
  </si>
  <si>
    <t>HRA</t>
  </si>
  <si>
    <t>FSA</t>
  </si>
  <si>
    <t>H SA</t>
  </si>
  <si>
    <t>Cigna CDHA with HRA - Family</t>
  </si>
  <si>
    <t>Medical Dental Plan</t>
  </si>
  <si>
    <t>EyeMed Vision</t>
  </si>
  <si>
    <t>Basic Life and AD&amp;D Insurance</t>
  </si>
  <si>
    <t>Short Term Disability</t>
  </si>
  <si>
    <t>Long Term Disability</t>
  </si>
  <si>
    <t>Resources for living - EAP</t>
  </si>
  <si>
    <t>Tobacco Free - Employee Only</t>
  </si>
  <si>
    <t>Gross</t>
  </si>
  <si>
    <t>State Income Tax</t>
  </si>
  <si>
    <t>GTL (Group Term Life)</t>
  </si>
  <si>
    <t>High Deductible Health Plan with Helath Savings Account (HSA)</t>
  </si>
  <si>
    <t>CDHP</t>
  </si>
  <si>
    <t>$</t>
  </si>
  <si>
    <t>INR</t>
  </si>
  <si>
    <t>Programming (C#)</t>
  </si>
  <si>
    <t xml:space="preserve">Data Structure </t>
  </si>
  <si>
    <t>Stacks</t>
  </si>
  <si>
    <t>Queues</t>
  </si>
  <si>
    <t>Trees</t>
  </si>
  <si>
    <t>Heaps</t>
  </si>
  <si>
    <t>Binary Tree</t>
  </si>
  <si>
    <t>Binimial Heap</t>
  </si>
  <si>
    <t>Fibonacci Heap</t>
  </si>
  <si>
    <t>Skip List</t>
  </si>
  <si>
    <t>Red-Black Trees</t>
  </si>
  <si>
    <t>Tries</t>
  </si>
  <si>
    <t>Ternary Search Tree</t>
  </si>
  <si>
    <t>Segment Trees</t>
  </si>
  <si>
    <t>Splay Trees</t>
  </si>
  <si>
    <t>Interval Trees</t>
  </si>
  <si>
    <t>Binary Indexed Tree</t>
  </si>
  <si>
    <t>B Tree</t>
  </si>
  <si>
    <t>B+ Tree</t>
  </si>
  <si>
    <t>Performance</t>
  </si>
  <si>
    <t>c#</t>
  </si>
  <si>
    <t>Refrences</t>
  </si>
  <si>
    <t>Phone</t>
  </si>
  <si>
    <t>Email</t>
  </si>
  <si>
    <t>Company Worked</t>
  </si>
  <si>
    <t>Dhanapal Samiappan</t>
  </si>
  <si>
    <t>(215) 274 0473</t>
  </si>
  <si>
    <t>dsamiappan@gmail.com</t>
  </si>
  <si>
    <t>TATA Consultancy Services</t>
  </si>
  <si>
    <t>Shyamala Vijay</t>
  </si>
  <si>
    <t>(904) 314 9889</t>
  </si>
  <si>
    <t>shyamaysh@googlemail.com</t>
  </si>
  <si>
    <t>Optimum</t>
  </si>
  <si>
    <t>PSEG</t>
  </si>
  <si>
    <t>Foreground and background thread?</t>
  </si>
  <si>
    <t xml:space="preserve">Intersection point of two linked lists. </t>
  </si>
  <si>
    <t>Interface and abstract class definition.</t>
  </si>
  <si>
    <t xml:space="preserve">Polymorphism definition </t>
  </si>
  <si>
    <t xml:space="preserve">How Hashmap works  </t>
  </si>
  <si>
    <t>Sort employee object based on salary</t>
  </si>
  <si>
    <t xml:space="preserve">how hash set works </t>
  </si>
  <si>
    <t xml:space="preserve">serialisation  </t>
  </si>
  <si>
    <t xml:space="preserve">singleton class and how to prevent from multi threading and cloning </t>
  </si>
  <si>
    <t>diff bw IOC and DI</t>
  </si>
  <si>
    <t xml:space="preserve"> linked list reversal, bit-wise operation</t>
  </si>
  <si>
    <t>Pointers, Coding question on linkedList, Stacks</t>
  </si>
  <si>
    <t xml:space="preserve">How do you write "a program for odd number" in single line without using an operator ? </t>
  </si>
  <si>
    <t xml:space="preserve">Multi-threaded synchronization and its impacts in a single threaded program. </t>
  </si>
  <si>
    <t xml:space="preserve">Diamond problem in Object Inheritence </t>
  </si>
  <si>
    <t xml:space="preserve">How many Join command does SQL language have?  </t>
  </si>
  <si>
    <t>what will be the output of alert[null==undefined) </t>
  </si>
  <si>
    <t>parallelism</t>
  </si>
  <si>
    <t>How long you will work for GL?</t>
  </si>
  <si>
    <t>bcos of increase in Amex credit limit</t>
  </si>
  <si>
    <t>Threading?</t>
  </si>
  <si>
    <t>Async and Await</t>
  </si>
  <si>
    <t>Thread and Await - Difference?</t>
  </si>
  <si>
    <t>How to make object thread safe - LOCK.</t>
  </si>
  <si>
    <t>AutoReset and Manual Reset Event.</t>
  </si>
  <si>
    <t>How to debug Thread?</t>
  </si>
  <si>
    <t>Thread Pooling?</t>
  </si>
  <si>
    <t>What is TPL? - 
Multi Core execution
Thread Pooling</t>
  </si>
  <si>
    <t>Different States in Threading?</t>
  </si>
  <si>
    <t>Diff btw Mutex - allow only one thread to access resource. and Semaphore - allows specified maximum number of thread to access resource?</t>
  </si>
  <si>
    <t>Mutex, Monitor, Semaphore, SemaphoreSlim,  Lock, Deadlock</t>
  </si>
  <si>
    <t>Jan-18-2018</t>
  </si>
  <si>
    <t>Linkedin</t>
  </si>
  <si>
    <t>NetFlix</t>
  </si>
  <si>
    <t>Prove that only 1 instance of the object is created for static classes? -
 Constructor will call only one time even if we call many times</t>
  </si>
  <si>
    <t>How to make a class thread safe - lock/Monitor</t>
  </si>
  <si>
    <t>var (strongly/statically typed), dynamic (dynamic/weakly typed) and object  (static/weakly typed)keyword in C#</t>
  </si>
  <si>
    <t>DCU  Car</t>
  </si>
  <si>
    <t>DCU PL</t>
  </si>
  <si>
    <t xml:space="preserve">how it works - short-circuiting operators - &amp;&amp; and ||.
&amp;&amp; - Evauates only first operant is true AND will not applicable to integral types.
</t>
  </si>
  <si>
    <t>Netflix</t>
  </si>
  <si>
    <t>RK</t>
  </si>
  <si>
    <t>Vidhya</t>
  </si>
  <si>
    <t>Prabha</t>
  </si>
  <si>
    <t>Vidya</t>
  </si>
  <si>
    <t>Mahesh</t>
  </si>
  <si>
    <t>BOA - 8610</t>
  </si>
  <si>
    <t>NTK</t>
  </si>
  <si>
    <t>EWS Skilled and Experience Certificate</t>
  </si>
  <si>
    <t>USCIS Documents Date Info - 7</t>
  </si>
  <si>
    <t>Update Visa Details - 5</t>
  </si>
  <si>
    <t xml:space="preserve"> 4 - GC Details?</t>
  </si>
  <si>
    <t>Arrival/Departure details</t>
  </si>
  <si>
    <t>bcos of new phone (for all members)</t>
  </si>
  <si>
    <t>Jawahar</t>
  </si>
  <si>
    <t>Bapitha</t>
  </si>
  <si>
    <t>Monthly Charges</t>
  </si>
  <si>
    <t>Equipment</t>
  </si>
  <si>
    <t>Surcharges and Fee</t>
  </si>
  <si>
    <t>Govt Fees</t>
  </si>
  <si>
    <t>USD Value</t>
  </si>
  <si>
    <t>PG</t>
  </si>
  <si>
    <t>Priya</t>
  </si>
  <si>
    <t>Sarvesh</t>
  </si>
  <si>
    <t>Sukumar</t>
  </si>
  <si>
    <t>Minisa</t>
  </si>
  <si>
    <t>Oorvi</t>
  </si>
  <si>
    <t>Jesmitha</t>
  </si>
  <si>
    <t>Komal</t>
  </si>
  <si>
    <t>Samir</t>
  </si>
  <si>
    <t>Aditi</t>
  </si>
  <si>
    <t>Paresh</t>
  </si>
  <si>
    <t>Appa</t>
  </si>
  <si>
    <t>US coach ways</t>
  </si>
  <si>
    <t>car 1</t>
  </si>
  <si>
    <t>car 2</t>
  </si>
  <si>
    <t>M1</t>
  </si>
  <si>
    <t>M2</t>
  </si>
  <si>
    <t>Bus</t>
  </si>
  <si>
    <t>Miscellaneous</t>
  </si>
  <si>
    <t>glass</t>
  </si>
  <si>
    <t>park</t>
  </si>
  <si>
    <t>maid</t>
  </si>
  <si>
    <t>Interest charge formula</t>
  </si>
  <si>
    <t>Amount</t>
  </si>
  <si>
    <t>Month Days</t>
  </si>
  <si>
    <t>Interest</t>
  </si>
  <si>
    <t>Interes charge</t>
  </si>
  <si>
    <t>(1000*(12.25/100)*30/365)</t>
  </si>
  <si>
    <t>WIX Installer</t>
  </si>
  <si>
    <t>Tools Path</t>
  </si>
  <si>
    <t>How to set solution explorere select the current file</t>
  </si>
  <si>
    <t>Challenges</t>
  </si>
  <si>
    <t>Debugging application</t>
  </si>
  <si>
    <t>BOA - 5011</t>
  </si>
  <si>
    <t>Check all emails</t>
  </si>
  <si>
    <t>Visio</t>
  </si>
  <si>
    <t>Resharper</t>
  </si>
  <si>
    <t>How to send email after drop?</t>
  </si>
  <si>
    <t>details in the drop email?</t>
  </si>
  <si>
    <t>Powershell</t>
  </si>
  <si>
    <t>Automatic Environment setup - for local debugging</t>
  </si>
  <si>
    <t>Branch Details</t>
  </si>
  <si>
    <t>Environment Details</t>
  </si>
  <si>
    <t>Release Details and standards</t>
  </si>
  <si>
    <t>Clients Details</t>
  </si>
  <si>
    <t>No of product and its responsibilities</t>
  </si>
  <si>
    <t>TRR Automation Tool</t>
  </si>
  <si>
    <t>File Formats</t>
  </si>
  <si>
    <t>Sprint Dropp Details - URL</t>
  </si>
  <si>
    <t>Book mark all urls.</t>
  </si>
  <si>
    <t>Database Credentials</t>
  </si>
  <si>
    <t>Architectures</t>
  </si>
  <si>
    <t>Technolody used / To Know</t>
  </si>
  <si>
    <t>NOTES</t>
  </si>
  <si>
    <t>if dropped for testing, send an email as please ignore below drop</t>
  </si>
  <si>
    <t>Email Setup</t>
  </si>
  <si>
    <t>Docking Session</t>
  </si>
  <si>
    <t>Code Freeze Process</t>
  </si>
  <si>
    <t>All email templates</t>
  </si>
  <si>
    <t>Installer Path Details</t>
  </si>
  <si>
    <t>CMS Documents</t>
  </si>
  <si>
    <t>Triwiki links</t>
  </si>
  <si>
    <t>Per review w/ Archana – the same date should be in both tbTransactions and TransactionManagerTimeSensitive tables.
TransactionManagerTimeSensitive table has end date as 12/31/2016.</t>
  </si>
  <si>
    <t>Bob</t>
  </si>
  <si>
    <t>Research on Function - rxID</t>
  </si>
  <si>
    <t>Email Signatures</t>
  </si>
  <si>
    <t>NUNCM - 004?</t>
  </si>
  <si>
    <t>share point link</t>
  </si>
  <si>
    <t>Hackathon</t>
  </si>
  <si>
    <t>Code Review Assistance</t>
  </si>
  <si>
    <t>Checkin - NA</t>
  </si>
  <si>
    <t>Drop and Release folders</t>
  </si>
  <si>
    <t>inform PTO 26 may and june 13</t>
  </si>
  <si>
    <t>NTK data - madurai</t>
  </si>
  <si>
    <t>https://doc.trizetto.com/display/T3TMS/5.40+R3+-+Sprint+5</t>
  </si>
  <si>
    <t>code review</t>
  </si>
  <si>
    <t>72 --&gt;  100 scenario</t>
  </si>
  <si>
    <t>Current Release - R4 (Main Branch) - that is current work</t>
  </si>
  <si>
    <t>Terms - offcycle</t>
  </si>
  <si>
    <t>R3 - 5.40.003.000 (5.4 -- major version)
003 (release no) each major version will have 4 releases
.000 --&gt; off cycle hot fixes
eg: 5.4.001.001 
majr release - 5.4
release - 000
hot fix - 001</t>
  </si>
  <si>
    <t>segment id issue</t>
  </si>
  <si>
    <t>Lync - Contacts and Groups</t>
  </si>
  <si>
    <t>Team Structure with Photo</t>
  </si>
  <si>
    <t>Request a Change Control What and How?</t>
  </si>
  <si>
    <t>Set-ExecutionPolicy Unrestricte</t>
  </si>
  <si>
    <t>Code I R3 and merge in Main branch!</t>
  </si>
  <si>
    <t>Add error details into the tool</t>
  </si>
  <si>
    <t>Update EAM_Mahesh to EAM</t>
  </si>
  <si>
    <t>while taking latest from TFS</t>
  </si>
  <si>
    <t>Story Points - 3 &lt; 1 day 5 = 1 day 8 = 3 days</t>
  </si>
  <si>
    <t>Release Planning</t>
  </si>
  <si>
    <t>Breaking Session</t>
  </si>
  <si>
    <t>Day 0</t>
  </si>
  <si>
    <t>Grooming</t>
  </si>
  <si>
    <t>DLM - Monthly Data Load</t>
  </si>
  <si>
    <t>File Listener</t>
  </si>
  <si>
    <t>SSMS</t>
  </si>
  <si>
    <t>Here’s R2 screen from CMS initiated…auto-enrollment and editable. - Assign TrrType as 1</t>
  </si>
  <si>
    <t>In the below TRR doc location we have the list of fields and source when creating 72 TC. 
There are about 5 plus fields that we are populating when creating the auto transaction that in the sheet are marked as NA.</t>
  </si>
  <si>
    <t>TRR</t>
  </si>
  <si>
    <t>Auto Shelveset</t>
  </si>
  <si>
    <t>windows Dbg - Debugging</t>
  </si>
  <si>
    <t>Analyze Log - Tool</t>
  </si>
  <si>
    <t>\\dev.trizetto.com\dfs\release_management\Development\Tools\NodeJS</t>
  </si>
  <si>
    <t>SQL 2014, SQL Server 2012, sql data tool</t>
  </si>
  <si>
    <t>Reports</t>
  </si>
  <si>
    <t>Rx id is empty - Tejas issue</t>
  </si>
  <si>
    <t>Merge the code to Main</t>
  </si>
  <si>
    <t>set up short cut for sp_Helptext</t>
  </si>
  <si>
    <t>Proces s- Restore DB</t>
  </si>
  <si>
    <t>Off cycle</t>
  </si>
  <si>
    <t>Release</t>
  </si>
  <si>
    <t>Set up local debugging</t>
  </si>
  <si>
    <t>Disable job serach</t>
  </si>
  <si>
    <t>Interactive and non inetractive report.</t>
  </si>
  <si>
    <t>Report change</t>
  </si>
  <si>
    <t>Template change</t>
  </si>
  <si>
    <t>MS Reports</t>
  </si>
  <si>
    <t>Report Template</t>
  </si>
  <si>
    <t>HO wmany characters</t>
  </si>
  <si>
    <t>How many DB objects for each product?</t>
  </si>
  <si>
    <t>Mitigation Plan</t>
  </si>
  <si>
    <t>Buld process</t>
  </si>
  <si>
    <t>Regression</t>
  </si>
  <si>
    <t xml:space="preserve">Tools for debugging or analyzing logs:
1)      Remote Debugging using Visual Studio
a.      \\dev.trizetto.com\dfs\release_management\Development\Tools\remotedebugging_setup_x64.exe
b.      This is used only by the SE for dev server debugging in case logs are not useful
2)      Baretail:
a.      \\dev.trizetto.com\dfs\release_management\Development\Tools\baretail.exe
b.      This can be used by SE and QA to view logs in color coded for easy analysis
3)      Kibana:
a.      \\dev.trizetto.com\dfs\release_management\Development\Tools\kibana-5.0.0-windows-x86.zip
b.      This can be used by SE and QA to view the activity logs for easy analysis
If you have any doubt while using the above tools then refer to the video recording uploaded at:
https://doc.trizetto.com/pages/viewpage.action?pageId=153299105
</t>
  </si>
  <si>
    <t>https://tms-dev.abn-tms-app-d09.dev.trizetto.com:44330/tms/</t>
  </si>
  <si>
    <t xml:space="preserve">Please look into this tool for improve debugging, and let me know if you think it can be any help for you.
https://oz-code.com/
</t>
  </si>
  <si>
    <t>Home Depot</t>
  </si>
  <si>
    <t>Changes to services</t>
  </si>
  <si>
    <t>Mobile Data</t>
  </si>
  <si>
    <t>MAHESH</t>
  </si>
  <si>
    <t>VIDHYA</t>
  </si>
  <si>
    <t>PRABHA</t>
  </si>
  <si>
    <t>Sarvesh (Ipad)</t>
  </si>
  <si>
    <t>Internatinal call</t>
  </si>
  <si>
    <t>Vinod</t>
  </si>
  <si>
    <t>Still</t>
  </si>
  <si>
    <t>Car Pool</t>
  </si>
  <si>
    <t>BOA - 9070</t>
  </si>
  <si>
    <t>union bank</t>
  </si>
  <si>
    <t>Cox enterprises</t>
  </si>
  <si>
    <t>GEP</t>
  </si>
  <si>
    <t>Axi</t>
  </si>
  <si>
    <t>Kishore</t>
  </si>
  <si>
    <t>Bala</t>
  </si>
  <si>
    <t>Randstad Technologies</t>
  </si>
  <si>
    <t>Jacksonville BOA - Candace</t>
  </si>
  <si>
    <t>Difference between ASP.NET MVC and AngularJS MVC?
ASP.NET - server side technology
angular js - UI technology</t>
  </si>
  <si>
    <t>Why we need 3 - factory, provider, services? Which one use when?</t>
  </si>
  <si>
    <t>AT&amp;T</t>
  </si>
  <si>
    <t>what is AngularJS?
Why angular JS-&gt;page never reload!URL  hash!
D.Injection
Testing
2 way binding
Control and flexibility
other features - directives , filters etc.</t>
  </si>
  <si>
    <t>Aug-15-2017</t>
  </si>
  <si>
    <t>D.Btw link and compile?
D.Btw ui router and ng route?</t>
  </si>
  <si>
    <t>Year</t>
  </si>
  <si>
    <t>Month</t>
  </si>
  <si>
    <t>SemiMonthly</t>
  </si>
  <si>
    <t>BiWeekly</t>
  </si>
  <si>
    <t>Weely</t>
  </si>
  <si>
    <t>Daily</t>
  </si>
  <si>
    <t>Hourly</t>
  </si>
  <si>
    <t>Deepali (0598)</t>
  </si>
  <si>
    <t>Prabha (8761)</t>
  </si>
  <si>
    <t>Prasanna (0196)</t>
  </si>
  <si>
    <t>Talk</t>
  </si>
  <si>
    <t>Amtex</t>
  </si>
  <si>
    <t>ASP.NET MVC 5</t>
  </si>
  <si>
    <t>.NET 4.0/4.5/4.6</t>
  </si>
  <si>
    <t>Web API</t>
  </si>
  <si>
    <t>EF</t>
  </si>
  <si>
    <t>Ado.NET</t>
  </si>
  <si>
    <t>HTML  5</t>
  </si>
  <si>
    <t>CSS3</t>
  </si>
  <si>
    <t>Angular 2.0</t>
  </si>
  <si>
    <t>DB -Oracle</t>
  </si>
  <si>
    <t>DB- SQL Server</t>
  </si>
  <si>
    <t>PL SQL and MS SQL</t>
  </si>
  <si>
    <t>REST</t>
  </si>
  <si>
    <t>SOAP</t>
  </si>
  <si>
    <t>XML</t>
  </si>
  <si>
    <t>JSON</t>
  </si>
  <si>
    <t>TFS</t>
  </si>
  <si>
    <t>BI Publisher</t>
  </si>
  <si>
    <t xml:space="preserve"> Kendo Ui (Telerik)</t>
  </si>
  <si>
    <t>Azure</t>
  </si>
  <si>
    <t>Crystal Reports</t>
  </si>
  <si>
    <t>SSRS</t>
  </si>
  <si>
    <t>diff btw web form and mvc?
https://www.youtube.com/watch?v=4wkMNhq8mqs</t>
  </si>
  <si>
    <t>one time charge</t>
  </si>
  <si>
    <t>multi Insurance</t>
  </si>
  <si>
    <t>Data and text usage</t>
  </si>
  <si>
    <t xml:space="preserve">BAPITHA </t>
  </si>
  <si>
    <t>SHARED ITEM</t>
  </si>
  <si>
    <t xml:space="preserve">request flow in MVC.
 &lt; 3. View --1 - Controller &lt;---&gt;  2. Model </t>
  </si>
  <si>
    <r>
      <rPr>
        <b/>
        <sz val="11"/>
        <color theme="1"/>
        <rFont val="Calibri"/>
        <family val="2"/>
        <scheme val="minor"/>
      </rPr>
      <t>Routing in MVC.</t>
    </r>
    <r>
      <rPr>
        <sz val="11"/>
        <color theme="1"/>
        <rFont val="Calibri"/>
        <family val="2"/>
        <scheme val="minor"/>
      </rPr>
      <t xml:space="preserve">
Basically, Routing is a pattern matching system that monitor the incoming request and figure out what to do with that request. At runtime, </t>
    </r>
    <r>
      <rPr>
        <b/>
        <sz val="11"/>
        <color theme="1"/>
        <rFont val="Calibri"/>
        <family val="2"/>
        <scheme val="minor"/>
      </rPr>
      <t>Routing engine</t>
    </r>
    <r>
      <rPr>
        <sz val="11"/>
        <color theme="1"/>
        <rFont val="Calibri"/>
        <family val="2"/>
        <scheme val="minor"/>
      </rPr>
      <t xml:space="preserve"> use the</t>
    </r>
    <r>
      <rPr>
        <b/>
        <sz val="11"/>
        <color theme="1"/>
        <rFont val="Calibri"/>
        <family val="2"/>
        <scheme val="minor"/>
      </rPr>
      <t xml:space="preserve"> Route table</t>
    </r>
    <r>
      <rPr>
        <sz val="11"/>
        <color theme="1"/>
        <rFont val="Calibri"/>
        <family val="2"/>
        <scheme val="minor"/>
      </rPr>
      <t xml:space="preserve"> for matching the incoming request's URL pattern against the URL patterns defined in the Route table.</t>
    </r>
  </si>
  <si>
    <t>Digest Cycle, Watchers</t>
  </si>
  <si>
    <t>share/pass data between ng controllers</t>
  </si>
  <si>
    <t xml:space="preserve">Diff btw Service/Factory/Provider?
Factory --&gt; return function's return value
Provider --&gt; returns  function's get's return value
Service --&gt; returns function
Type    | Singleton| Instantiable | Configurable|
---------------------------------------------------  
| Factory | Yes      | No           | No          |
---------------------------------------------------  
| Service | Yes      | Yes          | No          |
---------------------------------------------------  
| Provider| Yes      | Yes          | Yes         |       
--------------------------------------------------- </t>
  </si>
  <si>
    <t>D.F ActionResult and ActionView in MVC?</t>
  </si>
  <si>
    <t>Reference #1</t>
  </si>
  <si>
    <t>(Current Project)</t>
  </si>
  <si>
    <t>Company</t>
  </si>
  <si>
    <t>Applicant’s Title</t>
  </si>
  <si>
    <t> IT Analyst</t>
  </si>
  <si>
    <t>Start Date</t>
  </si>
  <si>
    <t>End Date</t>
  </si>
  <si>
    <t>Supervisor Name</t>
  </si>
  <si>
    <t>Supervisor Title</t>
  </si>
  <si>
    <t> Manager</t>
  </si>
  <si>
    <t>Supervisor Email ID &amp;</t>
  </si>
  <si>
    <t>Supervisor’s Phone #</t>
  </si>
  <si>
    <t>Reference #2</t>
  </si>
  <si>
    <t> TATA Consultancy Services</t>
  </si>
  <si>
    <t> JUne 2012</t>
  </si>
  <si>
    <t> June2013</t>
  </si>
  <si>
    <t> Dhanapal Samiapan</t>
  </si>
  <si>
    <r>
      <t> </t>
    </r>
    <r>
      <rPr>
        <sz val="11"/>
        <color rgb="FF000000"/>
        <rFont val="Times New Roman"/>
        <family val="1"/>
      </rPr>
      <t>dsamiappan@gmail.com</t>
    </r>
  </si>
  <si>
    <t> Sr. Software Engineer</t>
  </si>
  <si>
    <t> June 2016</t>
  </si>
  <si>
    <t> Till now</t>
  </si>
  <si>
    <t>Cognizant</t>
  </si>
  <si>
    <t> Mahesh, Waware</t>
  </si>
  <si>
    <r>
      <t> </t>
    </r>
    <r>
      <rPr>
        <sz val="11"/>
        <color rgb="FF000000"/>
        <rFont val="Times New Roman"/>
        <family val="1"/>
      </rPr>
      <t>Mahesh.waware@gmail.com</t>
    </r>
  </si>
  <si>
    <t>(973) 342 1420</t>
  </si>
  <si>
    <r>
      <t xml:space="preserve">Abstract class and interface, when to use what?
overriding and overloading, how both are done?
protected and internal - protected-internal?
sealed  class  -- non inherited class
Abstract and Virtual Functions
protected and virtual , override and new key word in C#
</t>
    </r>
    <r>
      <rPr>
        <b/>
        <sz val="11"/>
        <color theme="1"/>
        <rFont val="Calibri"/>
        <family val="2"/>
        <scheme val="minor"/>
      </rPr>
      <t>keywords: abstract, sealed, static, [virtual], 
override METHOD OVERRIDING
new (create object, modifer - METHOD HIDING, constraint)</t>
    </r>
  </si>
  <si>
    <t>ref (two way caller and callee , should assign before call) and out (one way fromcalle tocaller , no need to assign before call but it should assign before returning.)</t>
  </si>
  <si>
    <t>in proc (web server) and out proc (ASP.Net State Service) Sql Server Mode and Custom mode</t>
  </si>
  <si>
    <t>asp.net page life cycle.
https://blogs.msdn.microsoft.com/aspnetue/2010/01/14/asp-net-page-life-cycle-diagram/
Start, Load, Event Handling,Validation,Prerendering, Rendering, Unload</t>
  </si>
  <si>
    <t>master pages - for consistent loook of an application</t>
  </si>
  <si>
    <t>routing - redirect or map url
/URL Rewriting in asp.net --&gt; change/rewrite url</t>
  </si>
  <si>
    <t>thread and process - program + state of all thread executing in program</t>
  </si>
  <si>
    <t>Authentication, Authorization,
Identity - loggred in user details
Principal - Logged in role details</t>
  </si>
  <si>
    <t>a.Equal(b)  --&gt; coimpare content
 and a == b --&gt; Reference comparision
But for string datatype it will do onlt content coparision for both == and .Equals</t>
  </si>
  <si>
    <t>strong typing (Static language - JAVA, C#, C, C+) (All .NET Objects - have type information) 
Explicit data typeconversion is required
and weak typing (Dynamic Language - Python, JavaScript) (no type information eg: XML, JSON)
Implcit data type conversion will be done automatically
static and dynamic language</t>
  </si>
  <si>
    <t>Assembly Qualified Name - assembly internal name with name , version, culture and public key token
 e.g. Fully Qualified Assembly Name. mscorelib, Version=2.0.0.0, Culture=neutral, PublicKeyToken=b77a5c561934e089.</t>
  </si>
  <si>
    <r>
      <rPr>
        <b/>
        <sz val="11"/>
        <color theme="1"/>
        <rFont val="Calibri"/>
        <family val="2"/>
        <scheme val="minor"/>
      </rPr>
      <t>Creational -</t>
    </r>
    <r>
      <rPr>
        <sz val="11"/>
        <color theme="1"/>
        <rFont val="Calibri"/>
        <family val="2"/>
        <scheme val="minor"/>
      </rPr>
      <t xml:space="preserve">
singleton
Factory Method,
Abstract Factory,
Builder,
ProtoType
</t>
    </r>
  </si>
  <si>
    <t>early  binding  - types with all known intellisense
late Binding - Don’t know the method and properties of the type.</t>
  </si>
  <si>
    <t>finalize  (automatically called by GC) and dispose (Explicitly called by developer , also can automatically called when using USING block)?</t>
  </si>
  <si>
    <t>readonly  - Runtime constant eg: PI 3.1 or 3.14
and constant - Compile time constants - eg: cmToMeter always be 100</t>
  </si>
  <si>
    <t>dataset - disconnected and inmemory data and datareader - connected and live data?</t>
  </si>
  <si>
    <t>What's a weakreference? When would you want to use one?
https://docs.microsoft.com/en-us/dotnet/standard/garbage-collection/weak-references</t>
  </si>
  <si>
    <t>Coding Question</t>
  </si>
  <si>
    <t>Diff Btw Static class and singleton class - singleton class instance can pass as a parameter but static class cant</t>
  </si>
  <si>
    <t>When would using Assembly.LoadFrom (Load specified and all other depoendencies dll) or Assembly.LoadFile (Load only specified Dll) be appropriate</t>
  </si>
  <si>
    <t>delegates (Contract)and events (Communication between objects), MultiCast Delegates</t>
  </si>
  <si>
    <t>anonymouse methods(2) and lambda expression(3.5) in C# (same recommendation in lambda expression asit is easy)</t>
  </si>
  <si>
    <t>about  delegates --&gt; Action&lt;&gt; - return void, Predicate&lt;&gt; --&gt; return bool, Funct&lt;&gt; - return T Out</t>
  </si>
  <si>
    <t>How to created custom directive and how to use?
Eg; Slider Button using Directive</t>
  </si>
  <si>
    <t>Shared Controller</t>
  </si>
  <si>
    <t>Web Api</t>
  </si>
  <si>
    <t>Difference between ASP.NET MVC and web api</t>
  </si>
  <si>
    <t>REST in WCF?</t>
  </si>
  <si>
    <t>uri form body attributes</t>
  </si>
  <si>
    <t>Restrict to return only JSONResult</t>
  </si>
  <si>
    <t>Transaction Isolation</t>
  </si>
  <si>
    <t>Read Commit,
Write Committ</t>
  </si>
  <si>
    <r>
      <rPr>
        <b/>
        <sz val="11"/>
        <color theme="1"/>
        <rFont val="Calibri"/>
        <family val="2"/>
        <scheme val="minor"/>
      </rPr>
      <t>Transaction Isolation Level -</t>
    </r>
    <r>
      <rPr>
        <sz val="11"/>
        <color theme="1"/>
        <rFont val="Calibri"/>
        <family val="2"/>
        <scheme val="minor"/>
      </rPr>
      <t xml:space="preserve">
Controls transaction and Row Versioning depends on this isolation level
Read UnCommitted
Read Committed
Repeatable Read
Snapshot
Serailizable</t>
    </r>
  </si>
  <si>
    <t>Normalization and its types?
1 NF -- Atomic Data with Primary Key
2NF -- Foreign key relation shi witholut redundant data
3NF -- Columns should dependonly on primark key and not on other columns
4NF -- should not have multi value dependency
5NF -- if and only if every non-trivial join dependency in it is implied by the candidate keys.
6 NF -- every relation consists of a candidate key plus no more than one other (key or non-key) attribute. 
-- a table is in 6NF when the row contains the Primary Key, and at most one, attribute.</t>
  </si>
  <si>
    <t>DCU -PL</t>
  </si>
  <si>
    <t>DCU - CAR</t>
  </si>
  <si>
    <t>Diff Between Class and Component?</t>
  </si>
  <si>
    <t>ViewChild Decorator</t>
  </si>
  <si>
    <t>npm cache clean and than npm install</t>
  </si>
  <si>
    <t>980-233-6387</t>
  </si>
  <si>
    <t>Senior Web Developer - Modis</t>
  </si>
  <si>
    <t>Disadvantages of angular</t>
  </si>
  <si>
    <t>how to debug angular application</t>
  </si>
  <si>
    <t>8 main partsof angular
1. Module
2. Component
3. Template
4. Metadata
5. Data Binding
6. Service
7.Directive
8.Dependency Injection</t>
  </si>
  <si>
    <t>Infosys</t>
  </si>
  <si>
    <t>Morgan Stanley</t>
  </si>
  <si>
    <t>Bo Reference</t>
  </si>
  <si>
    <t>JobCloud</t>
  </si>
  <si>
    <t>Priyanka - Centervile, VA</t>
  </si>
  <si>
    <t>Eligible BT</t>
  </si>
  <si>
    <t>international call</t>
  </si>
  <si>
    <t>PSEG - dcu</t>
  </si>
  <si>
    <t>V.S. Raju</t>
  </si>
  <si>
    <t>98431 22043</t>
  </si>
  <si>
    <t>Dr. p. Sankar</t>
  </si>
  <si>
    <t>95668 37229</t>
  </si>
  <si>
    <t xml:space="preserve">Jayaraman </t>
  </si>
  <si>
    <t>99424 43055</t>
  </si>
  <si>
    <t>Goat Insurance.</t>
  </si>
  <si>
    <t xml:space="preserve">Kohls </t>
  </si>
  <si>
    <t>bought appa land</t>
  </si>
  <si>
    <t>Mahesh, Waware</t>
  </si>
  <si>
    <t>Mahesh.waware@cognizant.com</t>
  </si>
  <si>
    <t>Cognizant Technology Solution</t>
  </si>
  <si>
    <t xml:space="preserve">.Net </t>
  </si>
  <si>
    <t>.NET Core</t>
  </si>
  <si>
    <t>How to find what is the issue in a page - no response 500</t>
  </si>
  <si>
    <t>SQL Server - patient, doctor and visiting reports</t>
  </si>
  <si>
    <t>login page --&gt; login click - how data passed from view to controller?</t>
  </si>
  <si>
    <t>JCPenny</t>
  </si>
  <si>
    <t>tax-2 (Sukumar)</t>
  </si>
  <si>
    <t>Jul-4-2018</t>
  </si>
  <si>
    <t>Aug-4-2018</t>
  </si>
  <si>
    <t>Extra(school)</t>
  </si>
  <si>
    <t>Table 1 EmployeeName, Spouse Id
Table 2:
Spouse Name and Spouse Id
Get all employees with spouse name.</t>
  </si>
  <si>
    <t>2 ways of getting distinc data forom table?</t>
  </si>
  <si>
    <t>how to get error details if insert fail in transaction?</t>
  </si>
  <si>
    <t>How will you maintain different version of data eg: user 1 get data 1 - updated as data 2 and the same time user get the same dat and updated as data 3?</t>
  </si>
  <si>
    <t>how to make singleton class as thread safe class/</t>
  </si>
  <si>
    <t>can we invoke</t>
  </si>
  <si>
    <t>How many config file per App Pool?</t>
  </si>
  <si>
    <t xml:space="preserve">Rent </t>
  </si>
  <si>
    <t>References</t>
  </si>
  <si>
    <t>https://www.typescriptlang.org/</t>
  </si>
  <si>
    <t>Anand Mishra</t>
  </si>
  <si>
    <t>Pennington</t>
  </si>
  <si>
    <t>Submitted</t>
  </si>
  <si>
    <t>Sham Sundar</t>
  </si>
  <si>
    <t>Deloitte</t>
  </si>
  <si>
    <t>Princeton</t>
  </si>
  <si>
    <t>Jamie Rule</t>
  </si>
  <si>
    <t xml:space="preserve"> IHS Markit</t>
  </si>
  <si>
    <t>NYC</t>
  </si>
  <si>
    <t xml:space="preserve"> 6+ years of experience in software development?
- Hands-on development using ASP.NET 3.5/4.5+, C#?
- SQL Server 2008 - 2016?
- Hands on web front-end UI development experience: HTML, CSS, JavaScript, jQuery, AJAX, XML, etc?
- Experience working with messaging technologies such as MQ, JMS, SOAP, WCF, REST, and FPML?</t>
  </si>
  <si>
    <t>Design, Code, Unit Test Angular 2 (Typescript, JavaScript), ASP.Net Core Web API, Entity Framework Core, performant T-SQL</t>
  </si>
  <si>
    <t>Senior level expertise in Angular JS [3+ years of hands on experience]
2. Senior level expertise in jQuery [5+ years of hands on experience]
3. Senior level expertise in complex JavaScript development using OO JS concepts, prototypes, and various JS Libraries/Frameworks [3+] years - for example: Flux JS, Node JS, React, Karma
4. Senior level expertise in setting up and configuring enterprise level JavaScript based web applications using Grunt, Gulp, JSPM
5. Senior level expertise .NET Web Services development [~5 years]
6. Some expertise in SQL Server Database development and data architecture</t>
  </si>
  <si>
    <t>Synechron</t>
  </si>
  <si>
    <t>Zen Tech</t>
  </si>
  <si>
    <t>Optimum (Cash)</t>
  </si>
  <si>
    <t>Suresh, Chinappan</t>
  </si>
  <si>
    <t>(480) 483-4610</t>
  </si>
  <si>
    <t>Early Warning Services</t>
  </si>
  <si>
    <t>Monthly Salary</t>
  </si>
  <si>
    <t>Yearly</t>
  </si>
  <si>
    <t>Regular</t>
  </si>
  <si>
    <t>COLA</t>
  </si>
  <si>
    <t>Federal Tax</t>
  </si>
  <si>
    <t>NJ Tax</t>
  </si>
  <si>
    <t>Day</t>
  </si>
  <si>
    <t>Per Year</t>
  </si>
  <si>
    <t>Expected monthly</t>
  </si>
  <si>
    <t xml:space="preserve">Cloud Team </t>
  </si>
  <si>
    <t xml:space="preserve"> Booby</t>
  </si>
  <si>
    <t>HomeDepot</t>
  </si>
  <si>
    <t>tax-2 (India)</t>
  </si>
  <si>
    <t>Divya</t>
  </si>
  <si>
    <t>Assets</t>
  </si>
  <si>
    <t xml:space="preserve">ECR </t>
  </si>
  <si>
    <t>60L</t>
  </si>
  <si>
    <t>Appa 16c</t>
  </si>
  <si>
    <t>10L</t>
  </si>
  <si>
    <t>Sentamil Nagar</t>
  </si>
  <si>
    <t>Default</t>
  </si>
  <si>
    <t xml:space="preserve"> if you had to implement a UI using grid technology , which would you use and why? Dis and adv of using it?</t>
  </si>
  <si>
    <t>Have you worked with cloud technology</t>
  </si>
  <si>
    <t>1.Tell about you latest Project and what technologies you use.
2. why do you use WCF restful service in you project instead of WebApi.
3. Difference between MVC and MVVM model.
4, Have you used any design patterns
5. Difference between factory and Abstract Design Pattern
6. What are directives in angularJs and types of directives.
7. Can we use Jquery with AngularJS
8. Factory pattern in AngularJS.
9. Have you used ORM
10. Types of indexes in SQL Server and maximum no of indexes.</t>
  </si>
  <si>
    <t xml:space="preserve">
1.     Difference between overloading and overriding
2.     What is dependency injection
3.     How to you debug if your light is not working
4.     can same method returns different datatype value in overloading
5.     I have a person object with First, Middle &amp; Last Name properties, I have a list&lt;person&gt;, How to get a list that only gets the first name from persons list?
6.     What does ? mean in "DataType?"
7.     Background and responsiblity</t>
  </si>
  <si>
    <r>
      <t>  </t>
    </r>
    <r>
      <rPr>
        <sz val="10"/>
        <color rgb="FF000000"/>
        <rFont val="Times New Roman"/>
        <family val="1"/>
      </rPr>
      <t>What Unit Testing tool you used/familiar with?</t>
    </r>
  </si>
  <si>
    <r>
      <t>3.</t>
    </r>
    <r>
      <rPr>
        <sz val="7"/>
        <color rgb="FF000000"/>
        <rFont val="Times New Roman"/>
        <family val="1"/>
      </rPr>
      <t>     </t>
    </r>
    <r>
      <rPr>
        <sz val="10"/>
        <color rgb="FF000000"/>
        <rFont val="Times New Roman"/>
        <family val="1"/>
      </rPr>
      <t>What Mock Framework used?</t>
    </r>
  </si>
  <si>
    <r>
      <t>4.</t>
    </r>
    <r>
      <rPr>
        <sz val="7"/>
        <color rgb="FF000000"/>
        <rFont val="Times New Roman"/>
        <family val="1"/>
      </rPr>
      <t>     </t>
    </r>
    <r>
      <rPr>
        <sz val="10"/>
        <color rgb="FF000000"/>
        <rFont val="Times New Roman"/>
        <family val="1"/>
      </rPr>
      <t>What Dependency Injection Container used?</t>
    </r>
  </si>
  <si>
    <r>
      <t>5.</t>
    </r>
    <r>
      <rPr>
        <sz val="7"/>
        <color rgb="FF000000"/>
        <rFont val="Times New Roman"/>
        <family val="1"/>
      </rPr>
      <t>     </t>
    </r>
    <r>
      <rPr>
        <sz val="10"/>
        <color rgb="FF000000"/>
        <rFont val="Times New Roman"/>
        <family val="1"/>
      </rPr>
      <t>Are you familiar with Agile/Scrum?</t>
    </r>
  </si>
  <si>
    <r>
      <t>6.</t>
    </r>
    <r>
      <rPr>
        <sz val="7"/>
        <color rgb="FF000000"/>
        <rFont val="Times New Roman"/>
        <family val="1"/>
      </rPr>
      <t>     </t>
    </r>
    <r>
      <rPr>
        <sz val="10"/>
        <color rgb="FF000000"/>
        <rFont val="Times New Roman"/>
        <family val="1"/>
      </rPr>
      <t>What Contiguous Build Tool you used?</t>
    </r>
  </si>
  <si>
    <t xml:space="preserve">1.  How would you rate yourself on the front-end (HTML, CSS, JavaScript)
8.     Difference between Abstract and Virtual?
9.     Difference between overloading and overriding
10.  I have web page with 10 questions &amp; 10 answers submitted by user? what data structure you would use to get at the server side?
</t>
  </si>
  <si>
    <t>Are you familiar with Agile/Scrum?</t>
  </si>
  <si>
    <t>What Contiguous Build Tool you used?</t>
  </si>
  <si>
    <t>How would you test a business object that depends on a repository class?</t>
  </si>
  <si>
    <r>
      <t>7.</t>
    </r>
    <r>
      <rPr>
        <sz val="7"/>
        <color rgb="FF000000"/>
        <rFont val="Times New Roman"/>
        <family val="1"/>
      </rPr>
      <t>     </t>
    </r>
    <r>
      <rPr>
        <sz val="10"/>
        <color rgb="FF000000"/>
        <rFont val="Times New Roman"/>
        <family val="1"/>
      </rPr>
      <t>Difference b/w composition vs inheritenace</t>
    </r>
  </si>
  <si>
    <r>
      <t>8.</t>
    </r>
    <r>
      <rPr>
        <sz val="7"/>
        <color rgb="FF000000"/>
        <rFont val="Times New Roman"/>
        <family val="1"/>
      </rPr>
      <t>     </t>
    </r>
    <r>
      <rPr>
        <sz val="10"/>
        <color rgb="FF000000"/>
        <rFont val="Times New Roman"/>
        <family val="1"/>
      </rPr>
      <t>Difference b/w aggregation and composition</t>
    </r>
  </si>
  <si>
    <r>
      <t>9.</t>
    </r>
    <r>
      <rPr>
        <sz val="7"/>
        <color rgb="FF000000"/>
        <rFont val="Times New Roman"/>
        <family val="1"/>
      </rPr>
      <t>     </t>
    </r>
    <r>
      <rPr>
        <sz val="10"/>
        <color rgb="FF000000"/>
        <rFont val="Times New Roman"/>
        <family val="1"/>
      </rPr>
      <t>What continuos integration tool are you using in your project?</t>
    </r>
  </si>
  <si>
    <r>
      <t>10.</t>
    </r>
    <r>
      <rPr>
        <sz val="7"/>
        <color rgb="FF000000"/>
        <rFont val="Times New Roman"/>
        <family val="1"/>
      </rPr>
      <t>  </t>
    </r>
    <r>
      <rPr>
        <sz val="10"/>
        <color rgb="FF000000"/>
        <rFont val="Times New Roman"/>
        <family val="1"/>
      </rPr>
      <t>Do you have any questions?</t>
    </r>
  </si>
  <si>
    <r>
      <t> </t>
    </r>
    <r>
      <rPr>
        <sz val="10"/>
        <color rgb="FF000000"/>
        <rFont val="Times New Roman"/>
        <family val="1"/>
      </rPr>
      <t>Explain Software Development Process flow ?</t>
    </r>
  </si>
  <si>
    <t>Difference between Display vs Visibility in CSS ?
5)      Write jQuery code to get div which is without id,name,class</t>
  </si>
  <si>
    <r>
      <t>)</t>
    </r>
    <r>
      <rPr>
        <sz val="7"/>
        <color rgb="FF000000"/>
        <rFont val="Arial"/>
        <family val="2"/>
      </rPr>
      <t>  </t>
    </r>
    <r>
      <rPr>
        <sz val="10"/>
        <color rgb="FF000000"/>
        <rFont val="Times New Roman"/>
        <family val="1"/>
      </rPr>
      <t>What is Dependence Injection or IOC. Which one do u know or used?</t>
    </r>
  </si>
  <si>
    <r>
      <t>13)</t>
    </r>
    <r>
      <rPr>
        <sz val="7"/>
        <color rgb="FF000000"/>
        <rFont val="Arial"/>
        <family val="2"/>
      </rPr>
      <t>  </t>
    </r>
    <r>
      <rPr>
        <sz val="10"/>
        <color rgb="FF000000"/>
        <rFont val="Times New Roman"/>
        <family val="1"/>
      </rPr>
      <t>Which ORM do u know ? What is Lazy loading ?</t>
    </r>
  </si>
  <si>
    <t xml:space="preserve">   Tell me about yourself
2.     What ORM technologies have you used?
3.     What are the new features of MVC3
4.     What is overloading?
5.     What is lazy loading? What is eager loadiing</t>
  </si>
  <si>
    <t>DependencyInjection</t>
  </si>
  <si>
    <t>Zen Pack</t>
  </si>
  <si>
    <t>Verizon</t>
  </si>
  <si>
    <t>TransPort</t>
  </si>
  <si>
    <t>TOTAL BILL: 528.96</t>
  </si>
  <si>
    <t>Jeya (7985)</t>
  </si>
  <si>
    <t>Jawa (7986)</t>
  </si>
  <si>
    <t>Paresh (Ipad)</t>
  </si>
  <si>
    <t>BILL TOTAL</t>
  </si>
  <si>
    <t>SPLIT BILL</t>
  </si>
  <si>
    <t>total</t>
  </si>
  <si>
    <t>Jeya</t>
  </si>
  <si>
    <t>Jawa</t>
  </si>
  <si>
    <t>Deepali</t>
  </si>
  <si>
    <t>STEP:1</t>
  </si>
  <si>
    <t>STEP:2</t>
  </si>
  <si>
    <t>Adjustments</t>
  </si>
  <si>
    <t>STEP 3:</t>
  </si>
  <si>
    <t>Bingo offer</t>
  </si>
  <si>
    <t>add modile data</t>
  </si>
  <si>
    <t>Difference</t>
  </si>
  <si>
    <t>STEP  4:</t>
  </si>
  <si>
    <t>STEP 5:</t>
  </si>
  <si>
    <t>AXIS BANK LOAN</t>
  </si>
  <si>
    <t>share the  difference</t>
  </si>
  <si>
    <t xml:space="preserve">1. working hours and usual time?
2. Any possibility of extra hours?
3. </t>
  </si>
  <si>
    <t>1. within 10 miles from home
2. full time/contract with 65$
3. long term
4. immediate green card processing?</t>
  </si>
  <si>
    <t>DAYS</t>
  </si>
  <si>
    <t>WEEK</t>
  </si>
  <si>
    <t>MONTHS</t>
  </si>
  <si>
    <t>Iris</t>
  </si>
  <si>
    <t>Baanyan Software</t>
  </si>
  <si>
    <t>ISO</t>
  </si>
  <si>
    <t>Raja</t>
  </si>
  <si>
    <t>Arvind</t>
  </si>
  <si>
    <t>Shyamala</t>
  </si>
  <si>
    <t>Shyama</t>
  </si>
  <si>
    <t>Rajasekar</t>
  </si>
  <si>
    <t>online</t>
  </si>
  <si>
    <t>Prepare answer for interview questions</t>
  </si>
  <si>
    <t>Fill Bakground check form</t>
  </si>
  <si>
    <t>Talk to Raju NTK</t>
  </si>
  <si>
    <t>FT</t>
  </si>
  <si>
    <t>22000 - AMEX</t>
  </si>
  <si>
    <t>24003 - CITI</t>
  </si>
  <si>
    <t>closed one of BT -  9070</t>
  </si>
  <si>
    <t>P.Loan</t>
  </si>
  <si>
    <t>Credit Card</t>
  </si>
  <si>
    <t>Jewel</t>
  </si>
  <si>
    <t>in 5 days.</t>
  </si>
  <si>
    <t>========================</t>
  </si>
  <si>
    <t>full name</t>
  </si>
  <si>
    <t>NEFT --&gt; Axis bank Ltd --&gt; PPRloan number -- IFSC code: UPTIB0000245</t>
  </si>
  <si>
    <t>Visa Transfer Visa Process</t>
  </si>
  <si>
    <t>Visa Types? H1-B, L types, B Types</t>
  </si>
  <si>
    <t>Recruitment</t>
  </si>
  <si>
    <t>Marketing</t>
  </si>
  <si>
    <t>Visa Transfer</t>
  </si>
  <si>
    <t>HR</t>
  </si>
  <si>
    <t>Candidate</t>
  </si>
  <si>
    <t>To be Aware?</t>
  </si>
  <si>
    <t>Cost Saving to Client?</t>
  </si>
  <si>
    <t>Company Web site? AWS!</t>
  </si>
  <si>
    <t>Have static IP</t>
  </si>
  <si>
    <t>Patent Registration/Trade Mark</t>
  </si>
  <si>
    <t>Demo of Product!</t>
  </si>
  <si>
    <t>PPT Presentation</t>
  </si>
  <si>
    <t>Price of Product? Hours Spent?</t>
  </si>
  <si>
    <t>Browse all related products!</t>
  </si>
  <si>
    <t>Maligai Kadai</t>
  </si>
  <si>
    <t>Class Library</t>
  </si>
  <si>
    <t>Company Name</t>
  </si>
  <si>
    <t>Register a company</t>
  </si>
  <si>
    <t>WebApi</t>
  </si>
  <si>
    <t>Api Functions</t>
  </si>
  <si>
    <t>GetI-94Details()</t>
  </si>
  <si>
    <t>Problems</t>
  </si>
  <si>
    <t>Not Clarity</t>
  </si>
  <si>
    <t>Lot of emails</t>
  </si>
  <si>
    <t>Hard to maintain</t>
  </si>
  <si>
    <t>Repeatable process</t>
  </si>
  <si>
    <t>Knowledge transfer items:</t>
  </si>
  <si>
    <r>
      <t>1.</t>
    </r>
    <r>
      <rPr>
        <sz val="7"/>
        <color theme="1"/>
        <rFont val="Times New Roman"/>
        <family val="1"/>
      </rPr>
      <t xml:space="preserve">       </t>
    </r>
    <r>
      <rPr>
        <sz val="11"/>
        <color theme="1"/>
        <rFont val="Calibri"/>
        <family val="2"/>
        <scheme val="minor"/>
      </rPr>
      <t>Create Spatial status plan flow chart</t>
    </r>
  </si>
  <si>
    <r>
      <t>2.</t>
    </r>
    <r>
      <rPr>
        <sz val="7"/>
        <color theme="1"/>
        <rFont val="Times New Roman"/>
        <family val="1"/>
      </rPr>
      <t xml:space="preserve">       </t>
    </r>
    <r>
      <rPr>
        <sz val="11"/>
        <color theme="1"/>
        <rFont val="Calibri"/>
        <family val="2"/>
        <scheme val="minor"/>
      </rPr>
      <t>TRR Update action and Enrollment span flow before spans</t>
    </r>
  </si>
  <si>
    <r>
      <t>3.</t>
    </r>
    <r>
      <rPr>
        <sz val="7"/>
        <color theme="1"/>
        <rFont val="Times New Roman"/>
        <family val="1"/>
      </rPr>
      <t>        </t>
    </r>
    <r>
      <rPr>
        <sz val="11"/>
        <color theme="1"/>
        <rFont val="Calibri"/>
        <family val="2"/>
        <scheme val="minor"/>
      </rPr>
      <t>Future Rx updates</t>
    </r>
  </si>
  <si>
    <t>Work in progress to be completed:</t>
  </si>
  <si>
    <r>
      <t>4.</t>
    </r>
    <r>
      <rPr>
        <sz val="7"/>
        <color theme="1"/>
        <rFont val="Times New Roman"/>
        <family val="1"/>
      </rPr>
      <t xml:space="preserve">       </t>
    </r>
    <r>
      <rPr>
        <sz val="11"/>
        <color theme="1"/>
        <rFont val="Calibri"/>
        <family val="2"/>
        <scheme val="minor"/>
      </rPr>
      <t>Installer changes for the port number : some work done in hardening , complete the remaining changes and create a shelve set</t>
    </r>
  </si>
  <si>
    <r>
      <t>5.</t>
    </r>
    <r>
      <rPr>
        <sz val="7"/>
        <color theme="1"/>
        <rFont val="Times New Roman"/>
        <family val="1"/>
      </rPr>
      <t xml:space="preserve">       </t>
    </r>
    <r>
      <rPr>
        <sz val="11"/>
        <color theme="1"/>
        <rFont val="Calibri"/>
        <family val="2"/>
        <scheme val="minor"/>
      </rPr>
      <t>Open dev fixes</t>
    </r>
  </si>
  <si>
    <r>
      <t>6.</t>
    </r>
    <r>
      <rPr>
        <sz val="7"/>
        <color theme="1"/>
        <rFont val="Times New Roman"/>
        <family val="1"/>
      </rPr>
      <t xml:space="preserve">       </t>
    </r>
    <r>
      <rPr>
        <sz val="11"/>
        <color theme="1"/>
        <rFont val="Calibri"/>
        <family val="2"/>
        <scheme val="minor"/>
      </rPr>
      <t>Spike for defect:  File Name appearing as N/A in File Processing Status Page of FRM, RAM, RSM</t>
    </r>
  </si>
  <si>
    <r>
      <t>1.</t>
    </r>
    <r>
      <rPr>
        <sz val="7"/>
        <color theme="1"/>
        <rFont val="Times New Roman"/>
        <family val="1"/>
      </rPr>
      <t xml:space="preserve">       </t>
    </r>
    <r>
      <rPr>
        <sz val="11"/>
        <color theme="1"/>
        <rFont val="Calibri"/>
        <family val="2"/>
        <scheme val="minor"/>
      </rPr>
      <t>Create Special status plan flow chart</t>
    </r>
  </si>
  <si>
    <r>
      <t>3.</t>
    </r>
    <r>
      <rPr>
        <sz val="7"/>
        <color rgb="FFFF0000"/>
        <rFont val="Times New Roman"/>
        <family val="1"/>
      </rPr>
      <t>        </t>
    </r>
    <r>
      <rPr>
        <sz val="11"/>
        <color rgb="FFFF0000"/>
        <rFont val="Calibri"/>
        <family val="2"/>
        <scheme val="minor"/>
      </rPr>
      <t>Future Rx updates</t>
    </r>
  </si>
  <si>
    <r>
      <t>6.</t>
    </r>
    <r>
      <rPr>
        <sz val="7"/>
        <color rgb="FF00B050"/>
        <rFont val="Times New Roman"/>
        <family val="1"/>
      </rPr>
      <t xml:space="preserve">       </t>
    </r>
    <r>
      <rPr>
        <sz val="11"/>
        <color rgb="FF00B050"/>
        <rFont val="Calibri"/>
        <family val="2"/>
        <scheme val="minor"/>
      </rPr>
      <t>Spike for defect:  File Name appearing as N/A in File Processing Status Page of FRM, RAM, RSM</t>
    </r>
  </si>
  <si>
    <r>
      <t>4.</t>
    </r>
    <r>
      <rPr>
        <sz val="7"/>
        <color rgb="FF00B050"/>
        <rFont val="Times New Roman"/>
        <family val="1"/>
      </rPr>
      <t xml:space="preserve">       </t>
    </r>
    <r>
      <rPr>
        <sz val="11"/>
        <color rgb="FF00B050"/>
        <rFont val="Calibri"/>
        <family val="2"/>
        <scheme val="minor"/>
      </rPr>
      <t>Installer changes for the port number : some work done in hardening , complete the remaining changes and create a shelve set</t>
    </r>
  </si>
  <si>
    <t>Done</t>
  </si>
  <si>
    <t>Desk Cleaning - Take all papres and Docs</t>
  </si>
  <si>
    <t>P. Data from Laptop</t>
  </si>
  <si>
    <t>Experience Letter</t>
  </si>
  <si>
    <t>Releiving Letter</t>
  </si>
  <si>
    <t>Skill Certificate</t>
  </si>
  <si>
    <t>Papers</t>
  </si>
  <si>
    <t>Status</t>
  </si>
  <si>
    <t>50% Completed</t>
  </si>
  <si>
    <t>Not Yet Started</t>
  </si>
  <si>
    <t>Not yet Started</t>
  </si>
  <si>
    <t>Completed</t>
  </si>
  <si>
    <t>InProgress</t>
  </si>
  <si>
    <t>Create Special status plan flow chart</t>
  </si>
  <si>
    <t>TRR Update action and Enrollment span flow before spans</t>
  </si>
  <si>
    <r>
      <rPr>
        <sz val="7"/>
        <color rgb="FFFF0000"/>
        <rFont val="Times New Roman"/>
        <family val="1"/>
      </rPr>
      <t xml:space="preserve">  </t>
    </r>
    <r>
      <rPr>
        <sz val="11"/>
        <color rgb="FFFF0000"/>
        <rFont val="Calibri"/>
        <family val="2"/>
        <scheme val="minor"/>
      </rPr>
      <t>Future Rx updates</t>
    </r>
  </si>
  <si>
    <t>Installer changes for the port number : some work done in hardening , complete the remaining changes and create a shelve set</t>
  </si>
  <si>
    <t>Open dev fixes</t>
  </si>
  <si>
    <t>Spike for defect:  File Name appearing as N/A in File Processing Status Page of FRM, RAM, RSM</t>
  </si>
  <si>
    <t xml:space="preserve">990 - 13437107 - DEC 22nd </t>
  </si>
  <si>
    <t>2960 - 6 bounces - 590</t>
  </si>
  <si>
    <t>monthly - 4758</t>
  </si>
  <si>
    <t>13919 principle</t>
  </si>
  <si>
    <t>2014 - bounced</t>
  </si>
  <si>
    <t>2960  - 13437235 -- closure amount (17,047 - 2960)</t>
  </si>
  <si>
    <t>Lalit</t>
  </si>
  <si>
    <t>Installer Changes?</t>
  </si>
  <si>
    <t>Future Rx Updates?</t>
  </si>
  <si>
    <t>o</t>
  </si>
  <si>
    <t>Take this excel backup</t>
  </si>
  <si>
    <t>Print out Questions? In draft!</t>
  </si>
  <si>
    <t>DataBase</t>
  </si>
  <si>
    <t>Stored Proc</t>
  </si>
  <si>
    <t>PDMMetadat</t>
  </si>
  <si>
    <t>spPDM_PDMMetaData_JobRunInfo_By_DBID_SELECT</t>
  </si>
  <si>
    <t>Thanks Giving + no Tz Salary</t>
  </si>
  <si>
    <t>Credit Card's</t>
  </si>
  <si>
    <t>Barsana</t>
  </si>
  <si>
    <t>Expenses Template</t>
  </si>
  <si>
    <t>To India</t>
  </si>
  <si>
    <t>Balance Transfer from DCU - 2800</t>
  </si>
  <si>
    <t>Appa Idam</t>
  </si>
  <si>
    <t>Others (Barsanna)</t>
  </si>
  <si>
    <t>Extra(DCU)</t>
  </si>
  <si>
    <t>Train</t>
  </si>
  <si>
    <t>Dec-4-2018</t>
  </si>
  <si>
    <t>Current salary</t>
  </si>
  <si>
    <t>10% (12.2)</t>
  </si>
  <si>
    <t>Expected</t>
  </si>
  <si>
    <t>Minimujm</t>
  </si>
  <si>
    <t>20% (36.6)</t>
  </si>
  <si>
    <t>Prabha(Priya)</t>
  </si>
  <si>
    <t>dcu</t>
  </si>
  <si>
    <t>uncle</t>
  </si>
  <si>
    <t>13L</t>
  </si>
  <si>
    <t>4L</t>
  </si>
  <si>
    <t>Jan-1-2019</t>
  </si>
  <si>
    <t>boa</t>
  </si>
  <si>
    <t>salary</t>
  </si>
  <si>
    <t>rent</t>
  </si>
  <si>
    <t>Cc1</t>
  </si>
  <si>
    <t>cc1</t>
  </si>
  <si>
    <t xml:space="preserve">Netflix </t>
  </si>
  <si>
    <t>vidhya</t>
  </si>
  <si>
    <t>sukumar</t>
  </si>
  <si>
    <t>bhuvan</t>
  </si>
  <si>
    <t>mutu</t>
  </si>
  <si>
    <t>ashok</t>
  </si>
  <si>
    <t>Other-2</t>
  </si>
  <si>
    <t>Bhuva</t>
  </si>
  <si>
    <t>Outstanding</t>
  </si>
  <si>
    <t>Daily Collection</t>
  </si>
  <si>
    <t>Actual Amount</t>
  </si>
  <si>
    <t>Manikandan</t>
  </si>
  <si>
    <t>collected</t>
  </si>
  <si>
    <t>old loan</t>
  </si>
  <si>
    <t>raju</t>
  </si>
  <si>
    <t>seatu</t>
  </si>
  <si>
    <t>waste</t>
  </si>
  <si>
    <t>Earning</t>
  </si>
  <si>
    <t>Netflix (DCU)</t>
  </si>
  <si>
    <t>Feb-1-2019</t>
  </si>
  <si>
    <t>Mar-1-2019</t>
  </si>
  <si>
    <t>Nov-18-2018</t>
  </si>
  <si>
    <t>May-4-2019</t>
  </si>
  <si>
    <t>Priya Adjustment</t>
  </si>
  <si>
    <t>FINAL  (May -2018)</t>
  </si>
  <si>
    <t>BAPITHA</t>
  </si>
  <si>
    <t>April Sharing</t>
  </si>
  <si>
    <t>Paid</t>
  </si>
  <si>
    <t>Balance for April</t>
  </si>
  <si>
    <t>Sniktha</t>
  </si>
  <si>
    <t>loan</t>
  </si>
  <si>
    <t>Out</t>
  </si>
  <si>
    <t>Aug</t>
  </si>
  <si>
    <t>July</t>
  </si>
  <si>
    <t>Sep</t>
  </si>
  <si>
    <t>Oct</t>
  </si>
  <si>
    <t>Nov</t>
  </si>
  <si>
    <t>Dec</t>
  </si>
  <si>
    <t>Jan</t>
  </si>
  <si>
    <t>Feb</t>
  </si>
  <si>
    <t>Mar</t>
  </si>
  <si>
    <t>Apr</t>
  </si>
  <si>
    <t>May</t>
  </si>
  <si>
    <t>Shared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</si>
</sst>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2" x14ac:knownFonts="1">
    <font>
      <sz val="11"/>
      <color theme="1"/>
      <name val="Calibri"/>
      <family val="2"/>
      <scheme val="minor"/>
    </font>
    <font>
      <b/>
      <sz val="11"/>
      <color theme="1"/>
      <name val="Calibri"/>
      <family val="2"/>
      <scheme val="minor"/>
    </font>
    <font>
      <b/>
      <sz val="11"/>
      <color rgb="FFFF0000"/>
      <name val="Calibri"/>
      <family val="2"/>
      <scheme val="minor"/>
    </font>
    <font>
      <sz val="12"/>
      <color theme="1"/>
      <name val="Calibri"/>
      <family val="2"/>
      <scheme val="minor"/>
    </font>
    <font>
      <sz val="11"/>
      <color rgb="FFFF0000"/>
      <name val="Calibri"/>
      <family val="2"/>
      <scheme val="minor"/>
    </font>
    <font>
      <sz val="11"/>
      <color theme="1"/>
      <name val="Verdana"/>
      <family val="2"/>
    </font>
    <font>
      <b/>
      <sz val="11"/>
      <color rgb="FF2E6E9E"/>
      <name val="Verdana"/>
      <family val="2"/>
    </font>
    <font>
      <u/>
      <sz val="11"/>
      <color theme="10"/>
      <name val="Calibri"/>
      <family val="2"/>
      <scheme val="minor"/>
    </font>
    <font>
      <b/>
      <sz val="11"/>
      <color rgb="FF404040"/>
      <name val="Trebuchet MS"/>
      <family val="2"/>
    </font>
    <font>
      <b/>
      <sz val="11"/>
      <color theme="0"/>
      <name val="Calibri"/>
      <family val="2"/>
      <scheme val="minor"/>
    </font>
    <font>
      <b/>
      <sz val="20"/>
      <color rgb="FFFF0000"/>
      <name val="Calibri"/>
      <family val="2"/>
      <scheme val="minor"/>
    </font>
    <font>
      <b/>
      <sz val="11"/>
      <color rgb="FF333333"/>
      <name val="Arial"/>
      <family val="2"/>
    </font>
    <font>
      <sz val="8"/>
      <color rgb="FF333333"/>
      <name val="Verdana"/>
      <family val="2"/>
    </font>
    <font>
      <sz val="10"/>
      <color rgb="FF000000"/>
      <name val="Tahoma"/>
      <family val="2"/>
    </font>
    <font>
      <b/>
      <sz val="10"/>
      <color rgb="FF000000"/>
      <name val="Tahoma"/>
      <family val="2"/>
    </font>
    <font>
      <sz val="11"/>
      <color rgb="FF92D050"/>
      <name val="Calibri"/>
      <family val="2"/>
      <scheme val="minor"/>
    </font>
    <font>
      <sz val="9"/>
      <color rgb="FF333333"/>
      <name val="Arial"/>
      <family val="2"/>
    </font>
    <font>
      <b/>
      <sz val="9"/>
      <color rgb="FF000000"/>
      <name val="Arial"/>
      <family val="2"/>
    </font>
    <font>
      <sz val="14"/>
      <color rgb="FF333333"/>
      <name val="Arial"/>
      <family val="2"/>
    </font>
    <font>
      <sz val="11"/>
      <color theme="1"/>
      <name val="Symbol"/>
      <family val="1"/>
      <charset val="2"/>
    </font>
    <font>
      <sz val="48"/>
      <color theme="1"/>
      <name val="Calibri"/>
      <family val="2"/>
      <scheme val="minor"/>
    </font>
    <font>
      <b/>
      <sz val="11"/>
      <color rgb="FF00B050"/>
      <name val="Calibri"/>
      <family val="2"/>
      <scheme val="minor"/>
    </font>
    <font>
      <b/>
      <sz val="14"/>
      <color theme="1"/>
      <name val="Calibri"/>
      <family val="2"/>
      <scheme val="minor"/>
    </font>
    <font>
      <b/>
      <sz val="22"/>
      <color theme="1"/>
      <name val="Calibri"/>
      <family val="2"/>
      <scheme val="minor"/>
    </font>
    <font>
      <sz val="11"/>
      <color rgb="FF404040"/>
      <name val="Arial"/>
      <family val="2"/>
    </font>
    <font>
      <b/>
      <sz val="20"/>
      <color theme="1"/>
      <name val="Calibri"/>
      <family val="2"/>
      <scheme val="minor"/>
    </font>
    <font>
      <b/>
      <sz val="9"/>
      <color indexed="81"/>
      <name val="Tahoma"/>
      <family val="2"/>
    </font>
    <font>
      <b/>
      <sz val="18"/>
      <color theme="1"/>
      <name val="Calibri"/>
      <family val="2"/>
      <scheme val="minor"/>
    </font>
    <font>
      <sz val="9"/>
      <color indexed="81"/>
      <name val="Tahoma"/>
      <family val="2"/>
    </font>
    <font>
      <b/>
      <sz val="24"/>
      <color rgb="FFFF0000"/>
      <name val="Calibri"/>
      <family val="2"/>
      <scheme val="minor"/>
    </font>
    <font>
      <b/>
      <sz val="24"/>
      <color theme="1"/>
      <name val="Calibri"/>
      <family val="2"/>
      <scheme val="minor"/>
    </font>
    <font>
      <b/>
      <sz val="20"/>
      <color theme="0"/>
      <name val="Calibri"/>
      <family val="2"/>
      <scheme val="minor"/>
    </font>
    <font>
      <sz val="11"/>
      <color theme="0"/>
      <name val="Calibri"/>
      <family val="2"/>
      <scheme val="minor"/>
    </font>
    <font>
      <sz val="20"/>
      <color theme="0"/>
      <name val="Calibri"/>
      <family val="2"/>
      <scheme val="minor"/>
    </font>
    <font>
      <sz val="11"/>
      <color rgb="FF000000"/>
      <name val="Calibri"/>
      <family val="2"/>
      <scheme val="minor"/>
    </font>
    <font>
      <b/>
      <sz val="11"/>
      <color rgb="FF000000"/>
      <name val="Calibri"/>
      <family val="2"/>
      <scheme val="minor"/>
    </font>
    <font>
      <sz val="11"/>
      <color rgb="FF000000"/>
      <name val="Times New Roman"/>
      <family val="1"/>
    </font>
    <font>
      <sz val="10"/>
      <color rgb="FF000000"/>
      <name val="Times New Roman"/>
      <family val="1"/>
    </font>
    <font>
      <sz val="7"/>
      <color rgb="FF000000"/>
      <name val="Times New Roman"/>
      <family val="1"/>
    </font>
    <font>
      <sz val="7"/>
      <color rgb="FF000000"/>
      <name val="Arial"/>
      <family val="2"/>
    </font>
    <font>
      <b/>
      <sz val="16"/>
      <color theme="1"/>
      <name val="Calibri"/>
      <family val="2"/>
      <scheme val="minor"/>
    </font>
    <font>
      <u/>
      <sz val="11"/>
      <color theme="1"/>
      <name val="Calibri"/>
      <family val="2"/>
      <scheme val="minor"/>
    </font>
    <font>
      <sz val="18"/>
      <color theme="1"/>
      <name val="Calibri"/>
      <family val="2"/>
      <scheme val="minor"/>
    </font>
    <font>
      <sz val="18"/>
      <color rgb="FFFF0000"/>
      <name val="Calibri"/>
      <family val="2"/>
      <scheme val="minor"/>
    </font>
    <font>
      <sz val="7"/>
      <color theme="1"/>
      <name val="Times New Roman"/>
      <family val="1"/>
    </font>
    <font>
      <sz val="7"/>
      <color rgb="FFFF0000"/>
      <name val="Times New Roman"/>
      <family val="1"/>
    </font>
    <font>
      <sz val="11"/>
      <color rgb="FF00B050"/>
      <name val="Calibri"/>
      <family val="2"/>
      <scheme val="minor"/>
    </font>
    <font>
      <sz val="7"/>
      <color rgb="FF00B050"/>
      <name val="Times New Roman"/>
      <family val="1"/>
    </font>
    <font>
      <sz val="14"/>
      <color rgb="FFFF0000"/>
      <name val="Calibri"/>
      <family val="2"/>
      <scheme val="minor"/>
    </font>
    <font>
      <b/>
      <sz val="16"/>
      <color rgb="FFFF0000"/>
      <name val="Calibri"/>
      <family val="2"/>
      <scheme val="minor"/>
    </font>
    <font>
      <sz val="11"/>
      <color rgb="FF006100"/>
      <name val="Calibri"/>
      <family val="2"/>
      <scheme val="minor"/>
    </font>
    <font>
      <sz val="24"/>
      <color theme="1"/>
      <name val="Calibri"/>
      <family val="2"/>
      <scheme val="minor"/>
    </font>
  </fonts>
  <fills count="40">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DFEFFC"/>
        <bgColor indexed="64"/>
      </patternFill>
    </fill>
    <fill>
      <patternFill patternType="solid">
        <fgColor rgb="FFFF0000"/>
        <bgColor indexed="64"/>
      </patternFill>
    </fill>
    <fill>
      <patternFill patternType="solid">
        <fgColor theme="3" tint="0.59999389629810485"/>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ECF1F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7F7F8"/>
        <bgColor indexed="64"/>
      </patternFill>
    </fill>
    <fill>
      <patternFill patternType="solid">
        <fgColor theme="0" tint="-0.249977111117893"/>
        <bgColor indexed="64"/>
      </patternFill>
    </fill>
    <fill>
      <patternFill patternType="solid">
        <fgColor rgb="FFFF33CC"/>
        <bgColor indexed="64"/>
      </patternFill>
    </fill>
    <fill>
      <patternFill patternType="solid">
        <fgColor theme="9"/>
        <bgColor indexed="64"/>
      </patternFill>
    </fill>
    <fill>
      <patternFill patternType="solid">
        <fgColor theme="2"/>
        <bgColor indexed="64"/>
      </patternFill>
    </fill>
    <fill>
      <patternFill patternType="solid">
        <fgColor theme="3" tint="0.79998168889431442"/>
        <bgColor indexed="64"/>
      </patternFill>
    </fill>
    <fill>
      <patternFill patternType="solid">
        <fgColor theme="6"/>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6" tint="-0.249977111117893"/>
        <bgColor indexed="64"/>
      </patternFill>
    </fill>
    <fill>
      <patternFill patternType="solid">
        <fgColor rgb="FF7030A0"/>
        <bgColor indexed="64"/>
      </patternFill>
    </fill>
    <fill>
      <patternFill patternType="solid">
        <fgColor theme="5" tint="-0.249977111117893"/>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rgb="FF4488FF"/>
      </left>
      <right/>
      <top style="medium">
        <color rgb="FF4488FF"/>
      </top>
      <bottom/>
      <diagonal/>
    </border>
    <border>
      <left/>
      <right/>
      <top style="medium">
        <color rgb="FF4488FF"/>
      </top>
      <bottom/>
      <diagonal/>
    </border>
    <border>
      <left/>
      <right style="medium">
        <color rgb="FF4488FF"/>
      </right>
      <top style="medium">
        <color rgb="FF4488FF"/>
      </top>
      <bottom/>
      <diagonal/>
    </border>
    <border>
      <left style="medium">
        <color rgb="FF4488FF"/>
      </left>
      <right/>
      <top/>
      <bottom/>
      <diagonal/>
    </border>
    <border>
      <left/>
      <right style="medium">
        <color rgb="FF4488FF"/>
      </right>
      <top/>
      <bottom/>
      <diagonal/>
    </border>
    <border>
      <left style="medium">
        <color rgb="FF4488FF"/>
      </left>
      <right/>
      <top/>
      <bottom style="medium">
        <color rgb="FF4488FF"/>
      </bottom>
      <diagonal/>
    </border>
    <border>
      <left/>
      <right/>
      <top/>
      <bottom style="medium">
        <color rgb="FF4488FF"/>
      </bottom>
      <diagonal/>
    </border>
    <border>
      <left/>
      <right style="medium">
        <color rgb="FF4488FF"/>
      </right>
      <top/>
      <bottom style="medium">
        <color rgb="FF4488FF"/>
      </bottom>
      <diagonal/>
    </border>
    <border>
      <left style="thin">
        <color indexed="64"/>
      </left>
      <right style="thin">
        <color indexed="64"/>
      </right>
      <top/>
      <bottom/>
      <diagonal/>
    </border>
    <border>
      <left/>
      <right style="medium">
        <color rgb="FFCECECE"/>
      </right>
      <top/>
      <bottom style="mediumDashed">
        <color rgb="FFCECECE"/>
      </bottom>
      <diagonal/>
    </border>
    <border>
      <left/>
      <right style="medium">
        <color rgb="FFCECECE"/>
      </right>
      <top/>
      <bottom/>
      <diagonal/>
    </border>
    <border>
      <left/>
      <right/>
      <top/>
      <bottom style="mediumDashed">
        <color rgb="FFCECECE"/>
      </bottom>
      <diagonal/>
    </border>
    <border>
      <left style="medium">
        <color rgb="FFCECECE"/>
      </left>
      <right/>
      <top/>
      <bottom/>
      <diagonal/>
    </border>
    <border>
      <left style="medium">
        <color rgb="FFCECECE"/>
      </left>
      <right style="medium">
        <color rgb="FFCECECE"/>
      </right>
      <top/>
      <bottom/>
      <diagonal/>
    </border>
    <border>
      <left style="medium">
        <color rgb="FFCECECE"/>
      </left>
      <right style="medium">
        <color rgb="FFCECECE"/>
      </right>
      <top/>
      <bottom style="mediumDashed">
        <color rgb="FFCECECE"/>
      </bottom>
      <diagonal/>
    </border>
    <border>
      <left style="medium">
        <color rgb="FFCECECE"/>
      </left>
      <right/>
      <top/>
      <bottom style="mediumDashed">
        <color rgb="FFCECECE"/>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double">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BBB1A3"/>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diagonal/>
    </border>
    <border>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50" fillId="39" borderId="0" applyNumberFormat="0" applyBorder="0" applyAlignment="0" applyProtection="0"/>
  </cellStyleXfs>
  <cellXfs count="420">
    <xf numFmtId="0" fontId="0" fillId="0" borderId="0" xfId="0"/>
    <xf numFmtId="0" fontId="1" fillId="0" borderId="0" xfId="0" applyFont="1"/>
    <xf numFmtId="0" fontId="2" fillId="0" borderId="0" xfId="0" applyFont="1"/>
    <xf numFmtId="0" fontId="0" fillId="2" borderId="0" xfId="0" applyFill="1"/>
    <xf numFmtId="0" fontId="1" fillId="0" borderId="1" xfId="0" applyFont="1" applyBorder="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38" fontId="1" fillId="0" borderId="0" xfId="0" applyNumberFormat="1" applyFont="1"/>
    <xf numFmtId="38" fontId="0" fillId="0" borderId="0" xfId="0" applyNumberFormat="1"/>
    <xf numFmtId="16" fontId="0" fillId="0" borderId="0" xfId="0" applyNumberFormat="1"/>
    <xf numFmtId="0" fontId="3" fillId="0" borderId="0" xfId="0" applyFont="1"/>
    <xf numFmtId="0" fontId="0" fillId="0" borderId="0" xfId="0" applyAlignment="1">
      <alignment horizontal="left" vertical="top" wrapText="1"/>
    </xf>
    <xf numFmtId="0" fontId="4" fillId="0" borderId="0" xfId="0" applyFont="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7" borderId="1" xfId="0" applyFill="1" applyBorder="1"/>
    <xf numFmtId="0" fontId="0" fillId="10" borderId="1" xfId="0" applyFill="1" applyBorder="1"/>
    <xf numFmtId="49" fontId="0" fillId="0" borderId="0" xfId="0" applyNumberFormat="1"/>
    <xf numFmtId="0" fontId="5" fillId="0" borderId="0" xfId="0" applyFont="1" applyAlignment="1">
      <alignment vertical="center" wrapText="1"/>
    </xf>
    <xf numFmtId="0" fontId="7" fillId="0" borderId="0" xfId="1" applyAlignment="1">
      <alignment vertical="center" wrapText="1"/>
    </xf>
    <xf numFmtId="3" fontId="5" fillId="0" borderId="0" xfId="0" applyNumberFormat="1" applyFont="1" applyAlignment="1">
      <alignment vertical="center" wrapText="1"/>
    </xf>
    <xf numFmtId="0" fontId="6" fillId="12" borderId="2" xfId="0" applyFont="1" applyFill="1" applyBorder="1" applyAlignment="1">
      <alignment vertical="center" wrapText="1"/>
    </xf>
    <xf numFmtId="0" fontId="6" fillId="12" borderId="3" xfId="0" applyFont="1" applyFill="1" applyBorder="1" applyAlignment="1">
      <alignment vertical="center" wrapText="1"/>
    </xf>
    <xf numFmtId="0" fontId="7" fillId="12" borderId="3" xfId="1" applyFill="1" applyBorder="1" applyAlignment="1">
      <alignment vertical="center" wrapText="1"/>
    </xf>
    <xf numFmtId="0" fontId="6" fillId="12" borderId="4" xfId="0" applyFont="1" applyFill="1" applyBorder="1" applyAlignment="1">
      <alignment vertical="center" wrapText="1"/>
    </xf>
    <xf numFmtId="0" fontId="5" fillId="0" borderId="5" xfId="0" applyFont="1" applyBorder="1" applyAlignment="1">
      <alignment vertical="center" wrapText="1"/>
    </xf>
    <xf numFmtId="6" fontId="5" fillId="0" borderId="6" xfId="0" applyNumberFormat="1" applyFont="1" applyBorder="1" applyAlignment="1">
      <alignment vertical="center" wrapText="1"/>
    </xf>
    <xf numFmtId="0" fontId="5" fillId="0" borderId="7" xfId="0" applyFont="1" applyBorder="1" applyAlignment="1">
      <alignment vertical="center" wrapText="1"/>
    </xf>
    <xf numFmtId="0" fontId="7" fillId="0" borderId="8" xfId="1" applyBorder="1" applyAlignment="1">
      <alignment vertical="center" wrapText="1"/>
    </xf>
    <xf numFmtId="0" fontId="5" fillId="0" borderId="8" xfId="0" applyFont="1" applyBorder="1" applyAlignment="1">
      <alignment vertical="center" wrapText="1"/>
    </xf>
    <xf numFmtId="6" fontId="5" fillId="0" borderId="9" xfId="0" applyNumberFormat="1" applyFont="1" applyBorder="1" applyAlignment="1">
      <alignment vertical="center" wrapText="1"/>
    </xf>
    <xf numFmtId="0" fontId="5" fillId="0" borderId="0" xfId="0" applyFont="1" applyBorder="1" applyAlignment="1">
      <alignment vertical="center" wrapText="1"/>
    </xf>
    <xf numFmtId="0" fontId="7" fillId="0" borderId="0" xfId="1" applyBorder="1" applyAlignment="1">
      <alignment vertical="center" wrapText="1"/>
    </xf>
    <xf numFmtId="0" fontId="0" fillId="16" borderId="0" xfId="0" applyFill="1"/>
    <xf numFmtId="0" fontId="0" fillId="0" borderId="0" xfId="0" applyAlignment="1">
      <alignment horizontal="left" vertical="top" wrapText="1"/>
    </xf>
    <xf numFmtId="0" fontId="1" fillId="5"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6" fillId="12" borderId="0" xfId="0" applyFont="1" applyFill="1" applyBorder="1" applyAlignment="1">
      <alignment vertical="center" wrapText="1"/>
    </xf>
    <xf numFmtId="0" fontId="0" fillId="10" borderId="0" xfId="0" applyFill="1"/>
    <xf numFmtId="0" fontId="0" fillId="11" borderId="0" xfId="0" applyFill="1"/>
    <xf numFmtId="0" fontId="0" fillId="15" borderId="0" xfId="0" applyFill="1"/>
    <xf numFmtId="0" fontId="0" fillId="17" borderId="0" xfId="0" applyFill="1"/>
    <xf numFmtId="15" fontId="0" fillId="0" borderId="0" xfId="0" applyNumberFormat="1"/>
    <xf numFmtId="0" fontId="10" fillId="7" borderId="0" xfId="0" applyFont="1" applyFill="1"/>
    <xf numFmtId="0" fontId="1" fillId="5" borderId="1" xfId="0" applyFont="1" applyFill="1" applyBorder="1"/>
    <xf numFmtId="0" fontId="11" fillId="0" borderId="0" xfId="0" applyFont="1"/>
    <xf numFmtId="0" fontId="1" fillId="16" borderId="0" xfId="0" applyFont="1" applyFill="1"/>
    <xf numFmtId="0" fontId="0" fillId="0" borderId="0" xfId="0" applyAlignment="1">
      <alignment horizontal="left" vertical="top" wrapText="1"/>
    </xf>
    <xf numFmtId="0" fontId="9" fillId="2" borderId="1" xfId="0" applyFont="1" applyFill="1" applyBorder="1"/>
    <xf numFmtId="0" fontId="1" fillId="18" borderId="1" xfId="0" applyFont="1" applyFill="1" applyBorder="1"/>
    <xf numFmtId="0" fontId="1" fillId="16" borderId="1" xfId="0" applyFont="1" applyFill="1" applyBorder="1"/>
    <xf numFmtId="0" fontId="0" fillId="0" borderId="0" xfId="0" applyAlignment="1">
      <alignment wrapText="1"/>
    </xf>
    <xf numFmtId="0" fontId="7" fillId="0" borderId="0" xfId="1"/>
    <xf numFmtId="0" fontId="0" fillId="19" borderId="0" xfId="0" applyFill="1" applyAlignment="1">
      <alignment horizontal="left" vertical="top" wrapText="1" indent="2"/>
    </xf>
    <xf numFmtId="0" fontId="0" fillId="19" borderId="0" xfId="0" applyFill="1" applyAlignment="1">
      <alignment vertical="top" wrapText="1" indent="2"/>
    </xf>
    <xf numFmtId="14" fontId="0" fillId="19" borderId="12" xfId="0" applyNumberFormat="1" applyFill="1" applyBorder="1" applyAlignment="1">
      <alignment horizontal="left" vertical="top" wrapText="1"/>
    </xf>
    <xf numFmtId="0" fontId="0" fillId="19" borderId="12" xfId="0" applyFill="1" applyBorder="1" applyAlignment="1">
      <alignment vertical="top" wrapText="1"/>
    </xf>
    <xf numFmtId="0" fontId="0" fillId="19" borderId="13" xfId="0" applyFill="1" applyBorder="1" applyAlignment="1">
      <alignment vertical="top" wrapText="1" indent="2"/>
    </xf>
    <xf numFmtId="0" fontId="0" fillId="19" borderId="11" xfId="0" applyFill="1" applyBorder="1" applyAlignment="1">
      <alignment vertical="top" wrapText="1"/>
    </xf>
    <xf numFmtId="0" fontId="13" fillId="0" borderId="0" xfId="0" applyFont="1" applyAlignment="1">
      <alignment horizontal="left" vertical="center" indent="15"/>
    </xf>
    <xf numFmtId="0" fontId="14" fillId="0" borderId="0" xfId="0" applyFont="1" applyAlignment="1">
      <alignment horizontal="left" vertical="center" indent="15"/>
    </xf>
    <xf numFmtId="0" fontId="0" fillId="20" borderId="0" xfId="0" applyFill="1"/>
    <xf numFmtId="0" fontId="0" fillId="9" borderId="0" xfId="0" applyFill="1"/>
    <xf numFmtId="0" fontId="4" fillId="9" borderId="0" xfId="0" applyFont="1" applyFill="1"/>
    <xf numFmtId="0" fontId="0" fillId="13" borderId="0" xfId="0" applyFill="1"/>
    <xf numFmtId="0" fontId="0" fillId="21" borderId="0" xfId="0" applyFill="1"/>
    <xf numFmtId="0" fontId="0" fillId="9" borderId="18" xfId="0" applyFont="1" applyFill="1" applyBorder="1"/>
    <xf numFmtId="17" fontId="0" fillId="0" borderId="0" xfId="0" applyNumberFormat="1"/>
    <xf numFmtId="0" fontId="4" fillId="7" borderId="0" xfId="0" applyFont="1" applyFill="1"/>
    <xf numFmtId="0" fontId="0" fillId="2" borderId="1" xfId="0" applyFill="1" applyBorder="1" applyAlignment="1">
      <alignment horizontal="left" vertical="top" wrapText="1"/>
    </xf>
    <xf numFmtId="49" fontId="0" fillId="0" borderId="0" xfId="0" applyNumberFormat="1" applyAlignment="1">
      <alignment wrapText="1"/>
    </xf>
    <xf numFmtId="16" fontId="0" fillId="0" borderId="0" xfId="0" applyNumberFormat="1" applyAlignment="1">
      <alignment wrapText="1"/>
    </xf>
    <xf numFmtId="2" fontId="0" fillId="0" borderId="0" xfId="0" applyNumberFormat="1" applyAlignment="1">
      <alignment horizontal="left" vertical="top"/>
    </xf>
    <xf numFmtId="2" fontId="0" fillId="0" borderId="1" xfId="0" applyNumberFormat="1" applyBorder="1"/>
    <xf numFmtId="0" fontId="1" fillId="0" borderId="0" xfId="0" applyFont="1" applyAlignment="1">
      <alignment horizontal="left" vertical="top"/>
    </xf>
    <xf numFmtId="2" fontId="0" fillId="0" borderId="1" xfId="0" applyNumberFormat="1" applyBorder="1" applyAlignment="1">
      <alignment horizontal="left" vertical="top"/>
    </xf>
    <xf numFmtId="2" fontId="0" fillId="0" borderId="20" xfId="0" applyNumberFormat="1" applyBorder="1" applyAlignment="1">
      <alignment horizontal="left" vertical="top"/>
    </xf>
    <xf numFmtId="0" fontId="0" fillId="0" borderId="20" xfId="0" applyBorder="1" applyAlignment="1">
      <alignment horizontal="left" vertical="top"/>
    </xf>
    <xf numFmtId="2" fontId="0" fillId="0" borderId="21" xfId="0" applyNumberFormat="1" applyBorder="1" applyAlignment="1">
      <alignment horizontal="left" vertical="top"/>
    </xf>
    <xf numFmtId="0" fontId="0" fillId="0" borderId="21" xfId="0" applyBorder="1" applyAlignment="1">
      <alignment horizontal="left" vertical="top"/>
    </xf>
    <xf numFmtId="0" fontId="9" fillId="13" borderId="19" xfId="0" applyFont="1" applyFill="1" applyBorder="1" applyAlignment="1">
      <alignment horizontal="left" vertical="top"/>
    </xf>
    <xf numFmtId="0" fontId="0" fillId="0" borderId="22" xfId="0" applyBorder="1" applyAlignment="1">
      <alignment horizontal="left" vertical="top"/>
    </xf>
    <xf numFmtId="2" fontId="0" fillId="0" borderId="22" xfId="0" applyNumberFormat="1" applyBorder="1" applyAlignment="1">
      <alignment horizontal="left" vertical="top"/>
    </xf>
    <xf numFmtId="0" fontId="0" fillId="23" borderId="1" xfId="0" applyFill="1" applyBorder="1" applyAlignment="1">
      <alignment horizontal="left" vertical="top"/>
    </xf>
    <xf numFmtId="2" fontId="0" fillId="23" borderId="20" xfId="0" applyNumberFormat="1" applyFill="1" applyBorder="1" applyAlignment="1">
      <alignment horizontal="left" vertical="top"/>
    </xf>
    <xf numFmtId="0" fontId="0" fillId="23" borderId="20" xfId="0" applyFill="1" applyBorder="1" applyAlignment="1">
      <alignment horizontal="left" vertical="top"/>
    </xf>
    <xf numFmtId="0" fontId="0" fillId="17" borderId="18" xfId="0" applyFont="1" applyFill="1" applyBorder="1"/>
    <xf numFmtId="9" fontId="0" fillId="0" borderId="0" xfId="0" applyNumberFormat="1"/>
    <xf numFmtId="14" fontId="0" fillId="0" borderId="0" xfId="0" applyNumberFormat="1"/>
    <xf numFmtId="0" fontId="16" fillId="26" borderId="0" xfId="0" applyFont="1" applyFill="1" applyAlignment="1">
      <alignment horizontal="right" vertical="center"/>
    </xf>
    <xf numFmtId="8" fontId="16" fillId="26" borderId="0" xfId="0" applyNumberFormat="1" applyFont="1" applyFill="1" applyAlignment="1">
      <alignment horizontal="right" vertical="center"/>
    </xf>
    <xf numFmtId="0" fontId="16" fillId="25" borderId="0" xfId="0" applyFont="1" applyFill="1" applyAlignment="1">
      <alignment horizontal="right" vertical="center"/>
    </xf>
    <xf numFmtId="8" fontId="16" fillId="25" borderId="0" xfId="0" applyNumberFormat="1" applyFont="1" applyFill="1" applyAlignment="1">
      <alignment horizontal="right" vertical="center"/>
    </xf>
    <xf numFmtId="0" fontId="17" fillId="25" borderId="23" xfId="0" applyFont="1" applyFill="1" applyBorder="1" applyAlignment="1">
      <alignment horizontal="right" vertical="center"/>
    </xf>
    <xf numFmtId="8" fontId="17" fillId="25" borderId="23" xfId="0" applyNumberFormat="1" applyFont="1" applyFill="1" applyBorder="1" applyAlignment="1">
      <alignment horizontal="right" vertical="center"/>
    </xf>
    <xf numFmtId="16" fontId="0" fillId="2" borderId="0" xfId="0" applyNumberFormat="1" applyFill="1"/>
    <xf numFmtId="0" fontId="16" fillId="2" borderId="0" xfId="0" applyFont="1" applyFill="1" applyAlignment="1">
      <alignment horizontal="right" vertical="center"/>
    </xf>
    <xf numFmtId="8" fontId="16" fillId="2" borderId="0" xfId="0" applyNumberFormat="1" applyFont="1" applyFill="1" applyAlignment="1">
      <alignment horizontal="right" vertical="center"/>
    </xf>
    <xf numFmtId="8" fontId="0" fillId="0" borderId="0" xfId="0" applyNumberFormat="1"/>
    <xf numFmtId="0" fontId="0" fillId="0" borderId="24" xfId="0" applyBorder="1" applyAlignment="1">
      <alignment horizontal="left" vertical="top"/>
    </xf>
    <xf numFmtId="0" fontId="9" fillId="17" borderId="24" xfId="0" applyFont="1" applyFill="1" applyBorder="1" applyAlignment="1">
      <alignment horizontal="left" vertical="top"/>
    </xf>
    <xf numFmtId="0" fontId="0" fillId="23" borderId="24" xfId="0" applyFill="1" applyBorder="1" applyAlignment="1">
      <alignment horizontal="left" vertical="top"/>
    </xf>
    <xf numFmtId="0" fontId="9" fillId="22" borderId="25" xfId="0" applyFont="1" applyFill="1" applyBorder="1" applyAlignment="1">
      <alignment horizontal="left" vertical="top"/>
    </xf>
    <xf numFmtId="0" fontId="1" fillId="0" borderId="1" xfId="0" applyFont="1" applyBorder="1" applyAlignment="1">
      <alignment horizontal="left" vertical="top"/>
    </xf>
    <xf numFmtId="0" fontId="1" fillId="0" borderId="27" xfId="0" applyFont="1" applyFill="1" applyBorder="1"/>
    <xf numFmtId="2" fontId="1" fillId="0" borderId="28" xfId="0" applyNumberFormat="1" applyFont="1" applyBorder="1"/>
    <xf numFmtId="0" fontId="18" fillId="0" borderId="0" xfId="0" applyFont="1"/>
    <xf numFmtId="0" fontId="19" fillId="0" borderId="0" xfId="0" applyFont="1" applyAlignment="1">
      <alignment horizontal="left" vertical="center" indent="5"/>
    </xf>
    <xf numFmtId="0" fontId="7" fillId="0" borderId="0" xfId="1" applyAlignment="1">
      <alignment horizontal="left" vertical="top" wrapText="1"/>
    </xf>
    <xf numFmtId="0" fontId="1" fillId="0" borderId="1" xfId="0" applyFont="1" applyBorder="1" applyAlignment="1">
      <alignment horizontal="center"/>
    </xf>
    <xf numFmtId="0" fontId="0" fillId="0" borderId="1" xfId="0" applyBorder="1" applyAlignment="1">
      <alignment horizontal="left" vertical="top"/>
    </xf>
    <xf numFmtId="0" fontId="0" fillId="2" borderId="1" xfId="0" applyFill="1" applyBorder="1" applyAlignment="1">
      <alignment wrapText="1"/>
    </xf>
    <xf numFmtId="0" fontId="0" fillId="16" borderId="1" xfId="0" applyFill="1" applyBorder="1" applyAlignment="1">
      <alignment wrapText="1"/>
    </xf>
    <xf numFmtId="0" fontId="0" fillId="16" borderId="1" xfId="0" applyFill="1" applyBorder="1"/>
    <xf numFmtId="0" fontId="0" fillId="13" borderId="1" xfId="0" applyFill="1" applyBorder="1" applyAlignment="1">
      <alignment wrapText="1"/>
    </xf>
    <xf numFmtId="0" fontId="0" fillId="13" borderId="1" xfId="0" applyFill="1" applyBorder="1"/>
    <xf numFmtId="0" fontId="20" fillId="0" borderId="0" xfId="0" applyFont="1"/>
    <xf numFmtId="0" fontId="1" fillId="2" borderId="0" xfId="0" applyFont="1" applyFill="1"/>
    <xf numFmtId="0" fontId="0" fillId="13" borderId="0" xfId="0" applyFill="1" applyAlignment="1">
      <alignment horizontal="left"/>
    </xf>
    <xf numFmtId="0" fontId="0" fillId="0" borderId="0" xfId="0" applyAlignment="1">
      <alignment horizontal="left" vertical="top"/>
    </xf>
    <xf numFmtId="0" fontId="0" fillId="0" borderId="1" xfId="0" applyFill="1" applyBorder="1"/>
    <xf numFmtId="0" fontId="0" fillId="24" borderId="1" xfId="0" applyFill="1" applyBorder="1"/>
    <xf numFmtId="0" fontId="0" fillId="27" borderId="1" xfId="0" applyFill="1" applyBorder="1"/>
    <xf numFmtId="0" fontId="0" fillId="0" borderId="19" xfId="0" applyBorder="1"/>
    <xf numFmtId="0" fontId="0" fillId="7" borderId="19" xfId="0" applyFill="1" applyBorder="1"/>
    <xf numFmtId="0" fontId="1" fillId="27" borderId="1" xfId="0" applyFont="1" applyFill="1" applyBorder="1"/>
    <xf numFmtId="17" fontId="0" fillId="0" borderId="1" xfId="0" applyNumberFormat="1" applyBorder="1"/>
    <xf numFmtId="14" fontId="0" fillId="0" borderId="1" xfId="0" applyNumberFormat="1" applyBorder="1"/>
    <xf numFmtId="0" fontId="2" fillId="0" borderId="1" xfId="0" applyFont="1" applyBorder="1" applyAlignment="1">
      <alignment horizontal="left" vertical="top"/>
    </xf>
    <xf numFmtId="0" fontId="21" fillId="0" borderId="1" xfId="0" applyFont="1" applyBorder="1" applyAlignment="1">
      <alignment horizontal="left" vertical="top"/>
    </xf>
    <xf numFmtId="0" fontId="2" fillId="0" borderId="1" xfId="0" applyFont="1" applyFill="1" applyBorder="1" applyAlignment="1">
      <alignment horizontal="left" vertical="top"/>
    </xf>
    <xf numFmtId="0" fontId="22" fillId="0" borderId="1" xfId="0" applyFont="1" applyBorder="1"/>
    <xf numFmtId="0" fontId="1" fillId="23" borderId="20" xfId="0" applyFont="1" applyFill="1" applyBorder="1" applyAlignment="1">
      <alignment horizontal="left" vertical="top"/>
    </xf>
    <xf numFmtId="0" fontId="1" fillId="23" borderId="1" xfId="0" applyFont="1" applyFill="1" applyBorder="1" applyAlignment="1">
      <alignment horizontal="left" vertical="top"/>
    </xf>
    <xf numFmtId="0" fontId="1" fillId="0" borderId="21" xfId="0" applyFont="1" applyBorder="1" applyAlignment="1">
      <alignment horizontal="left" vertical="top"/>
    </xf>
    <xf numFmtId="0" fontId="1" fillId="0" borderId="20" xfId="0" applyFont="1" applyBorder="1" applyAlignment="1">
      <alignment horizontal="left" vertical="top"/>
    </xf>
    <xf numFmtId="16" fontId="0" fillId="0" borderId="1" xfId="0" applyNumberFormat="1" applyBorder="1" applyAlignment="1">
      <alignment horizontal="left" vertical="top"/>
    </xf>
    <xf numFmtId="0" fontId="0" fillId="0" borderId="1" xfId="0" applyFill="1" applyBorder="1" applyAlignment="1">
      <alignment horizontal="left" vertical="top"/>
    </xf>
    <xf numFmtId="0" fontId="1" fillId="0" borderId="1" xfId="0" applyFont="1" applyFill="1" applyBorder="1" applyAlignment="1">
      <alignment horizontal="left" vertical="top"/>
    </xf>
    <xf numFmtId="0" fontId="1" fillId="7" borderId="1" xfId="0" applyFont="1" applyFill="1" applyBorder="1" applyAlignment="1">
      <alignment horizontal="left" vertical="top"/>
    </xf>
    <xf numFmtId="0" fontId="23" fillId="7" borderId="1" xfId="0" applyFont="1" applyFill="1" applyBorder="1"/>
    <xf numFmtId="0" fontId="0" fillId="0" borderId="0" xfId="0" applyAlignment="1">
      <alignment horizontal="right"/>
    </xf>
    <xf numFmtId="0" fontId="0" fillId="0" borderId="1" xfId="0" applyBorder="1" applyAlignment="1">
      <alignment wrapText="1"/>
    </xf>
    <xf numFmtId="0" fontId="4" fillId="0" borderId="1" xfId="0" applyFont="1" applyBorder="1"/>
    <xf numFmtId="0" fontId="0" fillId="0" borderId="0" xfId="0" applyAlignment="1">
      <alignment vertical="top" wrapText="1"/>
    </xf>
    <xf numFmtId="0" fontId="0" fillId="0" borderId="0" xfId="0" applyAlignment="1">
      <alignment vertical="top"/>
    </xf>
    <xf numFmtId="4" fontId="0" fillId="0" borderId="1" xfId="0" applyNumberFormat="1" applyBorder="1"/>
    <xf numFmtId="15" fontId="0" fillId="0" borderId="1" xfId="0" applyNumberFormat="1" applyBorder="1"/>
    <xf numFmtId="0" fontId="0" fillId="2" borderId="0" xfId="0" applyFill="1" applyBorder="1"/>
    <xf numFmtId="0" fontId="24" fillId="0" borderId="0" xfId="0" applyFont="1"/>
    <xf numFmtId="0" fontId="0" fillId="0" borderId="0" xfId="0" applyAlignment="1">
      <alignment horizontal="left" vertical="top"/>
    </xf>
    <xf numFmtId="0" fontId="0" fillId="2" borderId="0" xfId="0" applyFill="1" applyAlignment="1">
      <alignment wrapText="1"/>
    </xf>
    <xf numFmtId="0" fontId="0" fillId="0" borderId="10" xfId="0" applyFill="1" applyBorder="1"/>
    <xf numFmtId="0" fontId="0" fillId="14" borderId="0" xfId="0" applyFill="1"/>
    <xf numFmtId="0" fontId="0" fillId="0" borderId="0" xfId="0" applyAlignment="1">
      <alignment horizontal="left" vertical="top" wrapText="1"/>
    </xf>
    <xf numFmtId="0" fontId="0" fillId="0" borderId="0" xfId="0" applyAlignment="1">
      <alignment horizontal="left" vertical="top"/>
    </xf>
    <xf numFmtId="0" fontId="22" fillId="0" borderId="0" xfId="0" applyFont="1"/>
    <xf numFmtId="0" fontId="27" fillId="2" borderId="0" xfId="0" applyFont="1" applyFill="1"/>
    <xf numFmtId="0" fontId="0" fillId="18" borderId="0" xfId="0" applyFill="1"/>
    <xf numFmtId="0" fontId="0" fillId="29" borderId="0" xfId="0" applyFill="1"/>
    <xf numFmtId="0" fontId="8" fillId="0" borderId="1" xfId="0" applyFont="1" applyBorder="1" applyAlignment="1">
      <alignment horizontal="left" vertical="top" wrapText="1"/>
    </xf>
    <xf numFmtId="0" fontId="0" fillId="14" borderId="1" xfId="0" applyFill="1" applyBorder="1" applyAlignment="1">
      <alignment horizontal="left" vertical="top"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4" fillId="7" borderId="1" xfId="0" applyFont="1" applyFill="1" applyBorder="1" applyAlignment="1">
      <alignment horizontal="left" vertical="top" wrapText="1"/>
    </xf>
    <xf numFmtId="0" fontId="0" fillId="17" borderId="1" xfId="0" applyFill="1" applyBorder="1" applyAlignment="1">
      <alignment horizontal="left" vertical="top" wrapText="1"/>
    </xf>
    <xf numFmtId="0" fontId="0" fillId="0" borderId="1" xfId="0" applyFill="1" applyBorder="1" applyAlignment="1">
      <alignment horizontal="left" vertical="top" wrapText="1"/>
    </xf>
    <xf numFmtId="0" fontId="0" fillId="0" borderId="20" xfId="0" applyBorder="1" applyAlignment="1">
      <alignment horizontal="left" vertical="top" wrapText="1"/>
    </xf>
    <xf numFmtId="0" fontId="1" fillId="0" borderId="0" xfId="0" applyFon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16" fontId="0" fillId="0" borderId="1" xfId="0" applyNumberFormat="1" applyBorder="1"/>
    <xf numFmtId="0" fontId="0" fillId="0" borderId="0" xfId="0" applyAlignment="1">
      <alignment horizontal="left" vertical="top" wrapText="1"/>
    </xf>
    <xf numFmtId="0" fontId="0" fillId="0" borderId="0" xfId="0" applyAlignment="1">
      <alignment horizontal="left" vertical="top"/>
    </xf>
    <xf numFmtId="2" fontId="2" fillId="0" borderId="0" xfId="0" applyNumberFormat="1" applyFont="1"/>
    <xf numFmtId="0" fontId="7" fillId="0" borderId="1" xfId="1" applyBorder="1"/>
    <xf numFmtId="0" fontId="0" fillId="6" borderId="0" xfId="0" applyFill="1"/>
    <xf numFmtId="0" fontId="0" fillId="0" borderId="0" xfId="0" applyAlignment="1">
      <alignment horizontal="left" vertical="top" wrapText="1"/>
    </xf>
    <xf numFmtId="0" fontId="0" fillId="30" borderId="1" xfId="0" applyFill="1" applyBorder="1" applyAlignment="1">
      <alignment horizontal="left"/>
    </xf>
    <xf numFmtId="0" fontId="0" fillId="14" borderId="1" xfId="0" applyFill="1" applyBorder="1" applyAlignment="1">
      <alignment horizontal="left"/>
    </xf>
    <xf numFmtId="0" fontId="1" fillId="0" borderId="24" xfId="0" applyFont="1" applyBorder="1" applyAlignment="1">
      <alignment horizontal="left" vertical="top"/>
    </xf>
    <xf numFmtId="0" fontId="29" fillId="0" borderId="0" xfId="0" applyFont="1"/>
    <xf numFmtId="0" fontId="0" fillId="18" borderId="0" xfId="0" applyFill="1" applyAlignment="1">
      <alignment horizontal="left"/>
    </xf>
    <xf numFmtId="2" fontId="0" fillId="0" borderId="0" xfId="0" applyNumberFormat="1"/>
    <xf numFmtId="0" fontId="0" fillId="0" borderId="29" xfId="0" applyBorder="1"/>
    <xf numFmtId="0" fontId="4" fillId="0" borderId="0" xfId="0" applyFont="1" applyAlignment="1">
      <alignment wrapText="1"/>
    </xf>
    <xf numFmtId="0" fontId="0" fillId="7" borderId="10" xfId="0" applyFill="1" applyBorder="1"/>
    <xf numFmtId="0" fontId="25" fillId="17" borderId="0" xfId="0" applyFont="1" applyFill="1"/>
    <xf numFmtId="0" fontId="25" fillId="0" borderId="1" xfId="0" applyFont="1" applyBorder="1"/>
    <xf numFmtId="0" fontId="25" fillId="17" borderId="1" xfId="0" applyFont="1" applyFill="1" applyBorder="1"/>
    <xf numFmtId="0" fontId="25" fillId="2" borderId="1" xfId="0" applyFont="1" applyFill="1" applyBorder="1"/>
    <xf numFmtId="0" fontId="31" fillId="13" borderId="0" xfId="0" applyFont="1" applyFill="1"/>
    <xf numFmtId="0" fontId="2" fillId="0" borderId="1" xfId="0" applyFont="1" applyBorder="1"/>
    <xf numFmtId="0" fontId="33" fillId="0" borderId="0" xfId="0" applyFont="1"/>
    <xf numFmtId="0" fontId="32" fillId="0" borderId="0" xfId="0" applyFont="1"/>
    <xf numFmtId="0" fontId="35" fillId="25" borderId="31" xfId="0" applyFont="1" applyFill="1" applyBorder="1" applyAlignment="1">
      <alignment vertical="center" wrapText="1"/>
    </xf>
    <xf numFmtId="0" fontId="0" fillId="25" borderId="31" xfId="0" applyFill="1" applyBorder="1" applyAlignment="1">
      <alignment vertical="top" wrapText="1"/>
    </xf>
    <xf numFmtId="0" fontId="0" fillId="25" borderId="30" xfId="0" applyFill="1" applyBorder="1" applyAlignment="1">
      <alignment vertical="top" wrapText="1"/>
    </xf>
    <xf numFmtId="0" fontId="35" fillId="25" borderId="32" xfId="0" applyFont="1" applyFill="1" applyBorder="1" applyAlignment="1">
      <alignment vertical="center" wrapText="1"/>
    </xf>
    <xf numFmtId="0" fontId="34" fillId="25" borderId="0" xfId="0" applyFont="1" applyFill="1" applyAlignment="1">
      <alignment vertical="center" wrapText="1"/>
    </xf>
    <xf numFmtId="0" fontId="34" fillId="25" borderId="32" xfId="0" applyFont="1" applyFill="1" applyBorder="1" applyAlignment="1">
      <alignment vertical="center" wrapText="1"/>
    </xf>
    <xf numFmtId="0" fontId="35" fillId="25" borderId="33" xfId="0" applyFont="1" applyFill="1" applyBorder="1" applyAlignment="1">
      <alignment vertical="center" wrapText="1"/>
    </xf>
    <xf numFmtId="0" fontId="0" fillId="7" borderId="26" xfId="0" applyFill="1" applyBorder="1" applyAlignment="1">
      <alignment horizontal="left" vertical="top" wrapText="1"/>
    </xf>
    <xf numFmtId="0" fontId="0" fillId="7" borderId="10" xfId="0" applyFill="1" applyBorder="1" applyAlignment="1">
      <alignment horizontal="left" vertical="top" wrapText="1"/>
    </xf>
    <xf numFmtId="0" fontId="0" fillId="7" borderId="20" xfId="0" applyFill="1" applyBorder="1" applyAlignment="1">
      <alignment horizontal="left" vertical="top" wrapText="1"/>
    </xf>
    <xf numFmtId="0" fontId="0" fillId="0" borderId="0" xfId="0" applyBorder="1" applyAlignment="1">
      <alignment horizontal="left" vertical="top" wrapText="1"/>
    </xf>
    <xf numFmtId="2" fontId="0" fillId="7" borderId="1" xfId="0" applyNumberFormat="1" applyFill="1" applyBorder="1" applyAlignment="1">
      <alignment horizontal="right"/>
    </xf>
    <xf numFmtId="2" fontId="1" fillId="0" borderId="0" xfId="0" applyNumberFormat="1" applyFont="1"/>
    <xf numFmtId="0" fontId="0" fillId="32" borderId="1" xfId="0" applyFill="1" applyBorder="1"/>
    <xf numFmtId="0" fontId="0" fillId="18" borderId="1" xfId="0" applyFill="1" applyBorder="1"/>
    <xf numFmtId="0" fontId="4" fillId="18" borderId="1" xfId="0" applyFont="1" applyFill="1" applyBorder="1"/>
    <xf numFmtId="0" fontId="0" fillId="18" borderId="1" xfId="0" applyFill="1" applyBorder="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3" fontId="0" fillId="0" borderId="0" xfId="0" applyNumberFormat="1"/>
    <xf numFmtId="0" fontId="1" fillId="7" borderId="1" xfId="0" applyFont="1" applyFill="1" applyBorder="1"/>
    <xf numFmtId="0" fontId="0" fillId="0" borderId="0" xfId="0" applyAlignment="1">
      <alignment horizontal="center"/>
    </xf>
    <xf numFmtId="0" fontId="30" fillId="0" borderId="21" xfId="0" applyFont="1" applyBorder="1" applyAlignment="1">
      <alignment horizontal="center"/>
    </xf>
    <xf numFmtId="2" fontId="22" fillId="0" borderId="0" xfId="0" applyNumberFormat="1" applyFont="1"/>
    <xf numFmtId="0" fontId="4" fillId="7" borderId="1" xfId="0" applyFont="1" applyFill="1" applyBorder="1"/>
    <xf numFmtId="0" fontId="4" fillId="7" borderId="10" xfId="0" applyFont="1" applyFill="1" applyBorder="1"/>
    <xf numFmtId="0" fontId="1" fillId="9" borderId="1" xfId="0" applyFont="1" applyFill="1" applyBorder="1"/>
    <xf numFmtId="0" fontId="0" fillId="9" borderId="1" xfId="0" applyFill="1" applyBorder="1"/>
    <xf numFmtId="0" fontId="4" fillId="9" borderId="1" xfId="0" applyFont="1" applyFill="1" applyBorder="1"/>
    <xf numFmtId="0" fontId="0" fillId="9" borderId="39" xfId="0" applyFill="1" applyBorder="1"/>
    <xf numFmtId="2" fontId="25" fillId="0" borderId="0" xfId="0" applyNumberFormat="1" applyFont="1"/>
    <xf numFmtId="0" fontId="38" fillId="0" borderId="0" xfId="0" applyFont="1" applyAlignment="1">
      <alignment horizontal="left" vertical="center" wrapText="1" indent="1"/>
    </xf>
    <xf numFmtId="0" fontId="37" fillId="0" borderId="0" xfId="0" applyFont="1"/>
    <xf numFmtId="0" fontId="37" fillId="0" borderId="0" xfId="0" applyFont="1" applyAlignment="1">
      <alignment horizontal="left" vertical="center" wrapText="1" indent="1"/>
    </xf>
    <xf numFmtId="0" fontId="37" fillId="0" borderId="0" xfId="0" applyFont="1" applyAlignment="1">
      <alignment horizontal="left" vertical="center" wrapText="1" indent="2"/>
    </xf>
    <xf numFmtId="0" fontId="39" fillId="0" borderId="0" xfId="0" applyFont="1"/>
    <xf numFmtId="0" fontId="0" fillId="18" borderId="10" xfId="0" applyFill="1" applyBorder="1"/>
    <xf numFmtId="0" fontId="30" fillId="0" borderId="1" xfId="0" applyFont="1" applyBorder="1" applyAlignment="1">
      <alignment horizontal="center"/>
    </xf>
    <xf numFmtId="0" fontId="0" fillId="0" borderId="0" xfId="0" applyBorder="1"/>
    <xf numFmtId="0" fontId="40" fillId="0" borderId="0" xfId="0" applyFont="1"/>
    <xf numFmtId="2" fontId="41" fillId="0" borderId="1" xfId="0" applyNumberFormat="1" applyFont="1" applyBorder="1" applyAlignment="1">
      <alignment horizontal="left" vertical="top"/>
    </xf>
    <xf numFmtId="0" fontId="42" fillId="7" borderId="1" xfId="0" applyFont="1" applyFill="1" applyBorder="1"/>
    <xf numFmtId="0" fontId="43" fillId="7" borderId="1" xfId="0" applyFont="1" applyFill="1" applyBorder="1"/>
    <xf numFmtId="2" fontId="1" fillId="7" borderId="1" xfId="0" applyNumberFormat="1" applyFont="1" applyFill="1" applyBorder="1" applyAlignment="1">
      <alignment horizontal="right"/>
    </xf>
    <xf numFmtId="0" fontId="2" fillId="7" borderId="0" xfId="0" applyFont="1" applyFill="1"/>
    <xf numFmtId="0" fontId="0" fillId="0" borderId="0" xfId="0" applyAlignment="1">
      <alignment vertical="center" wrapText="1"/>
    </xf>
    <xf numFmtId="0" fontId="0" fillId="0" borderId="0" xfId="0" applyAlignment="1">
      <alignment horizontal="left" vertical="center" wrapText="1"/>
    </xf>
    <xf numFmtId="0" fontId="1" fillId="33" borderId="1" xfId="0" applyFont="1" applyFill="1" applyBorder="1" applyAlignment="1">
      <alignment vertical="center" wrapText="1"/>
    </xf>
    <xf numFmtId="0" fontId="1" fillId="33" borderId="0" xfId="0" applyFont="1" applyFill="1" applyBorder="1" applyAlignment="1">
      <alignment vertical="center" wrapText="1"/>
    </xf>
    <xf numFmtId="16" fontId="1" fillId="0" borderId="0" xfId="0" applyNumberFormat="1" applyFont="1" applyAlignment="1">
      <alignment horizontal="center" wrapText="1"/>
    </xf>
    <xf numFmtId="0" fontId="4" fillId="0" borderId="0" xfId="0" applyFont="1" applyAlignment="1">
      <alignment horizontal="left" vertical="center" wrapText="1"/>
    </xf>
    <xf numFmtId="0" fontId="1" fillId="0" borderId="0" xfId="0" applyFont="1" applyAlignment="1">
      <alignment horizontal="center" wrapText="1"/>
    </xf>
    <xf numFmtId="0" fontId="46" fillId="0" borderId="0" xfId="0" applyFont="1" applyAlignment="1">
      <alignment horizontal="left" vertical="center" wrapText="1"/>
    </xf>
    <xf numFmtId="0" fontId="0" fillId="16" borderId="0" xfId="0" applyFill="1" applyAlignment="1">
      <alignment horizontal="left" vertical="center" wrapText="1"/>
    </xf>
    <xf numFmtId="0" fontId="1" fillId="0" borderId="0" xfId="0" applyFont="1" applyAlignment="1">
      <alignment wrapText="1"/>
    </xf>
    <xf numFmtId="0" fontId="46"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0" xfId="0" applyFill="1" applyBorder="1"/>
    <xf numFmtId="2" fontId="40" fillId="0" borderId="0" xfId="0" applyNumberFormat="1" applyFont="1" applyAlignment="1">
      <alignment horizontal="left"/>
    </xf>
    <xf numFmtId="14" fontId="40" fillId="16" borderId="1" xfId="0" applyNumberFormat="1" applyFont="1" applyFill="1" applyBorder="1"/>
    <xf numFmtId="0" fontId="40" fillId="16" borderId="1" xfId="0" applyFont="1" applyFill="1" applyBorder="1"/>
    <xf numFmtId="0" fontId="30" fillId="0" borderId="19" xfId="0" applyFont="1" applyBorder="1"/>
    <xf numFmtId="2" fontId="0" fillId="16" borderId="1" xfId="0" applyNumberFormat="1" applyFill="1" applyBorder="1"/>
    <xf numFmtId="16" fontId="0" fillId="0" borderId="37" xfId="0" applyNumberFormat="1" applyBorder="1"/>
    <xf numFmtId="0" fontId="0" fillId="0" borderId="38" xfId="0" applyBorder="1"/>
    <xf numFmtId="16" fontId="0" fillId="0" borderId="35" xfId="0" applyNumberFormat="1" applyBorder="1"/>
    <xf numFmtId="0" fontId="0" fillId="0" borderId="33" xfId="0" applyBorder="1"/>
    <xf numFmtId="16" fontId="0" fillId="7" borderId="35" xfId="0" applyNumberFormat="1" applyFill="1" applyBorder="1"/>
    <xf numFmtId="0" fontId="0" fillId="7" borderId="33" xfId="0" applyFill="1" applyBorder="1"/>
    <xf numFmtId="16" fontId="4" fillId="0" borderId="35" xfId="0" applyNumberFormat="1" applyFont="1" applyBorder="1"/>
    <xf numFmtId="0" fontId="4" fillId="0" borderId="33" xfId="0" applyFont="1" applyBorder="1"/>
    <xf numFmtId="16" fontId="0" fillId="7" borderId="33" xfId="0" applyNumberFormat="1" applyFill="1" applyBorder="1"/>
    <xf numFmtId="16" fontId="0" fillId="7" borderId="34" xfId="0" applyNumberFormat="1" applyFill="1" applyBorder="1"/>
    <xf numFmtId="0" fontId="0" fillId="7" borderId="32" xfId="0" applyFill="1" applyBorder="1"/>
    <xf numFmtId="0" fontId="0" fillId="0" borderId="37" xfId="0" applyBorder="1"/>
    <xf numFmtId="0" fontId="27" fillId="13" borderId="48" xfId="0" applyFont="1" applyFill="1" applyBorder="1"/>
    <xf numFmtId="0" fontId="0" fillId="32" borderId="33" xfId="0" applyFill="1" applyBorder="1"/>
    <xf numFmtId="0" fontId="4" fillId="0" borderId="0" xfId="0" applyFont="1" applyBorder="1"/>
    <xf numFmtId="0" fontId="0" fillId="7" borderId="49" xfId="0" applyFill="1" applyBorder="1"/>
    <xf numFmtId="0" fontId="0" fillId="0" borderId="32"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2" fontId="25" fillId="7" borderId="42" xfId="0" applyNumberFormat="1" applyFont="1" applyFill="1" applyBorder="1"/>
    <xf numFmtId="2" fontId="0" fillId="0" borderId="44" xfId="0" applyNumberFormat="1" applyBorder="1"/>
    <xf numFmtId="0" fontId="0" fillId="0" borderId="50" xfId="0" applyBorder="1"/>
    <xf numFmtId="2" fontId="0" fillId="0" borderId="51" xfId="0" applyNumberFormat="1" applyBorder="1"/>
    <xf numFmtId="0" fontId="0" fillId="34" borderId="1" xfId="0" applyFill="1" applyBorder="1" applyAlignment="1">
      <alignment horizontal="left"/>
    </xf>
    <xf numFmtId="0" fontId="27" fillId="7" borderId="1" xfId="0" applyFont="1" applyFill="1" applyBorder="1"/>
    <xf numFmtId="0" fontId="0" fillId="0" borderId="1" xfId="0" applyBorder="1" applyAlignment="1">
      <alignment horizontal="left"/>
    </xf>
    <xf numFmtId="2" fontId="0" fillId="0" borderId="1" xfId="0" applyNumberFormat="1" applyFill="1" applyBorder="1" applyAlignment="1">
      <alignment horizontal="left" vertical="top"/>
    </xf>
    <xf numFmtId="0" fontId="0" fillId="0" borderId="1" xfId="0" applyFill="1" applyBorder="1" applyAlignment="1">
      <alignment horizontal="left"/>
    </xf>
    <xf numFmtId="0" fontId="27" fillId="0" borderId="0" xfId="0" applyFont="1"/>
    <xf numFmtId="0" fontId="0" fillId="14" borderId="1" xfId="0" applyFill="1" applyBorder="1" applyAlignment="1">
      <alignment horizontal="left" vertical="center"/>
    </xf>
    <xf numFmtId="0" fontId="1" fillId="0" borderId="1" xfId="0" applyFont="1" applyFill="1" applyBorder="1"/>
    <xf numFmtId="0" fontId="0" fillId="0" borderId="0" xfId="0" applyAlignment="1">
      <alignment horizontal="left"/>
    </xf>
    <xf numFmtId="2" fontId="0" fillId="0" borderId="0" xfId="0" applyNumberFormat="1" applyAlignment="1">
      <alignment horizontal="left"/>
    </xf>
    <xf numFmtId="0" fontId="48" fillId="0" borderId="0" xfId="0" applyFont="1"/>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0" fillId="0" borderId="0" xfId="0" applyAlignment="1">
      <alignment horizontal="left" vertical="top"/>
    </xf>
    <xf numFmtId="0" fontId="29" fillId="14" borderId="1" xfId="0" applyFont="1" applyFill="1" applyBorder="1" applyAlignment="1">
      <alignment horizontal="left" vertical="center"/>
    </xf>
    <xf numFmtId="0" fontId="0" fillId="0" borderId="48" xfId="0" applyBorder="1"/>
    <xf numFmtId="0" fontId="0" fillId="20" borderId="1" xfId="0" applyFill="1" applyBorder="1" applyAlignment="1">
      <alignment horizontal="left"/>
    </xf>
    <xf numFmtId="0" fontId="0" fillId="32" borderId="1" xfId="0" applyFill="1" applyBorder="1" applyAlignment="1">
      <alignment horizontal="left"/>
    </xf>
    <xf numFmtId="0" fontId="1" fillId="14" borderId="1" xfId="0" applyFont="1" applyFill="1" applyBorder="1" applyAlignment="1">
      <alignment horizontal="left"/>
    </xf>
    <xf numFmtId="0" fontId="1" fillId="34" borderId="1" xfId="0" applyFont="1" applyFill="1" applyBorder="1" applyAlignment="1">
      <alignment horizontal="left"/>
    </xf>
    <xf numFmtId="0" fontId="0" fillId="34" borderId="1" xfId="0" applyFill="1" applyBorder="1" applyAlignment="1">
      <alignment horizontal="left" vertical="top"/>
    </xf>
    <xf numFmtId="16" fontId="29" fillId="14" borderId="1" xfId="0" applyNumberFormat="1" applyFont="1" applyFill="1" applyBorder="1" applyAlignment="1">
      <alignment horizontal="left" vertical="center"/>
    </xf>
    <xf numFmtId="16" fontId="0" fillId="14" borderId="1" xfId="0" applyNumberFormat="1" applyFill="1" applyBorder="1" applyAlignment="1">
      <alignment horizontal="left" vertical="center"/>
    </xf>
    <xf numFmtId="16" fontId="0" fillId="34" borderId="1" xfId="0" applyNumberFormat="1" applyFill="1" applyBorder="1" applyAlignment="1">
      <alignment horizontal="left" vertical="center"/>
    </xf>
    <xf numFmtId="0" fontId="40" fillId="34" borderId="1" xfId="0" applyFont="1" applyFill="1" applyBorder="1" applyAlignment="1">
      <alignment horizontal="left" vertical="center"/>
    </xf>
    <xf numFmtId="0" fontId="25" fillId="0" borderId="0" xfId="0" applyFont="1"/>
    <xf numFmtId="0" fontId="4" fillId="0" borderId="10" xfId="0" applyFont="1" applyFill="1" applyBorder="1"/>
    <xf numFmtId="0" fontId="49" fillId="0" borderId="1" xfId="0" applyFont="1" applyBorder="1"/>
    <xf numFmtId="0" fontId="1" fillId="36" borderId="1" xfId="0" applyFont="1" applyFill="1" applyBorder="1" applyAlignment="1">
      <alignment horizontal="center" vertical="center"/>
    </xf>
    <xf numFmtId="0" fontId="1" fillId="37" borderId="1" xfId="0" applyFont="1" applyFill="1" applyBorder="1" applyAlignment="1">
      <alignment horizontal="center" vertical="center"/>
    </xf>
    <xf numFmtId="0" fontId="0" fillId="0" borderId="52" xfId="0" applyBorder="1"/>
    <xf numFmtId="0" fontId="0" fillId="0" borderId="25" xfId="0" applyBorder="1"/>
    <xf numFmtId="0" fontId="0" fillId="0" borderId="53" xfId="0" applyBorder="1"/>
    <xf numFmtId="0" fontId="1" fillId="0" borderId="54" xfId="0" applyFont="1" applyFill="1" applyBorder="1"/>
    <xf numFmtId="0" fontId="0" fillId="13" borderId="0" xfId="0" applyFill="1" applyBorder="1"/>
    <xf numFmtId="0" fontId="0" fillId="32" borderId="0" xfId="0" applyFill="1" applyBorder="1"/>
    <xf numFmtId="16" fontId="0" fillId="0" borderId="0" xfId="0" applyNumberFormat="1" applyBorder="1"/>
    <xf numFmtId="16" fontId="0" fillId="7" borderId="0" xfId="0" applyNumberFormat="1" applyFill="1" applyBorder="1"/>
    <xf numFmtId="16" fontId="4" fillId="0" borderId="0" xfId="0" applyNumberFormat="1" applyFont="1" applyBorder="1"/>
    <xf numFmtId="16" fontId="0" fillId="7" borderId="49" xfId="0" applyNumberFormat="1" applyFill="1" applyBorder="1"/>
    <xf numFmtId="0" fontId="30" fillId="0" borderId="0" xfId="0" applyFont="1" applyBorder="1" applyAlignment="1">
      <alignment horizontal="center"/>
    </xf>
    <xf numFmtId="0" fontId="1" fillId="9" borderId="0" xfId="0" applyFont="1" applyFill="1" applyBorder="1"/>
    <xf numFmtId="0" fontId="0" fillId="9" borderId="0" xfId="0" applyFill="1" applyBorder="1"/>
    <xf numFmtId="0" fontId="4" fillId="9" borderId="0" xfId="0" applyFont="1" applyFill="1" applyBorder="1"/>
    <xf numFmtId="0" fontId="25" fillId="0" borderId="0" xfId="0" applyFont="1" applyBorder="1" applyAlignment="1">
      <alignment horizontal="center"/>
    </xf>
    <xf numFmtId="0" fontId="25" fillId="18" borderId="0" xfId="0" applyFont="1" applyFill="1" applyBorder="1" applyAlignment="1">
      <alignment horizontal="center"/>
    </xf>
    <xf numFmtId="0" fontId="0" fillId="0" borderId="1" xfId="0" applyBorder="1" applyAlignment="1">
      <alignment vertical="top"/>
    </xf>
    <xf numFmtId="0" fontId="1" fillId="0" borderId="1" xfId="0" applyFont="1" applyBorder="1" applyAlignment="1">
      <alignment vertical="top"/>
    </xf>
    <xf numFmtId="2" fontId="29" fillId="14" borderId="1" xfId="0" applyNumberFormat="1" applyFont="1" applyFill="1" applyBorder="1" applyAlignment="1">
      <alignment horizontal="left" vertical="center"/>
    </xf>
    <xf numFmtId="0" fontId="1" fillId="7" borderId="0" xfId="0" applyFont="1" applyFill="1" applyAlignment="1">
      <alignment horizontal="left"/>
    </xf>
    <xf numFmtId="0" fontId="50" fillId="39" borderId="0" xfId="2"/>
    <xf numFmtId="0" fontId="1" fillId="10" borderId="0" xfId="0" applyFont="1" applyFill="1"/>
    <xf numFmtId="2" fontId="0" fillId="10" borderId="1" xfId="0" applyNumberFormat="1" applyFill="1" applyBorder="1" applyAlignment="1">
      <alignment horizontal="left" vertical="top"/>
    </xf>
    <xf numFmtId="0" fontId="51" fillId="0" borderId="0" xfId="0" applyFont="1"/>
    <xf numFmtId="0" fontId="1" fillId="0" borderId="10" xfId="0" applyFont="1" applyFill="1" applyBorder="1"/>
    <xf numFmtId="0" fontId="2" fillId="0" borderId="10" xfId="0" applyFont="1" applyFill="1" applyBorder="1"/>
    <xf numFmtId="0" fontId="49" fillId="0" borderId="0" xfId="0" applyFont="1"/>
    <xf numFmtId="0" fontId="1" fillId="35" borderId="26" xfId="0" applyFont="1" applyFill="1" applyBorder="1" applyAlignment="1">
      <alignment horizontal="center" vertical="center"/>
    </xf>
    <xf numFmtId="0" fontId="1" fillId="35" borderId="10" xfId="0" applyFont="1" applyFill="1" applyBorder="1" applyAlignment="1">
      <alignment horizontal="center" vertical="center"/>
    </xf>
    <xf numFmtId="0" fontId="1" fillId="35" borderId="20" xfId="0" applyFont="1" applyFill="1" applyBorder="1" applyAlignment="1">
      <alignment horizontal="center" vertical="center"/>
    </xf>
    <xf numFmtId="0" fontId="25" fillId="0" borderId="1" xfId="0" applyFont="1" applyBorder="1" applyAlignment="1">
      <alignment horizontal="center" vertical="center"/>
    </xf>
    <xf numFmtId="0" fontId="1" fillId="20" borderId="26" xfId="0" applyFont="1" applyFill="1" applyBorder="1" applyAlignment="1">
      <alignment horizontal="center" vertical="center"/>
    </xf>
    <xf numFmtId="0" fontId="1" fillId="20" borderId="20" xfId="0" applyFont="1" applyFill="1" applyBorder="1" applyAlignment="1">
      <alignment horizontal="center" vertical="center"/>
    </xf>
    <xf numFmtId="0" fontId="1" fillId="38" borderId="26" xfId="0" applyFont="1" applyFill="1" applyBorder="1" applyAlignment="1">
      <alignment horizontal="center" vertical="center"/>
    </xf>
    <xf numFmtId="0" fontId="1" fillId="38" borderId="10" xfId="0" applyFont="1" applyFill="1" applyBorder="1" applyAlignment="1">
      <alignment horizontal="center" vertical="center"/>
    </xf>
    <xf numFmtId="0" fontId="1" fillId="38" borderId="20" xfId="0" applyFont="1" applyFill="1" applyBorder="1" applyAlignment="1">
      <alignment horizontal="center" vertical="center"/>
    </xf>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25" fillId="9" borderId="19" xfId="0" applyFont="1" applyFill="1" applyBorder="1" applyAlignment="1">
      <alignment horizontal="center"/>
    </xf>
    <xf numFmtId="0" fontId="25" fillId="9" borderId="25" xfId="0" applyFont="1" applyFill="1" applyBorder="1" applyAlignment="1">
      <alignment horizontal="center"/>
    </xf>
    <xf numFmtId="0" fontId="25" fillId="9" borderId="24" xfId="0" applyFont="1" applyFill="1" applyBorder="1" applyAlignment="1">
      <alignment horizontal="center"/>
    </xf>
    <xf numFmtId="0" fontId="25" fillId="0" borderId="19" xfId="0" applyFont="1" applyBorder="1" applyAlignment="1">
      <alignment horizontal="center"/>
    </xf>
    <xf numFmtId="0" fontId="25" fillId="0" borderId="24" xfId="0" applyFont="1" applyBorder="1" applyAlignment="1">
      <alignment horizontal="center"/>
    </xf>
    <xf numFmtId="0" fontId="25" fillId="0" borderId="25"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25" fillId="31" borderId="19" xfId="0" applyFont="1" applyFill="1" applyBorder="1" applyAlignment="1">
      <alignment horizontal="center"/>
    </xf>
    <xf numFmtId="0" fontId="25" fillId="31" borderId="25" xfId="0" applyFont="1" applyFill="1" applyBorder="1" applyAlignment="1">
      <alignment horizontal="center"/>
    </xf>
    <xf numFmtId="0" fontId="25" fillId="31" borderId="24" xfId="0" applyFont="1" applyFill="1" applyBorder="1" applyAlignment="1">
      <alignment horizontal="center"/>
    </xf>
    <xf numFmtId="0" fontId="25" fillId="3" borderId="19" xfId="0" applyFont="1" applyFill="1" applyBorder="1" applyAlignment="1">
      <alignment horizontal="center"/>
    </xf>
    <xf numFmtId="0" fontId="25" fillId="3" borderId="24" xfId="0" applyFont="1" applyFill="1" applyBorder="1" applyAlignment="1">
      <alignment horizontal="center"/>
    </xf>
    <xf numFmtId="0" fontId="25" fillId="18" borderId="19" xfId="0" applyFont="1" applyFill="1" applyBorder="1" applyAlignment="1">
      <alignment horizontal="center"/>
    </xf>
    <xf numFmtId="0" fontId="25" fillId="18" borderId="25" xfId="0" applyFont="1" applyFill="1" applyBorder="1" applyAlignment="1">
      <alignment horizontal="center"/>
    </xf>
    <xf numFmtId="0" fontId="25" fillId="18" borderId="24" xfId="0" applyFont="1" applyFill="1" applyBorder="1" applyAlignment="1">
      <alignment horizontal="center"/>
    </xf>
    <xf numFmtId="0" fontId="0" fillId="2" borderId="26" xfId="0" applyFill="1" applyBorder="1" applyAlignment="1">
      <alignment horizontal="left" vertical="top" wrapText="1"/>
    </xf>
    <xf numFmtId="0" fontId="0" fillId="2" borderId="10" xfId="0" applyFill="1" applyBorder="1" applyAlignment="1">
      <alignment horizontal="left" vertical="top" wrapText="1"/>
    </xf>
    <xf numFmtId="0" fontId="0" fillId="2" borderId="20" xfId="0" applyFill="1" applyBorder="1" applyAlignment="1">
      <alignment horizontal="left" vertical="top" wrapText="1"/>
    </xf>
    <xf numFmtId="0" fontId="1" fillId="0" borderId="0" xfId="0" applyFont="1" applyAlignment="1">
      <alignment horizontal="center"/>
    </xf>
    <xf numFmtId="8" fontId="12" fillId="19" borderId="14" xfId="0" applyNumberFormat="1" applyFont="1" applyFill="1" applyBorder="1" applyAlignment="1">
      <alignment horizontal="right" vertical="top" wrapText="1" indent="1"/>
    </xf>
    <xf numFmtId="8" fontId="12" fillId="19" borderId="17" xfId="0" applyNumberFormat="1" applyFont="1" applyFill="1" applyBorder="1" applyAlignment="1">
      <alignment horizontal="right" vertical="top" wrapText="1" indent="1"/>
    </xf>
    <xf numFmtId="0" fontId="7" fillId="19" borderId="12" xfId="1" applyFill="1" applyBorder="1" applyAlignment="1">
      <alignment vertical="top" wrapText="1" indent="1"/>
    </xf>
    <xf numFmtId="0" fontId="7" fillId="19" borderId="11" xfId="1" applyFill="1" applyBorder="1" applyAlignment="1">
      <alignment vertical="top" wrapText="1" indent="1"/>
    </xf>
    <xf numFmtId="0" fontId="7" fillId="19" borderId="14" xfId="1" applyFill="1" applyBorder="1" applyAlignment="1">
      <alignment horizontal="left" vertical="center" wrapText="1" indent="1"/>
    </xf>
    <xf numFmtId="0" fontId="7" fillId="19" borderId="12" xfId="1" applyFill="1" applyBorder="1" applyAlignment="1">
      <alignment horizontal="left" vertical="center" wrapText="1" indent="1"/>
    </xf>
    <xf numFmtId="0" fontId="12" fillId="19" borderId="15" xfId="0" applyFont="1" applyFill="1" applyBorder="1" applyAlignment="1">
      <alignment horizontal="center" vertical="top" wrapText="1"/>
    </xf>
    <xf numFmtId="0" fontId="12" fillId="19" borderId="16" xfId="0" applyFont="1" applyFill="1" applyBorder="1" applyAlignment="1">
      <alignment horizontal="center" vertical="top" wrapText="1"/>
    </xf>
    <xf numFmtId="8" fontId="12" fillId="19" borderId="15" xfId="0" applyNumberFormat="1" applyFont="1" applyFill="1" applyBorder="1" applyAlignment="1">
      <alignment horizontal="right" vertical="top" wrapText="1"/>
    </xf>
    <xf numFmtId="8" fontId="12" fillId="19" borderId="16" xfId="0" applyNumberFormat="1" applyFont="1" applyFill="1" applyBorder="1" applyAlignment="1">
      <alignment horizontal="right" vertical="top" wrapText="1"/>
    </xf>
    <xf numFmtId="0" fontId="0" fillId="28" borderId="0" xfId="0" applyFill="1" applyAlignment="1">
      <alignment horizontal="center"/>
    </xf>
    <xf numFmtId="0" fontId="0" fillId="18" borderId="0" xfId="0" applyFill="1" applyAlignment="1">
      <alignment horizontal="center"/>
    </xf>
    <xf numFmtId="0" fontId="0" fillId="25" borderId="34" xfId="0" applyFill="1" applyBorder="1" applyAlignment="1">
      <alignment vertical="top" wrapText="1"/>
    </xf>
    <xf numFmtId="0" fontId="0" fillId="25" borderId="32" xfId="0" applyFill="1" applyBorder="1" applyAlignment="1">
      <alignment vertical="top" wrapText="1"/>
    </xf>
    <xf numFmtId="0" fontId="36" fillId="25" borderId="34" xfId="0" applyFont="1" applyFill="1" applyBorder="1" applyAlignment="1">
      <alignment vertical="center" wrapText="1"/>
    </xf>
    <xf numFmtId="0" fontId="36" fillId="25" borderId="32" xfId="0" applyFont="1" applyFill="1" applyBorder="1" applyAlignment="1">
      <alignment vertical="center" wrapText="1"/>
    </xf>
    <xf numFmtId="0" fontId="35" fillId="25" borderId="36" xfId="0" applyFont="1" applyFill="1" applyBorder="1" applyAlignment="1">
      <alignment vertical="center" wrapText="1"/>
    </xf>
    <xf numFmtId="0" fontId="35" fillId="25" borderId="31" xfId="0" applyFont="1" applyFill="1" applyBorder="1" applyAlignment="1">
      <alignment vertical="center" wrapText="1"/>
    </xf>
    <xf numFmtId="0" fontId="35" fillId="25" borderId="30" xfId="0" applyFont="1" applyFill="1" applyBorder="1" applyAlignment="1">
      <alignment vertical="center" wrapText="1"/>
    </xf>
    <xf numFmtId="0" fontId="36" fillId="25" borderId="27" xfId="0" applyFont="1" applyFill="1" applyBorder="1" applyAlignment="1">
      <alignment horizontal="justify" vertical="center" wrapText="1"/>
    </xf>
    <xf numFmtId="0" fontId="36" fillId="25" borderId="28" xfId="0" applyFont="1" applyFill="1" applyBorder="1" applyAlignment="1">
      <alignment horizontal="justify" vertical="center" wrapText="1"/>
    </xf>
    <xf numFmtId="0" fontId="34" fillId="25" borderId="27" xfId="0" applyFont="1" applyFill="1" applyBorder="1" applyAlignment="1">
      <alignment vertical="center" wrapText="1"/>
    </xf>
    <xf numFmtId="0" fontId="34" fillId="25" borderId="28" xfId="0" applyFont="1" applyFill="1" applyBorder="1" applyAlignment="1">
      <alignment vertical="center" wrapText="1"/>
    </xf>
    <xf numFmtId="0" fontId="34" fillId="25" borderId="37" xfId="0" applyFont="1" applyFill="1" applyBorder="1" applyAlignment="1">
      <alignment vertical="center" wrapText="1"/>
    </xf>
    <xf numFmtId="0" fontId="34" fillId="25" borderId="38" xfId="0" applyFont="1" applyFill="1" applyBorder="1" applyAlignment="1">
      <alignment vertical="center" wrapText="1"/>
    </xf>
    <xf numFmtId="0" fontId="36" fillId="25" borderId="35" xfId="0" applyFont="1" applyFill="1" applyBorder="1" applyAlignment="1">
      <alignment vertical="center" wrapText="1"/>
    </xf>
    <xf numFmtId="0" fontId="36" fillId="25" borderId="33" xfId="0" applyFont="1" applyFill="1" applyBorder="1" applyAlignment="1">
      <alignment vertical="center" wrapText="1"/>
    </xf>
    <xf numFmtId="0" fontId="34" fillId="25" borderId="35" xfId="0" applyFont="1" applyFill="1" applyBorder="1" applyAlignment="1">
      <alignment vertical="center" wrapText="1"/>
    </xf>
    <xf numFmtId="0" fontId="34" fillId="25" borderId="33" xfId="0" applyFont="1" applyFill="1" applyBorder="1" applyAlignment="1">
      <alignment vertical="center" wrapText="1"/>
    </xf>
    <xf numFmtId="0" fontId="36" fillId="25" borderId="34" xfId="0" applyFont="1" applyFill="1" applyBorder="1" applyAlignment="1">
      <alignment horizontal="justify" vertical="center" wrapText="1"/>
    </xf>
    <xf numFmtId="0" fontId="36" fillId="25" borderId="32" xfId="0" applyFont="1" applyFill="1" applyBorder="1" applyAlignment="1">
      <alignment horizontal="justify" vertical="center" wrapText="1"/>
    </xf>
    <xf numFmtId="0" fontId="36" fillId="25" borderId="27" xfId="0" applyFont="1" applyFill="1" applyBorder="1" applyAlignment="1">
      <alignment vertical="center" wrapText="1"/>
    </xf>
    <xf numFmtId="0" fontId="36" fillId="25" borderId="28" xfId="0" applyFont="1" applyFill="1" applyBorder="1" applyAlignment="1">
      <alignment vertical="center" wrapText="1"/>
    </xf>
  </cellXfs>
  <cellStyles count="3">
    <cellStyle name="Good" xfId="2" builtinId="26"/>
    <cellStyle name="Hyperlink" xfId="1" builtinId="8"/>
    <cellStyle name="Normal" xfId="0" builtinId="0"/>
  </cellStyles>
  <dxfs count="7">
    <dxf>
      <fill>
        <patternFill patternType="solid">
          <fgColor rgb="FFFF0000"/>
          <bgColor rgb="FF00000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s>
  <tableStyles count="0" defaultTableStyle="TableStyleMedium2" defaultPivotStyle="PivotStyleLight16"/>
  <colors>
    <mruColors>
      <color rgb="FFFF33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gif"/><Relationship Id="rId7" Type="http://schemas.openxmlformats.org/officeDocument/2006/relationships/image" Target="../media/image12.gif"/><Relationship Id="rId2" Type="http://schemas.openxmlformats.org/officeDocument/2006/relationships/image" Target="../media/image7.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hyperlink" Target="javascript:void(0);"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895350</xdr:colOff>
      <xdr:row>44</xdr:row>
      <xdr:rowOff>38100</xdr:rowOff>
    </xdr:from>
    <xdr:to>
      <xdr:col>8</xdr:col>
      <xdr:colOff>161242</xdr:colOff>
      <xdr:row>57</xdr:row>
      <xdr:rowOff>94934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934075" y="8991600"/>
          <a:ext cx="5466667" cy="2533334"/>
        </a:xfrm>
        <a:prstGeom prst="rect">
          <a:avLst/>
        </a:prstGeom>
      </xdr:spPr>
    </xdr:pic>
    <xdr:clientData/>
  </xdr:twoCellAnchor>
  <xdr:twoCellAnchor editAs="oneCell">
    <xdr:from>
      <xdr:col>0</xdr:col>
      <xdr:colOff>0</xdr:colOff>
      <xdr:row>31</xdr:row>
      <xdr:rowOff>0</xdr:rowOff>
    </xdr:from>
    <xdr:to>
      <xdr:col>1</xdr:col>
      <xdr:colOff>580323</xdr:colOff>
      <xdr:row>42</xdr:row>
      <xdr:rowOff>66405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6477000"/>
          <a:ext cx="5619048" cy="2161905"/>
        </a:xfrm>
        <a:prstGeom prst="rect">
          <a:avLst/>
        </a:prstGeom>
      </xdr:spPr>
    </xdr:pic>
    <xdr:clientData/>
  </xdr:twoCellAnchor>
  <xdr:twoCellAnchor editAs="oneCell">
    <xdr:from>
      <xdr:col>0</xdr:col>
      <xdr:colOff>0</xdr:colOff>
      <xdr:row>44</xdr:row>
      <xdr:rowOff>0</xdr:rowOff>
    </xdr:from>
    <xdr:to>
      <xdr:col>1</xdr:col>
      <xdr:colOff>466037</xdr:colOff>
      <xdr:row>55</xdr:row>
      <xdr:rowOff>9262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8953500"/>
          <a:ext cx="5504762" cy="2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580039</xdr:colOff>
      <xdr:row>23</xdr:row>
      <xdr:rowOff>18524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190500"/>
          <a:ext cx="7895239" cy="4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9525</xdr:colOff>
      <xdr:row>3</xdr:row>
      <xdr:rowOff>9525</xdr:rowOff>
    </xdr:to>
    <xdr:pic>
      <xdr:nvPicPr>
        <xdr:cNvPr id="2" name="Picture 1" descr="http://d.adroll.com/cm/r/out">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3</xdr:row>
      <xdr:rowOff>0</xdr:rowOff>
    </xdr:from>
    <xdr:to>
      <xdr:col>4</xdr:col>
      <xdr:colOff>28575</xdr:colOff>
      <xdr:row>3</xdr:row>
      <xdr:rowOff>9525</xdr:rowOff>
    </xdr:to>
    <xdr:pic>
      <xdr:nvPicPr>
        <xdr:cNvPr id="3" name="Picture 2" descr="http://d.adroll.com/cm/f/out">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74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3</xdr:row>
      <xdr:rowOff>0</xdr:rowOff>
    </xdr:from>
    <xdr:to>
      <xdr:col>4</xdr:col>
      <xdr:colOff>47625</xdr:colOff>
      <xdr:row>3</xdr:row>
      <xdr:rowOff>9525</xdr:rowOff>
    </xdr:to>
    <xdr:sp macro="" textlink="">
      <xdr:nvSpPr>
        <xdr:cNvPr id="9219" name="AutoShape 3" descr="http://d.adroll.com/cm/b/out">
          <a:extLst>
            <a:ext uri="{FF2B5EF4-FFF2-40B4-BE49-F238E27FC236}">
              <a16:creationId xmlns:a16="http://schemas.microsoft.com/office/drawing/2014/main" id="{00000000-0008-0000-1800-000003240000}"/>
            </a:ext>
          </a:extLst>
        </xdr:cNvPr>
        <xdr:cNvSpPr>
          <a:spLocks noChangeAspect="1" noChangeArrowheads="1"/>
        </xdr:cNvSpPr>
      </xdr:nvSpPr>
      <xdr:spPr bwMode="auto">
        <a:xfrm>
          <a:off x="24765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57150</xdr:colOff>
      <xdr:row>3</xdr:row>
      <xdr:rowOff>0</xdr:rowOff>
    </xdr:from>
    <xdr:to>
      <xdr:col>4</xdr:col>
      <xdr:colOff>66675</xdr:colOff>
      <xdr:row>3</xdr:row>
      <xdr:rowOff>9525</xdr:rowOff>
    </xdr:to>
    <xdr:pic>
      <xdr:nvPicPr>
        <xdr:cNvPr id="5" name="Picture 4" descr="http://d.adroll.com/cm/w/out">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955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3</xdr:row>
      <xdr:rowOff>0</xdr:rowOff>
    </xdr:from>
    <xdr:to>
      <xdr:col>4</xdr:col>
      <xdr:colOff>85725</xdr:colOff>
      <xdr:row>3</xdr:row>
      <xdr:rowOff>9525</xdr:rowOff>
    </xdr:to>
    <xdr:pic>
      <xdr:nvPicPr>
        <xdr:cNvPr id="6" name="Picture 5" descr="http://d.adroll.com/cm/x/out">
          <a:extLst>
            <a:ext uri="{FF2B5EF4-FFF2-40B4-BE49-F238E27FC236}">
              <a16:creationId xmlns:a16="http://schemas.microsoft.com/office/drawing/2014/main" id="{00000000-0008-0000-18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146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95250</xdr:colOff>
      <xdr:row>3</xdr:row>
      <xdr:rowOff>0</xdr:rowOff>
    </xdr:from>
    <xdr:to>
      <xdr:col>4</xdr:col>
      <xdr:colOff>104775</xdr:colOff>
      <xdr:row>3</xdr:row>
      <xdr:rowOff>9525</xdr:rowOff>
    </xdr:to>
    <xdr:pic>
      <xdr:nvPicPr>
        <xdr:cNvPr id="7" name="Picture 6" descr="http://d.adroll.com/cm/l/out">
          <a:extLst>
            <a:ext uri="{FF2B5EF4-FFF2-40B4-BE49-F238E27FC236}">
              <a16:creationId xmlns:a16="http://schemas.microsoft.com/office/drawing/2014/main" id="{00000000-0008-0000-18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336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3</xdr:row>
      <xdr:rowOff>0</xdr:rowOff>
    </xdr:from>
    <xdr:to>
      <xdr:col>4</xdr:col>
      <xdr:colOff>123825</xdr:colOff>
      <xdr:row>3</xdr:row>
      <xdr:rowOff>9525</xdr:rowOff>
    </xdr:to>
    <xdr:sp macro="" textlink="">
      <xdr:nvSpPr>
        <xdr:cNvPr id="9223" name="AutoShape 7" descr="http://d.adroll.com/cm/o/out">
          <a:extLst>
            <a:ext uri="{FF2B5EF4-FFF2-40B4-BE49-F238E27FC236}">
              <a16:creationId xmlns:a16="http://schemas.microsoft.com/office/drawing/2014/main" id="{00000000-0008-0000-1800-000007240000}"/>
            </a:ext>
          </a:extLst>
        </xdr:cNvPr>
        <xdr:cNvSpPr>
          <a:spLocks noChangeAspect="1" noChangeArrowheads="1"/>
        </xdr:cNvSpPr>
      </xdr:nvSpPr>
      <xdr:spPr bwMode="auto">
        <a:xfrm>
          <a:off x="25527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133350</xdr:colOff>
      <xdr:row>3</xdr:row>
      <xdr:rowOff>0</xdr:rowOff>
    </xdr:from>
    <xdr:to>
      <xdr:col>4</xdr:col>
      <xdr:colOff>142875</xdr:colOff>
      <xdr:row>3</xdr:row>
      <xdr:rowOff>9525</xdr:rowOff>
    </xdr:to>
    <xdr:pic>
      <xdr:nvPicPr>
        <xdr:cNvPr id="9" name="Picture 8" descr="http://d.adroll.com/cm/g/out?google_nid=adroll2">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152400</xdr:colOff>
      <xdr:row>3</xdr:row>
      <xdr:rowOff>0</xdr:rowOff>
    </xdr:from>
    <xdr:to>
      <xdr:col>4</xdr:col>
      <xdr:colOff>161925</xdr:colOff>
      <xdr:row>3</xdr:row>
      <xdr:rowOff>9525</xdr:rowOff>
    </xdr:to>
    <xdr:pic>
      <xdr:nvPicPr>
        <xdr:cNvPr id="10" name="Picture 9" descr="http://googleads.g.doubleclick.net/pagead/viewthroughconversion/1011350631/?label=GB6cCImJuQUQ5_if4gM&amp;guid=ON&amp;script=0&amp;ord=5976143082311290">
          <a:extLst>
            <a:ext uri="{FF2B5EF4-FFF2-40B4-BE49-F238E27FC236}">
              <a16:creationId xmlns:a16="http://schemas.microsoft.com/office/drawing/2014/main" id="{00000000-0008-0000-18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908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171450</xdr:colOff>
      <xdr:row>3</xdr:row>
      <xdr:rowOff>0</xdr:rowOff>
    </xdr:from>
    <xdr:to>
      <xdr:col>4</xdr:col>
      <xdr:colOff>180975</xdr:colOff>
      <xdr:row>3</xdr:row>
      <xdr:rowOff>9525</xdr:rowOff>
    </xdr:to>
    <xdr:pic>
      <xdr:nvPicPr>
        <xdr:cNvPr id="11" name="Picture 10" descr="http://ib.adnxs.com/seg?add=454498&amp;t=2">
          <a:extLst>
            <a:ext uri="{FF2B5EF4-FFF2-40B4-BE49-F238E27FC236}">
              <a16:creationId xmlns:a16="http://schemas.microsoft.com/office/drawing/2014/main" id="{00000000-0008-0000-18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3</xdr:row>
      <xdr:rowOff>0</xdr:rowOff>
    </xdr:from>
    <xdr:to>
      <xdr:col>4</xdr:col>
      <xdr:colOff>200025</xdr:colOff>
      <xdr:row>3</xdr:row>
      <xdr:rowOff>9525</xdr:rowOff>
    </xdr:to>
    <xdr:pic>
      <xdr:nvPicPr>
        <xdr:cNvPr id="12" name="Picture 11" descr="http://googleads.g.doubleclick.net/pagead/viewthroughconversion/1011350631/?value=0&amp;label=4D96CKmf7AkQ5_if4gM&amp;guid=ON&amp;script=0&amp;ord=5976143082311290">
          <a:extLst>
            <a:ext uri="{FF2B5EF4-FFF2-40B4-BE49-F238E27FC236}">
              <a16:creationId xmlns:a16="http://schemas.microsoft.com/office/drawing/2014/main" id="{00000000-0008-0000-18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289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3</xdr:row>
      <xdr:rowOff>0</xdr:rowOff>
    </xdr:from>
    <xdr:to>
      <xdr:col>4</xdr:col>
      <xdr:colOff>219075</xdr:colOff>
      <xdr:row>3</xdr:row>
      <xdr:rowOff>9525</xdr:rowOff>
    </xdr:to>
    <xdr:pic>
      <xdr:nvPicPr>
        <xdr:cNvPr id="13" name="Picture 12" descr="http://ib.adnxs.com/seg?add=703351&amp;t=2">
          <a:extLst>
            <a:ext uri="{FF2B5EF4-FFF2-40B4-BE49-F238E27FC236}">
              <a16:creationId xmlns:a16="http://schemas.microsoft.com/office/drawing/2014/main" id="{00000000-0008-0000-18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3</xdr:row>
      <xdr:rowOff>0</xdr:rowOff>
    </xdr:from>
    <xdr:to>
      <xdr:col>4</xdr:col>
      <xdr:colOff>238125</xdr:colOff>
      <xdr:row>3</xdr:row>
      <xdr:rowOff>9525</xdr:rowOff>
    </xdr:to>
    <xdr:pic>
      <xdr:nvPicPr>
        <xdr:cNvPr id="14" name="Picture 13" descr="http://ad.yieldmanager.com/pixel?id=2376899&amp;t=2">
          <a:extLst>
            <a:ext uri="{FF2B5EF4-FFF2-40B4-BE49-F238E27FC236}">
              <a16:creationId xmlns:a16="http://schemas.microsoft.com/office/drawing/2014/main" id="{00000000-0008-0000-18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670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247650</xdr:colOff>
      <xdr:row>3</xdr:row>
      <xdr:rowOff>0</xdr:rowOff>
    </xdr:from>
    <xdr:to>
      <xdr:col>4</xdr:col>
      <xdr:colOff>257175</xdr:colOff>
      <xdr:row>3</xdr:row>
      <xdr:rowOff>9525</xdr:rowOff>
    </xdr:to>
    <xdr:pic>
      <xdr:nvPicPr>
        <xdr:cNvPr id="15" name="Picture 14" descr="http://googleads.g.doubleclick.net/pagead/viewthroughconversion/1011350631/?label=4D96CKmf7AkQ5_if4gM&amp;guid=ON&amp;script=0&amp;ord=5976143082311290">
          <a:extLst>
            <a:ext uri="{FF2B5EF4-FFF2-40B4-BE49-F238E27FC236}">
              <a16:creationId xmlns:a16="http://schemas.microsoft.com/office/drawing/2014/main" id="{00000000-0008-0000-18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860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3</xdr:row>
      <xdr:rowOff>0</xdr:rowOff>
    </xdr:from>
    <xdr:to>
      <xdr:col>4</xdr:col>
      <xdr:colOff>276225</xdr:colOff>
      <xdr:row>3</xdr:row>
      <xdr:rowOff>9525</xdr:rowOff>
    </xdr:to>
    <xdr:pic>
      <xdr:nvPicPr>
        <xdr:cNvPr id="16" name="Picture 15" descr="http://ib.adnxs.com/seg?add=703351&amp;t=2">
          <a:extLst>
            <a:ext uri="{FF2B5EF4-FFF2-40B4-BE49-F238E27FC236}">
              <a16:creationId xmlns:a16="http://schemas.microsoft.com/office/drawing/2014/main" id="{00000000-0008-0000-18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051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9</xdr:col>
      <xdr:colOff>123825</xdr:colOff>
      <xdr:row>18</xdr:row>
      <xdr:rowOff>114300</xdr:rowOff>
    </xdr:to>
    <xdr:pic>
      <xdr:nvPicPr>
        <xdr:cNvPr id="3" name="Picture 2" descr="Collapse transaction for Transaction date: 09/11/2015 PHYSICIANS BILLING SOLUTI800-8339986 FL">
          <a:hlinkClick xmlns:r="http://schemas.openxmlformats.org/officeDocument/2006/relationships" r:id="rId1"/>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3429000"/>
          <a:ext cx="1238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25</xdr:col>
      <xdr:colOff>427428</xdr:colOff>
      <xdr:row>21</xdr:row>
      <xdr:rowOff>333119</xdr:rowOff>
    </xdr:to>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xfrm>
          <a:off x="9906000" y="2286000"/>
          <a:ext cx="9571428" cy="2047619"/>
        </a:xfrm>
        <a:prstGeom prst="rect">
          <a:avLst/>
        </a:prstGeom>
      </xdr:spPr>
    </xdr:pic>
    <xdr:clientData/>
  </xdr:twoCellAnchor>
  <xdr:twoCellAnchor editAs="oneCell">
    <xdr:from>
      <xdr:col>10</xdr:col>
      <xdr:colOff>0</xdr:colOff>
      <xdr:row>28</xdr:row>
      <xdr:rowOff>0</xdr:rowOff>
    </xdr:from>
    <xdr:to>
      <xdr:col>17</xdr:col>
      <xdr:colOff>389934</xdr:colOff>
      <xdr:row>42</xdr:row>
      <xdr:rowOff>37762</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stretch>
          <a:fillRect/>
        </a:stretch>
      </xdr:blipFill>
      <xdr:spPr>
        <a:xfrm>
          <a:off x="14597063" y="6858000"/>
          <a:ext cx="4723809" cy="2704762"/>
        </a:xfrm>
        <a:prstGeom prst="rect">
          <a:avLst/>
        </a:prstGeom>
      </xdr:spPr>
    </xdr:pic>
    <xdr:clientData/>
  </xdr:twoCellAnchor>
</xdr:wsDr>
</file>

<file path=xl/tables/table1.xml><?xml version="1.0" encoding="utf-8"?>
<table xmlns="http://schemas.openxmlformats.org/spreadsheetml/2006/main" id="1" name="Table1" displayName="Table1" ref="A3:E22" totalsRowCount="1" totalsRowDxfId="6">
  <autoFilter ref="A3:E21"/>
  <sortState ref="A4:C20">
    <sortCondition ref="B3:B20"/>
  </sortState>
  <tableColumns count="5">
    <tableColumn id="1" name="acc" totalsRowLabel="UBER" totalsRowDxfId="5"/>
    <tableColumn id="2" name="date" totalsRowDxfId="4"/>
    <tableColumn id="5" name="Column3" totalsRowDxfId="3"/>
    <tableColumn id="3" name="Column1" totalsRowLabel="8610" totalsRowDxfId="2"/>
    <tableColumn id="4" name="Column2" totalsRow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jobs.net/jobs/booz-allen-hamilton/en-us/job/United-States/NET-Software-Engineer-Senior/J3K6916RQYYTRTL93N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3" Type="http://schemas.openxmlformats.org/officeDocument/2006/relationships/hyperlink" Target="http://www.myvisajobs.com/North-Carolina-2015WS.htm" TargetMode="External"/><Relationship Id="rId18" Type="http://schemas.openxmlformats.org/officeDocument/2006/relationships/hyperlink" Target="http://www.myvisajobs.com/Arizona-2015WS.htm" TargetMode="External"/><Relationship Id="rId26" Type="http://schemas.openxmlformats.org/officeDocument/2006/relationships/hyperlink" Target="http://www.myvisajobs.com/Delaware-2015WS.htm" TargetMode="External"/><Relationship Id="rId39" Type="http://schemas.openxmlformats.org/officeDocument/2006/relationships/hyperlink" Target="http://www.myvisajobs.com/Nevada-2015WS.htm" TargetMode="External"/><Relationship Id="rId3" Type="http://schemas.openxmlformats.org/officeDocument/2006/relationships/hyperlink" Target="http://www.myvisajobs.com/New-York-2015WS.htm" TargetMode="External"/><Relationship Id="rId21" Type="http://schemas.openxmlformats.org/officeDocument/2006/relationships/hyperlink" Target="http://www.myvisajobs.com/Wisconsin-2015WS.htm" TargetMode="External"/><Relationship Id="rId34" Type="http://schemas.openxmlformats.org/officeDocument/2006/relationships/hyperlink" Target="http://www.myvisajobs.com/Oklahoma-2015WS.htm" TargetMode="External"/><Relationship Id="rId42" Type="http://schemas.openxmlformats.org/officeDocument/2006/relationships/hyperlink" Target="http://www.myvisajobs.com/Mississippi-2015WS.htm" TargetMode="External"/><Relationship Id="rId47" Type="http://schemas.openxmlformats.org/officeDocument/2006/relationships/hyperlink" Target="http://www.myvisajobs.com/Vermont-2015WS.htm" TargetMode="External"/><Relationship Id="rId50" Type="http://schemas.openxmlformats.org/officeDocument/2006/relationships/hyperlink" Target="http://www.myvisajobs.com/Wyoming-2015WS.htm" TargetMode="External"/><Relationship Id="rId7" Type="http://schemas.openxmlformats.org/officeDocument/2006/relationships/hyperlink" Target="http://www.myvisajobs.com/Pennsylvania-2015WS.htm" TargetMode="External"/><Relationship Id="rId12" Type="http://schemas.openxmlformats.org/officeDocument/2006/relationships/hyperlink" Target="http://www.myvisajobs.com/Michigan-2015WS.htm" TargetMode="External"/><Relationship Id="rId17" Type="http://schemas.openxmlformats.org/officeDocument/2006/relationships/hyperlink" Target="http://www.myvisajobs.com/Connecticut-2015WS.htm" TargetMode="External"/><Relationship Id="rId25" Type="http://schemas.openxmlformats.org/officeDocument/2006/relationships/hyperlink" Target="http://www.myvisajobs.com/District-of-Columbia-2015WS.htm" TargetMode="External"/><Relationship Id="rId33" Type="http://schemas.openxmlformats.org/officeDocument/2006/relationships/hyperlink" Target="http://www.myvisajobs.com/South-Carolina-2015WS.htm" TargetMode="External"/><Relationship Id="rId38" Type="http://schemas.openxmlformats.org/officeDocument/2006/relationships/hyperlink" Target="http://www.myvisajobs.com/New-Hampshire-2015WS.htm" TargetMode="External"/><Relationship Id="rId46" Type="http://schemas.openxmlformats.org/officeDocument/2006/relationships/hyperlink" Target="http://www.myvisajobs.com/West-Virginia-2015WS.htm" TargetMode="External"/><Relationship Id="rId2" Type="http://schemas.openxmlformats.org/officeDocument/2006/relationships/hyperlink" Target="http://www.myvisajobs.com/Texas-2015WS.htm" TargetMode="External"/><Relationship Id="rId16" Type="http://schemas.openxmlformats.org/officeDocument/2006/relationships/hyperlink" Target="http://www.myvisajobs.com/Minnesota-2015WS.htm" TargetMode="External"/><Relationship Id="rId20" Type="http://schemas.openxmlformats.org/officeDocument/2006/relationships/hyperlink" Target="http://www.myvisajobs.com/Colorado-2015WS.htm" TargetMode="External"/><Relationship Id="rId29" Type="http://schemas.openxmlformats.org/officeDocument/2006/relationships/hyperlink" Target="http://www.myvisajobs.com/Utah-2015WS.htm" TargetMode="External"/><Relationship Id="rId41" Type="http://schemas.openxmlformats.org/officeDocument/2006/relationships/hyperlink" Target="http://www.myvisajobs.com/Maine-2015WS.htm" TargetMode="External"/><Relationship Id="rId1" Type="http://schemas.openxmlformats.org/officeDocument/2006/relationships/hyperlink" Target="http://www.myvisajobs.com/California-2015WS.htm" TargetMode="External"/><Relationship Id="rId6" Type="http://schemas.openxmlformats.org/officeDocument/2006/relationships/hyperlink" Target="http://www.myvisajobs.com/Massachusetts-2015WS.htm" TargetMode="External"/><Relationship Id="rId11" Type="http://schemas.openxmlformats.org/officeDocument/2006/relationships/hyperlink" Target="http://www.myvisajobs.com/Virginia-2015WS.htm" TargetMode="External"/><Relationship Id="rId24" Type="http://schemas.openxmlformats.org/officeDocument/2006/relationships/hyperlink" Target="http://www.myvisajobs.com/Tennessee-2015WS.htm" TargetMode="External"/><Relationship Id="rId32" Type="http://schemas.openxmlformats.org/officeDocument/2006/relationships/hyperlink" Target="http://www.myvisajobs.com/Kentucky-2015WS.htm" TargetMode="External"/><Relationship Id="rId37" Type="http://schemas.openxmlformats.org/officeDocument/2006/relationships/hyperlink" Target="http://www.myvisajobs.com/Nebraska-2015WS.htm" TargetMode="External"/><Relationship Id="rId40" Type="http://schemas.openxmlformats.org/officeDocument/2006/relationships/hyperlink" Target="http://www.myvisajobs.com/New-Mexico-2015WS.htm" TargetMode="External"/><Relationship Id="rId45" Type="http://schemas.openxmlformats.org/officeDocument/2006/relationships/hyperlink" Target="http://www.myvisajobs.com/North-Dakota-2015WS.htm" TargetMode="External"/><Relationship Id="rId53" Type="http://schemas.openxmlformats.org/officeDocument/2006/relationships/vmlDrawing" Target="../drawings/vmlDrawing3.vml"/><Relationship Id="rId5" Type="http://schemas.openxmlformats.org/officeDocument/2006/relationships/hyperlink" Target="http://www.myvisajobs.com/Illinois-2015WS.htm" TargetMode="External"/><Relationship Id="rId15" Type="http://schemas.openxmlformats.org/officeDocument/2006/relationships/hyperlink" Target="http://www.myvisajobs.com/Maryland-2015WS.htm" TargetMode="External"/><Relationship Id="rId23" Type="http://schemas.openxmlformats.org/officeDocument/2006/relationships/hyperlink" Target="http://www.myvisajobs.com/Oregon-2015WS.htm" TargetMode="External"/><Relationship Id="rId28" Type="http://schemas.openxmlformats.org/officeDocument/2006/relationships/hyperlink" Target="http://www.myvisajobs.com/Kansas-2015WS.htm" TargetMode="External"/><Relationship Id="rId36" Type="http://schemas.openxmlformats.org/officeDocument/2006/relationships/hyperlink" Target="http://www.myvisajobs.com/Alabama-2015WS.htm" TargetMode="External"/><Relationship Id="rId49" Type="http://schemas.openxmlformats.org/officeDocument/2006/relationships/hyperlink" Target="http://www.myvisajobs.com/Alaska-2015WS.htm" TargetMode="External"/><Relationship Id="rId10" Type="http://schemas.openxmlformats.org/officeDocument/2006/relationships/hyperlink" Target="http://www.myvisajobs.com/Florida-2015WS.htm" TargetMode="External"/><Relationship Id="rId19" Type="http://schemas.openxmlformats.org/officeDocument/2006/relationships/hyperlink" Target="http://www.myvisajobs.com/Missouri-2015WS.htm" TargetMode="External"/><Relationship Id="rId31" Type="http://schemas.openxmlformats.org/officeDocument/2006/relationships/hyperlink" Target="http://www.myvisajobs.com/Rhode-Island-2015WS.htm" TargetMode="External"/><Relationship Id="rId44" Type="http://schemas.openxmlformats.org/officeDocument/2006/relationships/hyperlink" Target="http://www.myvisajobs.com/Hawaii-2015WS.htm" TargetMode="External"/><Relationship Id="rId52" Type="http://schemas.openxmlformats.org/officeDocument/2006/relationships/printerSettings" Target="../printerSettings/printerSettings13.bin"/><Relationship Id="rId4" Type="http://schemas.openxmlformats.org/officeDocument/2006/relationships/hyperlink" Target="http://www.myvisajobs.com/New-Jersey-2015WS.htm" TargetMode="External"/><Relationship Id="rId9" Type="http://schemas.openxmlformats.org/officeDocument/2006/relationships/hyperlink" Target="http://www.myvisajobs.com/Georgia-2015WS.htm" TargetMode="External"/><Relationship Id="rId14" Type="http://schemas.openxmlformats.org/officeDocument/2006/relationships/hyperlink" Target="http://www.myvisajobs.com/Ohio-2015WS.htm" TargetMode="External"/><Relationship Id="rId22" Type="http://schemas.openxmlformats.org/officeDocument/2006/relationships/hyperlink" Target="http://www.myvisajobs.com/Indiana-2015WS.htm" TargetMode="External"/><Relationship Id="rId27" Type="http://schemas.openxmlformats.org/officeDocument/2006/relationships/hyperlink" Target="http://www.myvisajobs.com/Iowa-2015WS.htm" TargetMode="External"/><Relationship Id="rId30" Type="http://schemas.openxmlformats.org/officeDocument/2006/relationships/hyperlink" Target="http://www.myvisajobs.com/Arkansas-2015WS.htm" TargetMode="External"/><Relationship Id="rId35" Type="http://schemas.openxmlformats.org/officeDocument/2006/relationships/hyperlink" Target="http://www.myvisajobs.com/Louisiana-2015WS.htm" TargetMode="External"/><Relationship Id="rId43" Type="http://schemas.openxmlformats.org/officeDocument/2006/relationships/hyperlink" Target="http://www.myvisajobs.com/Idaho-2015WS.htm" TargetMode="External"/><Relationship Id="rId48" Type="http://schemas.openxmlformats.org/officeDocument/2006/relationships/hyperlink" Target="http://www.myvisajobs.com/South-Dakota-2015WS.htm" TargetMode="External"/><Relationship Id="rId8" Type="http://schemas.openxmlformats.org/officeDocument/2006/relationships/hyperlink" Target="http://www.myvisajobs.com/Washington-2015WS.htm" TargetMode="External"/><Relationship Id="rId51" Type="http://schemas.openxmlformats.org/officeDocument/2006/relationships/hyperlink" Target="http://www.myvisajobs.com/Montana-2015WS.ht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newjersey.craigslist.org/apa/5615291210.html" TargetMode="External"/><Relationship Id="rId7" Type="http://schemas.openxmlformats.org/officeDocument/2006/relationships/printerSettings" Target="../printerSettings/printerSettings14.bin"/><Relationship Id="rId2" Type="http://schemas.openxmlformats.org/officeDocument/2006/relationships/hyperlink" Target="https://newjersey.craigslist.org/apa/5629303793.html" TargetMode="External"/><Relationship Id="rId1" Type="http://schemas.openxmlformats.org/officeDocument/2006/relationships/hyperlink" Target="http://www.apartmentguide.com/apartments/New-Jersey/Union/" TargetMode="External"/><Relationship Id="rId6" Type="http://schemas.openxmlformats.org/officeDocument/2006/relationships/hyperlink" Target="https://newjersey.craigslist.org/apa/5644948658.html" TargetMode="External"/><Relationship Id="rId5" Type="http://schemas.openxmlformats.org/officeDocument/2006/relationships/hyperlink" Target="https://newjersey.craigslist.org/apa/5657019206.html" TargetMode="External"/><Relationship Id="rId4" Type="http://schemas.openxmlformats.org/officeDocument/2006/relationships/hyperlink" Target="https://newjersey.craigslist.org/apa/5624892812.html"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JSubramanian7@Cognizant"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javascript:void(0);" TargetMode="External"/><Relationship Id="rId2" Type="http://schemas.openxmlformats.org/officeDocument/2006/relationships/hyperlink" Target="javascript:void(0);" TargetMode="External"/><Relationship Id="rId1" Type="http://schemas.openxmlformats.org/officeDocument/2006/relationships/hyperlink" Target="http://www.path2usa.com/visitor-visa-guide/photograph-requirements" TargetMode="External"/><Relationship Id="rId5" Type="http://schemas.openxmlformats.org/officeDocument/2006/relationships/drawing" Target="../drawings/drawing4.xml"/><Relationship Id="rId4"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doc.trizetto.com/display/T3TMS/T3+-+TriZetto+Medicare+Solutions+Team+Wiki"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file:///\\dev.trizetto.com\dfs\release_management\Development" TargetMode="External"/><Relationship Id="rId2" Type="http://schemas.openxmlformats.org/officeDocument/2006/relationships/hyperlink" Target="file:///\\dev.trizetto.com\dfs" TargetMode="External"/><Relationship Id="rId1" Type="http://schemas.openxmlformats.org/officeDocument/2006/relationships/hyperlink" Target="http://pdstfs.trizetto.com:8080/tfs" TargetMode="External"/><Relationship Id="rId4"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Mahesh.waware@cognizant.com" TargetMode="External"/><Relationship Id="rId7" Type="http://schemas.openxmlformats.org/officeDocument/2006/relationships/hyperlink" Target="mailto:dsamiappan@gmail.com" TargetMode="External"/><Relationship Id="rId2" Type="http://schemas.openxmlformats.org/officeDocument/2006/relationships/hyperlink" Target="mailto:shyamaysh@googlemail.com" TargetMode="External"/><Relationship Id="rId1" Type="http://schemas.openxmlformats.org/officeDocument/2006/relationships/hyperlink" Target="mailto:dsamiappan@gmail.com" TargetMode="External"/><Relationship Id="rId6" Type="http://schemas.openxmlformats.org/officeDocument/2006/relationships/hyperlink" Target="mailto:Mahesh.waware@cognizant.com" TargetMode="External"/><Relationship Id="rId5" Type="http://schemas.openxmlformats.org/officeDocument/2006/relationships/hyperlink" Target="mailto:shyamaysh@googlemail.com" TargetMode="External"/><Relationship Id="rId4" Type="http://schemas.openxmlformats.org/officeDocument/2006/relationships/hyperlink" Target="mailto:dsamiappan@gmail.com"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hyperlink" Target="file:///\\dev.trizetto.com\dfs\release_management\Development\Tools\NodeJS" TargetMode="External"/><Relationship Id="rId2" Type="http://schemas.openxmlformats.org/officeDocument/2006/relationships/hyperlink" Target="file:///\\dev.trizetto.com\dfs\release_management\Development" TargetMode="External"/><Relationship Id="rId1" Type="http://schemas.openxmlformats.org/officeDocument/2006/relationships/hyperlink" Target="https://doc.trizetto.com/display/T3TMS/5.40+R3+-+Sprint+5" TargetMode="External"/><Relationship Id="rId6" Type="http://schemas.openxmlformats.org/officeDocument/2006/relationships/drawing" Target="../drawings/drawing5.xml"/><Relationship Id="rId5" Type="http://schemas.openxmlformats.org/officeDocument/2006/relationships/printerSettings" Target="../printerSettings/printerSettings27.bin"/><Relationship Id="rId4" Type="http://schemas.openxmlformats.org/officeDocument/2006/relationships/hyperlink" Target="https://tms-dev.abn-tms-app-d09.dev.trizetto.com:44330/tm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9"/>
  <sheetViews>
    <sheetView tabSelected="1" zoomScale="85" zoomScaleNormal="85" workbookViewId="0">
      <selection activeCell="G9" sqref="G9"/>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43294</v>
      </c>
      <c r="F2" s="266">
        <v>43621</v>
      </c>
      <c r="G2" s="267">
        <f ca="1">DATEDIF(E2,F2,"d")</f>
        <v>327</v>
      </c>
      <c r="H2" s="267">
        <f ca="1">(DATEDIF(E2,F2,"d")/7)</f>
        <v>46.714285714285715</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37.11</v>
      </c>
      <c r="L5" s="309">
        <f>(L6/64)</f>
        <v>-9502.5</v>
      </c>
      <c r="M5" s="287" t="s">
        <v>834</v>
      </c>
      <c r="N5" s="329"/>
      <c r="O5" s="295">
        <f>SUM(G7:G9,G13,G18:G24)</f>
        <v>26271</v>
      </c>
      <c r="P5" s="192">
        <f>ROUND((O5/O6)*100,2)</f>
        <v>37.11</v>
      </c>
    </row>
    <row r="6" spans="4:20" x14ac:dyDescent="0.25">
      <c r="D6" s="13"/>
      <c r="E6" s="121">
        <v>1</v>
      </c>
      <c r="F6" s="94" t="s">
        <v>754</v>
      </c>
      <c r="G6" s="95"/>
      <c r="H6" s="96"/>
      <c r="I6" s="143"/>
      <c r="J6" s="96"/>
      <c r="L6">
        <f>(300000-L7)</f>
        <v>-608160</v>
      </c>
      <c r="M6" s="290" t="s">
        <v>762</v>
      </c>
      <c r="N6" s="330"/>
      <c r="O6" s="291">
        <f>SUM(H7:H24)</f>
        <v>70800</v>
      </c>
      <c r="R6" s="287" t="s">
        <v>707</v>
      </c>
      <c r="S6" s="288">
        <f>(O7*64)</f>
        <v>191744</v>
      </c>
      <c r="T6" s="289"/>
    </row>
    <row r="7" spans="4:20" x14ac:dyDescent="0.25">
      <c r="D7" s="182">
        <v>43206</v>
      </c>
      <c r="E7" s="114">
        <v>2</v>
      </c>
      <c r="F7" s="191">
        <v>9070</v>
      </c>
      <c r="G7" s="86">
        <v>11800</v>
      </c>
      <c r="H7" s="114">
        <v>17900</v>
      </c>
      <c r="I7" s="114">
        <f>(G7/H7)*100</f>
        <v>65.92178770949721</v>
      </c>
      <c r="J7" s="121">
        <v>20.239999999999998</v>
      </c>
      <c r="K7">
        <f>(H7/100*(99-I7))</f>
        <v>5920.9999999999991</v>
      </c>
      <c r="L7" s="1">
        <f>(K10*64)</f>
        <v>908160</v>
      </c>
      <c r="M7" s="290" t="s">
        <v>707</v>
      </c>
      <c r="N7" s="330"/>
      <c r="O7" s="296">
        <f>G15</f>
        <v>2996</v>
      </c>
      <c r="R7" s="290" t="s">
        <v>1849</v>
      </c>
      <c r="S7" s="5">
        <f>(O8*64)</f>
        <v>171200</v>
      </c>
      <c r="T7" s="291">
        <f>(SUM(S6:S7))</f>
        <v>362944</v>
      </c>
    </row>
    <row r="8" spans="4:20" ht="15.75" thickBot="1" x14ac:dyDescent="0.3">
      <c r="D8" s="218"/>
      <c r="E8" s="114">
        <v>3</v>
      </c>
      <c r="F8" s="193">
        <v>5011</v>
      </c>
      <c r="G8" s="247">
        <v>0</v>
      </c>
      <c r="H8" s="114">
        <f>1200-700</f>
        <v>500</v>
      </c>
      <c r="I8" s="114">
        <f>(G8/H8)*100</f>
        <v>0</v>
      </c>
      <c r="J8" s="121">
        <v>15.24</v>
      </c>
      <c r="L8" s="16"/>
      <c r="M8" s="297" t="s">
        <v>833</v>
      </c>
      <c r="N8" s="331"/>
      <c r="O8" s="298">
        <f>G14</f>
        <v>2675</v>
      </c>
      <c r="R8" s="290" t="s">
        <v>1850</v>
      </c>
      <c r="S8" s="5">
        <f>(O5*64)</f>
        <v>1681344</v>
      </c>
      <c r="T8" s="291">
        <f>S8</f>
        <v>1681344</v>
      </c>
    </row>
    <row r="9" spans="4:20" ht="15.75" thickBot="1" x14ac:dyDescent="0.3">
      <c r="D9" s="182">
        <v>43192</v>
      </c>
      <c r="E9" s="114">
        <v>4</v>
      </c>
      <c r="F9" s="193">
        <v>8610</v>
      </c>
      <c r="G9" s="351">
        <f>(12521)</f>
        <v>12521</v>
      </c>
      <c r="H9" s="114">
        <f>(21000)</f>
        <v>21000</v>
      </c>
      <c r="I9" s="114">
        <f>(G9/H9)*100</f>
        <v>59.623809523809527</v>
      </c>
      <c r="J9" s="121">
        <v>19.239999999999998</v>
      </c>
      <c r="K9">
        <f>(H9/100*(99-I9))</f>
        <v>8269</v>
      </c>
      <c r="L9" s="16"/>
      <c r="M9" s="115" t="s">
        <v>761</v>
      </c>
      <c r="N9" s="332"/>
      <c r="O9" s="116">
        <f>SUM(O5,O7,O8)</f>
        <v>31942</v>
      </c>
      <c r="R9" s="292" t="s">
        <v>1851</v>
      </c>
      <c r="S9" s="293">
        <v>200000</v>
      </c>
      <c r="T9" s="294">
        <f>SUM(T7,T8,S9)</f>
        <v>2244288</v>
      </c>
    </row>
    <row r="10" spans="4:20" ht="31.5" x14ac:dyDescent="0.5">
      <c r="E10" s="114"/>
      <c r="F10" s="312"/>
      <c r="G10" s="83"/>
      <c r="H10" s="312"/>
      <c r="I10" s="114"/>
      <c r="J10" s="312"/>
      <c r="K10" s="352" t="str">
        <f>_xlfn.CONCAT("$",SUM(K7,K9))</f>
        <v>$14190</v>
      </c>
      <c r="L10" s="355" t="str">
        <f>_xlfn.CONCAT(K10*68," Rs.")</f>
        <v>964920 Rs.</v>
      </c>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0</v>
      </c>
      <c r="H13" s="121">
        <v>3500</v>
      </c>
      <c r="I13" s="114">
        <f>(G13/H13)*100</f>
        <v>0</v>
      </c>
      <c r="J13" s="121">
        <v>11.75</v>
      </c>
    </row>
    <row r="14" spans="4:20" x14ac:dyDescent="0.25">
      <c r="E14" s="114">
        <v>7</v>
      </c>
      <c r="F14" s="110" t="s">
        <v>758</v>
      </c>
      <c r="G14" s="86">
        <v>2675</v>
      </c>
      <c r="H14" s="121"/>
      <c r="I14" s="114"/>
      <c r="J14" s="180">
        <v>10.25</v>
      </c>
      <c r="K14" s="5"/>
      <c r="L14" s="4" t="s">
        <v>964</v>
      </c>
      <c r="M14" s="5" t="s">
        <v>1210</v>
      </c>
      <c r="N14" s="245"/>
    </row>
    <row r="15" spans="4:20" x14ac:dyDescent="0.25">
      <c r="E15" s="114">
        <v>8</v>
      </c>
      <c r="F15" s="110" t="s">
        <v>760</v>
      </c>
      <c r="G15" s="86">
        <v>2996</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1000</v>
      </c>
      <c r="H18" s="88">
        <v>8100</v>
      </c>
      <c r="I18" s="146">
        <f t="shared" ref="I18:I24" si="0">(G18/H18)*100</f>
        <v>12.345679012345679</v>
      </c>
      <c r="J18" s="92">
        <v>15.49</v>
      </c>
      <c r="K18" s="182">
        <v>42590</v>
      </c>
      <c r="L18" s="126">
        <v>50.7</v>
      </c>
      <c r="M18" s="5"/>
      <c r="N18" s="245"/>
      <c r="O18" s="1"/>
    </row>
    <row r="19" spans="1:18" x14ac:dyDescent="0.25">
      <c r="E19" s="114">
        <v>10</v>
      </c>
      <c r="F19" s="110" t="s">
        <v>1846</v>
      </c>
      <c r="G19" s="86">
        <v>500</v>
      </c>
      <c r="H19" s="121">
        <v>14100</v>
      </c>
      <c r="I19" s="114">
        <f t="shared" si="0"/>
        <v>3.5460992907801421</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23.57</v>
      </c>
      <c r="M21" s="6">
        <v>65.44</v>
      </c>
      <c r="N21" s="159"/>
    </row>
    <row r="22" spans="1:18" x14ac:dyDescent="0.25">
      <c r="E22" s="149">
        <v>12</v>
      </c>
      <c r="F22" s="301" t="s">
        <v>4</v>
      </c>
      <c r="G22" s="302">
        <v>200</v>
      </c>
      <c r="H22" s="148">
        <v>800</v>
      </c>
      <c r="I22" s="114">
        <f t="shared" si="0"/>
        <v>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31942</v>
      </c>
      <c r="H27" s="268">
        <f>(G27*D27)</f>
        <v>2021928.5999999999</v>
      </c>
      <c r="I27" s="269">
        <f>SUM(G18:G19)</f>
        <v>1500</v>
      </c>
      <c r="J27" s="269">
        <f>SUM(G27,-I27)</f>
        <v>30442</v>
      </c>
      <c r="K27" s="182">
        <v>42734</v>
      </c>
      <c r="L27" s="5"/>
      <c r="M27" s="6">
        <v>61.21</v>
      </c>
      <c r="N27" s="159"/>
      <c r="O27" s="18"/>
    </row>
    <row r="28" spans="1:18" ht="31.5" x14ac:dyDescent="0.5">
      <c r="I28" s="124"/>
      <c r="J28" s="268">
        <f>(J27*D27)</f>
        <v>1926978.5999999999</v>
      </c>
      <c r="K28" s="182">
        <v>42750</v>
      </c>
      <c r="L28" s="5"/>
      <c r="M28" s="126">
        <f>59.43</f>
        <v>59.43</v>
      </c>
      <c r="N28" s="333"/>
      <c r="O28" s="164" t="s">
        <v>1393</v>
      </c>
    </row>
    <row r="29" spans="1:18" x14ac:dyDescent="0.25">
      <c r="F29" t="s">
        <v>1707</v>
      </c>
      <c r="G29">
        <f>SUM(K7:K9)</f>
        <v>14190</v>
      </c>
      <c r="H29">
        <f>G29*68</f>
        <v>964920</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12521</v>
      </c>
      <c r="K37" s="182">
        <v>42887</v>
      </c>
      <c r="L37" s="5"/>
      <c r="M37" s="6">
        <v>47.6</v>
      </c>
      <c r="N37" s="159"/>
    </row>
    <row r="38" spans="3:17" ht="31.5" x14ac:dyDescent="0.25">
      <c r="F38" s="190"/>
      <c r="G38" s="347">
        <f>(G9-G39-G40)</f>
        <v>6856</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25021</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6856</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37.11</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65" t="s">
        <v>1934</v>
      </c>
      <c r="C65" s="366"/>
      <c r="F65" s="365" t="s">
        <v>1780</v>
      </c>
      <c r="G65" s="366"/>
      <c r="H65" s="230">
        <f>SUM(G66:G91)</f>
        <v>3439</v>
      </c>
      <c r="J65" s="365">
        <v>43252</v>
      </c>
      <c r="K65" s="366"/>
      <c r="L65" s="265">
        <f>SUM(K66:K91)</f>
        <v>-3545</v>
      </c>
      <c r="R65" s="310">
        <v>43132</v>
      </c>
      <c r="S65" s="311"/>
      <c r="T65" s="218">
        <f>SUM(S66:S91)</f>
        <v>307</v>
      </c>
    </row>
    <row r="66" spans="2:22" ht="26.25" x14ac:dyDescent="0.4">
      <c r="B66" s="22" t="s">
        <v>228</v>
      </c>
      <c r="C66" s="250"/>
      <c r="D66" s="237"/>
      <c r="F66" s="22" t="s">
        <v>228</v>
      </c>
      <c r="G66" s="217"/>
      <c r="J66" s="22" t="s">
        <v>228</v>
      </c>
      <c r="K66" s="217">
        <v>0</v>
      </c>
      <c r="L66" s="1"/>
      <c r="M66" s="281"/>
      <c r="N66" s="314"/>
      <c r="O66" s="282">
        <f>SUM(O67:O80)</f>
        <v>21840</v>
      </c>
      <c r="P66" s="271"/>
      <c r="R66" s="22" t="s">
        <v>228</v>
      </c>
      <c r="S66" s="217">
        <f>(1500-715-225-353)</f>
        <v>207</v>
      </c>
    </row>
    <row r="67" spans="2:22" x14ac:dyDescent="0.25">
      <c r="B67" s="6" t="s">
        <v>3</v>
      </c>
      <c r="C67" s="227"/>
      <c r="F67" s="6" t="s">
        <v>3</v>
      </c>
      <c r="G67" s="22"/>
      <c r="J67" s="6" t="s">
        <v>3</v>
      </c>
      <c r="K67" s="22">
        <v>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0</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v>650</v>
      </c>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700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f>(400+600)</f>
        <v>1000</v>
      </c>
      <c r="L75" s="194"/>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-6000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c r="M80" s="279">
        <v>43073</v>
      </c>
      <c r="N80" s="338"/>
      <c r="O80" s="285"/>
      <c r="P80" s="286"/>
      <c r="R80" s="22" t="s">
        <v>1772</v>
      </c>
      <c r="S80" s="22"/>
      <c r="T80">
        <v>-1500</v>
      </c>
    </row>
    <row r="81" spans="2:20" x14ac:dyDescent="0.25">
      <c r="B81" s="22" t="s">
        <v>972</v>
      </c>
      <c r="C81" s="6"/>
      <c r="F81" s="22" t="s">
        <v>972</v>
      </c>
      <c r="G81" s="22">
        <v>-1000</v>
      </c>
      <c r="H81">
        <v>-134000</v>
      </c>
      <c r="J81" s="231" t="s">
        <v>972</v>
      </c>
      <c r="K81" s="22">
        <v>-1700</v>
      </c>
      <c r="L81" s="194"/>
      <c r="R81" s="22" t="s">
        <v>972</v>
      </c>
      <c r="S81" s="22">
        <v>0</v>
      </c>
    </row>
    <row r="82" spans="2:20" x14ac:dyDescent="0.25">
      <c r="B82" s="22" t="s">
        <v>521</v>
      </c>
      <c r="C82" s="6"/>
      <c r="F82" s="22" t="s">
        <v>521</v>
      </c>
      <c r="G82" s="22">
        <v>0</v>
      </c>
      <c r="J82" s="231" t="s">
        <v>521</v>
      </c>
      <c r="K82" s="22">
        <v>-250</v>
      </c>
      <c r="L82" s="194">
        <v>12200</v>
      </c>
      <c r="R82" s="22" t="s">
        <v>521</v>
      </c>
      <c r="S82" s="22">
        <v>0</v>
      </c>
    </row>
    <row r="83" spans="2:20" x14ac:dyDescent="0.25">
      <c r="B83" s="22" t="s">
        <v>1572</v>
      </c>
      <c r="C83" s="6"/>
      <c r="F83" s="22" t="s">
        <v>1572</v>
      </c>
      <c r="G83" s="22">
        <v>-300</v>
      </c>
      <c r="H83">
        <v>-20000</v>
      </c>
      <c r="J83" s="22" t="s">
        <v>1572</v>
      </c>
      <c r="K83" s="22"/>
      <c r="L83" s="194">
        <f>L65</f>
        <v>-3545</v>
      </c>
      <c r="R83" s="22" t="s">
        <v>1940</v>
      </c>
      <c r="S83" s="22">
        <v>0</v>
      </c>
      <c r="T83" s="194"/>
    </row>
    <row r="84" spans="2:20" x14ac:dyDescent="0.25">
      <c r="B84" s="22" t="s">
        <v>221</v>
      </c>
      <c r="C84" s="6"/>
      <c r="F84" s="22" t="s">
        <v>221</v>
      </c>
      <c r="G84" s="22">
        <v>-1000</v>
      </c>
      <c r="J84" s="231" t="s">
        <v>221</v>
      </c>
      <c r="K84" s="22">
        <v>-950</v>
      </c>
      <c r="L84" s="194">
        <f>SUM(L82:L83)</f>
        <v>8655</v>
      </c>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N87" t="s">
        <v>755</v>
      </c>
      <c r="O87" t="s">
        <v>1989</v>
      </c>
      <c r="R87" s="6" t="s">
        <v>1692</v>
      </c>
      <c r="S87" s="22">
        <v>0</v>
      </c>
    </row>
    <row r="88" spans="2:20" x14ac:dyDescent="0.25">
      <c r="B88" s="6" t="s">
        <v>1693</v>
      </c>
      <c r="C88" s="6"/>
      <c r="F88" s="6" t="s">
        <v>1693</v>
      </c>
      <c r="G88" s="22"/>
      <c r="H88">
        <v>-21000</v>
      </c>
      <c r="J88" s="6" t="s">
        <v>1693</v>
      </c>
      <c r="K88" s="232"/>
      <c r="L88" s="194"/>
      <c r="M88" t="s">
        <v>1988</v>
      </c>
      <c r="N88">
        <v>22000</v>
      </c>
      <c r="O88">
        <v>2000</v>
      </c>
      <c r="R88" s="6" t="s">
        <v>1693</v>
      </c>
      <c r="S88" s="232">
        <v>0</v>
      </c>
      <c r="T88">
        <v>-314</v>
      </c>
    </row>
    <row r="89" spans="2:20" x14ac:dyDescent="0.25">
      <c r="B89" s="22" t="s">
        <v>1468</v>
      </c>
      <c r="C89" s="6"/>
      <c r="F89" s="22" t="s">
        <v>1468</v>
      </c>
      <c r="G89" s="22">
        <v>0</v>
      </c>
      <c r="J89" s="22" t="s">
        <v>1468</v>
      </c>
      <c r="K89" s="22">
        <v>0</v>
      </c>
      <c r="L89" s="194"/>
      <c r="M89" t="s">
        <v>514</v>
      </c>
      <c r="N89">
        <f>(N88-O88)</f>
        <v>20000</v>
      </c>
      <c r="O89">
        <v>8000</v>
      </c>
      <c r="R89" s="22" t="s">
        <v>1468</v>
      </c>
      <c r="S89" s="22">
        <v>0</v>
      </c>
    </row>
    <row r="90" spans="2:20" ht="23.25" x14ac:dyDescent="0.35">
      <c r="B90" s="197" t="s">
        <v>1573</v>
      </c>
      <c r="C90" s="6"/>
      <c r="F90" s="197" t="s">
        <v>1573</v>
      </c>
      <c r="G90" s="22">
        <v>0</v>
      </c>
      <c r="J90" s="197" t="s">
        <v>1573</v>
      </c>
      <c r="K90" s="300">
        <v>0</v>
      </c>
      <c r="L90" s="194"/>
      <c r="N90">
        <f>(N89-O89)</f>
        <v>12000</v>
      </c>
      <c r="R90" s="197" t="s">
        <v>1573</v>
      </c>
      <c r="S90" s="22">
        <v>0</v>
      </c>
      <c r="T90">
        <v>-1400</v>
      </c>
    </row>
    <row r="91" spans="2:20" x14ac:dyDescent="0.25">
      <c r="B91" s="22" t="s">
        <v>1562</v>
      </c>
      <c r="C91" s="6"/>
      <c r="F91" s="22" t="s">
        <v>1562</v>
      </c>
      <c r="G91" s="22">
        <v>0</v>
      </c>
      <c r="J91" s="22" t="s">
        <v>745</v>
      </c>
      <c r="K91" s="22">
        <v>-200</v>
      </c>
      <c r="L91" s="194"/>
      <c r="R91" s="22" t="s">
        <v>745</v>
      </c>
      <c r="S91" s="22">
        <v>0</v>
      </c>
    </row>
    <row r="93" spans="2:20" x14ac:dyDescent="0.25">
      <c r="B93" s="264" t="s">
        <v>221</v>
      </c>
      <c r="C93">
        <v>8.5</v>
      </c>
    </row>
    <row r="94" spans="2:20" x14ac:dyDescent="0.25">
      <c r="B94" s="264" t="s">
        <v>222</v>
      </c>
      <c r="C94">
        <v>20</v>
      </c>
    </row>
    <row r="95" spans="2:20" x14ac:dyDescent="0.25">
      <c r="B95" s="264" t="s">
        <v>780</v>
      </c>
      <c r="C95">
        <v>5</v>
      </c>
    </row>
    <row r="96" spans="2:20" x14ac:dyDescent="0.25">
      <c r="B96" s="264" t="s">
        <v>1269</v>
      </c>
      <c r="C96">
        <v>3</v>
      </c>
      <c r="K96">
        <v>10.3</v>
      </c>
    </row>
    <row r="99" spans="3:21" x14ac:dyDescent="0.25">
      <c r="C99">
        <f>SUM(C93:C98)</f>
        <v>36.5</v>
      </c>
      <c r="D99">
        <f>(C99*67)*1000</f>
        <v>2445500</v>
      </c>
    </row>
    <row r="100" spans="3:21" ht="26.25" x14ac:dyDescent="0.4">
      <c r="D100" s="154" t="s">
        <v>1626</v>
      </c>
      <c r="F100">
        <f>SUM(D103:M103)</f>
        <v>500.82000000000005</v>
      </c>
      <c r="G100">
        <v>63.2</v>
      </c>
      <c r="H100">
        <f>SUM(F100:G100)</f>
        <v>564.0200000000001</v>
      </c>
      <c r="I100" s="204">
        <f>SUM(D115:M115)</f>
        <v>540.95000000000005</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v>96.31</v>
      </c>
      <c r="E103" s="22">
        <v>56.26</v>
      </c>
      <c r="F103" s="22">
        <v>13.24</v>
      </c>
      <c r="G103" s="22">
        <v>59.6</v>
      </c>
      <c r="H103" s="22">
        <v>27.26</v>
      </c>
      <c r="I103" s="22">
        <v>56.26</v>
      </c>
      <c r="J103" s="22">
        <v>58.51</v>
      </c>
      <c r="K103" s="22">
        <v>64.650000000000006</v>
      </c>
      <c r="L103" s="22">
        <v>55.49</v>
      </c>
      <c r="M103" s="22">
        <v>13.24</v>
      </c>
      <c r="N103" s="264"/>
      <c r="O103" s="1">
        <f>SUM(D103:M103)</f>
        <v>500.82000000000005</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4.72</v>
      </c>
      <c r="E110" s="234">
        <v>4.72</v>
      </c>
      <c r="F110" s="234">
        <v>3.24</v>
      </c>
      <c r="G110" s="234">
        <v>4.72</v>
      </c>
      <c r="H110" s="234">
        <v>4.72</v>
      </c>
      <c r="I110" s="234">
        <v>4.72</v>
      </c>
      <c r="J110" s="234">
        <v>3.29</v>
      </c>
      <c r="K110" s="234">
        <v>4.72</v>
      </c>
      <c r="L110" s="234">
        <v>4.72</v>
      </c>
      <c r="M110" s="234">
        <v>3.24</v>
      </c>
      <c r="N110" s="341"/>
      <c r="R110" s="13">
        <v>43308</v>
      </c>
      <c r="S110">
        <v>3250</v>
      </c>
    </row>
    <row r="111" spans="3:21" x14ac:dyDescent="0.25">
      <c r="C111" s="5" t="s">
        <v>1433</v>
      </c>
      <c r="D111" s="234">
        <v>2.54</v>
      </c>
      <c r="E111" s="234">
        <v>2.54</v>
      </c>
      <c r="F111" s="234"/>
      <c r="G111" s="234">
        <v>2.54</v>
      </c>
      <c r="H111" s="234">
        <v>2.54</v>
      </c>
      <c r="I111" s="234">
        <v>2.54</v>
      </c>
      <c r="J111" s="234">
        <v>2.5</v>
      </c>
      <c r="K111" s="234">
        <v>3.68</v>
      </c>
      <c r="L111" s="234">
        <v>3.68</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63.269999999999996</v>
      </c>
      <c r="E115" s="22">
        <f>SUM(E104:E114)</f>
        <v>60.47</v>
      </c>
      <c r="F115" s="22">
        <f>SUM(F104:F114)</f>
        <v>17.75</v>
      </c>
      <c r="G115" s="22">
        <f>SUM(G104:G114)</f>
        <v>63.269999999999996</v>
      </c>
      <c r="H115" s="22">
        <f>SUM(H104:H113)</f>
        <v>37.26</v>
      </c>
      <c r="I115" s="22">
        <f>SUM(I104:I113)</f>
        <v>60.47</v>
      </c>
      <c r="J115" s="22">
        <f>SUM(J104:J114)</f>
        <v>71.55</v>
      </c>
      <c r="K115" s="22">
        <f>SUM(K104:K114)</f>
        <v>79.160000000000011</v>
      </c>
      <c r="L115" s="22">
        <f>SUM(L104:L114)</f>
        <v>70.000000000000014</v>
      </c>
      <c r="M115" s="22">
        <f>SUM(M104:M114)</f>
        <v>17.75</v>
      </c>
      <c r="N115" s="264"/>
      <c r="O115" s="1">
        <f>SUM(D115:M115)</f>
        <v>540.95000000000005</v>
      </c>
    </row>
    <row r="116" spans="3:16" ht="26.25" x14ac:dyDescent="0.4">
      <c r="C116" s="245"/>
      <c r="D116" s="367" t="s">
        <v>1221</v>
      </c>
      <c r="E116" s="368"/>
      <c r="F116" s="369"/>
      <c r="G116" s="370" t="s">
        <v>1565</v>
      </c>
      <c r="H116" s="371"/>
      <c r="I116" s="199" t="s">
        <v>1566</v>
      </c>
      <c r="J116" s="199" t="s">
        <v>1567</v>
      </c>
      <c r="K116" s="370" t="s">
        <v>1625</v>
      </c>
      <c r="L116" s="372"/>
      <c r="M116" s="371"/>
      <c r="N116" s="343"/>
    </row>
    <row r="117" spans="3:16" ht="26.25" x14ac:dyDescent="0.4">
      <c r="C117" s="245"/>
      <c r="D117" s="375">
        <f>SUM(D115:F115)</f>
        <v>141.49</v>
      </c>
      <c r="E117" s="376"/>
      <c r="F117" s="377"/>
      <c r="G117" s="378">
        <f>SUM(G115:H115)</f>
        <v>100.53</v>
      </c>
      <c r="H117" s="379"/>
      <c r="I117" s="200">
        <f>SUM(I104:I113)</f>
        <v>60.47</v>
      </c>
      <c r="J117" s="201">
        <f>SUM(J104:J113)</f>
        <v>71.55</v>
      </c>
      <c r="K117" s="380">
        <f>SUM(K115:M115)</f>
        <v>166.91000000000003</v>
      </c>
      <c r="L117" s="381"/>
      <c r="M117" s="382"/>
      <c r="N117" s="344"/>
      <c r="O117" s="1">
        <f>(O115-O103)</f>
        <v>40.129999999999995</v>
      </c>
      <c r="P117">
        <f>(O117/9)</f>
        <v>4.4588888888888887</v>
      </c>
    </row>
    <row r="118" spans="3:16" x14ac:dyDescent="0.25">
      <c r="D118" s="228"/>
      <c r="E118" s="228"/>
      <c r="F118" s="228"/>
      <c r="G118">
        <f>(150-97.72)</f>
        <v>52.28</v>
      </c>
    </row>
    <row r="120" spans="3:16" x14ac:dyDescent="0.25">
      <c r="I120" s="18">
        <v>596.15</v>
      </c>
      <c r="L120" t="s">
        <v>1823</v>
      </c>
      <c r="M120">
        <f>(I122-L121)</f>
        <v>80.550000000000011</v>
      </c>
      <c r="O120">
        <f>ROUND((M120/9),2)+0.01</f>
        <v>8.9599999999999991</v>
      </c>
    </row>
    <row r="121" spans="3:16" x14ac:dyDescent="0.25">
      <c r="H121" t="s">
        <v>1819</v>
      </c>
      <c r="I121">
        <v>-21.67</v>
      </c>
      <c r="L121" s="18">
        <f>SUM(L124:L133)</f>
        <v>483.46999999999997</v>
      </c>
    </row>
    <row r="122" spans="3:16" x14ac:dyDescent="0.25">
      <c r="I122" s="18">
        <v>564.02</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96.31</v>
      </c>
      <c r="J124" s="326">
        <f>I127</f>
        <v>59.6</v>
      </c>
      <c r="K124" s="203">
        <f>(J124-10.84)</f>
        <v>48.760000000000005</v>
      </c>
      <c r="L124" s="203">
        <f>(K124+7.9)</f>
        <v>56.660000000000004</v>
      </c>
      <c r="M124" s="203">
        <f>(L124+O120)</f>
        <v>65.62</v>
      </c>
      <c r="N124" s="356" t="s">
        <v>1221</v>
      </c>
      <c r="O124" s="356">
        <f>SUM(M124:M126)</f>
        <v>149.91</v>
      </c>
      <c r="P124" s="359">
        <f>ROUND(SUM(O124:O133),2)</f>
        <v>564.11</v>
      </c>
    </row>
    <row r="125" spans="3:16" ht="15" customHeight="1" x14ac:dyDescent="0.25">
      <c r="C125" t="s">
        <v>1813</v>
      </c>
      <c r="D125">
        <v>528.96</v>
      </c>
      <c r="H125" s="5" t="s">
        <v>1815</v>
      </c>
      <c r="I125" s="4">
        <v>56.26</v>
      </c>
      <c r="J125" s="4">
        <f t="shared" ref="J125:J134" si="1">I125</f>
        <v>56.26</v>
      </c>
      <c r="K125" s="203">
        <f>(J125-10.3)</f>
        <v>45.959999999999994</v>
      </c>
      <c r="L125" s="203">
        <f>(K125+7.9)</f>
        <v>53.859999999999992</v>
      </c>
      <c r="M125" s="203">
        <f>(L125+O120)</f>
        <v>62.819999999999993</v>
      </c>
      <c r="N125" s="357"/>
      <c r="O125" s="357"/>
      <c r="P125" s="359"/>
    </row>
    <row r="126" spans="3:16" ht="15" customHeight="1" x14ac:dyDescent="0.25">
      <c r="C126" t="s">
        <v>1436</v>
      </c>
      <c r="D126">
        <f>(47.42-158.24)+80</f>
        <v>-30.820000000000007</v>
      </c>
      <c r="E126">
        <f>(D126/8)</f>
        <v>-3.8525000000000009</v>
      </c>
      <c r="H126" s="5" t="s">
        <v>1437</v>
      </c>
      <c r="I126" s="4">
        <v>13.24</v>
      </c>
      <c r="J126" s="4">
        <f t="shared" si="1"/>
        <v>13.24</v>
      </c>
      <c r="K126" s="4">
        <v>12.51</v>
      </c>
      <c r="L126" s="4">
        <f>K126</f>
        <v>12.51</v>
      </c>
      <c r="M126" s="203">
        <f>(L126+O120)</f>
        <v>21.47</v>
      </c>
      <c r="N126" s="358"/>
      <c r="O126" s="358"/>
      <c r="P126" s="359"/>
    </row>
    <row r="127" spans="3:16" ht="15" customHeight="1" x14ac:dyDescent="0.25">
      <c r="H127" s="5" t="s">
        <v>1419</v>
      </c>
      <c r="I127" s="4">
        <v>59.6</v>
      </c>
      <c r="J127" s="203">
        <f t="shared" si="1"/>
        <v>59.6</v>
      </c>
      <c r="K127" s="203">
        <f>(J127-10.84)</f>
        <v>48.760000000000005</v>
      </c>
      <c r="L127" s="203">
        <f t="shared" ref="L127:L132" si="2">(K127+7.9)</f>
        <v>56.660000000000004</v>
      </c>
      <c r="M127" s="203">
        <f>(L127+O120)</f>
        <v>65.62</v>
      </c>
      <c r="N127" s="360" t="s">
        <v>1565</v>
      </c>
      <c r="O127" s="360">
        <f>SUM(M127:M128)</f>
        <v>99.95</v>
      </c>
      <c r="P127" s="359"/>
    </row>
    <row r="128" spans="3:16" ht="15" customHeight="1" x14ac:dyDescent="0.25">
      <c r="H128" s="5" t="s">
        <v>1816</v>
      </c>
      <c r="I128" s="4">
        <v>27.26</v>
      </c>
      <c r="J128" s="4">
        <f t="shared" si="1"/>
        <v>27.26</v>
      </c>
      <c r="K128" s="4">
        <v>26.43</v>
      </c>
      <c r="L128" s="203">
        <f t="shared" si="2"/>
        <v>34.33</v>
      </c>
      <c r="M128" s="4">
        <f>L128</f>
        <v>34.33</v>
      </c>
      <c r="N128" s="361"/>
      <c r="O128" s="361"/>
      <c r="P128" s="359"/>
    </row>
    <row r="129" spans="3:16" ht="15" customHeight="1" x14ac:dyDescent="0.25">
      <c r="H129" s="5" t="s">
        <v>1416</v>
      </c>
      <c r="I129" s="4">
        <v>56.26</v>
      </c>
      <c r="J129" s="4">
        <f t="shared" si="1"/>
        <v>56.26</v>
      </c>
      <c r="K129" s="203">
        <f>(J129-10.3)</f>
        <v>45.959999999999994</v>
      </c>
      <c r="L129" s="203">
        <f t="shared" si="2"/>
        <v>53.859999999999992</v>
      </c>
      <c r="M129" s="203">
        <f>(L129+O120)</f>
        <v>62.819999999999993</v>
      </c>
      <c r="N129" s="327" t="s">
        <v>1566</v>
      </c>
      <c r="O129" s="327">
        <f>M129</f>
        <v>62.819999999999993</v>
      </c>
      <c r="P129" s="359"/>
    </row>
    <row r="130" spans="3:16" ht="15" customHeight="1" x14ac:dyDescent="0.25">
      <c r="H130" s="5" t="s">
        <v>1417</v>
      </c>
      <c r="I130" s="4">
        <v>58.51</v>
      </c>
      <c r="J130" s="4">
        <f t="shared" si="1"/>
        <v>58.51</v>
      </c>
      <c r="K130" s="4">
        <f>J130</f>
        <v>58.51</v>
      </c>
      <c r="L130" s="203">
        <f t="shared" si="2"/>
        <v>66.41</v>
      </c>
      <c r="M130" s="203">
        <f>(L130+O120)</f>
        <v>75.36999999999999</v>
      </c>
      <c r="N130" s="328" t="s">
        <v>1567</v>
      </c>
      <c r="O130" s="328">
        <f>M130</f>
        <v>75.36999999999999</v>
      </c>
      <c r="P130" s="359"/>
    </row>
    <row r="131" spans="3:16" ht="15" customHeight="1" x14ac:dyDescent="0.25">
      <c r="C131">
        <f>32.34-21.5</f>
        <v>10.840000000000003</v>
      </c>
      <c r="H131" s="5" t="s">
        <v>1429</v>
      </c>
      <c r="I131" s="4">
        <v>55.49</v>
      </c>
      <c r="J131" s="4">
        <f t="shared" si="1"/>
        <v>55.49</v>
      </c>
      <c r="K131" s="4">
        <f>J131</f>
        <v>55.49</v>
      </c>
      <c r="L131" s="203">
        <f t="shared" si="2"/>
        <v>63.39</v>
      </c>
      <c r="M131" s="203">
        <f>(L131+O120)</f>
        <v>72.349999999999994</v>
      </c>
      <c r="N131" s="362" t="s">
        <v>1983</v>
      </c>
      <c r="O131" s="362">
        <f>SUM(M131:M133)</f>
        <v>176.06</v>
      </c>
      <c r="P131" s="359"/>
    </row>
    <row r="132" spans="3:16" ht="15" customHeight="1" x14ac:dyDescent="0.25">
      <c r="C132">
        <f>29-18.7</f>
        <v>10.3</v>
      </c>
      <c r="H132" s="5" t="s">
        <v>1121</v>
      </c>
      <c r="I132" s="4">
        <v>64.650000000000006</v>
      </c>
      <c r="J132" s="4">
        <f t="shared" si="1"/>
        <v>64.650000000000006</v>
      </c>
      <c r="K132" s="4">
        <f>J132</f>
        <v>64.650000000000006</v>
      </c>
      <c r="L132" s="203">
        <f t="shared" si="2"/>
        <v>72.550000000000011</v>
      </c>
      <c r="M132" s="203">
        <f>(L132+O120)</f>
        <v>81.510000000000005</v>
      </c>
      <c r="N132" s="363"/>
      <c r="O132" s="363"/>
      <c r="P132" s="359"/>
    </row>
    <row r="133" spans="3:16" ht="15" customHeight="1" x14ac:dyDescent="0.25">
      <c r="H133" s="5" t="s">
        <v>1445</v>
      </c>
      <c r="I133" s="4">
        <v>13.24</v>
      </c>
      <c r="J133" s="4">
        <f t="shared" si="1"/>
        <v>13.24</v>
      </c>
      <c r="K133" s="4">
        <f>J133</f>
        <v>13.24</v>
      </c>
      <c r="L133" s="4">
        <f>K133</f>
        <v>13.24</v>
      </c>
      <c r="M133" s="203">
        <f>(L133+O120)</f>
        <v>22.2</v>
      </c>
      <c r="N133" s="364"/>
      <c r="O133" s="364"/>
      <c r="P133" s="359"/>
    </row>
    <row r="134" spans="3:16" x14ac:dyDescent="0.25">
      <c r="H134" s="163" t="s">
        <v>2001</v>
      </c>
      <c r="I134" s="353">
        <v>63.2</v>
      </c>
      <c r="J134" s="353">
        <f t="shared" si="1"/>
        <v>63.2</v>
      </c>
      <c r="K134" s="353">
        <f>J134</f>
        <v>63.2</v>
      </c>
      <c r="L134" s="354">
        <v>0</v>
      </c>
    </row>
    <row r="135" spans="3:16" ht="21" x14ac:dyDescent="0.35">
      <c r="I135">
        <f>SUM(I124:I134)</f>
        <v>564.0200000000001</v>
      </c>
      <c r="J135">
        <f>SUM(J124:J134)</f>
        <v>527.31000000000006</v>
      </c>
      <c r="K135">
        <f>SUM(K124:K134)</f>
        <v>483.46999999999997</v>
      </c>
      <c r="L135" s="325">
        <f>SUM(L124:L134)</f>
        <v>483.46999999999997</v>
      </c>
      <c r="M135">
        <f>SUM(M124:M133)</f>
        <v>564.11</v>
      </c>
      <c r="N135" s="246"/>
    </row>
    <row r="136" spans="3:16" ht="21" x14ac:dyDescent="0.35">
      <c r="J136">
        <v>36.71</v>
      </c>
      <c r="M136" s="246">
        <f>SUM(M124:M133)</f>
        <v>564.11</v>
      </c>
    </row>
    <row r="137" spans="3:16" x14ac:dyDescent="0.25">
      <c r="J137" s="16"/>
    </row>
    <row r="138" spans="3:16" x14ac:dyDescent="0.25">
      <c r="D138" t="s">
        <v>1760</v>
      </c>
      <c r="E138">
        <f>3624.51*2</f>
        <v>7249.02</v>
      </c>
      <c r="F138" s="5" t="s">
        <v>1762</v>
      </c>
      <c r="G138" s="5">
        <f>(4541.7*2)</f>
        <v>9083.4</v>
      </c>
      <c r="H138" s="227">
        <f>SUM(G138:G147)</f>
        <v>7049.02</v>
      </c>
      <c r="I138" s="5" t="s">
        <v>1768</v>
      </c>
      <c r="J138" s="4">
        <f>(J137/12)</f>
        <v>0</v>
      </c>
      <c r="K138" s="231">
        <f>SUM(J138,J140,J141,J142,J143,J145,J146)</f>
        <v>-1300</v>
      </c>
      <c r="L138">
        <f>(J138/2)</f>
        <v>0</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0</v>
      </c>
      <c r="K140" s="5"/>
      <c r="L140">
        <f t="shared" si="3"/>
        <v>0</v>
      </c>
    </row>
    <row r="141" spans="3:16" x14ac:dyDescent="0.25">
      <c r="F141" s="5" t="s">
        <v>574</v>
      </c>
      <c r="G141" s="5">
        <f>-287.52*2</f>
        <v>-575.04</v>
      </c>
      <c r="H141" s="5">
        <f>ROUND((-G141/G138)*100,2)</f>
        <v>6.33</v>
      </c>
      <c r="I141" s="5"/>
      <c r="J141" s="5">
        <f>-(J138/100)*H141</f>
        <v>0</v>
      </c>
      <c r="K141" s="5"/>
      <c r="L141">
        <f t="shared" si="3"/>
        <v>0</v>
      </c>
    </row>
    <row r="142" spans="3:16" x14ac:dyDescent="0.25">
      <c r="F142" s="5" t="s">
        <v>573</v>
      </c>
      <c r="G142" s="5">
        <f>-67.24*2</f>
        <v>-134.47999999999999</v>
      </c>
      <c r="H142" s="5">
        <f>ROUND((-G142/G138)*100,2)</f>
        <v>1.48</v>
      </c>
      <c r="I142" s="5"/>
      <c r="J142" s="5">
        <f>-(J138/100)*H142</f>
        <v>0</v>
      </c>
      <c r="K142" s="5"/>
      <c r="L142">
        <f t="shared" si="3"/>
        <v>0</v>
      </c>
    </row>
    <row r="143" spans="3:16" x14ac:dyDescent="0.25">
      <c r="F143" s="5" t="s">
        <v>1765</v>
      </c>
      <c r="G143" s="5">
        <f>-152.65*2</f>
        <v>-305.3</v>
      </c>
      <c r="H143" s="5">
        <f>ROUND((-G143/G138)*100,2)</f>
        <v>3.36</v>
      </c>
      <c r="I143" s="4">
        <f>SUM(H140:H143)</f>
        <v>22.25</v>
      </c>
      <c r="J143" s="5">
        <f>-(J138/100)*H143</f>
        <v>0</v>
      </c>
      <c r="K143" s="5">
        <f>SUM(J140:J143)</f>
        <v>0</v>
      </c>
      <c r="L143">
        <f t="shared" si="3"/>
        <v>0</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73" t="s">
        <v>1829</v>
      </c>
      <c r="J149" s="374"/>
      <c r="K149" s="374"/>
      <c r="L149" s="374"/>
      <c r="M149" s="156">
        <v>85</v>
      </c>
      <c r="N149" s="156"/>
      <c r="O149" s="156"/>
    </row>
    <row r="150" spans="4:16" x14ac:dyDescent="0.25">
      <c r="D150" s="155"/>
      <c r="E150" s="155"/>
      <c r="F150" s="5" t="s">
        <v>1763</v>
      </c>
      <c r="G150" s="5"/>
      <c r="H150" s="5"/>
      <c r="I150" s="374"/>
      <c r="J150" s="374"/>
      <c r="K150" s="374"/>
      <c r="L150" s="374"/>
      <c r="M150" s="156"/>
      <c r="N150" s="156"/>
      <c r="O150" s="156"/>
    </row>
    <row r="151" spans="4:16" x14ac:dyDescent="0.25">
      <c r="D151" s="155"/>
      <c r="E151" s="155"/>
      <c r="F151" s="5" t="s">
        <v>1764</v>
      </c>
      <c r="G151" s="5">
        <f>-503.28*2</f>
        <v>-1006.56</v>
      </c>
      <c r="H151" s="5">
        <f>ROUND(-G151/G149*100,2)</f>
        <v>10.07</v>
      </c>
      <c r="I151" s="374"/>
      <c r="J151" s="374"/>
      <c r="K151" s="374"/>
      <c r="L151" s="374"/>
      <c r="M151" s="156"/>
      <c r="N151" s="156"/>
      <c r="O151" s="156"/>
    </row>
    <row r="152" spans="4:16" x14ac:dyDescent="0.25">
      <c r="D152" s="155"/>
      <c r="E152" s="155"/>
      <c r="F152" s="5" t="s">
        <v>574</v>
      </c>
      <c r="G152" s="5">
        <f>-(G149/100)*6.33</f>
        <v>-633</v>
      </c>
      <c r="H152" s="5">
        <f>ROUND((G152/G149)*100,2)</f>
        <v>-6.33</v>
      </c>
      <c r="I152" s="374"/>
      <c r="J152" s="374"/>
      <c r="K152" s="374"/>
      <c r="L152" s="374"/>
      <c r="M152" s="156"/>
      <c r="N152" s="156"/>
      <c r="O152" s="156"/>
    </row>
    <row r="153" spans="4:16" x14ac:dyDescent="0.25">
      <c r="D153" s="155"/>
      <c r="E153" s="155"/>
      <c r="F153" s="5" t="s">
        <v>573</v>
      </c>
      <c r="G153" s="5">
        <f>-(G149/100)*1.48</f>
        <v>-148</v>
      </c>
      <c r="H153" s="5">
        <f>ROUND((G153/G149)*100,2)</f>
        <v>-1.48</v>
      </c>
      <c r="I153" s="374"/>
      <c r="J153" s="374"/>
      <c r="K153" s="374"/>
      <c r="L153" s="374"/>
      <c r="M153" s="156"/>
      <c r="N153" s="156"/>
      <c r="O153" s="156"/>
    </row>
    <row r="154" spans="4:16" x14ac:dyDescent="0.25">
      <c r="D154" s="155"/>
      <c r="E154" s="155"/>
      <c r="F154" s="5" t="s">
        <v>1765</v>
      </c>
      <c r="G154" s="5">
        <f>-(G149/100)*3.36</f>
        <v>-336</v>
      </c>
      <c r="H154" s="5">
        <f>ROUND((-G154/G149)*100,2)</f>
        <v>3.36</v>
      </c>
      <c r="I154" s="374"/>
      <c r="J154" s="374"/>
      <c r="K154" s="374"/>
      <c r="L154" s="374"/>
      <c r="M154" s="156"/>
      <c r="N154" s="156"/>
      <c r="O154" s="156"/>
    </row>
    <row r="155" spans="4:16" x14ac:dyDescent="0.25">
      <c r="D155" s="155"/>
      <c r="E155" s="155"/>
      <c r="F155" s="5"/>
      <c r="G155" s="5"/>
      <c r="I155" s="374"/>
      <c r="J155" s="374"/>
      <c r="K155" s="374"/>
      <c r="L155" s="374"/>
      <c r="M155" s="345"/>
      <c r="N155" s="346" t="s">
        <v>1984</v>
      </c>
      <c r="O155" s="346" t="s">
        <v>1985</v>
      </c>
      <c r="P155" s="4" t="s">
        <v>1986</v>
      </c>
    </row>
    <row r="156" spans="4:16" ht="26.25" x14ac:dyDescent="0.4">
      <c r="D156" s="155"/>
      <c r="E156" s="155"/>
      <c r="F156" s="5" t="s">
        <v>1224</v>
      </c>
      <c r="G156" s="5">
        <v>-600</v>
      </c>
      <c r="H156" s="5">
        <f>ROUND((-G156/G149)*100,2)</f>
        <v>6</v>
      </c>
      <c r="I156" s="374"/>
      <c r="J156" s="374"/>
      <c r="K156" s="374"/>
      <c r="L156" s="374"/>
      <c r="M156" s="345" t="s">
        <v>1419</v>
      </c>
      <c r="N156" s="345">
        <v>98.79</v>
      </c>
      <c r="O156" s="345">
        <v>85.2</v>
      </c>
      <c r="P156" s="199">
        <f>SUM(N156-O156)</f>
        <v>13.590000000000003</v>
      </c>
    </row>
    <row r="157" spans="4:16" ht="26.25" x14ac:dyDescent="0.4">
      <c r="D157" s="155"/>
      <c r="E157" s="155"/>
      <c r="F157" s="5" t="s">
        <v>1304</v>
      </c>
      <c r="G157" s="5"/>
      <c r="H157" s="5">
        <f>ROUND((-G157/G149)*100,2)</f>
        <v>0</v>
      </c>
      <c r="I157" s="374"/>
      <c r="J157" s="374"/>
      <c r="K157" s="374"/>
      <c r="L157" s="374"/>
      <c r="M157" s="345" t="s">
        <v>1417</v>
      </c>
      <c r="N157" s="345">
        <v>72.209999999999994</v>
      </c>
      <c r="O157" s="345">
        <v>72</v>
      </c>
      <c r="P157" s="199">
        <f>SUM(N157-O157)</f>
        <v>0.20999999999999375</v>
      </c>
    </row>
    <row r="158" spans="4:16" ht="26.25" x14ac:dyDescent="0.4">
      <c r="D158" s="155"/>
      <c r="E158" s="155"/>
      <c r="F158" s="5" t="s">
        <v>1226</v>
      </c>
      <c r="G158" s="5"/>
      <c r="H158" s="5">
        <f>ROUND((-G158/G149)*100,2)</f>
        <v>0</v>
      </c>
      <c r="I158" s="374"/>
      <c r="J158" s="374"/>
      <c r="K158" s="374"/>
      <c r="L158" s="374"/>
      <c r="M158" s="345" t="s">
        <v>1416</v>
      </c>
      <c r="N158" s="345">
        <v>59.66</v>
      </c>
      <c r="O158" s="345">
        <v>0</v>
      </c>
      <c r="P158" s="199">
        <f>SUM(N158-O158)</f>
        <v>59.66</v>
      </c>
    </row>
    <row r="159" spans="4:16" ht="26.25" x14ac:dyDescent="0.4">
      <c r="D159" s="155"/>
      <c r="E159" s="155"/>
      <c r="F159" s="155"/>
      <c r="G159" s="155"/>
      <c r="H159" s="156"/>
      <c r="I159" s="374"/>
      <c r="J159" s="374"/>
      <c r="K159" s="374"/>
      <c r="L159" s="374"/>
      <c r="M159" s="345" t="s">
        <v>1429</v>
      </c>
      <c r="N159" s="345">
        <v>206.2</v>
      </c>
      <c r="O159" s="345">
        <v>162.62</v>
      </c>
      <c r="P159" s="199">
        <f>SUM(N159-O159)</f>
        <v>43.579999999999984</v>
      </c>
    </row>
    <row r="160" spans="4:16" x14ac:dyDescent="0.25">
      <c r="D160" s="155"/>
      <c r="E160" s="155"/>
      <c r="F160" s="155"/>
      <c r="G160" s="155"/>
      <c r="H160" s="156"/>
      <c r="I160" s="374"/>
      <c r="J160" s="374"/>
      <c r="K160" s="374"/>
      <c r="L160" s="374"/>
      <c r="M160" s="156"/>
      <c r="N160" s="156"/>
      <c r="O160" s="156"/>
    </row>
    <row r="161" spans="4:15" x14ac:dyDescent="0.25">
      <c r="D161" s="155"/>
      <c r="E161" s="155"/>
      <c r="F161" s="155"/>
      <c r="G161" s="155"/>
      <c r="H161" s="156"/>
      <c r="I161" s="374"/>
      <c r="J161" s="374"/>
      <c r="K161" s="374"/>
      <c r="L161" s="374"/>
      <c r="M161" s="156"/>
      <c r="N161" s="156"/>
      <c r="O161" s="156"/>
    </row>
    <row r="162" spans="4:15" x14ac:dyDescent="0.25">
      <c r="D162" s="155"/>
      <c r="E162" s="155"/>
      <c r="F162" s="155"/>
      <c r="G162" s="155"/>
      <c r="H162" s="156"/>
      <c r="I162" s="374"/>
      <c r="J162" s="374"/>
      <c r="K162" s="374"/>
      <c r="L162" s="374"/>
      <c r="M162" s="156"/>
      <c r="N162" s="156"/>
      <c r="O162" s="156"/>
    </row>
    <row r="163" spans="4:15" x14ac:dyDescent="0.25">
      <c r="D163" s="155"/>
      <c r="E163" s="155"/>
      <c r="F163" s="155"/>
      <c r="G163" s="155"/>
      <c r="I163" s="374"/>
      <c r="J163" s="374"/>
      <c r="K163" s="374"/>
      <c r="L163" s="374"/>
    </row>
    <row r="169" spans="4:15" x14ac:dyDescent="0.25">
      <c r="F169" s="315">
        <v>5011</v>
      </c>
      <c r="G169" s="316">
        <v>0</v>
      </c>
      <c r="H169" s="316" t="s">
        <v>1586</v>
      </c>
    </row>
    <row r="170" spans="4:15" x14ac:dyDescent="0.25">
      <c r="F170" s="315"/>
      <c r="G170" s="316">
        <v>0</v>
      </c>
      <c r="H170" s="316" t="s">
        <v>1405</v>
      </c>
    </row>
    <row r="171" spans="4:15" x14ac:dyDescent="0.25">
      <c r="F171" s="189"/>
      <c r="G171" s="189"/>
      <c r="H171" s="5"/>
      <c r="L171" s="307" t="s">
        <v>221</v>
      </c>
      <c r="M171" s="307">
        <v>8610</v>
      </c>
      <c r="N171" s="307">
        <v>9070</v>
      </c>
    </row>
    <row r="172" spans="4:15" x14ac:dyDescent="0.25">
      <c r="F172" s="317">
        <v>8610</v>
      </c>
      <c r="G172" s="316">
        <v>0</v>
      </c>
      <c r="H172" s="316" t="s">
        <v>1729</v>
      </c>
      <c r="L172" s="307">
        <v>732</v>
      </c>
      <c r="M172" s="307"/>
      <c r="N172" s="307"/>
    </row>
    <row r="173" spans="4:15" ht="31.5" x14ac:dyDescent="0.25">
      <c r="F173" s="190"/>
      <c r="G173" s="347">
        <f>(G144-G174-G175)</f>
        <v>-5665</v>
      </c>
      <c r="H173" s="313" t="s">
        <v>1730</v>
      </c>
    </row>
    <row r="174" spans="4:15" x14ac:dyDescent="0.25">
      <c r="F174" s="190"/>
      <c r="G174" s="190">
        <v>3090</v>
      </c>
      <c r="H174" s="190" t="s">
        <v>1941</v>
      </c>
    </row>
    <row r="175" spans="4:15" x14ac:dyDescent="0.25">
      <c r="F175" s="190"/>
      <c r="G175" s="190">
        <v>2575</v>
      </c>
      <c r="H175" s="190" t="s">
        <v>1980</v>
      </c>
    </row>
    <row r="176" spans="4:15" x14ac:dyDescent="0.25">
      <c r="F176" s="190"/>
      <c r="G176" s="190"/>
      <c r="H176" s="190"/>
    </row>
    <row r="177" spans="5:11" x14ac:dyDescent="0.25">
      <c r="F177" s="190"/>
      <c r="G177" s="190"/>
      <c r="H177" s="190"/>
    </row>
    <row r="178" spans="5:11" x14ac:dyDescent="0.25">
      <c r="F178" s="318">
        <v>9070</v>
      </c>
      <c r="G178" s="299">
        <v>4466</v>
      </c>
      <c r="H178" s="299" t="s">
        <v>1979</v>
      </c>
    </row>
    <row r="179" spans="5:11" x14ac:dyDescent="0.25">
      <c r="F179" s="299"/>
      <c r="G179" s="299">
        <v>2060</v>
      </c>
      <c r="H179" s="299" t="s">
        <v>1952</v>
      </c>
    </row>
    <row r="180" spans="5:11" x14ac:dyDescent="0.25">
      <c r="F180" s="299"/>
      <c r="G180" s="319">
        <v>1545</v>
      </c>
      <c r="H180" s="299" t="s">
        <v>1977</v>
      </c>
    </row>
    <row r="181" spans="5:11" x14ac:dyDescent="0.25">
      <c r="F181" s="299"/>
      <c r="G181" s="319">
        <v>4429</v>
      </c>
      <c r="H181" s="299" t="s">
        <v>1978</v>
      </c>
    </row>
    <row r="182" spans="5:11" x14ac:dyDescent="0.25">
      <c r="F182" s="299"/>
      <c r="G182" s="299"/>
      <c r="H182" s="299"/>
    </row>
    <row r="183" spans="5:11" x14ac:dyDescent="0.25">
      <c r="F183" s="301"/>
      <c r="G183" s="5"/>
      <c r="H183" s="5"/>
      <c r="J183">
        <v>9070</v>
      </c>
    </row>
    <row r="184" spans="5:11" ht="31.5" x14ac:dyDescent="0.25">
      <c r="F184" s="320">
        <v>42934</v>
      </c>
      <c r="G184" s="313">
        <v>0</v>
      </c>
      <c r="H184" s="313">
        <v>8610</v>
      </c>
      <c r="J184" s="78">
        <v>43466</v>
      </c>
      <c r="K184">
        <v>2060</v>
      </c>
    </row>
    <row r="185" spans="5:11" x14ac:dyDescent="0.25">
      <c r="F185" s="321">
        <v>42951</v>
      </c>
      <c r="G185" s="305">
        <f>SUM(G173)</f>
        <v>-5665</v>
      </c>
      <c r="H185" s="305">
        <v>8610</v>
      </c>
    </row>
    <row r="186" spans="5:11" ht="21" x14ac:dyDescent="0.25">
      <c r="F186" s="322">
        <v>43408</v>
      </c>
      <c r="G186" s="323">
        <v>2300</v>
      </c>
      <c r="H186" s="323">
        <v>9070</v>
      </c>
    </row>
    <row r="187" spans="5:11" ht="21" x14ac:dyDescent="0.25">
      <c r="F187" s="322">
        <v>43438</v>
      </c>
      <c r="G187" s="323">
        <v>300</v>
      </c>
      <c r="H187" s="323">
        <v>8610</v>
      </c>
    </row>
    <row r="192" spans="5:11" x14ac:dyDescent="0.25">
      <c r="E192" s="349">
        <f>SUM(E193:E205)</f>
        <v>25289</v>
      </c>
    </row>
    <row r="193" spans="5:12" x14ac:dyDescent="0.25">
      <c r="F193" s="1" t="s">
        <v>1589</v>
      </c>
      <c r="G193" s="1">
        <v>9070</v>
      </c>
      <c r="H193" s="1">
        <v>8610</v>
      </c>
      <c r="I193" s="1" t="s">
        <v>221</v>
      </c>
      <c r="J193" s="1" t="s">
        <v>1080</v>
      </c>
    </row>
    <row r="194" spans="5:12" x14ac:dyDescent="0.25">
      <c r="F194" s="1" t="s">
        <v>1991</v>
      </c>
    </row>
    <row r="195" spans="5:12" x14ac:dyDescent="0.25">
      <c r="E195" s="49">
        <v>7000</v>
      </c>
      <c r="F195" s="350" t="s">
        <v>1990</v>
      </c>
    </row>
    <row r="196" spans="5:12" x14ac:dyDescent="0.25">
      <c r="F196" s="1" t="s">
        <v>1992</v>
      </c>
      <c r="G196">
        <v>200</v>
      </c>
      <c r="H196">
        <v>200</v>
      </c>
    </row>
    <row r="197" spans="5:12" x14ac:dyDescent="0.25">
      <c r="F197" s="1" t="s">
        <v>1993</v>
      </c>
      <c r="G197">
        <v>200</v>
      </c>
      <c r="H197">
        <v>200</v>
      </c>
    </row>
    <row r="198" spans="5:12" x14ac:dyDescent="0.25">
      <c r="E198">
        <v>3766</v>
      </c>
      <c r="F198" s="1" t="s">
        <v>1994</v>
      </c>
      <c r="G198">
        <v>3400</v>
      </c>
      <c r="H198">
        <v>200</v>
      </c>
    </row>
    <row r="199" spans="5:12" x14ac:dyDescent="0.25">
      <c r="E199" s="49">
        <v>3090</v>
      </c>
      <c r="F199" s="350" t="s">
        <v>1995</v>
      </c>
      <c r="G199">
        <v>200</v>
      </c>
      <c r="H199">
        <v>3500</v>
      </c>
    </row>
    <row r="200" spans="5:12" x14ac:dyDescent="0.25">
      <c r="F200" s="348">
        <v>2019</v>
      </c>
    </row>
    <row r="201" spans="5:12" x14ac:dyDescent="0.25">
      <c r="E201">
        <v>2060</v>
      </c>
      <c r="F201" s="1" t="s">
        <v>1996</v>
      </c>
      <c r="G201">
        <v>1800</v>
      </c>
      <c r="H201">
        <v>200</v>
      </c>
    </row>
    <row r="202" spans="5:12" x14ac:dyDescent="0.25">
      <c r="E202">
        <v>1545</v>
      </c>
      <c r="F202" s="1" t="s">
        <v>1997</v>
      </c>
      <c r="G202">
        <v>1500</v>
      </c>
      <c r="H202">
        <v>200</v>
      </c>
    </row>
    <row r="203" spans="5:12" x14ac:dyDescent="0.25">
      <c r="E203">
        <v>4429</v>
      </c>
      <c r="F203" s="1" t="s">
        <v>1998</v>
      </c>
      <c r="G203">
        <v>4000</v>
      </c>
      <c r="H203">
        <v>200</v>
      </c>
    </row>
    <row r="204" spans="5:12" x14ac:dyDescent="0.25">
      <c r="F204" s="1" t="s">
        <v>1999</v>
      </c>
      <c r="G204">
        <v>200</v>
      </c>
      <c r="H204">
        <v>200</v>
      </c>
    </row>
    <row r="205" spans="5:12" x14ac:dyDescent="0.25">
      <c r="E205" s="49">
        <v>3399</v>
      </c>
      <c r="F205" s="350" t="s">
        <v>2000</v>
      </c>
      <c r="G205">
        <v>2000</v>
      </c>
    </row>
    <row r="206" spans="5:12" x14ac:dyDescent="0.25">
      <c r="K206" s="5">
        <v>25</v>
      </c>
      <c r="L206" s="5">
        <v>4</v>
      </c>
    </row>
    <row r="207" spans="5:12" x14ac:dyDescent="0.25">
      <c r="E207">
        <f>SUM(E198:E205)</f>
        <v>18289</v>
      </c>
      <c r="K207" s="5">
        <v>12.5</v>
      </c>
      <c r="L207" s="5">
        <v>2</v>
      </c>
    </row>
    <row r="208" spans="5:12" x14ac:dyDescent="0.25">
      <c r="E208">
        <f>(E207/9)</f>
        <v>2032.1111111111111</v>
      </c>
      <c r="K208" s="5">
        <v>6.25</v>
      </c>
      <c r="L208" s="5">
        <v>1</v>
      </c>
    </row>
    <row r="209" spans="11:12" x14ac:dyDescent="0.25">
      <c r="K209" s="5">
        <f>(6.25/6.25)</f>
        <v>1</v>
      </c>
      <c r="L209" s="5">
        <f>(1/6.25)</f>
        <v>0.16</v>
      </c>
    </row>
  </sheetData>
  <mergeCells count="17">
    <mergeCell ref="I149:L163"/>
    <mergeCell ref="N124:N126"/>
    <mergeCell ref="N127:N128"/>
    <mergeCell ref="N131:N133"/>
    <mergeCell ref="D117:F117"/>
    <mergeCell ref="G117:H117"/>
    <mergeCell ref="K117:M117"/>
    <mergeCell ref="O124:O126"/>
    <mergeCell ref="P124:P133"/>
    <mergeCell ref="O127:O128"/>
    <mergeCell ref="O131:O133"/>
    <mergeCell ref="B65:C65"/>
    <mergeCell ref="F65:G65"/>
    <mergeCell ref="J65:K65"/>
    <mergeCell ref="D116:F116"/>
    <mergeCell ref="G116:H116"/>
    <mergeCell ref="K116:M116"/>
  </mergeCells>
  <pageMargins left="0.25" right="0.25" top="0.75" bottom="0.75" header="0.3" footer="0.3"/>
  <pageSetup scale="30" fitToHeight="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2"/>
  <sheetViews>
    <sheetView topLeftCell="D1" workbookViewId="0">
      <selection activeCell="H36" sqref="H36"/>
    </sheetView>
  </sheetViews>
  <sheetFormatPr defaultRowHeight="15" x14ac:dyDescent="0.25"/>
  <cols>
    <col min="1" max="1" width="51" style="184" bestFit="1" customWidth="1"/>
    <col min="2" max="2" width="51" style="184" customWidth="1"/>
    <col min="3" max="3" width="48.7109375" style="184" bestFit="1" customWidth="1"/>
    <col min="4" max="4" width="73.28515625" style="45" bestFit="1" customWidth="1"/>
    <col min="5" max="5" width="49.5703125" style="45" customWidth="1"/>
    <col min="6" max="6" width="28.85546875" style="41" bestFit="1" customWidth="1"/>
    <col min="7" max="7" width="48.7109375" style="45" bestFit="1" customWidth="1"/>
    <col min="8" max="8" width="16.7109375" style="45" bestFit="1" customWidth="1"/>
    <col min="9" max="9" width="20.85546875" style="45" bestFit="1" customWidth="1"/>
    <col min="10" max="10" width="61.7109375" style="45" bestFit="1" customWidth="1"/>
    <col min="11" max="11" width="85.140625" style="45" bestFit="1" customWidth="1"/>
    <col min="12" max="12" width="35.28515625" style="45" bestFit="1" customWidth="1"/>
    <col min="13" max="13" width="9.140625" style="45"/>
    <col min="14" max="14" width="20.85546875" style="45" customWidth="1"/>
    <col min="15" max="15" width="16.85546875" style="45" bestFit="1" customWidth="1"/>
    <col min="16" max="16" width="14" style="45" bestFit="1" customWidth="1"/>
    <col min="17" max="17" width="16.42578125" style="45" bestFit="1" customWidth="1"/>
    <col min="18" max="18" width="31.42578125" style="45" bestFit="1" customWidth="1"/>
    <col min="19" max="19" width="48.7109375" style="130" customWidth="1"/>
    <col min="20" max="20" width="39.28515625" style="45" bestFit="1" customWidth="1"/>
    <col min="21" max="21" width="23.28515625" style="45" bestFit="1" customWidth="1"/>
    <col min="22" max="22" width="12.7109375" style="45" customWidth="1"/>
    <col min="23" max="23" width="16.7109375" style="45" bestFit="1" customWidth="1"/>
    <col min="24" max="24" width="47.5703125" style="45" bestFit="1" customWidth="1"/>
    <col min="25" max="30" width="9.140625" style="45"/>
    <col min="31" max="31" width="0.42578125" style="45" customWidth="1"/>
    <col min="32" max="32" width="9.140625" style="45" hidden="1" customWidth="1"/>
    <col min="33" max="33" width="31.85546875" style="45" customWidth="1"/>
    <col min="34" max="16384" width="9.140625" style="45"/>
  </cols>
  <sheetData>
    <row r="1" spans="1:33" x14ac:dyDescent="0.25">
      <c r="A1" s="184" t="s">
        <v>1723</v>
      </c>
    </row>
    <row r="2" spans="1:33" x14ac:dyDescent="0.25">
      <c r="A2" s="184" t="s">
        <v>1724</v>
      </c>
      <c r="D2" s="45" t="s">
        <v>81</v>
      </c>
      <c r="E2" s="45" t="s">
        <v>462</v>
      </c>
    </row>
    <row r="3" spans="1:33" x14ac:dyDescent="0.25">
      <c r="A3" s="184" t="s">
        <v>1725</v>
      </c>
      <c r="D3" s="45" t="s">
        <v>82</v>
      </c>
      <c r="E3" s="45" t="s">
        <v>463</v>
      </c>
    </row>
    <row r="4" spans="1:33" x14ac:dyDescent="0.25">
      <c r="A4" s="184" t="s">
        <v>1726</v>
      </c>
      <c r="D4" s="45" t="s">
        <v>114</v>
      </c>
      <c r="E4" s="45" t="s">
        <v>464</v>
      </c>
    </row>
    <row r="6" spans="1:33" x14ac:dyDescent="0.25">
      <c r="A6" s="42" t="s">
        <v>293</v>
      </c>
      <c r="B6" s="42" t="s">
        <v>1683</v>
      </c>
      <c r="C6" s="42" t="s">
        <v>270</v>
      </c>
      <c r="D6" s="42" t="s">
        <v>150</v>
      </c>
      <c r="E6" s="42" t="s">
        <v>224</v>
      </c>
      <c r="F6" s="42" t="s">
        <v>321</v>
      </c>
      <c r="G6" s="42" t="s">
        <v>270</v>
      </c>
      <c r="H6" s="42" t="s">
        <v>84</v>
      </c>
      <c r="I6" s="42" t="s">
        <v>128</v>
      </c>
      <c r="J6" s="42" t="s">
        <v>337</v>
      </c>
      <c r="K6" s="42" t="s">
        <v>292</v>
      </c>
      <c r="L6" s="42" t="s">
        <v>388</v>
      </c>
      <c r="M6" s="42" t="s">
        <v>431</v>
      </c>
      <c r="N6" s="42" t="s">
        <v>226</v>
      </c>
      <c r="O6" s="42" t="s">
        <v>451</v>
      </c>
      <c r="P6" s="42" t="s">
        <v>223</v>
      </c>
      <c r="Q6" s="42" t="s">
        <v>460</v>
      </c>
      <c r="R6" s="42" t="s">
        <v>128</v>
      </c>
      <c r="S6" s="42" t="s">
        <v>963</v>
      </c>
      <c r="T6" s="42" t="s">
        <v>528</v>
      </c>
      <c r="U6" s="46" t="s">
        <v>765</v>
      </c>
      <c r="V6" s="46" t="s">
        <v>771</v>
      </c>
      <c r="W6" s="121" t="s">
        <v>297</v>
      </c>
      <c r="X6" s="121" t="s">
        <v>219</v>
      </c>
      <c r="Y6" s="45" t="s">
        <v>1675</v>
      </c>
    </row>
    <row r="7" spans="1:33" ht="135" customHeight="1" x14ac:dyDescent="0.25">
      <c r="A7" s="43" t="s">
        <v>1585</v>
      </c>
      <c r="B7" s="213" t="s">
        <v>1684</v>
      </c>
      <c r="C7" s="80" t="s">
        <v>298</v>
      </c>
      <c r="D7" s="383" t="s">
        <v>1658</v>
      </c>
      <c r="E7" s="80" t="s">
        <v>269</v>
      </c>
      <c r="F7" s="80" t="s">
        <v>322</v>
      </c>
      <c r="G7" s="80" t="s">
        <v>298</v>
      </c>
      <c r="H7" s="46" t="s">
        <v>150</v>
      </c>
      <c r="I7" s="46" t="s">
        <v>313</v>
      </c>
      <c r="J7" s="46" t="s">
        <v>338</v>
      </c>
      <c r="K7" s="46"/>
      <c r="L7" s="43" t="s">
        <v>395</v>
      </c>
      <c r="M7" s="43" t="s">
        <v>432</v>
      </c>
      <c r="N7" s="177" t="s">
        <v>1669</v>
      </c>
      <c r="O7" s="177" t="s">
        <v>452</v>
      </c>
      <c r="P7" s="177" t="s">
        <v>456</v>
      </c>
      <c r="Q7" s="177" t="s">
        <v>461</v>
      </c>
      <c r="R7" s="177" t="s">
        <v>479</v>
      </c>
      <c r="S7" s="43"/>
      <c r="T7" s="46" t="s">
        <v>529</v>
      </c>
      <c r="U7" s="46" t="s">
        <v>766</v>
      </c>
      <c r="V7" s="46" t="s">
        <v>772</v>
      </c>
      <c r="W7" s="121" t="s">
        <v>1275</v>
      </c>
      <c r="X7" s="121" t="s">
        <v>1394</v>
      </c>
      <c r="Y7" s="46" t="s">
        <v>1251</v>
      </c>
      <c r="AB7" s="45" t="s">
        <v>1722</v>
      </c>
      <c r="AG7" s="223" t="s">
        <v>1732</v>
      </c>
    </row>
    <row r="8" spans="1:33" ht="45" x14ac:dyDescent="0.25">
      <c r="A8" s="43" t="s">
        <v>532</v>
      </c>
      <c r="B8" s="214" t="s">
        <v>1685</v>
      </c>
      <c r="C8" s="80" t="s">
        <v>291</v>
      </c>
      <c r="D8" s="384"/>
      <c r="E8" s="43" t="s">
        <v>1660</v>
      </c>
      <c r="F8" s="80" t="s">
        <v>1621</v>
      </c>
      <c r="G8" s="80" t="s">
        <v>291</v>
      </c>
      <c r="H8" s="46" t="s">
        <v>224</v>
      </c>
      <c r="I8" s="46" t="s">
        <v>314</v>
      </c>
      <c r="J8" s="46" t="s">
        <v>339</v>
      </c>
      <c r="K8" s="43" t="s">
        <v>381</v>
      </c>
      <c r="L8" s="43" t="s">
        <v>396</v>
      </c>
      <c r="M8" s="46"/>
      <c r="N8" s="46"/>
      <c r="O8" s="46" t="s">
        <v>453</v>
      </c>
      <c r="P8" s="46" t="s">
        <v>457</v>
      </c>
      <c r="Q8" s="46"/>
      <c r="R8" s="46" t="s">
        <v>480</v>
      </c>
      <c r="S8" s="43"/>
      <c r="T8" s="46" t="s">
        <v>1086</v>
      </c>
      <c r="U8" s="46" t="s">
        <v>1090</v>
      </c>
      <c r="V8" s="46"/>
      <c r="W8" s="121"/>
      <c r="X8" s="121" t="s">
        <v>1374</v>
      </c>
      <c r="Y8" s="46" t="s">
        <v>1252</v>
      </c>
      <c r="AG8" s="45" t="s">
        <v>1733</v>
      </c>
    </row>
    <row r="9" spans="1:33" ht="75" x14ac:dyDescent="0.25">
      <c r="A9" s="43" t="s">
        <v>530</v>
      </c>
      <c r="B9" s="215" t="s">
        <v>1686</v>
      </c>
      <c r="C9" s="47" t="s">
        <v>1203</v>
      </c>
      <c r="D9" s="385"/>
      <c r="E9" s="43" t="s">
        <v>1661</v>
      </c>
      <c r="F9" s="46" t="s">
        <v>323</v>
      </c>
      <c r="G9" s="47" t="s">
        <v>1203</v>
      </c>
      <c r="H9" s="46" t="s">
        <v>128</v>
      </c>
      <c r="I9" s="46" t="s">
        <v>412</v>
      </c>
      <c r="J9" s="46" t="s">
        <v>340</v>
      </c>
      <c r="K9" s="43" t="s">
        <v>359</v>
      </c>
      <c r="L9" s="43" t="s">
        <v>394</v>
      </c>
      <c r="M9" s="46"/>
      <c r="N9" s="46" t="s">
        <v>1108</v>
      </c>
      <c r="O9" s="46" t="s">
        <v>454</v>
      </c>
      <c r="P9" s="46"/>
      <c r="Q9" s="46"/>
      <c r="R9" s="46" t="s">
        <v>481</v>
      </c>
      <c r="S9" s="43"/>
      <c r="T9" s="46" t="s">
        <v>1087</v>
      </c>
      <c r="U9" s="46"/>
      <c r="V9" s="46"/>
      <c r="W9" s="121"/>
      <c r="X9" s="121" t="s">
        <v>1395</v>
      </c>
      <c r="Y9" s="46" t="s">
        <v>1253</v>
      </c>
      <c r="AG9" s="45" t="s">
        <v>1734</v>
      </c>
    </row>
    <row r="10" spans="1:33" ht="75" x14ac:dyDescent="0.25">
      <c r="A10" s="43" t="s">
        <v>482</v>
      </c>
      <c r="B10" s="43" t="s">
        <v>1687</v>
      </c>
      <c r="C10" s="80" t="s">
        <v>1204</v>
      </c>
      <c r="D10" s="80" t="s">
        <v>1413</v>
      </c>
      <c r="E10" s="43" t="s">
        <v>1662</v>
      </c>
      <c r="F10" s="46" t="s">
        <v>1627</v>
      </c>
      <c r="G10" s="80" t="s">
        <v>1204</v>
      </c>
      <c r="H10" s="46" t="s">
        <v>164</v>
      </c>
      <c r="I10" s="46" t="s">
        <v>413</v>
      </c>
      <c r="J10" s="46" t="s">
        <v>341</v>
      </c>
      <c r="K10" s="43" t="s">
        <v>377</v>
      </c>
      <c r="L10" s="43" t="s">
        <v>389</v>
      </c>
      <c r="M10" s="46"/>
      <c r="N10" s="46"/>
      <c r="O10" s="46" t="s">
        <v>294</v>
      </c>
      <c r="P10" s="46"/>
      <c r="Q10" s="46"/>
      <c r="R10" s="46"/>
      <c r="S10" s="43"/>
      <c r="T10" s="46" t="s">
        <v>1088</v>
      </c>
      <c r="U10" s="46"/>
      <c r="V10" s="46"/>
      <c r="W10" s="121"/>
      <c r="X10" s="121" t="s">
        <v>1396</v>
      </c>
      <c r="AG10" s="45" t="s">
        <v>1735</v>
      </c>
    </row>
    <row r="11" spans="1:33" ht="165" x14ac:dyDescent="0.25">
      <c r="A11" s="46" t="s">
        <v>483</v>
      </c>
      <c r="B11" s="46"/>
      <c r="C11" s="43" t="s">
        <v>299</v>
      </c>
      <c r="D11" s="80" t="s">
        <v>271</v>
      </c>
      <c r="E11" s="43" t="s">
        <v>1663</v>
      </c>
      <c r="F11" s="46" t="s">
        <v>1628</v>
      </c>
      <c r="G11" s="43" t="s">
        <v>299</v>
      </c>
      <c r="H11" s="46" t="s">
        <v>292</v>
      </c>
      <c r="I11" s="46" t="s">
        <v>414</v>
      </c>
      <c r="J11" s="171" t="s">
        <v>342</v>
      </c>
      <c r="K11" s="43" t="s">
        <v>378</v>
      </c>
      <c r="L11" s="43" t="s">
        <v>399</v>
      </c>
      <c r="M11" s="46"/>
      <c r="N11" s="46"/>
      <c r="O11" s="46"/>
      <c r="P11" s="46"/>
      <c r="Q11" s="46"/>
      <c r="R11" s="46"/>
      <c r="S11" s="46"/>
      <c r="T11" s="46" t="s">
        <v>1089</v>
      </c>
      <c r="U11" s="46"/>
      <c r="V11" s="46"/>
      <c r="W11" s="121"/>
      <c r="X11" s="121" t="s">
        <v>1397</v>
      </c>
      <c r="AG11" s="45" t="s">
        <v>1736</v>
      </c>
    </row>
    <row r="12" spans="1:33" ht="45" x14ac:dyDescent="0.25">
      <c r="A12" s="46" t="s">
        <v>484</v>
      </c>
      <c r="B12" s="46"/>
      <c r="C12" s="80" t="s">
        <v>1205</v>
      </c>
      <c r="D12" s="43" t="s">
        <v>272</v>
      </c>
      <c r="E12" s="43" t="s">
        <v>746</v>
      </c>
      <c r="F12" s="43" t="s">
        <v>324</v>
      </c>
      <c r="G12" s="80" t="s">
        <v>1205</v>
      </c>
      <c r="H12" s="172" t="s">
        <v>293</v>
      </c>
      <c r="I12" s="46" t="s">
        <v>415</v>
      </c>
      <c r="J12" s="46" t="s">
        <v>343</v>
      </c>
      <c r="K12" s="43" t="s">
        <v>747</v>
      </c>
      <c r="L12" s="43" t="s">
        <v>390</v>
      </c>
      <c r="M12" s="46"/>
      <c r="N12" s="46"/>
      <c r="O12" s="46"/>
      <c r="P12" s="46"/>
      <c r="Q12" s="46"/>
      <c r="R12" s="46"/>
      <c r="S12" s="46"/>
      <c r="T12" s="46"/>
      <c r="U12" s="46"/>
      <c r="V12" s="46"/>
      <c r="W12" s="121"/>
      <c r="X12" s="121" t="s">
        <v>1398</v>
      </c>
      <c r="AG12" s="45" t="s">
        <v>1737</v>
      </c>
    </row>
    <row r="13" spans="1:33" ht="45" x14ac:dyDescent="0.25">
      <c r="A13" s="46" t="s">
        <v>527</v>
      </c>
      <c r="B13" s="46"/>
      <c r="C13" s="80" t="s">
        <v>363</v>
      </c>
      <c r="D13" s="80" t="s">
        <v>1659</v>
      </c>
      <c r="E13" s="43" t="s">
        <v>318</v>
      </c>
      <c r="F13" s="46" t="s">
        <v>325</v>
      </c>
      <c r="G13" s="80" t="s">
        <v>363</v>
      </c>
      <c r="H13" s="172" t="s">
        <v>294</v>
      </c>
      <c r="I13" s="46" t="s">
        <v>416</v>
      </c>
      <c r="J13" s="46" t="s">
        <v>344</v>
      </c>
      <c r="K13" s="43" t="s">
        <v>406</v>
      </c>
      <c r="L13" s="43" t="s">
        <v>391</v>
      </c>
      <c r="M13" s="46"/>
      <c r="N13" s="46"/>
      <c r="O13" s="46"/>
      <c r="P13" s="46"/>
      <c r="Q13" s="46"/>
      <c r="R13" s="46"/>
      <c r="S13" s="46"/>
      <c r="T13" s="46"/>
      <c r="U13" s="46"/>
      <c r="V13" s="46"/>
      <c r="W13" s="121"/>
      <c r="X13" s="121" t="s">
        <v>1404</v>
      </c>
      <c r="AG13" s="45" t="s">
        <v>1738</v>
      </c>
    </row>
    <row r="14" spans="1:33" ht="45" x14ac:dyDescent="0.25">
      <c r="A14" s="46" t="s">
        <v>485</v>
      </c>
      <c r="B14" s="46"/>
      <c r="C14" s="46" t="s">
        <v>361</v>
      </c>
      <c r="D14" s="173" t="s">
        <v>1674</v>
      </c>
      <c r="E14" s="43" t="s">
        <v>319</v>
      </c>
      <c r="F14" s="46" t="s">
        <v>326</v>
      </c>
      <c r="G14" s="46" t="s">
        <v>361</v>
      </c>
      <c r="H14" s="46" t="s">
        <v>295</v>
      </c>
      <c r="I14" s="46"/>
      <c r="J14" s="46" t="s">
        <v>345</v>
      </c>
      <c r="K14" s="43" t="s">
        <v>379</v>
      </c>
      <c r="L14" s="46"/>
      <c r="M14" s="46"/>
      <c r="N14" s="46"/>
      <c r="O14" s="46"/>
      <c r="P14" s="46"/>
      <c r="Q14" s="46"/>
      <c r="R14" s="46"/>
      <c r="S14" s="46"/>
      <c r="T14" s="46"/>
      <c r="U14" s="46"/>
      <c r="V14" s="46"/>
      <c r="X14" s="121" t="s">
        <v>1403</v>
      </c>
    </row>
    <row r="15" spans="1:33" ht="45" x14ac:dyDescent="0.25">
      <c r="A15" s="46" t="s">
        <v>531</v>
      </c>
      <c r="B15" s="46"/>
      <c r="C15" s="46" t="s">
        <v>360</v>
      </c>
      <c r="D15" s="80" t="s">
        <v>1673</v>
      </c>
      <c r="E15" s="43" t="s">
        <v>459</v>
      </c>
      <c r="F15" s="46" t="s">
        <v>327</v>
      </c>
      <c r="G15" s="46" t="s">
        <v>360</v>
      </c>
      <c r="H15" s="46" t="s">
        <v>296</v>
      </c>
      <c r="I15" s="46"/>
      <c r="J15" s="46" t="s">
        <v>346</v>
      </c>
      <c r="K15" s="46" t="s">
        <v>380</v>
      </c>
      <c r="L15" s="43" t="s">
        <v>393</v>
      </c>
      <c r="M15" s="46"/>
      <c r="N15" s="46"/>
      <c r="O15" s="46"/>
      <c r="P15" s="46"/>
      <c r="Q15" s="46"/>
      <c r="R15" s="46"/>
      <c r="S15" s="46"/>
      <c r="T15" s="46"/>
      <c r="U15" s="46"/>
      <c r="V15" s="178"/>
      <c r="X15" s="46" t="s">
        <v>1401</v>
      </c>
    </row>
    <row r="16" spans="1:33" x14ac:dyDescent="0.25">
      <c r="A16" s="46" t="s">
        <v>486</v>
      </c>
      <c r="B16" s="46"/>
      <c r="C16" s="43" t="s">
        <v>362</v>
      </c>
      <c r="D16" s="43" t="s">
        <v>273</v>
      </c>
      <c r="E16" s="46" t="s">
        <v>320</v>
      </c>
      <c r="F16" s="46" t="s">
        <v>328</v>
      </c>
      <c r="G16" s="43" t="s">
        <v>362</v>
      </c>
      <c r="H16" s="46" t="s">
        <v>166</v>
      </c>
      <c r="I16" s="46"/>
      <c r="J16" s="46"/>
      <c r="K16" s="43" t="s">
        <v>407</v>
      </c>
      <c r="L16" s="43" t="s">
        <v>397</v>
      </c>
      <c r="M16" s="46"/>
      <c r="N16" s="46"/>
      <c r="O16" s="46"/>
      <c r="P16" s="46"/>
      <c r="Q16" s="46"/>
      <c r="R16" s="46"/>
      <c r="S16" s="46"/>
      <c r="T16" s="46"/>
      <c r="U16" s="46"/>
      <c r="V16" s="46"/>
      <c r="X16" s="45" t="s">
        <v>1399</v>
      </c>
    </row>
    <row r="17" spans="1:24" ht="30" x14ac:dyDescent="0.25">
      <c r="A17" s="46" t="s">
        <v>487</v>
      </c>
      <c r="B17" s="46"/>
      <c r="C17" s="46" t="s">
        <v>1272</v>
      </c>
      <c r="D17" s="43" t="s">
        <v>1672</v>
      </c>
      <c r="E17" s="43" t="s">
        <v>465</v>
      </c>
      <c r="F17" s="47" t="s">
        <v>329</v>
      </c>
      <c r="G17" s="46" t="s">
        <v>1272</v>
      </c>
      <c r="H17" s="46" t="s">
        <v>297</v>
      </c>
      <c r="I17" s="46"/>
      <c r="J17" s="46"/>
      <c r="K17" s="43" t="s">
        <v>773</v>
      </c>
      <c r="L17" s="43" t="s">
        <v>398</v>
      </c>
      <c r="M17" s="46"/>
      <c r="N17" s="46"/>
      <c r="O17" s="46"/>
      <c r="P17" s="46"/>
      <c r="Q17" s="46"/>
      <c r="R17" s="46"/>
      <c r="S17" s="46"/>
      <c r="T17" s="46"/>
      <c r="U17" s="46"/>
      <c r="V17" s="46"/>
      <c r="X17" s="45" t="s">
        <v>1400</v>
      </c>
    </row>
    <row r="18" spans="1:24" ht="60" x14ac:dyDescent="0.25">
      <c r="A18" s="46" t="s">
        <v>488</v>
      </c>
      <c r="B18" s="46"/>
      <c r="C18" s="46" t="s">
        <v>364</v>
      </c>
      <c r="D18" s="43" t="s">
        <v>1664</v>
      </c>
      <c r="E18" s="43" t="s">
        <v>356</v>
      </c>
      <c r="F18" s="46" t="s">
        <v>330</v>
      </c>
      <c r="G18" s="46" t="s">
        <v>364</v>
      </c>
      <c r="H18" s="46" t="s">
        <v>301</v>
      </c>
      <c r="I18" s="46"/>
      <c r="J18" s="46"/>
      <c r="K18" s="43" t="s">
        <v>774</v>
      </c>
      <c r="L18" s="46" t="s">
        <v>529</v>
      </c>
      <c r="M18" s="46"/>
      <c r="N18" s="46"/>
      <c r="O18" s="46"/>
      <c r="P18" s="46"/>
      <c r="Q18" s="46"/>
      <c r="R18" s="46"/>
      <c r="S18" s="46"/>
      <c r="T18" s="46"/>
      <c r="U18" s="46"/>
      <c r="V18" s="46"/>
      <c r="X18" s="45" t="s">
        <v>1402</v>
      </c>
    </row>
    <row r="19" spans="1:24" ht="120" x14ac:dyDescent="0.25">
      <c r="A19" s="46" t="s">
        <v>489</v>
      </c>
      <c r="B19" s="46"/>
      <c r="C19" s="43" t="s">
        <v>1273</v>
      </c>
      <c r="D19" s="80" t="s">
        <v>274</v>
      </c>
      <c r="E19" s="43" t="s">
        <v>357</v>
      </c>
      <c r="F19" s="46" t="s">
        <v>331</v>
      </c>
      <c r="G19" s="43" t="s">
        <v>1273</v>
      </c>
      <c r="H19" s="174" t="s">
        <v>302</v>
      </c>
      <c r="I19" s="46"/>
      <c r="J19" s="46"/>
      <c r="K19" s="43" t="s">
        <v>382</v>
      </c>
      <c r="L19" s="46" t="s">
        <v>533</v>
      </c>
      <c r="M19" s="46"/>
      <c r="N19" s="46"/>
      <c r="O19" s="46"/>
      <c r="P19" s="46"/>
      <c r="Q19" s="46"/>
      <c r="R19" s="46"/>
      <c r="S19" s="46"/>
      <c r="T19" s="46"/>
      <c r="U19" s="46"/>
      <c r="V19" s="46"/>
    </row>
    <row r="20" spans="1:24" ht="150" x14ac:dyDescent="0.25">
      <c r="A20" s="46" t="s">
        <v>490</v>
      </c>
      <c r="B20" s="46"/>
      <c r="C20" s="46" t="s">
        <v>1690</v>
      </c>
      <c r="D20" s="43" t="s">
        <v>1667</v>
      </c>
      <c r="E20" s="43" t="s">
        <v>376</v>
      </c>
      <c r="F20" s="46" t="s">
        <v>332</v>
      </c>
      <c r="G20" s="46" t="s">
        <v>1688</v>
      </c>
      <c r="H20" s="174" t="s">
        <v>129</v>
      </c>
      <c r="I20" s="46"/>
      <c r="J20" s="46"/>
      <c r="K20" s="43" t="s">
        <v>776</v>
      </c>
      <c r="L20" s="46" t="s">
        <v>534</v>
      </c>
      <c r="M20" s="46"/>
      <c r="N20" s="46"/>
      <c r="O20" s="46"/>
      <c r="P20" s="46"/>
      <c r="Q20" s="46"/>
      <c r="R20" s="46"/>
      <c r="S20" s="46"/>
      <c r="T20" s="46"/>
      <c r="U20" s="46"/>
      <c r="V20" s="46"/>
    </row>
    <row r="21" spans="1:24" ht="210" x14ac:dyDescent="0.25">
      <c r="A21" s="46" t="s">
        <v>1587</v>
      </c>
      <c r="B21" s="46"/>
      <c r="C21" s="47" t="s">
        <v>1691</v>
      </c>
      <c r="D21" s="43" t="s">
        <v>275</v>
      </c>
      <c r="E21" s="46" t="s">
        <v>458</v>
      </c>
      <c r="F21" s="46" t="s">
        <v>333</v>
      </c>
      <c r="G21" s="47" t="s">
        <v>365</v>
      </c>
      <c r="H21" s="46" t="s">
        <v>409</v>
      </c>
      <c r="I21" s="46"/>
      <c r="J21" s="46"/>
      <c r="K21" s="43" t="s">
        <v>775</v>
      </c>
      <c r="L21" s="46" t="s">
        <v>535</v>
      </c>
      <c r="M21" s="46"/>
      <c r="N21" s="46"/>
      <c r="O21" s="46"/>
      <c r="P21" s="46"/>
      <c r="Q21" s="46"/>
      <c r="R21" s="46"/>
      <c r="S21" s="46"/>
      <c r="T21" s="46"/>
      <c r="U21" s="46"/>
      <c r="V21" s="46"/>
    </row>
    <row r="22" spans="1:24" ht="90" x14ac:dyDescent="0.25">
      <c r="A22" s="46" t="s">
        <v>491</v>
      </c>
      <c r="B22" s="46"/>
      <c r="C22" s="46" t="s">
        <v>366</v>
      </c>
      <c r="D22" s="43" t="s">
        <v>455</v>
      </c>
      <c r="E22" s="43" t="s">
        <v>1665</v>
      </c>
      <c r="F22" s="43" t="s">
        <v>347</v>
      </c>
      <c r="G22" s="46" t="s">
        <v>366</v>
      </c>
      <c r="H22" s="172" t="s">
        <v>226</v>
      </c>
      <c r="I22" s="46"/>
      <c r="J22" s="46"/>
      <c r="K22" s="43" t="s">
        <v>400</v>
      </c>
      <c r="L22" s="46"/>
      <c r="M22" s="46"/>
      <c r="N22" s="46"/>
      <c r="O22" s="46"/>
      <c r="P22" s="46"/>
      <c r="Q22" s="46"/>
      <c r="R22" s="46"/>
      <c r="S22" s="46"/>
      <c r="T22" s="46"/>
      <c r="U22" s="46"/>
      <c r="V22" s="46"/>
    </row>
    <row r="23" spans="1:24" ht="30" x14ac:dyDescent="0.25">
      <c r="A23" s="46" t="s">
        <v>492</v>
      </c>
      <c r="B23" s="46"/>
      <c r="C23" s="46" t="s">
        <v>367</v>
      </c>
      <c r="D23" s="43" t="s">
        <v>276</v>
      </c>
      <c r="E23" s="46" t="s">
        <v>767</v>
      </c>
      <c r="F23" s="46" t="s">
        <v>446</v>
      </c>
      <c r="G23" s="46" t="s">
        <v>367</v>
      </c>
      <c r="H23" s="46" t="s">
        <v>408</v>
      </c>
      <c r="I23" s="46"/>
      <c r="J23" s="46"/>
      <c r="K23" s="43" t="s">
        <v>404</v>
      </c>
      <c r="L23" s="46"/>
      <c r="M23" s="46"/>
      <c r="N23" s="46"/>
      <c r="O23" s="46"/>
      <c r="P23" s="46"/>
      <c r="Q23" s="46"/>
      <c r="R23" s="46"/>
      <c r="S23" s="46"/>
      <c r="T23" s="46"/>
      <c r="U23" s="46"/>
      <c r="V23" s="46"/>
    </row>
    <row r="24" spans="1:24" x14ac:dyDescent="0.25">
      <c r="A24" s="46" t="s">
        <v>493</v>
      </c>
      <c r="B24" s="46"/>
      <c r="C24" s="43" t="s">
        <v>368</v>
      </c>
      <c r="D24" s="43" t="s">
        <v>277</v>
      </c>
      <c r="E24" s="46" t="s">
        <v>768</v>
      </c>
      <c r="F24" s="46" t="s">
        <v>450</v>
      </c>
      <c r="G24" s="43" t="s">
        <v>368</v>
      </c>
      <c r="H24" s="46" t="s">
        <v>410</v>
      </c>
      <c r="I24" s="46"/>
      <c r="J24" s="46"/>
      <c r="K24" s="43" t="s">
        <v>777</v>
      </c>
      <c r="L24" s="46"/>
      <c r="M24" s="46"/>
      <c r="N24" s="46"/>
      <c r="O24" s="46"/>
      <c r="P24" s="46"/>
      <c r="Q24" s="46"/>
      <c r="R24" s="46"/>
      <c r="S24" s="46"/>
      <c r="T24" s="46"/>
      <c r="U24" s="46"/>
      <c r="V24" s="46"/>
    </row>
    <row r="25" spans="1:24" ht="195" x14ac:dyDescent="0.25">
      <c r="A25" s="80" t="s">
        <v>1631</v>
      </c>
      <c r="B25" s="80"/>
      <c r="C25" s="46" t="s">
        <v>369</v>
      </c>
      <c r="D25" s="43" t="s">
        <v>1666</v>
      </c>
      <c r="E25" s="46" t="s">
        <v>769</v>
      </c>
      <c r="F25" s="46" t="s">
        <v>384</v>
      </c>
      <c r="G25" s="46" t="s">
        <v>369</v>
      </c>
      <c r="H25" s="46" t="s">
        <v>411</v>
      </c>
      <c r="I25" s="46"/>
      <c r="J25" s="46"/>
      <c r="K25" s="46" t="s">
        <v>385</v>
      </c>
      <c r="L25" s="46"/>
      <c r="M25" s="46"/>
      <c r="N25" s="46"/>
      <c r="O25" s="46"/>
      <c r="P25" s="46"/>
      <c r="Q25" s="46"/>
      <c r="R25" s="46"/>
      <c r="S25" s="80"/>
      <c r="T25" s="46"/>
      <c r="U25" s="46"/>
      <c r="V25" s="46"/>
    </row>
    <row r="26" spans="1:24" ht="45" x14ac:dyDescent="0.25">
      <c r="A26" s="46" t="s">
        <v>1582</v>
      </c>
      <c r="B26" s="46"/>
      <c r="C26" s="46" t="s">
        <v>370</v>
      </c>
      <c r="D26" s="175" t="s">
        <v>1670</v>
      </c>
      <c r="E26" s="46"/>
      <c r="F26" s="43" t="s">
        <v>435</v>
      </c>
      <c r="G26" s="46" t="s">
        <v>370</v>
      </c>
      <c r="H26" s="46" t="s">
        <v>220</v>
      </c>
      <c r="I26" s="46"/>
      <c r="J26" s="46"/>
      <c r="K26" s="43" t="s">
        <v>405</v>
      </c>
      <c r="L26" s="46"/>
      <c r="M26" s="46"/>
      <c r="N26" s="46"/>
      <c r="O26" s="46"/>
      <c r="P26" s="46"/>
      <c r="Q26" s="46"/>
      <c r="R26" s="46"/>
      <c r="S26" s="46"/>
      <c r="T26" s="46"/>
      <c r="U26" s="46"/>
      <c r="V26" s="46"/>
    </row>
    <row r="27" spans="1:24" ht="45" x14ac:dyDescent="0.25">
      <c r="A27" s="46" t="s">
        <v>1583</v>
      </c>
      <c r="B27" s="216"/>
      <c r="C27" s="46" t="s">
        <v>1274</v>
      </c>
      <c r="D27" s="62" t="s">
        <v>1677</v>
      </c>
      <c r="E27" s="46"/>
      <c r="F27" s="43" t="s">
        <v>436</v>
      </c>
      <c r="G27" s="46" t="s">
        <v>1274</v>
      </c>
      <c r="H27" s="46" t="s">
        <v>163</v>
      </c>
      <c r="I27" s="46"/>
      <c r="J27" s="46"/>
      <c r="K27" s="43" t="s">
        <v>401</v>
      </c>
      <c r="L27" s="46"/>
      <c r="M27" s="46"/>
      <c r="N27" s="46"/>
      <c r="O27" s="46"/>
      <c r="P27" s="46"/>
      <c r="Q27" s="46"/>
      <c r="R27" s="46"/>
      <c r="S27" s="46"/>
      <c r="T27" s="46"/>
      <c r="U27" s="46"/>
      <c r="V27" s="46"/>
    </row>
    <row r="28" spans="1:24" ht="75" x14ac:dyDescent="0.25">
      <c r="A28" s="46" t="s">
        <v>1629</v>
      </c>
      <c r="B28" s="46"/>
      <c r="C28" s="46" t="s">
        <v>371</v>
      </c>
      <c r="D28" s="43" t="s">
        <v>1668</v>
      </c>
      <c r="E28" s="46"/>
      <c r="F28" s="43" t="s">
        <v>437</v>
      </c>
      <c r="G28" s="46" t="s">
        <v>371</v>
      </c>
      <c r="H28" s="46"/>
      <c r="I28" s="46"/>
      <c r="J28" s="46"/>
      <c r="K28" s="43" t="s">
        <v>402</v>
      </c>
      <c r="L28" s="46"/>
      <c r="M28" s="46"/>
      <c r="N28" s="46"/>
      <c r="O28" s="46"/>
      <c r="P28" s="46"/>
      <c r="Q28" s="46"/>
      <c r="R28" s="46"/>
      <c r="S28" s="46"/>
      <c r="T28" s="46"/>
      <c r="U28" s="46"/>
      <c r="V28" s="46"/>
    </row>
    <row r="29" spans="1:24" ht="30" x14ac:dyDescent="0.25">
      <c r="A29" s="46" t="s">
        <v>1630</v>
      </c>
      <c r="B29" s="46"/>
      <c r="C29" s="46" t="s">
        <v>372</v>
      </c>
      <c r="D29" s="46" t="s">
        <v>278</v>
      </c>
      <c r="E29" s="46"/>
      <c r="F29" s="43" t="s">
        <v>438</v>
      </c>
      <c r="G29" s="46" t="s">
        <v>372</v>
      </c>
      <c r="H29" s="46"/>
      <c r="I29" s="46"/>
      <c r="J29" s="46"/>
      <c r="K29" s="43" t="s">
        <v>403</v>
      </c>
      <c r="L29" s="46"/>
      <c r="M29" s="46"/>
      <c r="N29" s="46"/>
      <c r="O29" s="46"/>
      <c r="P29" s="46"/>
      <c r="Q29" s="46"/>
      <c r="R29" s="46"/>
      <c r="S29" s="46"/>
      <c r="T29" s="46"/>
      <c r="U29" s="46"/>
      <c r="V29" s="46"/>
    </row>
    <row r="30" spans="1:24" ht="30" x14ac:dyDescent="0.25">
      <c r="A30" s="46" t="s">
        <v>1681</v>
      </c>
      <c r="B30" s="46"/>
      <c r="C30" s="46" t="s">
        <v>373</v>
      </c>
      <c r="D30" s="43" t="s">
        <v>1671</v>
      </c>
      <c r="E30" s="46"/>
      <c r="F30" s="46" t="s">
        <v>439</v>
      </c>
      <c r="G30" s="46" t="s">
        <v>373</v>
      </c>
      <c r="H30" s="46"/>
      <c r="I30" s="46"/>
      <c r="J30" s="46"/>
      <c r="K30" s="46"/>
      <c r="L30" s="46"/>
      <c r="M30" s="46"/>
      <c r="N30" s="46"/>
      <c r="O30" s="46"/>
      <c r="P30" s="46"/>
      <c r="Q30" s="46"/>
      <c r="R30" s="46"/>
      <c r="S30" s="46"/>
      <c r="T30" s="46"/>
      <c r="U30" s="46"/>
      <c r="V30" s="46"/>
    </row>
    <row r="31" spans="1:24" x14ac:dyDescent="0.25">
      <c r="A31" s="46" t="s">
        <v>1682</v>
      </c>
      <c r="B31" s="46"/>
      <c r="C31" s="46" t="s">
        <v>374</v>
      </c>
      <c r="D31" s="43" t="s">
        <v>279</v>
      </c>
      <c r="E31" s="46"/>
      <c r="F31" s="46" t="s">
        <v>440</v>
      </c>
      <c r="G31" s="46" t="s">
        <v>374</v>
      </c>
      <c r="H31" s="46"/>
      <c r="I31" s="46"/>
      <c r="J31" s="46"/>
      <c r="K31" s="46"/>
      <c r="L31" s="46"/>
      <c r="M31" s="46"/>
      <c r="N31" s="46"/>
      <c r="O31" s="46"/>
      <c r="P31" s="46"/>
      <c r="Q31" s="46"/>
      <c r="R31" s="46"/>
      <c r="S31" s="46"/>
      <c r="T31" s="46"/>
      <c r="U31" s="46"/>
      <c r="V31" s="46"/>
    </row>
    <row r="32" spans="1:24" ht="30" x14ac:dyDescent="0.25">
      <c r="A32" s="46" t="s">
        <v>1694</v>
      </c>
      <c r="B32" s="46"/>
      <c r="C32" s="46" t="s">
        <v>375</v>
      </c>
      <c r="D32" s="43" t="s">
        <v>280</v>
      </c>
      <c r="E32" s="46"/>
      <c r="F32" s="46" t="s">
        <v>441</v>
      </c>
      <c r="G32" s="46" t="s">
        <v>375</v>
      </c>
      <c r="H32" s="46"/>
      <c r="I32" s="46"/>
      <c r="J32" s="46"/>
      <c r="K32" s="46"/>
      <c r="L32" s="46"/>
      <c r="M32" s="46"/>
      <c r="N32" s="46"/>
      <c r="O32" s="46"/>
      <c r="P32" s="46"/>
      <c r="Q32" s="46"/>
      <c r="R32" s="46"/>
      <c r="S32" s="46"/>
      <c r="T32" s="46"/>
      <c r="U32" s="46"/>
      <c r="V32" s="46"/>
    </row>
    <row r="33" spans="1:22" ht="45" x14ac:dyDescent="0.25">
      <c r="A33" s="46" t="s">
        <v>1695</v>
      </c>
      <c r="B33" s="46"/>
      <c r="C33" s="46" t="s">
        <v>473</v>
      </c>
      <c r="D33" s="43" t="s">
        <v>281</v>
      </c>
      <c r="E33" s="46"/>
      <c r="F33" s="46" t="s">
        <v>442</v>
      </c>
      <c r="G33" s="46" t="s">
        <v>473</v>
      </c>
      <c r="H33" s="46"/>
      <c r="I33" s="46"/>
      <c r="J33" s="46"/>
      <c r="K33" s="46"/>
      <c r="L33" s="46"/>
      <c r="M33" s="46"/>
      <c r="N33" s="46"/>
      <c r="O33" s="46"/>
      <c r="P33" s="46"/>
      <c r="Q33" s="46"/>
      <c r="R33" s="46"/>
      <c r="S33" s="46"/>
      <c r="T33" s="46"/>
      <c r="U33" s="46"/>
      <c r="V33" s="46"/>
    </row>
    <row r="34" spans="1:22" ht="30" x14ac:dyDescent="0.25">
      <c r="A34" s="46" t="s">
        <v>1699</v>
      </c>
      <c r="B34" s="46"/>
      <c r="C34" s="43" t="s">
        <v>1113</v>
      </c>
      <c r="D34" s="46" t="s">
        <v>1678</v>
      </c>
      <c r="E34" s="46"/>
      <c r="F34" s="46" t="s">
        <v>1632</v>
      </c>
      <c r="G34" s="43" t="s">
        <v>1113</v>
      </c>
      <c r="H34" s="46" t="s">
        <v>1740</v>
      </c>
      <c r="I34" s="46"/>
      <c r="J34" s="46"/>
      <c r="K34" s="46"/>
      <c r="L34" s="46"/>
      <c r="M34" s="46"/>
      <c r="N34" s="46"/>
      <c r="O34" s="46"/>
      <c r="P34" s="46"/>
      <c r="Q34" s="46"/>
      <c r="R34" s="46"/>
      <c r="S34" s="46"/>
      <c r="T34" s="46"/>
      <c r="U34" s="46"/>
      <c r="V34" s="46"/>
    </row>
    <row r="35" spans="1:22" ht="75" x14ac:dyDescent="0.25">
      <c r="A35" s="46" t="s">
        <v>1700</v>
      </c>
      <c r="B35" s="46"/>
      <c r="C35" s="43" t="s">
        <v>1112</v>
      </c>
      <c r="D35" s="43" t="s">
        <v>449</v>
      </c>
      <c r="E35" s="46"/>
      <c r="F35" s="46" t="s">
        <v>443</v>
      </c>
      <c r="G35" s="43" t="s">
        <v>1112</v>
      </c>
      <c r="H35" s="46" t="s">
        <v>1741</v>
      </c>
      <c r="I35" s="46"/>
      <c r="J35" s="46"/>
      <c r="K35" s="46"/>
      <c r="L35" s="46"/>
      <c r="M35" s="46"/>
      <c r="N35" s="46"/>
      <c r="O35" s="46"/>
      <c r="P35" s="46"/>
      <c r="Q35" s="46"/>
      <c r="R35" s="46"/>
      <c r="S35" s="46"/>
      <c r="T35" s="46"/>
      <c r="U35" s="46"/>
      <c r="V35" s="46"/>
    </row>
    <row r="36" spans="1:22" ht="135" x14ac:dyDescent="0.25">
      <c r="A36" s="46" t="s">
        <v>1701</v>
      </c>
      <c r="B36" s="46"/>
      <c r="C36" s="46"/>
      <c r="D36" s="43" t="s">
        <v>1679</v>
      </c>
      <c r="E36" s="46"/>
      <c r="F36" s="46" t="s">
        <v>444</v>
      </c>
      <c r="G36" s="46" t="s">
        <v>1689</v>
      </c>
      <c r="H36" s="46"/>
      <c r="I36" s="46"/>
      <c r="J36" s="46"/>
      <c r="K36" s="46"/>
      <c r="L36" s="46"/>
      <c r="M36" s="46"/>
      <c r="N36" s="46"/>
      <c r="O36" s="46"/>
      <c r="P36" s="46"/>
      <c r="Q36" s="46"/>
      <c r="R36" s="46"/>
      <c r="S36" s="46"/>
      <c r="T36" s="46"/>
      <c r="U36" s="46"/>
      <c r="V36" s="46"/>
    </row>
    <row r="37" spans="1:22" ht="30" x14ac:dyDescent="0.25">
      <c r="A37" s="46"/>
      <c r="B37" s="46"/>
      <c r="C37" s="46"/>
      <c r="D37" s="43" t="s">
        <v>1680</v>
      </c>
      <c r="E37" s="46"/>
      <c r="F37" s="46" t="s">
        <v>445</v>
      </c>
      <c r="G37" s="46"/>
      <c r="H37" s="46"/>
      <c r="I37" s="46"/>
      <c r="J37" s="46"/>
      <c r="K37" s="46"/>
      <c r="L37" s="46"/>
      <c r="M37" s="46"/>
      <c r="N37" s="46"/>
      <c r="O37" s="46"/>
      <c r="P37" s="46"/>
      <c r="Q37" s="46"/>
      <c r="R37" s="46"/>
      <c r="S37" s="46"/>
      <c r="T37" s="46"/>
      <c r="U37" s="46"/>
      <c r="V37" s="46"/>
    </row>
    <row r="38" spans="1:22" ht="30" x14ac:dyDescent="0.25">
      <c r="A38" s="46"/>
      <c r="B38" s="46"/>
      <c r="C38" s="46"/>
      <c r="D38" s="46" t="s">
        <v>282</v>
      </c>
      <c r="E38" s="46"/>
      <c r="F38" s="46" t="s">
        <v>447</v>
      </c>
      <c r="G38" s="46"/>
      <c r="H38" s="46"/>
      <c r="I38" s="46"/>
      <c r="J38" s="46"/>
      <c r="K38" s="46"/>
      <c r="L38" s="46"/>
      <c r="M38" s="46"/>
      <c r="N38" s="46"/>
      <c r="O38" s="46"/>
      <c r="P38" s="46"/>
      <c r="Q38" s="46"/>
      <c r="R38" s="46"/>
      <c r="S38" s="46"/>
      <c r="T38" s="46"/>
      <c r="U38" s="46"/>
      <c r="V38" s="46"/>
    </row>
    <row r="39" spans="1:22" x14ac:dyDescent="0.25">
      <c r="A39" s="46"/>
      <c r="B39" s="46"/>
      <c r="C39" s="46"/>
      <c r="D39" s="43" t="s">
        <v>283</v>
      </c>
      <c r="E39" s="46"/>
      <c r="F39" s="46" t="s">
        <v>448</v>
      </c>
      <c r="G39" s="46"/>
      <c r="H39" s="46"/>
      <c r="I39" s="46"/>
      <c r="J39" s="46"/>
      <c r="K39" s="46"/>
      <c r="L39" s="46"/>
      <c r="M39" s="46"/>
      <c r="N39" s="46"/>
      <c r="O39" s="46"/>
      <c r="P39" s="46"/>
      <c r="Q39" s="46"/>
      <c r="R39" s="46"/>
      <c r="S39" s="46"/>
      <c r="T39" s="46"/>
      <c r="U39" s="46"/>
      <c r="V39" s="46"/>
    </row>
    <row r="40" spans="1:22" x14ac:dyDescent="0.25">
      <c r="A40" s="46"/>
      <c r="B40" s="46"/>
      <c r="C40" s="46"/>
      <c r="D40" s="43" t="s">
        <v>284</v>
      </c>
      <c r="E40" s="46"/>
      <c r="F40" s="46" t="s">
        <v>471</v>
      </c>
      <c r="G40" s="46"/>
      <c r="H40" s="46"/>
      <c r="I40" s="46"/>
      <c r="J40" s="46"/>
      <c r="K40" s="46"/>
      <c r="L40" s="46"/>
      <c r="M40" s="46"/>
      <c r="N40" s="46"/>
      <c r="O40" s="46"/>
      <c r="P40" s="46"/>
      <c r="Q40" s="46"/>
      <c r="R40" s="46"/>
      <c r="S40" s="46"/>
      <c r="T40" s="46"/>
      <c r="U40" s="46"/>
      <c r="V40" s="46"/>
    </row>
    <row r="41" spans="1:22" x14ac:dyDescent="0.25">
      <c r="A41" s="46"/>
      <c r="B41" s="46"/>
      <c r="C41" s="46"/>
      <c r="D41" s="43" t="s">
        <v>285</v>
      </c>
      <c r="E41" s="46"/>
      <c r="F41" s="47" t="s">
        <v>478</v>
      </c>
      <c r="G41" s="46"/>
      <c r="H41" s="46"/>
      <c r="I41" s="46"/>
      <c r="J41" s="46"/>
      <c r="K41" s="46"/>
      <c r="L41" s="46"/>
      <c r="M41" s="46"/>
      <c r="N41" s="46"/>
      <c r="O41" s="46"/>
      <c r="P41" s="46"/>
      <c r="Q41" s="46"/>
      <c r="R41" s="46"/>
      <c r="S41" s="46"/>
      <c r="T41" s="46"/>
      <c r="U41" s="46"/>
      <c r="V41" s="46"/>
    </row>
    <row r="42" spans="1:22" ht="30" x14ac:dyDescent="0.25">
      <c r="A42" s="46"/>
      <c r="B42" s="46"/>
      <c r="C42" s="46"/>
      <c r="D42" s="46" t="s">
        <v>286</v>
      </c>
      <c r="E42" s="46"/>
      <c r="F42" s="46" t="s">
        <v>764</v>
      </c>
      <c r="G42" s="46"/>
      <c r="H42" s="46"/>
      <c r="I42" s="46"/>
      <c r="J42" s="46"/>
      <c r="K42" s="46"/>
      <c r="L42" s="46"/>
      <c r="M42" s="46"/>
      <c r="N42" s="46"/>
      <c r="O42" s="46"/>
      <c r="P42" s="46"/>
      <c r="Q42" s="46"/>
      <c r="R42" s="46"/>
      <c r="S42" s="46"/>
      <c r="T42" s="46"/>
      <c r="U42" s="46"/>
      <c r="V42" s="46"/>
    </row>
    <row r="43" spans="1:22" ht="120" x14ac:dyDescent="0.25">
      <c r="A43" s="46"/>
      <c r="B43" s="46"/>
      <c r="C43" s="46"/>
      <c r="D43" s="46" t="s">
        <v>287</v>
      </c>
      <c r="E43" s="46"/>
      <c r="F43" s="46" t="s">
        <v>1271</v>
      </c>
      <c r="G43" s="46"/>
      <c r="H43" s="46"/>
      <c r="I43" s="46"/>
      <c r="J43" s="46"/>
      <c r="K43" s="46"/>
      <c r="L43" s="46"/>
      <c r="M43" s="46"/>
      <c r="N43" s="46"/>
      <c r="O43" s="46"/>
      <c r="P43" s="46"/>
      <c r="Q43" s="46"/>
      <c r="R43" s="46"/>
      <c r="S43" s="46"/>
      <c r="T43" s="46"/>
      <c r="U43" s="46"/>
      <c r="V43" s="46"/>
    </row>
    <row r="44" spans="1:22" ht="30" x14ac:dyDescent="0.25">
      <c r="A44" s="46"/>
      <c r="B44" s="46"/>
      <c r="C44" s="46"/>
      <c r="D44" s="43" t="s">
        <v>418</v>
      </c>
      <c r="E44" s="46"/>
      <c r="F44" s="46"/>
      <c r="G44" s="46"/>
      <c r="H44" s="46"/>
      <c r="I44" s="46"/>
      <c r="J44" s="46"/>
      <c r="K44" s="46"/>
      <c r="L44" s="46"/>
      <c r="M44" s="46"/>
      <c r="N44" s="46"/>
      <c r="O44" s="46"/>
      <c r="P44" s="46"/>
      <c r="Q44" s="46"/>
      <c r="R44" s="46"/>
      <c r="S44" s="46"/>
      <c r="T44" s="46"/>
      <c r="U44" s="46"/>
      <c r="V44" s="46"/>
    </row>
    <row r="45" spans="1:22" x14ac:dyDescent="0.25">
      <c r="A45" s="46"/>
      <c r="B45" s="46"/>
      <c r="C45" s="46"/>
      <c r="D45" s="43" t="s">
        <v>288</v>
      </c>
      <c r="E45" s="46"/>
      <c r="F45" s="46"/>
      <c r="G45" s="46"/>
      <c r="H45" s="46"/>
      <c r="I45" s="46"/>
      <c r="J45" s="46"/>
      <c r="K45" s="46"/>
      <c r="L45" s="46"/>
      <c r="M45" s="46"/>
      <c r="N45" s="46"/>
      <c r="O45" s="46"/>
      <c r="P45" s="46"/>
      <c r="Q45" s="46"/>
      <c r="R45" s="46"/>
      <c r="S45" s="46"/>
      <c r="T45" s="46"/>
      <c r="U45" s="46"/>
      <c r="V45" s="46"/>
    </row>
    <row r="46" spans="1:22" x14ac:dyDescent="0.25">
      <c r="A46" s="46"/>
      <c r="B46" s="46"/>
      <c r="C46" s="46"/>
      <c r="D46" s="43" t="s">
        <v>290</v>
      </c>
      <c r="E46" s="46"/>
      <c r="F46" s="46"/>
      <c r="G46" s="46"/>
      <c r="H46" s="46"/>
      <c r="I46" s="46"/>
      <c r="J46" s="46"/>
      <c r="K46" s="46"/>
      <c r="L46" s="46"/>
      <c r="M46" s="46"/>
      <c r="N46" s="46"/>
      <c r="O46" s="46"/>
      <c r="P46" s="46"/>
      <c r="Q46" s="46"/>
      <c r="R46" s="46"/>
      <c r="S46" s="46"/>
      <c r="T46" s="46"/>
      <c r="U46" s="46"/>
      <c r="V46" s="46"/>
    </row>
    <row r="47" spans="1:22" x14ac:dyDescent="0.25">
      <c r="A47" s="46"/>
      <c r="B47" s="46"/>
      <c r="C47" s="46"/>
      <c r="D47" s="46" t="s">
        <v>417</v>
      </c>
      <c r="E47" s="46"/>
      <c r="F47" s="46"/>
      <c r="G47" s="46"/>
      <c r="H47" s="46"/>
      <c r="I47" s="46"/>
      <c r="J47" s="46"/>
      <c r="K47" s="46"/>
      <c r="L47" s="46"/>
      <c r="M47" s="46"/>
      <c r="N47" s="46"/>
      <c r="O47" s="46"/>
      <c r="P47" s="46"/>
      <c r="Q47" s="46"/>
      <c r="R47" s="46"/>
      <c r="S47" s="46"/>
      <c r="T47" s="46"/>
      <c r="U47" s="46"/>
      <c r="V47" s="46"/>
    </row>
    <row r="48" spans="1:22" x14ac:dyDescent="0.25">
      <c r="A48" s="46"/>
      <c r="B48" s="46"/>
      <c r="C48" s="46"/>
      <c r="D48" s="46" t="s">
        <v>300</v>
      </c>
      <c r="E48" s="46"/>
      <c r="F48" s="46"/>
      <c r="G48" s="46"/>
      <c r="H48" s="46"/>
      <c r="I48" s="46"/>
      <c r="J48" s="46"/>
      <c r="K48" s="46"/>
      <c r="L48" s="46"/>
      <c r="M48" s="46"/>
      <c r="N48" s="46"/>
      <c r="O48" s="46"/>
      <c r="P48" s="46"/>
      <c r="Q48" s="46"/>
      <c r="R48" s="46"/>
      <c r="S48" s="46"/>
      <c r="T48" s="46"/>
      <c r="U48" s="46"/>
      <c r="V48" s="46"/>
    </row>
    <row r="49" spans="1:22" x14ac:dyDescent="0.25">
      <c r="A49" s="46"/>
      <c r="B49" s="46"/>
      <c r="C49" s="46"/>
      <c r="D49" s="43" t="s">
        <v>424</v>
      </c>
      <c r="E49" s="46"/>
      <c r="F49" s="46"/>
      <c r="G49" s="46"/>
      <c r="H49" s="46"/>
      <c r="I49" s="46"/>
      <c r="J49" s="46"/>
      <c r="K49" s="46"/>
      <c r="L49" s="46"/>
      <c r="M49" s="46"/>
      <c r="N49" s="46"/>
      <c r="O49" s="46"/>
      <c r="P49" s="46"/>
      <c r="Q49" s="46"/>
      <c r="R49" s="46"/>
      <c r="S49" s="46"/>
      <c r="T49" s="46"/>
      <c r="U49" s="46"/>
      <c r="V49" s="46"/>
    </row>
    <row r="50" spans="1:22" x14ac:dyDescent="0.25">
      <c r="A50" s="46"/>
      <c r="B50" s="46"/>
      <c r="C50" s="46"/>
      <c r="D50" s="43" t="s">
        <v>303</v>
      </c>
      <c r="E50" s="46"/>
      <c r="F50" s="46"/>
      <c r="G50" s="46"/>
      <c r="H50" s="46"/>
      <c r="I50" s="46"/>
      <c r="J50" s="46"/>
      <c r="K50" s="46"/>
      <c r="L50" s="46"/>
      <c r="M50" s="46"/>
      <c r="N50" s="46"/>
      <c r="O50" s="46"/>
      <c r="P50" s="46"/>
      <c r="Q50" s="46"/>
      <c r="R50" s="46"/>
      <c r="S50" s="46"/>
      <c r="T50" s="46"/>
      <c r="U50" s="46"/>
      <c r="V50" s="46"/>
    </row>
    <row r="51" spans="1:22" x14ac:dyDescent="0.25">
      <c r="A51" s="46"/>
      <c r="B51" s="46"/>
      <c r="C51" s="46"/>
      <c r="D51" s="43" t="s">
        <v>383</v>
      </c>
      <c r="E51" s="46"/>
      <c r="F51" s="46"/>
      <c r="G51" s="46"/>
      <c r="H51" s="46"/>
      <c r="I51" s="46"/>
      <c r="J51" s="46"/>
      <c r="K51" s="46"/>
      <c r="L51" s="46"/>
      <c r="M51" s="46"/>
      <c r="N51" s="46"/>
      <c r="O51" s="46"/>
      <c r="P51" s="46"/>
      <c r="Q51" s="46"/>
      <c r="R51" s="46"/>
      <c r="S51" s="46"/>
      <c r="T51" s="46"/>
      <c r="U51" s="46"/>
      <c r="V51" s="46"/>
    </row>
    <row r="52" spans="1:22" ht="30" x14ac:dyDescent="0.25">
      <c r="A52" s="46"/>
      <c r="B52" s="46"/>
      <c r="C52" s="46"/>
      <c r="D52" s="176" t="s">
        <v>1410</v>
      </c>
      <c r="E52" s="46"/>
      <c r="F52" s="46"/>
      <c r="G52" s="46"/>
      <c r="H52" s="46"/>
      <c r="I52" s="46"/>
      <c r="J52" s="46"/>
      <c r="K52" s="46"/>
      <c r="L52" s="46"/>
      <c r="M52" s="46"/>
      <c r="N52" s="46"/>
      <c r="O52" s="46"/>
      <c r="P52" s="46"/>
      <c r="Q52" s="46"/>
      <c r="R52" s="46"/>
      <c r="S52" s="46"/>
      <c r="T52" s="46"/>
      <c r="U52" s="46"/>
      <c r="V52" s="46"/>
    </row>
    <row r="53" spans="1:22" x14ac:dyDescent="0.25">
      <c r="A53" s="46"/>
      <c r="B53" s="46"/>
      <c r="C53" s="46"/>
      <c r="D53" s="43" t="s">
        <v>434</v>
      </c>
      <c r="E53" s="46"/>
      <c r="F53" s="46"/>
      <c r="G53" s="46"/>
      <c r="H53" s="46"/>
      <c r="I53" s="46"/>
      <c r="J53" s="46"/>
      <c r="K53" s="46"/>
      <c r="L53" s="46"/>
      <c r="M53" s="46"/>
      <c r="N53" s="46"/>
      <c r="O53" s="46"/>
      <c r="P53" s="46"/>
      <c r="Q53" s="46"/>
      <c r="R53" s="46"/>
      <c r="S53" s="46"/>
      <c r="T53" s="46"/>
      <c r="U53" s="46"/>
      <c r="V53" s="46"/>
    </row>
    <row r="54" spans="1:22" x14ac:dyDescent="0.25">
      <c r="A54" s="46"/>
      <c r="B54" s="46"/>
      <c r="C54" s="46"/>
      <c r="D54" s="46" t="s">
        <v>304</v>
      </c>
      <c r="E54" s="46"/>
      <c r="F54" s="46"/>
      <c r="G54" s="46"/>
      <c r="H54" s="46"/>
      <c r="I54" s="46"/>
      <c r="J54" s="46"/>
      <c r="K54" s="46"/>
      <c r="L54" s="46"/>
      <c r="M54" s="46"/>
      <c r="N54" s="46"/>
      <c r="O54" s="46"/>
      <c r="P54" s="46"/>
      <c r="Q54" s="46"/>
      <c r="R54" s="46"/>
      <c r="S54" s="46"/>
      <c r="T54" s="46"/>
      <c r="U54" s="46"/>
      <c r="V54" s="46"/>
    </row>
    <row r="55" spans="1:22" x14ac:dyDescent="0.25">
      <c r="A55" s="46"/>
      <c r="B55" s="46"/>
      <c r="C55" s="46"/>
      <c r="D55" s="43" t="s">
        <v>305</v>
      </c>
      <c r="E55" s="46"/>
      <c r="F55" s="46"/>
      <c r="G55" s="46"/>
      <c r="H55" s="46"/>
      <c r="I55" s="46"/>
      <c r="J55" s="46"/>
      <c r="K55" s="46"/>
      <c r="L55" s="46"/>
      <c r="M55" s="46"/>
      <c r="N55" s="46"/>
      <c r="O55" s="46"/>
      <c r="P55" s="46"/>
      <c r="Q55" s="46"/>
      <c r="R55" s="46"/>
      <c r="S55" s="46"/>
      <c r="T55" s="46"/>
      <c r="U55" s="46"/>
      <c r="V55" s="46"/>
    </row>
    <row r="56" spans="1:22" x14ac:dyDescent="0.25">
      <c r="A56" s="46"/>
      <c r="B56" s="46"/>
      <c r="C56" s="46"/>
      <c r="D56" s="46" t="s">
        <v>306</v>
      </c>
      <c r="E56" s="46"/>
      <c r="F56" s="46"/>
      <c r="G56" s="46"/>
      <c r="H56" s="46"/>
      <c r="I56" s="46"/>
      <c r="J56" s="46"/>
      <c r="K56" s="46"/>
      <c r="L56" s="46"/>
      <c r="M56" s="46"/>
      <c r="N56" s="46"/>
      <c r="O56" s="46"/>
      <c r="P56" s="46"/>
      <c r="Q56" s="46"/>
      <c r="R56" s="46"/>
      <c r="S56" s="46"/>
      <c r="T56" s="46"/>
      <c r="U56" s="46"/>
      <c r="V56" s="46"/>
    </row>
    <row r="57" spans="1:22" x14ac:dyDescent="0.25">
      <c r="A57" s="46"/>
      <c r="B57" s="46"/>
      <c r="C57" s="46"/>
      <c r="D57" s="46" t="s">
        <v>307</v>
      </c>
      <c r="E57" s="46"/>
      <c r="F57" s="46"/>
      <c r="G57" s="46"/>
      <c r="H57" s="46"/>
      <c r="I57" s="46"/>
      <c r="J57" s="46"/>
      <c r="K57" s="46"/>
      <c r="L57" s="46"/>
      <c r="M57" s="46"/>
      <c r="N57" s="46"/>
      <c r="O57" s="46"/>
      <c r="P57" s="46"/>
      <c r="Q57" s="46"/>
      <c r="R57" s="46"/>
      <c r="S57" s="46"/>
      <c r="T57" s="46"/>
      <c r="U57" s="46"/>
      <c r="V57" s="46"/>
    </row>
    <row r="58" spans="1:22" ht="30" x14ac:dyDescent="0.25">
      <c r="A58" s="46"/>
      <c r="B58" s="46"/>
      <c r="C58" s="46"/>
      <c r="D58" s="46" t="s">
        <v>308</v>
      </c>
      <c r="E58" s="46"/>
      <c r="F58" s="46"/>
      <c r="G58" s="46"/>
      <c r="H58" s="46"/>
      <c r="I58" s="46"/>
      <c r="J58" s="46"/>
      <c r="K58" s="46"/>
      <c r="L58" s="46"/>
      <c r="M58" s="46"/>
      <c r="N58" s="46"/>
      <c r="O58" s="46"/>
      <c r="P58" s="46"/>
      <c r="Q58" s="46"/>
      <c r="R58" s="46"/>
      <c r="S58" s="46"/>
      <c r="T58" s="46"/>
      <c r="U58" s="46"/>
      <c r="V58" s="46"/>
    </row>
    <row r="59" spans="1:22" x14ac:dyDescent="0.25">
      <c r="A59" s="46"/>
      <c r="B59" s="46"/>
      <c r="C59" s="46"/>
      <c r="D59" s="46" t="s">
        <v>309</v>
      </c>
      <c r="E59" s="46"/>
      <c r="F59" s="46"/>
      <c r="G59" s="46"/>
      <c r="H59" s="46"/>
      <c r="I59" s="46"/>
      <c r="J59" s="46"/>
      <c r="K59" s="46"/>
      <c r="L59" s="46"/>
      <c r="M59" s="46"/>
      <c r="N59" s="46"/>
      <c r="O59" s="46"/>
      <c r="P59" s="46"/>
      <c r="Q59" s="46"/>
      <c r="R59" s="46"/>
      <c r="S59" s="46"/>
      <c r="T59" s="46"/>
      <c r="U59" s="46"/>
      <c r="V59" s="46"/>
    </row>
    <row r="60" spans="1:22" x14ac:dyDescent="0.25">
      <c r="A60" s="46"/>
      <c r="B60" s="46"/>
      <c r="C60" s="46"/>
      <c r="D60" s="46" t="s">
        <v>310</v>
      </c>
      <c r="E60" s="46"/>
      <c r="F60" s="46"/>
      <c r="G60" s="46"/>
      <c r="H60" s="46"/>
      <c r="I60" s="46"/>
      <c r="J60" s="46"/>
      <c r="K60" s="46"/>
      <c r="L60" s="46"/>
      <c r="M60" s="46"/>
      <c r="N60" s="46"/>
      <c r="O60" s="46"/>
      <c r="P60" s="46"/>
      <c r="Q60" s="46"/>
      <c r="R60" s="46"/>
      <c r="S60" s="46"/>
      <c r="T60" s="46"/>
      <c r="U60" s="46"/>
      <c r="V60" s="46"/>
    </row>
    <row r="61" spans="1:22" x14ac:dyDescent="0.25">
      <c r="A61" s="46"/>
      <c r="B61" s="46"/>
      <c r="C61" s="46"/>
      <c r="D61" s="46" t="s">
        <v>311</v>
      </c>
      <c r="E61" s="46"/>
      <c r="F61" s="46"/>
      <c r="G61" s="46"/>
      <c r="H61" s="46"/>
      <c r="I61" s="46"/>
      <c r="J61" s="46"/>
      <c r="K61" s="46"/>
      <c r="L61" s="46"/>
      <c r="M61" s="46"/>
      <c r="N61" s="46"/>
      <c r="O61" s="46"/>
      <c r="P61" s="46"/>
      <c r="Q61" s="46"/>
      <c r="R61" s="46"/>
      <c r="S61" s="46"/>
      <c r="T61" s="46"/>
      <c r="U61" s="46"/>
      <c r="V61" s="46"/>
    </row>
    <row r="62" spans="1:22" x14ac:dyDescent="0.25">
      <c r="A62" s="46"/>
      <c r="B62" s="46"/>
      <c r="C62" s="46"/>
      <c r="D62" s="43" t="s">
        <v>312</v>
      </c>
      <c r="E62" s="46"/>
      <c r="F62" s="46"/>
      <c r="G62" s="46"/>
      <c r="H62" s="46"/>
      <c r="I62" s="46"/>
      <c r="J62" s="46"/>
      <c r="K62" s="46"/>
      <c r="L62" s="46"/>
      <c r="M62" s="46"/>
      <c r="N62" s="46"/>
      <c r="O62" s="46"/>
      <c r="P62" s="46"/>
      <c r="Q62" s="46"/>
      <c r="R62" s="46"/>
      <c r="S62" s="46"/>
      <c r="T62" s="46"/>
      <c r="U62" s="46"/>
      <c r="V62" s="46"/>
    </row>
    <row r="63" spans="1:22" x14ac:dyDescent="0.25">
      <c r="A63" s="46"/>
      <c r="B63" s="46"/>
      <c r="C63" s="46"/>
      <c r="D63" s="46" t="s">
        <v>315</v>
      </c>
      <c r="E63" s="46"/>
      <c r="F63" s="46"/>
      <c r="G63" s="46"/>
      <c r="H63" s="46"/>
      <c r="I63" s="46"/>
      <c r="J63" s="46"/>
      <c r="K63" s="46"/>
      <c r="L63" s="46"/>
      <c r="M63" s="46"/>
      <c r="N63" s="46"/>
      <c r="O63" s="46"/>
      <c r="P63" s="46"/>
      <c r="Q63" s="46"/>
      <c r="R63" s="46"/>
      <c r="S63" s="46"/>
      <c r="T63" s="46"/>
      <c r="U63" s="46"/>
      <c r="V63" s="46"/>
    </row>
    <row r="64" spans="1:22" x14ac:dyDescent="0.25">
      <c r="A64" s="46"/>
      <c r="B64" s="46"/>
      <c r="C64" s="46"/>
      <c r="D64" s="43" t="s">
        <v>316</v>
      </c>
      <c r="E64" s="46"/>
      <c r="F64" s="46"/>
      <c r="G64" s="46"/>
      <c r="H64" s="46"/>
      <c r="I64" s="46"/>
      <c r="J64" s="46"/>
      <c r="K64" s="46"/>
      <c r="L64" s="46"/>
      <c r="M64" s="46"/>
      <c r="N64" s="46"/>
      <c r="O64" s="46"/>
      <c r="P64" s="46"/>
      <c r="Q64" s="46"/>
      <c r="R64" s="46"/>
      <c r="S64" s="46"/>
      <c r="T64" s="46"/>
      <c r="U64" s="46"/>
      <c r="V64" s="46"/>
    </row>
    <row r="65" spans="1:22" x14ac:dyDescent="0.25">
      <c r="A65" s="46"/>
      <c r="B65" s="46"/>
      <c r="C65" s="46"/>
      <c r="D65" s="46" t="s">
        <v>317</v>
      </c>
      <c r="E65" s="46"/>
      <c r="F65" s="46"/>
      <c r="G65" s="46"/>
      <c r="H65" s="46"/>
      <c r="I65" s="46"/>
      <c r="J65" s="46"/>
      <c r="K65" s="46"/>
      <c r="L65" s="46"/>
      <c r="M65" s="46"/>
      <c r="N65" s="46"/>
      <c r="O65" s="46"/>
      <c r="P65" s="46"/>
      <c r="Q65" s="46"/>
      <c r="R65" s="46"/>
      <c r="S65" s="46"/>
      <c r="T65" s="46"/>
      <c r="U65" s="46"/>
      <c r="V65" s="46"/>
    </row>
    <row r="66" spans="1:22" x14ac:dyDescent="0.25">
      <c r="A66" s="46"/>
      <c r="B66" s="46"/>
      <c r="C66" s="46"/>
      <c r="D66" s="43" t="s">
        <v>422</v>
      </c>
      <c r="E66" s="46"/>
      <c r="F66" s="46"/>
      <c r="G66" s="46"/>
      <c r="H66" s="46"/>
      <c r="I66" s="46"/>
      <c r="J66" s="46"/>
      <c r="K66" s="46"/>
      <c r="L66" s="46"/>
      <c r="M66" s="46"/>
      <c r="N66" s="46"/>
      <c r="O66" s="46"/>
      <c r="P66" s="46"/>
      <c r="Q66" s="46"/>
      <c r="R66" s="46"/>
      <c r="S66" s="46"/>
      <c r="T66" s="46"/>
      <c r="U66" s="46"/>
      <c r="V66" s="46"/>
    </row>
    <row r="67" spans="1:22" x14ac:dyDescent="0.25">
      <c r="A67" s="46"/>
      <c r="B67" s="46"/>
      <c r="C67" s="46"/>
      <c r="D67" s="43" t="s">
        <v>427</v>
      </c>
      <c r="E67" s="46"/>
      <c r="F67" s="46"/>
      <c r="G67" s="46"/>
      <c r="H67" s="46"/>
      <c r="I67" s="46"/>
      <c r="J67" s="46"/>
      <c r="K67" s="46"/>
      <c r="L67" s="46"/>
      <c r="M67" s="46"/>
      <c r="N67" s="46"/>
      <c r="O67" s="46"/>
      <c r="P67" s="46"/>
      <c r="Q67" s="46"/>
      <c r="R67" s="46"/>
      <c r="S67" s="46"/>
      <c r="T67" s="46"/>
      <c r="U67" s="46"/>
      <c r="V67" s="46"/>
    </row>
    <row r="68" spans="1:22" x14ac:dyDescent="0.25">
      <c r="A68" s="46"/>
      <c r="B68" s="46"/>
      <c r="C68" s="46"/>
      <c r="D68" s="46" t="s">
        <v>423</v>
      </c>
      <c r="E68" s="46"/>
      <c r="F68" s="46"/>
      <c r="G68" s="46"/>
      <c r="H68" s="46"/>
      <c r="I68" s="46"/>
      <c r="J68" s="46"/>
      <c r="K68" s="46"/>
      <c r="L68" s="46"/>
      <c r="M68" s="46"/>
      <c r="N68" s="46"/>
      <c r="O68" s="46"/>
      <c r="P68" s="46"/>
      <c r="Q68" s="46"/>
      <c r="R68" s="46"/>
      <c r="S68" s="46"/>
      <c r="T68" s="46"/>
      <c r="U68" s="46"/>
      <c r="V68" s="46"/>
    </row>
    <row r="69" spans="1:22" x14ac:dyDescent="0.25">
      <c r="A69" s="46"/>
      <c r="B69" s="46"/>
      <c r="C69" s="46"/>
      <c r="D69" s="46" t="s">
        <v>425</v>
      </c>
      <c r="E69" s="46"/>
      <c r="F69" s="46"/>
      <c r="G69" s="46"/>
      <c r="H69" s="46"/>
      <c r="I69" s="46"/>
      <c r="J69" s="46"/>
      <c r="K69" s="46"/>
      <c r="L69" s="46"/>
      <c r="M69" s="46"/>
      <c r="N69" s="46"/>
      <c r="O69" s="46"/>
      <c r="P69" s="46"/>
      <c r="Q69" s="46"/>
      <c r="R69" s="46"/>
      <c r="S69" s="46"/>
      <c r="T69" s="46"/>
      <c r="U69" s="46"/>
      <c r="V69" s="46"/>
    </row>
    <row r="70" spans="1:22" x14ac:dyDescent="0.25">
      <c r="A70" s="46"/>
      <c r="B70" s="46"/>
      <c r="C70" s="46"/>
      <c r="D70" s="46" t="s">
        <v>426</v>
      </c>
      <c r="E70" s="46"/>
      <c r="F70" s="46"/>
      <c r="G70" s="46"/>
      <c r="H70" s="46"/>
      <c r="I70" s="46"/>
      <c r="J70" s="46"/>
      <c r="K70" s="46"/>
      <c r="L70" s="46"/>
      <c r="M70" s="46"/>
      <c r="N70" s="46"/>
      <c r="O70" s="46"/>
      <c r="P70" s="46"/>
      <c r="Q70" s="46"/>
      <c r="R70" s="46"/>
      <c r="S70" s="46"/>
      <c r="T70" s="46"/>
      <c r="U70" s="46"/>
      <c r="V70" s="46"/>
    </row>
    <row r="71" spans="1:22" ht="30" x14ac:dyDescent="0.25">
      <c r="A71" s="46"/>
      <c r="B71" s="46"/>
      <c r="C71" s="46"/>
      <c r="D71" s="43" t="s">
        <v>430</v>
      </c>
      <c r="E71" s="46"/>
      <c r="F71" s="46"/>
      <c r="G71" s="46"/>
      <c r="H71" s="46"/>
      <c r="I71" s="46"/>
      <c r="J71" s="46"/>
      <c r="K71" s="46"/>
      <c r="L71" s="46"/>
      <c r="M71" s="46"/>
      <c r="N71" s="46"/>
      <c r="O71" s="46"/>
      <c r="P71" s="46"/>
      <c r="Q71" s="46"/>
      <c r="R71" s="46"/>
      <c r="S71" s="46"/>
      <c r="T71" s="46"/>
      <c r="U71" s="46"/>
      <c r="V71" s="46"/>
    </row>
    <row r="72" spans="1:22" x14ac:dyDescent="0.25">
      <c r="A72" s="46"/>
      <c r="B72" s="46"/>
      <c r="C72" s="46"/>
      <c r="D72" s="80" t="s">
        <v>1097</v>
      </c>
      <c r="E72" s="46"/>
      <c r="F72" s="46"/>
      <c r="G72" s="46"/>
      <c r="H72" s="46"/>
      <c r="I72" s="46"/>
      <c r="J72" s="46"/>
      <c r="K72" s="46"/>
      <c r="L72" s="46"/>
      <c r="M72" s="46"/>
      <c r="N72" s="46"/>
      <c r="O72" s="46"/>
      <c r="P72" s="46"/>
      <c r="Q72" s="46"/>
      <c r="R72" s="46"/>
      <c r="S72" s="46"/>
      <c r="T72" s="46"/>
      <c r="U72" s="46"/>
      <c r="V72" s="46"/>
    </row>
    <row r="73" spans="1:22" x14ac:dyDescent="0.25">
      <c r="A73" s="46"/>
      <c r="B73" s="46"/>
      <c r="C73" s="46"/>
      <c r="D73" s="80" t="s">
        <v>428</v>
      </c>
      <c r="E73" s="46"/>
      <c r="F73" s="46"/>
      <c r="G73" s="46"/>
      <c r="H73" s="46"/>
      <c r="I73" s="46"/>
      <c r="J73" s="46"/>
      <c r="K73" s="46"/>
      <c r="L73" s="46"/>
      <c r="M73" s="46"/>
      <c r="N73" s="46"/>
      <c r="O73" s="46"/>
      <c r="P73" s="46"/>
      <c r="Q73" s="46"/>
      <c r="R73" s="46"/>
      <c r="S73" s="46"/>
      <c r="T73" s="46"/>
      <c r="U73" s="46"/>
      <c r="V73" s="46"/>
    </row>
    <row r="74" spans="1:22" x14ac:dyDescent="0.25">
      <c r="A74" s="46"/>
      <c r="B74" s="46"/>
      <c r="C74" s="46"/>
      <c r="D74" s="80" t="s">
        <v>429</v>
      </c>
      <c r="E74" s="46"/>
      <c r="F74" s="46"/>
      <c r="G74" s="46"/>
      <c r="H74" s="46"/>
      <c r="I74" s="46"/>
      <c r="J74" s="46"/>
      <c r="K74" s="46"/>
      <c r="L74" s="46"/>
      <c r="M74" s="46"/>
      <c r="N74" s="46"/>
      <c r="O74" s="46"/>
      <c r="P74" s="46"/>
      <c r="Q74" s="46"/>
      <c r="R74" s="46"/>
      <c r="S74" s="46"/>
      <c r="T74" s="46"/>
      <c r="U74" s="46"/>
      <c r="V74" s="46"/>
    </row>
    <row r="75" spans="1:22" x14ac:dyDescent="0.25">
      <c r="A75" s="46"/>
      <c r="B75" s="46"/>
      <c r="C75" s="46"/>
      <c r="D75" s="46" t="s">
        <v>433</v>
      </c>
      <c r="E75" s="46"/>
      <c r="F75" s="46"/>
      <c r="G75" s="46"/>
      <c r="H75" s="46"/>
      <c r="I75" s="46"/>
      <c r="J75" s="46"/>
      <c r="K75" s="46"/>
      <c r="L75" s="46"/>
      <c r="M75" s="46"/>
      <c r="N75" s="46"/>
      <c r="O75" s="46"/>
      <c r="P75" s="46"/>
      <c r="Q75" s="46"/>
      <c r="R75" s="46"/>
      <c r="S75" s="46"/>
      <c r="T75" s="46"/>
      <c r="U75" s="46"/>
      <c r="V75" s="46"/>
    </row>
    <row r="76" spans="1:22" x14ac:dyDescent="0.25">
      <c r="A76" s="46"/>
      <c r="B76" s="46"/>
      <c r="C76" s="46"/>
      <c r="D76" s="177" t="s">
        <v>474</v>
      </c>
      <c r="E76" s="46"/>
      <c r="F76" s="46"/>
      <c r="G76" s="46"/>
      <c r="H76" s="46"/>
      <c r="I76" s="46"/>
      <c r="J76" s="46"/>
      <c r="K76" s="46"/>
      <c r="L76" s="46"/>
      <c r="M76" s="46"/>
      <c r="N76" s="46"/>
      <c r="O76" s="46"/>
      <c r="P76" s="46"/>
      <c r="Q76" s="46"/>
      <c r="R76" s="46"/>
      <c r="S76" s="46"/>
      <c r="T76" s="46"/>
      <c r="U76" s="46"/>
      <c r="V76" s="46"/>
    </row>
    <row r="77" spans="1:22" x14ac:dyDescent="0.25">
      <c r="A77" s="46"/>
      <c r="B77" s="46"/>
      <c r="C77" s="46"/>
      <c r="D77" s="177" t="s">
        <v>477</v>
      </c>
      <c r="E77" s="46"/>
      <c r="F77" s="46"/>
      <c r="G77" s="46"/>
      <c r="H77" s="46"/>
      <c r="I77" s="46"/>
      <c r="J77" s="46"/>
      <c r="K77" s="46"/>
      <c r="L77" s="46"/>
      <c r="M77" s="46"/>
      <c r="N77" s="46"/>
      <c r="O77" s="46"/>
      <c r="P77" s="46"/>
      <c r="Q77" s="46"/>
      <c r="R77" s="46"/>
      <c r="S77" s="46"/>
      <c r="T77" s="46"/>
      <c r="U77" s="46"/>
      <c r="V77" s="46"/>
    </row>
    <row r="78" spans="1:22" x14ac:dyDescent="0.25">
      <c r="A78" s="46"/>
      <c r="B78" s="46"/>
      <c r="C78" s="46"/>
      <c r="D78" s="80" t="s">
        <v>1085</v>
      </c>
      <c r="E78" s="46"/>
      <c r="F78" s="46"/>
      <c r="G78" s="46"/>
      <c r="H78" s="46"/>
      <c r="I78" s="46"/>
      <c r="J78" s="46"/>
      <c r="K78" s="46"/>
      <c r="L78" s="46"/>
      <c r="M78" s="46"/>
      <c r="N78" s="46"/>
      <c r="O78" s="46"/>
      <c r="P78" s="46"/>
      <c r="Q78" s="46"/>
      <c r="R78" s="46"/>
      <c r="S78" s="46"/>
      <c r="T78" s="46"/>
      <c r="U78" s="46"/>
      <c r="V78" s="46"/>
    </row>
    <row r="79" spans="1:22" x14ac:dyDescent="0.25">
      <c r="A79" s="46"/>
      <c r="B79" s="46"/>
      <c r="C79" s="46"/>
      <c r="D79" s="80" t="s">
        <v>1094</v>
      </c>
      <c r="E79" s="46"/>
      <c r="F79" s="46"/>
      <c r="G79" s="46"/>
      <c r="H79" s="46"/>
      <c r="I79" s="46"/>
      <c r="J79" s="46"/>
      <c r="K79" s="46"/>
      <c r="L79" s="46"/>
      <c r="M79" s="46"/>
      <c r="N79" s="46"/>
      <c r="O79" s="46"/>
      <c r="P79" s="46"/>
      <c r="Q79" s="46"/>
      <c r="R79" s="46"/>
      <c r="S79" s="46"/>
      <c r="T79" s="46"/>
      <c r="U79" s="46"/>
      <c r="V79" s="46"/>
    </row>
    <row r="80" spans="1:22" x14ac:dyDescent="0.25">
      <c r="A80" s="46"/>
      <c r="B80" s="46"/>
      <c r="C80" s="46"/>
      <c r="D80" s="80" t="s">
        <v>1095</v>
      </c>
      <c r="E80" s="46"/>
      <c r="F80" s="46"/>
      <c r="G80" s="46"/>
      <c r="H80" s="46"/>
      <c r="I80" s="46"/>
      <c r="J80" s="46"/>
      <c r="K80" s="46"/>
      <c r="L80" s="46"/>
      <c r="M80" s="46"/>
      <c r="N80" s="46"/>
      <c r="O80" s="46"/>
      <c r="P80" s="46"/>
      <c r="Q80" s="46"/>
      <c r="R80" s="46"/>
      <c r="S80" s="46"/>
      <c r="T80" s="46"/>
      <c r="U80" s="46"/>
      <c r="V80" s="46"/>
    </row>
    <row r="81" spans="1:22" x14ac:dyDescent="0.25">
      <c r="A81" s="46"/>
      <c r="B81" s="46"/>
      <c r="C81" s="46"/>
      <c r="D81" s="176" t="s">
        <v>392</v>
      </c>
      <c r="E81" s="46"/>
      <c r="F81" s="46"/>
      <c r="G81" s="46"/>
      <c r="H81" s="46"/>
      <c r="I81" s="46"/>
      <c r="J81" s="46"/>
      <c r="K81" s="46"/>
      <c r="L81" s="46"/>
      <c r="M81" s="46"/>
      <c r="N81" s="46"/>
      <c r="O81" s="46"/>
      <c r="P81" s="46"/>
      <c r="Q81" s="46"/>
      <c r="R81" s="46"/>
      <c r="S81" s="46"/>
      <c r="T81" s="46"/>
      <c r="U81" s="46"/>
      <c r="V81" s="46"/>
    </row>
    <row r="82" spans="1:22" x14ac:dyDescent="0.25">
      <c r="A82" s="46"/>
      <c r="B82" s="46"/>
      <c r="C82" s="46"/>
      <c r="D82" s="176" t="s">
        <v>1254</v>
      </c>
      <c r="E82" s="46"/>
      <c r="F82" s="46"/>
      <c r="G82" s="46"/>
      <c r="H82" s="46"/>
      <c r="I82" s="46"/>
      <c r="J82" s="46"/>
      <c r="K82" s="46"/>
      <c r="L82" s="46"/>
      <c r="M82" s="46"/>
      <c r="N82" s="46"/>
      <c r="O82" s="46"/>
      <c r="P82" s="46"/>
      <c r="Q82" s="46"/>
      <c r="R82" s="46"/>
      <c r="S82" s="46"/>
      <c r="T82" s="46"/>
      <c r="U82" s="46"/>
      <c r="V82" s="46"/>
    </row>
    <row r="83" spans="1:22" x14ac:dyDescent="0.25">
      <c r="A83" s="46"/>
      <c r="B83" s="46"/>
      <c r="C83" s="46"/>
      <c r="D83" s="176" t="s">
        <v>1409</v>
      </c>
      <c r="E83" s="46"/>
      <c r="F83" s="46"/>
      <c r="G83" s="46"/>
      <c r="H83" s="46"/>
      <c r="I83" s="46"/>
      <c r="J83" s="46"/>
      <c r="K83" s="46"/>
      <c r="L83" s="46"/>
      <c r="M83" s="46"/>
      <c r="N83" s="46"/>
      <c r="O83" s="46"/>
      <c r="P83" s="46"/>
      <c r="Q83" s="46"/>
      <c r="R83" s="46"/>
      <c r="S83" s="46"/>
      <c r="T83" s="46"/>
      <c r="U83" s="46"/>
      <c r="V83" s="46"/>
    </row>
    <row r="84" spans="1:22" x14ac:dyDescent="0.25">
      <c r="A84" s="46"/>
      <c r="B84" s="46"/>
      <c r="C84" s="46"/>
      <c r="D84" s="46" t="s">
        <v>1255</v>
      </c>
      <c r="E84" s="46"/>
      <c r="F84" s="46"/>
      <c r="G84" s="46"/>
      <c r="H84" s="46"/>
      <c r="I84" s="46"/>
      <c r="J84" s="46"/>
      <c r="K84" s="46"/>
      <c r="L84" s="46"/>
      <c r="M84" s="46"/>
      <c r="N84" s="46"/>
      <c r="O84" s="46"/>
      <c r="P84" s="46"/>
      <c r="Q84" s="46"/>
      <c r="R84" s="46"/>
      <c r="S84" s="46"/>
      <c r="T84" s="46"/>
      <c r="U84" s="46"/>
      <c r="V84" s="46"/>
    </row>
    <row r="85" spans="1:22" ht="30" x14ac:dyDescent="0.25">
      <c r="A85" s="46"/>
      <c r="B85" s="46"/>
      <c r="C85" s="46"/>
      <c r="D85" s="176" t="s">
        <v>1676</v>
      </c>
      <c r="E85" s="46"/>
      <c r="F85" s="46"/>
      <c r="G85" s="46"/>
      <c r="H85" s="46"/>
      <c r="I85" s="46"/>
      <c r="J85" s="46"/>
      <c r="K85" s="46"/>
      <c r="L85" s="46"/>
      <c r="M85" s="46"/>
      <c r="N85" s="46"/>
      <c r="O85" s="46"/>
      <c r="P85" s="46"/>
      <c r="Q85" s="46"/>
      <c r="R85" s="46"/>
      <c r="S85" s="46"/>
      <c r="T85" s="46"/>
      <c r="U85" s="46"/>
      <c r="V85" s="46"/>
    </row>
    <row r="86" spans="1:22" ht="30" x14ac:dyDescent="0.25">
      <c r="A86" s="46"/>
      <c r="B86" s="216"/>
      <c r="C86" s="46"/>
      <c r="D86" s="188" t="s">
        <v>1408</v>
      </c>
      <c r="E86" s="46"/>
      <c r="F86" s="46"/>
      <c r="G86" s="46"/>
      <c r="H86" s="46"/>
      <c r="I86" s="46"/>
      <c r="J86" s="46"/>
      <c r="K86" s="46"/>
      <c r="L86" s="46"/>
      <c r="M86" s="46"/>
      <c r="N86" s="46"/>
      <c r="O86" s="46"/>
      <c r="P86" s="46"/>
      <c r="Q86" s="46"/>
      <c r="R86" s="46"/>
      <c r="S86" s="46"/>
      <c r="T86" s="46"/>
      <c r="U86" s="46"/>
      <c r="V86" s="46"/>
    </row>
    <row r="87" spans="1:22" x14ac:dyDescent="0.25">
      <c r="A87" s="46"/>
      <c r="B87" s="216"/>
      <c r="C87" s="46"/>
      <c r="E87" s="46"/>
      <c r="F87" s="46"/>
      <c r="G87" s="46"/>
      <c r="H87" s="46"/>
      <c r="I87" s="46"/>
      <c r="J87" s="46"/>
      <c r="K87" s="46"/>
      <c r="L87" s="46"/>
      <c r="M87" s="46"/>
      <c r="N87" s="46"/>
      <c r="O87" s="46"/>
      <c r="P87" s="46"/>
      <c r="Q87" s="46"/>
      <c r="R87" s="46"/>
      <c r="S87" s="46"/>
      <c r="T87" s="46"/>
      <c r="U87" s="46"/>
      <c r="V87" s="46"/>
    </row>
    <row r="88" spans="1:22" x14ac:dyDescent="0.25">
      <c r="A88" s="46"/>
      <c r="B88" s="216"/>
      <c r="C88" s="46"/>
      <c r="E88" s="46"/>
      <c r="F88" s="46"/>
      <c r="G88" s="46"/>
      <c r="H88" s="46"/>
      <c r="I88" s="46"/>
      <c r="J88" s="46"/>
      <c r="K88" s="46"/>
      <c r="L88" s="46"/>
      <c r="M88" s="46"/>
      <c r="N88" s="46"/>
      <c r="O88" s="46"/>
      <c r="P88" s="46"/>
      <c r="Q88" s="46"/>
      <c r="R88" s="46"/>
      <c r="S88" s="46"/>
      <c r="T88" s="46"/>
      <c r="U88" s="46"/>
      <c r="V88" s="46"/>
    </row>
    <row r="89" spans="1:22" x14ac:dyDescent="0.25">
      <c r="A89" s="46"/>
      <c r="B89" s="216"/>
      <c r="C89" s="46"/>
      <c r="E89" s="46"/>
      <c r="F89" s="46"/>
      <c r="G89" s="46"/>
      <c r="H89" s="46"/>
      <c r="I89" s="46"/>
      <c r="J89" s="46"/>
      <c r="K89" s="46"/>
      <c r="L89" s="46"/>
      <c r="M89" s="46"/>
      <c r="N89" s="46"/>
      <c r="O89" s="46"/>
      <c r="P89" s="46"/>
      <c r="Q89" s="46"/>
      <c r="R89" s="46"/>
      <c r="S89" s="46"/>
      <c r="T89" s="46"/>
      <c r="U89" s="46"/>
      <c r="V89" s="46"/>
    </row>
    <row r="90" spans="1:22" x14ac:dyDescent="0.25">
      <c r="A90" s="46"/>
      <c r="B90" s="216"/>
      <c r="C90" s="46"/>
      <c r="E90" s="46"/>
      <c r="F90" s="46"/>
      <c r="G90" s="46"/>
      <c r="H90" s="46"/>
      <c r="I90" s="46"/>
      <c r="J90" s="46"/>
      <c r="K90" s="46"/>
      <c r="L90" s="46"/>
      <c r="M90" s="46"/>
      <c r="N90" s="46"/>
      <c r="O90" s="46"/>
      <c r="P90" s="46"/>
      <c r="Q90" s="46"/>
      <c r="R90" s="46"/>
      <c r="S90" s="46"/>
      <c r="T90" s="46"/>
      <c r="U90" s="46"/>
      <c r="V90" s="46"/>
    </row>
    <row r="91" spans="1:22" x14ac:dyDescent="0.25">
      <c r="A91" s="46"/>
      <c r="B91" s="216"/>
      <c r="C91" s="46"/>
      <c r="E91" s="46"/>
      <c r="F91" s="46"/>
      <c r="G91" s="46"/>
      <c r="H91" s="46"/>
      <c r="I91" s="46"/>
      <c r="J91" s="46"/>
      <c r="K91" s="46"/>
      <c r="L91" s="46"/>
      <c r="M91" s="46"/>
      <c r="N91" s="46"/>
      <c r="O91" s="46"/>
      <c r="P91" s="46"/>
      <c r="Q91" s="46"/>
      <c r="R91" s="46"/>
      <c r="S91" s="46"/>
      <c r="T91" s="46"/>
      <c r="U91" s="46"/>
      <c r="V91" s="46"/>
    </row>
    <row r="92" spans="1:22" x14ac:dyDescent="0.25">
      <c r="A92" s="46"/>
      <c r="B92" s="216"/>
      <c r="C92" s="46"/>
      <c r="E92" s="46"/>
      <c r="F92" s="46"/>
      <c r="G92" s="46"/>
      <c r="H92" s="46"/>
      <c r="I92" s="46"/>
      <c r="J92" s="46"/>
      <c r="K92" s="46"/>
      <c r="L92" s="46"/>
      <c r="M92" s="46"/>
      <c r="N92" s="46"/>
      <c r="O92" s="46"/>
      <c r="P92" s="46"/>
      <c r="Q92" s="46"/>
      <c r="R92" s="46"/>
      <c r="S92" s="46"/>
      <c r="T92" s="46"/>
      <c r="U92" s="46"/>
      <c r="V92" s="46"/>
    </row>
  </sheetData>
  <mergeCells count="1">
    <mergeCell ref="D7:D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topLeftCell="L11" zoomScale="93" zoomScaleNormal="93" workbookViewId="0">
      <selection activeCell="AF34" sqref="AF34"/>
    </sheetView>
  </sheetViews>
  <sheetFormatPr defaultRowHeight="15" x14ac:dyDescent="0.25"/>
  <cols>
    <col min="1" max="1" width="69.140625" style="5" bestFit="1" customWidth="1"/>
    <col min="2" max="2" width="30.28515625" customWidth="1"/>
    <col min="4" max="4" width="12.140625" bestFit="1" customWidth="1"/>
    <col min="5" max="5" width="14.42578125" bestFit="1" customWidth="1"/>
    <col min="6" max="6" width="37.5703125" customWidth="1"/>
  </cols>
  <sheetData>
    <row r="1" spans="1:13" x14ac:dyDescent="0.25">
      <c r="A1" s="5" t="s">
        <v>927</v>
      </c>
    </row>
    <row r="2" spans="1:13" x14ac:dyDescent="0.25">
      <c r="A2" s="126" t="s">
        <v>1084</v>
      </c>
      <c r="F2" s="156"/>
    </row>
    <row r="3" spans="1:13" x14ac:dyDescent="0.25">
      <c r="A3" s="126" t="s">
        <v>1024</v>
      </c>
    </row>
    <row r="4" spans="1:13" ht="15" customHeight="1" x14ac:dyDescent="0.25">
      <c r="A4" s="126" t="s">
        <v>1111</v>
      </c>
    </row>
    <row r="5" spans="1:13" x14ac:dyDescent="0.25">
      <c r="A5" s="126" t="s">
        <v>1117</v>
      </c>
      <c r="F5" s="156"/>
    </row>
    <row r="6" spans="1:13" x14ac:dyDescent="0.25">
      <c r="A6" s="126" t="s">
        <v>733</v>
      </c>
      <c r="F6" s="156"/>
      <c r="H6" t="s">
        <v>11</v>
      </c>
      <c r="I6">
        <v>2000</v>
      </c>
      <c r="J6" s="17">
        <f>SUM(I6:I16)</f>
        <v>9886</v>
      </c>
    </row>
    <row r="7" spans="1:13" x14ac:dyDescent="0.25">
      <c r="A7" s="126" t="s">
        <v>740</v>
      </c>
      <c r="F7" s="156">
        <f>SUM(E7:E8)</f>
        <v>0</v>
      </c>
      <c r="H7" t="s">
        <v>763</v>
      </c>
      <c r="I7">
        <v>2500</v>
      </c>
    </row>
    <row r="8" spans="1:13" x14ac:dyDescent="0.25">
      <c r="A8" s="126" t="s">
        <v>1010</v>
      </c>
      <c r="B8" t="s">
        <v>1050</v>
      </c>
      <c r="F8" s="156"/>
      <c r="H8" t="s">
        <v>1077</v>
      </c>
      <c r="I8">
        <v>787</v>
      </c>
    </row>
    <row r="9" spans="1:13" x14ac:dyDescent="0.25">
      <c r="A9" s="126" t="s">
        <v>1067</v>
      </c>
      <c r="F9" s="161"/>
      <c r="H9" t="s">
        <v>1077</v>
      </c>
      <c r="I9">
        <v>1099</v>
      </c>
    </row>
    <row r="10" spans="1:13" x14ac:dyDescent="0.25">
      <c r="A10" s="126" t="s">
        <v>1068</v>
      </c>
      <c r="F10" s="161"/>
      <c r="H10" t="s">
        <v>1078</v>
      </c>
      <c r="I10">
        <v>2000</v>
      </c>
    </row>
    <row r="11" spans="1:13" x14ac:dyDescent="0.25">
      <c r="A11" s="126" t="s">
        <v>1075</v>
      </c>
      <c r="H11" t="s">
        <v>1079</v>
      </c>
      <c r="I11">
        <v>500</v>
      </c>
    </row>
    <row r="12" spans="1:13" x14ac:dyDescent="0.25">
      <c r="A12" s="126" t="s">
        <v>1146</v>
      </c>
      <c r="H12" t="s">
        <v>785</v>
      </c>
      <c r="I12">
        <v>1000</v>
      </c>
    </row>
    <row r="13" spans="1:13" x14ac:dyDescent="0.25">
      <c r="A13" s="126" t="s">
        <v>1159</v>
      </c>
    </row>
    <row r="14" spans="1:13" x14ac:dyDescent="0.25">
      <c r="A14" s="126" t="s">
        <v>1165</v>
      </c>
    </row>
    <row r="15" spans="1:13" x14ac:dyDescent="0.25">
      <c r="A15" s="126" t="s">
        <v>1216</v>
      </c>
      <c r="H15" t="s">
        <v>1080</v>
      </c>
      <c r="K15">
        <f>J6</f>
        <v>9886</v>
      </c>
      <c r="L15">
        <f>SUM(K15:K24)</f>
        <v>4886</v>
      </c>
      <c r="M15" s="18">
        <f>(L15*66)</f>
        <v>322476</v>
      </c>
    </row>
    <row r="16" spans="1:13" x14ac:dyDescent="0.25">
      <c r="A16" s="126" t="s">
        <v>1217</v>
      </c>
      <c r="J16" t="s">
        <v>222</v>
      </c>
      <c r="K16">
        <v>-5000</v>
      </c>
    </row>
    <row r="17" spans="1:6" x14ac:dyDescent="0.25">
      <c r="A17" s="126" t="s">
        <v>1218</v>
      </c>
    </row>
    <row r="18" spans="1:6" x14ac:dyDescent="0.25">
      <c r="A18" s="126" t="s">
        <v>1219</v>
      </c>
    </row>
    <row r="19" spans="1:6" x14ac:dyDescent="0.25">
      <c r="A19" s="126" t="s">
        <v>1246</v>
      </c>
    </row>
    <row r="20" spans="1:6" x14ac:dyDescent="0.25">
      <c r="A20" s="126" t="s">
        <v>1247</v>
      </c>
    </row>
    <row r="21" spans="1:6" x14ac:dyDescent="0.25">
      <c r="A21" s="126" t="s">
        <v>1248</v>
      </c>
    </row>
    <row r="22" spans="1:6" x14ac:dyDescent="0.25">
      <c r="A22" s="126" t="s">
        <v>1249</v>
      </c>
    </row>
    <row r="23" spans="1:6" x14ac:dyDescent="0.25">
      <c r="A23" s="126" t="s">
        <v>1250</v>
      </c>
    </row>
    <row r="24" spans="1:6" x14ac:dyDescent="0.25">
      <c r="A24" s="6" t="s">
        <v>1209</v>
      </c>
    </row>
    <row r="25" spans="1:6" x14ac:dyDescent="0.25">
      <c r="A25" s="6" t="s">
        <v>1119</v>
      </c>
    </row>
    <row r="26" spans="1:6" x14ac:dyDescent="0.25">
      <c r="A26" s="6" t="s">
        <v>1161</v>
      </c>
    </row>
    <row r="27" spans="1:6" x14ac:dyDescent="0.25">
      <c r="A27" s="6" t="s">
        <v>1164</v>
      </c>
    </row>
    <row r="28" spans="1:6" x14ac:dyDescent="0.25">
      <c r="A28" s="6" t="s">
        <v>1118</v>
      </c>
    </row>
    <row r="29" spans="1:6" x14ac:dyDescent="0.25">
      <c r="A29" s="6" t="s">
        <v>1163</v>
      </c>
      <c r="F29" s="166"/>
    </row>
    <row r="30" spans="1:6" x14ac:dyDescent="0.25">
      <c r="A30" s="22" t="s">
        <v>1074</v>
      </c>
      <c r="F30" s="166"/>
    </row>
    <row r="31" spans="1:6" x14ac:dyDescent="0.25">
      <c r="A31" s="22" t="s">
        <v>1066</v>
      </c>
      <c r="F31" s="166"/>
    </row>
    <row r="32" spans="1:6" x14ac:dyDescent="0.25">
      <c r="A32" s="159" t="s">
        <v>1110</v>
      </c>
    </row>
    <row r="33" spans="1:6" x14ac:dyDescent="0.25">
      <c r="A33" s="6" t="s">
        <v>1162</v>
      </c>
    </row>
    <row r="34" spans="1:6" x14ac:dyDescent="0.25">
      <c r="A34" s="22" t="s">
        <v>1109</v>
      </c>
    </row>
    <row r="35" spans="1:6" x14ac:dyDescent="0.25">
      <c r="A35" s="6" t="s">
        <v>704</v>
      </c>
    </row>
    <row r="36" spans="1:6" x14ac:dyDescent="0.25">
      <c r="A36" s="6" t="s">
        <v>726</v>
      </c>
      <c r="F36" s="155"/>
    </row>
    <row r="37" spans="1:6" x14ac:dyDescent="0.25">
      <c r="A37" s="6" t="s">
        <v>727</v>
      </c>
      <c r="F37" s="156"/>
    </row>
    <row r="38" spans="1:6" x14ac:dyDescent="0.25">
      <c r="A38" s="6" t="s">
        <v>728</v>
      </c>
      <c r="F38" s="156"/>
    </row>
    <row r="39" spans="1:6" x14ac:dyDescent="0.25">
      <c r="A39" s="6" t="s">
        <v>732</v>
      </c>
      <c r="F39" s="156"/>
    </row>
    <row r="40" spans="1:6" x14ac:dyDescent="0.25">
      <c r="A40" s="6" t="s">
        <v>730</v>
      </c>
      <c r="F40" s="156"/>
    </row>
    <row r="41" spans="1:6" x14ac:dyDescent="0.25">
      <c r="A41" s="6" t="s">
        <v>731</v>
      </c>
      <c r="F41" s="156"/>
    </row>
    <row r="42" spans="1:6" x14ac:dyDescent="0.25">
      <c r="A42" s="6" t="s">
        <v>734</v>
      </c>
      <c r="F42" s="156"/>
    </row>
    <row r="43" spans="1:6" x14ac:dyDescent="0.25">
      <c r="A43" s="6" t="s">
        <v>739</v>
      </c>
      <c r="F43" s="156"/>
    </row>
    <row r="44" spans="1:6" x14ac:dyDescent="0.25">
      <c r="A44" s="6" t="s">
        <v>738</v>
      </c>
      <c r="F44" s="156"/>
    </row>
    <row r="45" spans="1:6" x14ac:dyDescent="0.25">
      <c r="A45" s="6" t="s">
        <v>1051</v>
      </c>
      <c r="F45" s="156"/>
    </row>
    <row r="46" spans="1:6" x14ac:dyDescent="0.25">
      <c r="A46" s="6" t="s">
        <v>1052</v>
      </c>
      <c r="B46" t="s">
        <v>1053</v>
      </c>
      <c r="F46" s="156"/>
    </row>
    <row r="47" spans="1:6" x14ac:dyDescent="0.25">
      <c r="A47" s="6" t="s">
        <v>1054</v>
      </c>
      <c r="F47" s="156"/>
    </row>
    <row r="48" spans="1:6" x14ac:dyDescent="0.25">
      <c r="A48" s="6" t="s">
        <v>1055</v>
      </c>
      <c r="F48" s="156"/>
    </row>
    <row r="49" spans="1:6" x14ac:dyDescent="0.25">
      <c r="A49" s="6" t="s">
        <v>1056</v>
      </c>
      <c r="F49" s="156"/>
    </row>
    <row r="50" spans="1:6" x14ac:dyDescent="0.25">
      <c r="A50" s="6" t="s">
        <v>1057</v>
      </c>
      <c r="F50" s="156"/>
    </row>
    <row r="51" spans="1:6" x14ac:dyDescent="0.25">
      <c r="A51" s="6" t="s">
        <v>1058</v>
      </c>
      <c r="F51" s="166"/>
    </row>
    <row r="52" spans="1:6" x14ac:dyDescent="0.25">
      <c r="A52" s="6" t="s">
        <v>1059</v>
      </c>
      <c r="F52" s="166"/>
    </row>
    <row r="53" spans="1:6" x14ac:dyDescent="0.25">
      <c r="A53" s="6" t="s">
        <v>1060</v>
      </c>
      <c r="F53" s="166"/>
    </row>
    <row r="54" spans="1:6" x14ac:dyDescent="0.25">
      <c r="A54" s="6" t="s">
        <v>1061</v>
      </c>
      <c r="F54" s="161"/>
    </row>
    <row r="55" spans="1:6" x14ac:dyDescent="0.25">
      <c r="A55" s="6" t="s">
        <v>1062</v>
      </c>
      <c r="F55" s="166"/>
    </row>
    <row r="56" spans="1:6" x14ac:dyDescent="0.25">
      <c r="A56" s="6" t="s">
        <v>1063</v>
      </c>
      <c r="F56" s="166"/>
    </row>
    <row r="57" spans="1:6" x14ac:dyDescent="0.25">
      <c r="A57" s="6" t="s">
        <v>1065</v>
      </c>
      <c r="F57" s="166"/>
    </row>
    <row r="58" spans="1:6" x14ac:dyDescent="0.25">
      <c r="A58" s="6" t="s">
        <v>1069</v>
      </c>
    </row>
    <row r="59" spans="1:6" x14ac:dyDescent="0.25">
      <c r="A59" s="6" t="s">
        <v>1070</v>
      </c>
    </row>
    <row r="60" spans="1:6" x14ac:dyDescent="0.25">
      <c r="A60" s="6" t="s">
        <v>1072</v>
      </c>
      <c r="F60">
        <f>SUM(E60:E62)</f>
        <v>0</v>
      </c>
    </row>
    <row r="61" spans="1:6" x14ac:dyDescent="0.25">
      <c r="A61" s="6" t="s">
        <v>1073</v>
      </c>
    </row>
    <row r="62" spans="1:6" x14ac:dyDescent="0.25">
      <c r="A62" s="6" t="s">
        <v>729</v>
      </c>
      <c r="F62" s="156"/>
    </row>
    <row r="63" spans="1:6" x14ac:dyDescent="0.25">
      <c r="A63" s="6" t="s">
        <v>1076</v>
      </c>
    </row>
    <row r="64" spans="1:6" x14ac:dyDescent="0.25">
      <c r="A64" s="6" t="s">
        <v>1091</v>
      </c>
    </row>
    <row r="65" spans="1:6" x14ac:dyDescent="0.25">
      <c r="A65" s="6" t="s">
        <v>1115</v>
      </c>
    </row>
    <row r="66" spans="1:6" x14ac:dyDescent="0.25">
      <c r="A66" s="6" t="s">
        <v>1064</v>
      </c>
      <c r="F66" s="166"/>
    </row>
    <row r="67" spans="1:6" x14ac:dyDescent="0.25">
      <c r="A67" s="6" t="s">
        <v>1116</v>
      </c>
    </row>
    <row r="68" spans="1:6" x14ac:dyDescent="0.25">
      <c r="A68" s="6" t="s">
        <v>1160</v>
      </c>
    </row>
    <row r="69" spans="1:6" x14ac:dyDescent="0.25">
      <c r="A69" s="6" t="s">
        <v>1215</v>
      </c>
    </row>
    <row r="70" spans="1:6" x14ac:dyDescent="0.25">
      <c r="A70" s="5" t="s">
        <v>1261</v>
      </c>
    </row>
    <row r="71" spans="1:6" x14ac:dyDescent="0.25">
      <c r="A71" s="5" t="s">
        <v>1262</v>
      </c>
    </row>
    <row r="72" spans="1:6" x14ac:dyDescent="0.25">
      <c r="A72" s="126" t="s">
        <v>1263</v>
      </c>
    </row>
    <row r="73" spans="1:6" x14ac:dyDescent="0.25">
      <c r="A73" s="5" t="s">
        <v>1264</v>
      </c>
    </row>
    <row r="74" spans="1:6" x14ac:dyDescent="0.25">
      <c r="A74" s="5" t="s">
        <v>1270</v>
      </c>
    </row>
    <row r="110" spans="1:1" x14ac:dyDescent="0.25">
      <c r="A110" s="157"/>
    </row>
    <row r="111" spans="1:1" x14ac:dyDescent="0.25">
      <c r="A111" s="157"/>
    </row>
    <row r="112" spans="1:1" x14ac:dyDescent="0.25">
      <c r="A112" s="157"/>
    </row>
    <row r="123" spans="1:1" x14ac:dyDescent="0.25">
      <c r="A123" s="157"/>
    </row>
    <row r="124" spans="1:1" x14ac:dyDescent="0.25">
      <c r="A124" s="157"/>
    </row>
    <row r="125" spans="1:1" x14ac:dyDescent="0.25">
      <c r="A125" s="158"/>
    </row>
    <row r="126" spans="1:1" x14ac:dyDescent="0.25">
      <c r="A126" s="158"/>
    </row>
    <row r="127" spans="1:1" x14ac:dyDescent="0.25">
      <c r="A127" s="158"/>
    </row>
    <row r="128" spans="1:1" x14ac:dyDescent="0.25">
      <c r="A128" s="158"/>
    </row>
    <row r="129" spans="1:1" x14ac:dyDescent="0.25">
      <c r="A129" s="158"/>
    </row>
    <row r="130" spans="1:1" x14ac:dyDescent="0.25">
      <c r="A130" s="158"/>
    </row>
    <row r="131" spans="1:1" x14ac:dyDescent="0.25">
      <c r="A131" s="158"/>
    </row>
    <row r="132" spans="1:1" x14ac:dyDescent="0.25">
      <c r="A132" s="158"/>
    </row>
    <row r="133" spans="1:1" x14ac:dyDescent="0.25">
      <c r="A133" s="158"/>
    </row>
    <row r="134" spans="1:1" x14ac:dyDescent="0.25">
      <c r="A134" s="158"/>
    </row>
    <row r="135" spans="1:1" x14ac:dyDescent="0.25">
      <c r="A135" s="158"/>
    </row>
    <row r="136" spans="1:1" x14ac:dyDescent="0.25">
      <c r="A136" s="158"/>
    </row>
    <row r="137" spans="1:1" x14ac:dyDescent="0.25">
      <c r="A137" s="158"/>
    </row>
    <row r="138" spans="1:1" x14ac:dyDescent="0.25">
      <c r="A138" s="158"/>
    </row>
    <row r="139" spans="1:1" x14ac:dyDescent="0.25">
      <c r="A139" s="158"/>
    </row>
    <row r="140" spans="1:1" x14ac:dyDescent="0.25">
      <c r="A140" s="158"/>
    </row>
  </sheetData>
  <autoFilter ref="A1:F51">
    <sortState ref="A2:F69">
      <sortCondition sortBy="cellColor" ref="A1:A51" dxfId="0"/>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5" zoomScale="130" zoomScaleNormal="130" workbookViewId="0">
      <selection activeCell="F16" sqref="F16"/>
    </sheetView>
  </sheetViews>
  <sheetFormatPr defaultRowHeight="15" x14ac:dyDescent="0.25"/>
  <cols>
    <col min="1" max="1" width="23" customWidth="1"/>
    <col min="3" max="3" width="17.42578125" bestFit="1" customWidth="1"/>
    <col min="4" max="4" width="6.5703125" bestFit="1" customWidth="1"/>
    <col min="5" max="5" width="12" bestFit="1" customWidth="1"/>
    <col min="6" max="6" width="18" bestFit="1" customWidth="1"/>
    <col min="9" max="9" width="11.7109375" bestFit="1" customWidth="1"/>
  </cols>
  <sheetData>
    <row r="1" spans="1:13" x14ac:dyDescent="0.25">
      <c r="F1" s="21" t="s">
        <v>200</v>
      </c>
    </row>
    <row r="2" spans="1:13" x14ac:dyDescent="0.25">
      <c r="A2" s="1" t="s">
        <v>67</v>
      </c>
      <c r="F2" s="1" t="s">
        <v>201</v>
      </c>
      <c r="G2" s="17">
        <v>118</v>
      </c>
      <c r="H2" s="1"/>
      <c r="I2" s="1" t="s">
        <v>205</v>
      </c>
      <c r="J2" s="17">
        <v>126</v>
      </c>
      <c r="K2" s="1"/>
      <c r="L2" s="1" t="s">
        <v>210</v>
      </c>
      <c r="M2" s="17">
        <v>121</v>
      </c>
    </row>
    <row r="3" spans="1:13" x14ac:dyDescent="0.25">
      <c r="A3" s="1" t="s">
        <v>15</v>
      </c>
      <c r="F3" s="1" t="s">
        <v>202</v>
      </c>
      <c r="G3" s="17">
        <v>124</v>
      </c>
      <c r="H3" s="1"/>
      <c r="I3" s="1" t="s">
        <v>206</v>
      </c>
      <c r="J3" s="17">
        <v>113</v>
      </c>
      <c r="K3" s="1"/>
      <c r="L3" s="1" t="s">
        <v>211</v>
      </c>
      <c r="M3" s="17">
        <v>137</v>
      </c>
    </row>
    <row r="4" spans="1:13" x14ac:dyDescent="0.25">
      <c r="A4" s="1"/>
      <c r="F4" s="1" t="s">
        <v>203</v>
      </c>
      <c r="G4" s="17">
        <v>159</v>
      </c>
      <c r="H4" s="1"/>
      <c r="I4" s="1" t="s">
        <v>207</v>
      </c>
      <c r="J4" s="17">
        <v>125</v>
      </c>
      <c r="K4" s="1"/>
      <c r="L4" s="1" t="s">
        <v>212</v>
      </c>
      <c r="M4" s="17">
        <v>121</v>
      </c>
    </row>
    <row r="5" spans="1:13" x14ac:dyDescent="0.25">
      <c r="A5" s="1"/>
      <c r="F5" s="1" t="s">
        <v>43</v>
      </c>
      <c r="G5" s="17">
        <v>145</v>
      </c>
      <c r="H5" s="1"/>
      <c r="I5" s="1" t="s">
        <v>208</v>
      </c>
      <c r="J5" s="17">
        <v>123</v>
      </c>
      <c r="K5" s="1"/>
      <c r="L5" s="1" t="s">
        <v>213</v>
      </c>
      <c r="M5" s="17">
        <v>131</v>
      </c>
    </row>
    <row r="6" spans="1:13" x14ac:dyDescent="0.25">
      <c r="A6" s="1"/>
      <c r="F6" s="1" t="s">
        <v>204</v>
      </c>
      <c r="G6" s="17">
        <v>131</v>
      </c>
      <c r="H6" s="1"/>
      <c r="I6" s="1" t="s">
        <v>209</v>
      </c>
      <c r="J6" s="17">
        <v>129</v>
      </c>
      <c r="K6" s="1"/>
      <c r="L6" s="1" t="s">
        <v>214</v>
      </c>
      <c r="M6" s="17">
        <v>122</v>
      </c>
    </row>
    <row r="8" spans="1:13" x14ac:dyDescent="0.25">
      <c r="A8" s="5" t="s">
        <v>70</v>
      </c>
      <c r="B8" s="5"/>
      <c r="C8" s="4" t="s">
        <v>10</v>
      </c>
      <c r="D8" s="4" t="s">
        <v>11</v>
      </c>
      <c r="E8" s="4" t="s">
        <v>68</v>
      </c>
    </row>
    <row r="9" spans="1:13" x14ac:dyDescent="0.25">
      <c r="A9" s="5"/>
      <c r="B9" s="5">
        <v>1</v>
      </c>
      <c r="C9" s="5" t="s">
        <v>20</v>
      </c>
      <c r="D9" s="6">
        <v>1692</v>
      </c>
      <c r="E9" s="5">
        <f t="shared" ref="E9:E40" si="0">(D9/7)*30</f>
        <v>7251.4285714285716</v>
      </c>
    </row>
    <row r="10" spans="1:13" x14ac:dyDescent="0.25">
      <c r="A10" s="5"/>
      <c r="B10" s="5">
        <v>2</v>
      </c>
      <c r="C10" s="5" t="s">
        <v>39</v>
      </c>
      <c r="D10" s="6">
        <v>1692</v>
      </c>
      <c r="E10" s="5">
        <f t="shared" si="0"/>
        <v>7251.4285714285716</v>
      </c>
    </row>
    <row r="11" spans="1:13" x14ac:dyDescent="0.25">
      <c r="A11" s="5">
        <v>3</v>
      </c>
      <c r="B11" s="5">
        <v>3</v>
      </c>
      <c r="C11" s="5" t="s">
        <v>40</v>
      </c>
      <c r="D11" s="6">
        <v>1692</v>
      </c>
      <c r="E11" s="5">
        <f t="shared" si="0"/>
        <v>7251.4285714285716</v>
      </c>
    </row>
    <row r="12" spans="1:13" x14ac:dyDescent="0.25">
      <c r="A12" s="5">
        <v>10</v>
      </c>
      <c r="B12" s="5">
        <v>4</v>
      </c>
      <c r="C12" s="4" t="s">
        <v>69</v>
      </c>
      <c r="D12" s="6">
        <v>1692</v>
      </c>
      <c r="E12" s="5">
        <f t="shared" si="0"/>
        <v>7251.4285714285716</v>
      </c>
    </row>
    <row r="13" spans="1:13" x14ac:dyDescent="0.25">
      <c r="A13" s="5"/>
      <c r="B13" s="5">
        <v>5</v>
      </c>
      <c r="C13" s="5" t="s">
        <v>52</v>
      </c>
      <c r="D13" s="6">
        <v>1692</v>
      </c>
      <c r="E13" s="5">
        <f t="shared" si="0"/>
        <v>7251.4285714285716</v>
      </c>
    </row>
    <row r="14" spans="1:13" x14ac:dyDescent="0.25">
      <c r="A14" s="5"/>
      <c r="B14" s="5">
        <v>6</v>
      </c>
      <c r="C14" s="5" t="s">
        <v>53</v>
      </c>
      <c r="D14" s="6">
        <v>1692</v>
      </c>
      <c r="E14" s="5">
        <f t="shared" si="0"/>
        <v>7251.4285714285716</v>
      </c>
    </row>
    <row r="15" spans="1:13" x14ac:dyDescent="0.25">
      <c r="A15" s="5">
        <v>6</v>
      </c>
      <c r="B15" s="5">
        <v>7</v>
      </c>
      <c r="C15" s="5" t="s">
        <v>57</v>
      </c>
      <c r="D15" s="6">
        <v>1692</v>
      </c>
      <c r="E15" s="5">
        <f t="shared" si="0"/>
        <v>7251.4285714285716</v>
      </c>
    </row>
    <row r="16" spans="1:13" x14ac:dyDescent="0.25">
      <c r="A16" s="5"/>
      <c r="B16" s="5">
        <v>8</v>
      </c>
      <c r="C16" s="5" t="s">
        <v>60</v>
      </c>
      <c r="D16" s="6">
        <v>1692</v>
      </c>
      <c r="E16" s="5">
        <f t="shared" si="0"/>
        <v>7251.4285714285716</v>
      </c>
    </row>
    <row r="17" spans="1:5" x14ac:dyDescent="0.25">
      <c r="A17" s="5"/>
      <c r="B17" s="5">
        <v>9</v>
      </c>
      <c r="C17" s="5" t="s">
        <v>14</v>
      </c>
      <c r="D17" s="7">
        <v>1679</v>
      </c>
      <c r="E17" s="5">
        <f t="shared" si="0"/>
        <v>7195.7142857142862</v>
      </c>
    </row>
    <row r="18" spans="1:5" x14ac:dyDescent="0.25">
      <c r="A18" s="5">
        <v>5</v>
      </c>
      <c r="B18" s="5">
        <v>10</v>
      </c>
      <c r="C18" s="5" t="s">
        <v>45</v>
      </c>
      <c r="D18" s="8">
        <v>1650</v>
      </c>
      <c r="E18" s="5">
        <f t="shared" si="0"/>
        <v>7071.4285714285716</v>
      </c>
    </row>
    <row r="19" spans="1:5" x14ac:dyDescent="0.25">
      <c r="A19" s="5"/>
      <c r="B19" s="5">
        <v>11</v>
      </c>
      <c r="C19" s="5" t="s">
        <v>12</v>
      </c>
      <c r="D19" s="9">
        <v>1632</v>
      </c>
      <c r="E19" s="5">
        <f t="shared" si="0"/>
        <v>6994.2857142857138</v>
      </c>
    </row>
    <row r="20" spans="1:5" x14ac:dyDescent="0.25">
      <c r="A20" s="5"/>
      <c r="B20" s="5">
        <v>12</v>
      </c>
      <c r="C20" s="5" t="s">
        <v>25</v>
      </c>
      <c r="D20" s="10">
        <v>1619</v>
      </c>
      <c r="E20" s="5">
        <f t="shared" si="0"/>
        <v>6938.5714285714284</v>
      </c>
    </row>
    <row r="21" spans="1:5" x14ac:dyDescent="0.25">
      <c r="A21" s="5"/>
      <c r="B21" s="5">
        <v>13</v>
      </c>
      <c r="C21" s="5" t="s">
        <v>24</v>
      </c>
      <c r="D21" s="5">
        <v>1609</v>
      </c>
      <c r="E21" s="5">
        <f t="shared" si="0"/>
        <v>6895.7142857142862</v>
      </c>
    </row>
    <row r="22" spans="1:5" x14ac:dyDescent="0.25">
      <c r="A22" s="5"/>
      <c r="B22" s="5">
        <v>14</v>
      </c>
      <c r="C22" s="5" t="s">
        <v>13</v>
      </c>
      <c r="D22" s="5">
        <v>1607</v>
      </c>
      <c r="E22" s="5">
        <f t="shared" si="0"/>
        <v>6887.1428571428578</v>
      </c>
    </row>
    <row r="23" spans="1:5" x14ac:dyDescent="0.25">
      <c r="A23" s="5"/>
      <c r="B23" s="5">
        <v>15</v>
      </c>
      <c r="C23" s="5" t="s">
        <v>46</v>
      </c>
      <c r="D23" s="5">
        <v>1607</v>
      </c>
      <c r="E23" s="5">
        <f t="shared" si="0"/>
        <v>6887.1428571428578</v>
      </c>
    </row>
    <row r="24" spans="1:5" x14ac:dyDescent="0.25">
      <c r="A24" s="5"/>
      <c r="B24" s="5">
        <v>16</v>
      </c>
      <c r="C24" s="5" t="s">
        <v>49</v>
      </c>
      <c r="D24" s="5">
        <v>1599</v>
      </c>
      <c r="E24" s="5">
        <f t="shared" si="0"/>
        <v>6852.8571428571422</v>
      </c>
    </row>
    <row r="25" spans="1:5" x14ac:dyDescent="0.25">
      <c r="A25" s="5"/>
      <c r="B25" s="5">
        <v>17</v>
      </c>
      <c r="C25" s="5" t="s">
        <v>50</v>
      </c>
      <c r="D25" s="5">
        <v>1599</v>
      </c>
      <c r="E25" s="5">
        <f t="shared" si="0"/>
        <v>6852.8571428571422</v>
      </c>
    </row>
    <row r="26" spans="1:5" x14ac:dyDescent="0.25">
      <c r="A26" s="5"/>
      <c r="B26" s="5">
        <v>18</v>
      </c>
      <c r="C26" s="5" t="s">
        <v>27</v>
      </c>
      <c r="D26" s="5">
        <v>1598</v>
      </c>
      <c r="E26" s="5">
        <f t="shared" si="0"/>
        <v>6848.5714285714284</v>
      </c>
    </row>
    <row r="27" spans="1:5" x14ac:dyDescent="0.25">
      <c r="A27" s="5"/>
      <c r="B27" s="5">
        <v>19</v>
      </c>
      <c r="C27" s="5" t="s">
        <v>33</v>
      </c>
      <c r="D27" s="5">
        <v>1598</v>
      </c>
      <c r="E27" s="5">
        <f t="shared" si="0"/>
        <v>6848.5714285714284</v>
      </c>
    </row>
    <row r="28" spans="1:5" x14ac:dyDescent="0.25">
      <c r="A28" s="5"/>
      <c r="B28" s="5">
        <v>20</v>
      </c>
      <c r="C28" s="5" t="s">
        <v>29</v>
      </c>
      <c r="D28" s="5">
        <v>1597</v>
      </c>
      <c r="E28" s="5">
        <f t="shared" si="0"/>
        <v>6844.2857142857138</v>
      </c>
    </row>
    <row r="29" spans="1:5" x14ac:dyDescent="0.25">
      <c r="A29" s="5"/>
      <c r="B29" s="5">
        <v>21</v>
      </c>
      <c r="C29" s="5" t="s">
        <v>42</v>
      </c>
      <c r="D29" s="5">
        <v>1591</v>
      </c>
      <c r="E29" s="5">
        <f t="shared" si="0"/>
        <v>6818.5714285714284</v>
      </c>
    </row>
    <row r="30" spans="1:5" x14ac:dyDescent="0.25">
      <c r="A30" s="5"/>
      <c r="B30" s="5">
        <v>22</v>
      </c>
      <c r="C30" s="5" t="s">
        <v>36</v>
      </c>
      <c r="D30" s="5">
        <v>1590</v>
      </c>
      <c r="E30" s="5">
        <f t="shared" si="0"/>
        <v>6814.2857142857138</v>
      </c>
    </row>
    <row r="31" spans="1:5" x14ac:dyDescent="0.25">
      <c r="A31" s="5"/>
      <c r="B31" s="5">
        <v>23</v>
      </c>
      <c r="C31" s="5" t="s">
        <v>31</v>
      </c>
      <c r="D31" s="5">
        <v>1589</v>
      </c>
      <c r="E31" s="5">
        <f t="shared" si="0"/>
        <v>6810</v>
      </c>
    </row>
    <row r="32" spans="1:5" x14ac:dyDescent="0.25">
      <c r="A32" s="5"/>
      <c r="B32" s="5">
        <v>24</v>
      </c>
      <c r="C32" s="5" t="s">
        <v>35</v>
      </c>
      <c r="D32" s="5">
        <v>1587</v>
      </c>
      <c r="E32" s="5">
        <f t="shared" si="0"/>
        <v>6801.4285714285716</v>
      </c>
    </row>
    <row r="33" spans="1:5" x14ac:dyDescent="0.25">
      <c r="A33" s="5"/>
      <c r="B33" s="5">
        <v>25</v>
      </c>
      <c r="C33" s="5" t="s">
        <v>47</v>
      </c>
      <c r="D33" s="5">
        <v>1586</v>
      </c>
      <c r="E33" s="5">
        <f t="shared" si="0"/>
        <v>6797.1428571428578</v>
      </c>
    </row>
    <row r="34" spans="1:5" x14ac:dyDescent="0.25">
      <c r="A34" s="5"/>
      <c r="B34" s="5">
        <v>26</v>
      </c>
      <c r="C34" s="5" t="s">
        <v>54</v>
      </c>
      <c r="D34" s="5">
        <v>1582</v>
      </c>
      <c r="E34" s="5">
        <f t="shared" si="0"/>
        <v>6780</v>
      </c>
    </row>
    <row r="35" spans="1:5" x14ac:dyDescent="0.25">
      <c r="A35" s="5">
        <v>7</v>
      </c>
      <c r="B35" s="5">
        <v>27</v>
      </c>
      <c r="C35" s="5" t="s">
        <v>32</v>
      </c>
      <c r="D35" s="5">
        <v>1578</v>
      </c>
      <c r="E35" s="5">
        <f t="shared" si="0"/>
        <v>6762.8571428571422</v>
      </c>
    </row>
    <row r="36" spans="1:5" x14ac:dyDescent="0.25">
      <c r="A36" s="5"/>
      <c r="B36" s="5">
        <v>28</v>
      </c>
      <c r="C36" s="5" t="s">
        <v>18</v>
      </c>
      <c r="D36" s="5">
        <v>1574</v>
      </c>
      <c r="E36" s="5">
        <f t="shared" si="0"/>
        <v>6745.7142857142862</v>
      </c>
    </row>
    <row r="37" spans="1:5" x14ac:dyDescent="0.25">
      <c r="A37" s="5"/>
      <c r="B37" s="5">
        <v>29</v>
      </c>
      <c r="C37" s="5" t="s">
        <v>44</v>
      </c>
      <c r="D37" s="5">
        <v>1573</v>
      </c>
      <c r="E37" s="5">
        <f t="shared" si="0"/>
        <v>6741.4285714285716</v>
      </c>
    </row>
    <row r="38" spans="1:5" x14ac:dyDescent="0.25">
      <c r="A38" s="5"/>
      <c r="B38" s="5">
        <v>30</v>
      </c>
      <c r="C38" s="5" t="s">
        <v>56</v>
      </c>
      <c r="D38" s="5">
        <v>1573</v>
      </c>
      <c r="E38" s="5">
        <f t="shared" si="0"/>
        <v>6741.4285714285716</v>
      </c>
    </row>
    <row r="39" spans="1:5" x14ac:dyDescent="0.25">
      <c r="A39" s="5"/>
      <c r="B39" s="5">
        <v>31</v>
      </c>
      <c r="C39" s="5" t="s">
        <v>19</v>
      </c>
      <c r="D39" s="5">
        <v>1570</v>
      </c>
      <c r="E39" s="5">
        <f t="shared" si="0"/>
        <v>6728.5714285714284</v>
      </c>
    </row>
    <row r="40" spans="1:5" x14ac:dyDescent="0.25">
      <c r="A40" s="5"/>
      <c r="B40" s="5">
        <v>32</v>
      </c>
      <c r="C40" s="5" t="s">
        <v>58</v>
      </c>
      <c r="D40" s="5">
        <v>1570</v>
      </c>
      <c r="E40" s="5">
        <f t="shared" si="0"/>
        <v>6728.5714285714284</v>
      </c>
    </row>
    <row r="41" spans="1:5" x14ac:dyDescent="0.25">
      <c r="A41" s="5"/>
      <c r="B41" s="5">
        <v>33</v>
      </c>
      <c r="C41" s="5" t="s">
        <v>28</v>
      </c>
      <c r="D41" s="5">
        <v>1569</v>
      </c>
      <c r="E41" s="5">
        <f t="shared" ref="E41:E63" si="1">(D41/7)*30</f>
        <v>6724.2857142857138</v>
      </c>
    </row>
    <row r="42" spans="1:5" x14ac:dyDescent="0.25">
      <c r="A42" s="5"/>
      <c r="B42" s="5">
        <v>34</v>
      </c>
      <c r="C42" s="5" t="s">
        <v>37</v>
      </c>
      <c r="D42" s="5">
        <v>1567</v>
      </c>
      <c r="E42" s="5">
        <f t="shared" si="1"/>
        <v>6715.7142857142862</v>
      </c>
    </row>
    <row r="43" spans="1:5" x14ac:dyDescent="0.25">
      <c r="A43" s="5"/>
      <c r="B43" s="5">
        <v>35</v>
      </c>
      <c r="C43" s="5" t="s">
        <v>21</v>
      </c>
      <c r="D43" s="5">
        <v>1566</v>
      </c>
      <c r="E43" s="5">
        <f t="shared" si="1"/>
        <v>6711.4285714285716</v>
      </c>
    </row>
    <row r="44" spans="1:5" x14ac:dyDescent="0.25">
      <c r="A44" s="5"/>
      <c r="B44" s="5">
        <v>36</v>
      </c>
      <c r="C44" s="5" t="s">
        <v>41</v>
      </c>
      <c r="D44" s="5">
        <v>1565</v>
      </c>
      <c r="E44" s="5">
        <f t="shared" si="1"/>
        <v>6707.1428571428578</v>
      </c>
    </row>
    <row r="45" spans="1:5" x14ac:dyDescent="0.25">
      <c r="A45" s="5">
        <v>2</v>
      </c>
      <c r="B45" s="5">
        <v>37</v>
      </c>
      <c r="C45" s="5" t="s">
        <v>55</v>
      </c>
      <c r="D45" s="5">
        <v>1564</v>
      </c>
      <c r="E45" s="5">
        <f t="shared" si="1"/>
        <v>6702.8571428571422</v>
      </c>
    </row>
    <row r="46" spans="1:5" x14ac:dyDescent="0.25">
      <c r="A46" s="5"/>
      <c r="B46" s="5">
        <v>38</v>
      </c>
      <c r="C46" s="5" t="s">
        <v>62</v>
      </c>
      <c r="D46" s="5">
        <v>1563</v>
      </c>
      <c r="E46" s="5">
        <f t="shared" si="1"/>
        <v>6698.5714285714284</v>
      </c>
    </row>
    <row r="47" spans="1:5" x14ac:dyDescent="0.25">
      <c r="A47" s="5"/>
      <c r="B47" s="5">
        <v>39</v>
      </c>
      <c r="C47" s="5" t="s">
        <v>64</v>
      </c>
      <c r="D47" s="5">
        <v>1563</v>
      </c>
      <c r="E47" s="5">
        <f t="shared" si="1"/>
        <v>6698.5714285714284</v>
      </c>
    </row>
    <row r="48" spans="1:5" x14ac:dyDescent="0.25">
      <c r="A48" s="5"/>
      <c r="B48" s="5">
        <v>40</v>
      </c>
      <c r="C48" s="5" t="s">
        <v>65</v>
      </c>
      <c r="D48" s="5">
        <v>1563</v>
      </c>
      <c r="E48" s="5">
        <f t="shared" si="1"/>
        <v>6698.5714285714284</v>
      </c>
    </row>
    <row r="49" spans="1:5" x14ac:dyDescent="0.25">
      <c r="A49" s="5"/>
      <c r="B49" s="5">
        <v>41</v>
      </c>
      <c r="C49" s="5" t="s">
        <v>66</v>
      </c>
      <c r="D49" s="5">
        <v>1563</v>
      </c>
      <c r="E49" s="5">
        <f t="shared" si="1"/>
        <v>6698.5714285714284</v>
      </c>
    </row>
    <row r="50" spans="1:5" x14ac:dyDescent="0.25">
      <c r="A50" s="5"/>
      <c r="B50" s="5">
        <v>42</v>
      </c>
      <c r="C50" s="5" t="s">
        <v>16</v>
      </c>
      <c r="D50" s="5">
        <v>1561</v>
      </c>
      <c r="E50" s="5">
        <f t="shared" si="1"/>
        <v>6690</v>
      </c>
    </row>
    <row r="51" spans="1:5" x14ac:dyDescent="0.25">
      <c r="A51" s="5"/>
      <c r="B51" s="5">
        <v>43</v>
      </c>
      <c r="C51" s="5" t="s">
        <v>43</v>
      </c>
      <c r="D51" s="5">
        <v>1561</v>
      </c>
      <c r="E51" s="5">
        <f t="shared" si="1"/>
        <v>6690</v>
      </c>
    </row>
    <row r="52" spans="1:5" x14ac:dyDescent="0.25">
      <c r="A52" s="5">
        <v>8</v>
      </c>
      <c r="B52" s="5">
        <v>44</v>
      </c>
      <c r="C52" s="5" t="s">
        <v>38</v>
      </c>
      <c r="D52" s="5">
        <v>1559</v>
      </c>
      <c r="E52" s="5">
        <f t="shared" si="1"/>
        <v>6681.4285714285716</v>
      </c>
    </row>
    <row r="53" spans="1:5" x14ac:dyDescent="0.25">
      <c r="A53" s="5"/>
      <c r="B53" s="5">
        <v>45</v>
      </c>
      <c r="C53" s="5" t="s">
        <v>59</v>
      </c>
      <c r="D53" s="5">
        <v>1559</v>
      </c>
      <c r="E53" s="5">
        <f t="shared" si="1"/>
        <v>6681.4285714285716</v>
      </c>
    </row>
    <row r="54" spans="1:5" x14ac:dyDescent="0.25">
      <c r="A54" s="5"/>
      <c r="B54" s="5">
        <v>46</v>
      </c>
      <c r="C54" s="5" t="s">
        <v>26</v>
      </c>
      <c r="D54" s="5">
        <v>1558</v>
      </c>
      <c r="E54" s="5">
        <f t="shared" si="1"/>
        <v>6677.1428571428578</v>
      </c>
    </row>
    <row r="55" spans="1:5" x14ac:dyDescent="0.25">
      <c r="A55" s="5">
        <v>4</v>
      </c>
      <c r="B55" s="5">
        <v>47</v>
      </c>
      <c r="C55" s="5" t="s">
        <v>34</v>
      </c>
      <c r="D55" s="5">
        <v>1543</v>
      </c>
      <c r="E55" s="5">
        <f t="shared" si="1"/>
        <v>6612.8571428571422</v>
      </c>
    </row>
    <row r="56" spans="1:5" x14ac:dyDescent="0.25">
      <c r="A56" s="5"/>
      <c r="B56" s="5">
        <v>48</v>
      </c>
      <c r="C56" s="5" t="s">
        <v>51</v>
      </c>
      <c r="D56" s="5">
        <v>1543</v>
      </c>
      <c r="E56" s="5">
        <f t="shared" si="1"/>
        <v>6612.8571428571422</v>
      </c>
    </row>
    <row r="57" spans="1:5" x14ac:dyDescent="0.25">
      <c r="A57" s="5"/>
      <c r="B57" s="5">
        <v>49</v>
      </c>
      <c r="C57" s="5" t="s">
        <v>23</v>
      </c>
      <c r="D57" s="5">
        <v>1536</v>
      </c>
      <c r="E57" s="5">
        <f t="shared" si="1"/>
        <v>6582.8571428571422</v>
      </c>
    </row>
    <row r="58" spans="1:5" x14ac:dyDescent="0.25">
      <c r="A58" s="5">
        <v>9</v>
      </c>
      <c r="B58" s="5">
        <v>50</v>
      </c>
      <c r="C58" s="5" t="s">
        <v>30</v>
      </c>
      <c r="D58" s="5">
        <v>1534</v>
      </c>
      <c r="E58" s="5">
        <f t="shared" si="1"/>
        <v>6574.2857142857138</v>
      </c>
    </row>
    <row r="59" spans="1:5" x14ac:dyDescent="0.25">
      <c r="A59" s="5"/>
      <c r="B59" s="5">
        <v>51</v>
      </c>
      <c r="C59" s="5" t="s">
        <v>17</v>
      </c>
      <c r="D59" s="5">
        <v>1526</v>
      </c>
      <c r="E59" s="5">
        <f t="shared" si="1"/>
        <v>6540</v>
      </c>
    </row>
    <row r="60" spans="1:5" x14ac:dyDescent="0.25">
      <c r="A60" s="5">
        <v>1</v>
      </c>
      <c r="B60" s="5">
        <v>52</v>
      </c>
      <c r="C60" s="5" t="s">
        <v>22</v>
      </c>
      <c r="D60" s="5">
        <v>1524</v>
      </c>
      <c r="E60" s="5">
        <f t="shared" si="1"/>
        <v>6531.4285714285716</v>
      </c>
    </row>
    <row r="61" spans="1:5" x14ac:dyDescent="0.25">
      <c r="A61" s="5"/>
      <c r="B61" s="5">
        <v>53</v>
      </c>
      <c r="C61" s="5" t="s">
        <v>61</v>
      </c>
      <c r="D61" s="5">
        <v>1519</v>
      </c>
      <c r="E61" s="5">
        <f t="shared" si="1"/>
        <v>6510</v>
      </c>
    </row>
    <row r="62" spans="1:5" x14ac:dyDescent="0.25">
      <c r="A62" s="5"/>
      <c r="B62" s="5">
        <v>54</v>
      </c>
      <c r="C62" s="5" t="s">
        <v>48</v>
      </c>
      <c r="D62" s="5">
        <v>1511</v>
      </c>
      <c r="E62" s="5">
        <f t="shared" si="1"/>
        <v>6475.7142857142862</v>
      </c>
    </row>
    <row r="63" spans="1:5" x14ac:dyDescent="0.25">
      <c r="A63" s="5"/>
      <c r="B63" s="5">
        <v>55</v>
      </c>
      <c r="C63" s="5" t="s">
        <v>63</v>
      </c>
      <c r="D63" s="5">
        <v>1468</v>
      </c>
      <c r="E63" s="5">
        <f t="shared" si="1"/>
        <v>6291.4285714285716</v>
      </c>
    </row>
  </sheetData>
  <autoFilter ref="A8:E8">
    <sortState ref="A6:E60">
      <sortCondition descending="1" ref="E5"/>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4" workbookViewId="0">
      <selection activeCell="A21" sqref="A21"/>
    </sheetView>
  </sheetViews>
  <sheetFormatPr defaultRowHeight="15" x14ac:dyDescent="0.25"/>
  <cols>
    <col min="1" max="1" width="98.140625" bestFit="1" customWidth="1"/>
  </cols>
  <sheetData>
    <row r="1" spans="1:6" x14ac:dyDescent="0.25">
      <c r="A1" t="s">
        <v>1781</v>
      </c>
      <c r="F1" t="s">
        <v>1803</v>
      </c>
    </row>
    <row r="2" spans="1:6" x14ac:dyDescent="0.25">
      <c r="A2" t="s">
        <v>1782</v>
      </c>
    </row>
    <row r="3" spans="1:6" ht="150" x14ac:dyDescent="0.25">
      <c r="A3" s="62" t="s">
        <v>1783</v>
      </c>
    </row>
    <row r="5" spans="1:6" ht="135" x14ac:dyDescent="0.25">
      <c r="A5" s="62" t="s">
        <v>1784</v>
      </c>
    </row>
    <row r="7" spans="1:6" x14ac:dyDescent="0.25">
      <c r="A7" s="238" t="s">
        <v>1785</v>
      </c>
    </row>
    <row r="8" spans="1:6" x14ac:dyDescent="0.25">
      <c r="A8" s="240" t="s">
        <v>1786</v>
      </c>
    </row>
    <row r="9" spans="1:6" x14ac:dyDescent="0.25">
      <c r="A9" s="240" t="s">
        <v>1787</v>
      </c>
    </row>
    <row r="10" spans="1:6" x14ac:dyDescent="0.25">
      <c r="A10" s="240" t="s">
        <v>1788</v>
      </c>
    </row>
    <row r="11" spans="1:6" x14ac:dyDescent="0.25">
      <c r="A11" s="240" t="s">
        <v>1789</v>
      </c>
    </row>
    <row r="13" spans="1:6" ht="90" x14ac:dyDescent="0.25">
      <c r="A13" s="62" t="s">
        <v>1790</v>
      </c>
    </row>
    <row r="14" spans="1:6" x14ac:dyDescent="0.25">
      <c r="A14" s="239" t="s">
        <v>1791</v>
      </c>
    </row>
    <row r="15" spans="1:6" x14ac:dyDescent="0.25">
      <c r="A15" t="s">
        <v>1792</v>
      </c>
    </row>
    <row r="17" spans="1:1" ht="75" x14ac:dyDescent="0.25">
      <c r="A17" s="62" t="s">
        <v>1802</v>
      </c>
    </row>
    <row r="19" spans="1:1" x14ac:dyDescent="0.25">
      <c r="A19" s="240" t="s">
        <v>1793</v>
      </c>
    </row>
    <row r="20" spans="1:1" x14ac:dyDescent="0.25">
      <c r="A20" s="240" t="s">
        <v>1794</v>
      </c>
    </row>
    <row r="21" spans="1:1" x14ac:dyDescent="0.25">
      <c r="A21" s="240" t="s">
        <v>1795</v>
      </c>
    </row>
    <row r="22" spans="1:1" x14ac:dyDescent="0.25">
      <c r="A22" s="240" t="s">
        <v>1796</v>
      </c>
    </row>
    <row r="23" spans="1:1" x14ac:dyDescent="0.25">
      <c r="A23" s="241" t="s">
        <v>1797</v>
      </c>
    </row>
    <row r="26" spans="1:1" x14ac:dyDescent="0.25">
      <c r="A26" s="242" t="s">
        <v>1798</v>
      </c>
    </row>
    <row r="28" spans="1:1" ht="30" x14ac:dyDescent="0.25">
      <c r="A28" s="62" t="s">
        <v>1799</v>
      </c>
    </row>
    <row r="30" spans="1:1" x14ac:dyDescent="0.25">
      <c r="A30" s="241" t="s">
        <v>1800</v>
      </c>
    </row>
    <row r="31" spans="1:1" x14ac:dyDescent="0.25">
      <c r="A31" s="241" t="s">
        <v>1801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2" workbookViewId="0">
      <selection activeCell="E6" sqref="E6"/>
    </sheetView>
  </sheetViews>
  <sheetFormatPr defaultRowHeight="15" x14ac:dyDescent="0.25"/>
  <cols>
    <col min="1" max="1" width="15.140625" bestFit="1" customWidth="1"/>
    <col min="8" max="8" width="18" bestFit="1" customWidth="1"/>
    <col min="9" max="9" width="12.140625" bestFit="1" customWidth="1"/>
  </cols>
  <sheetData>
    <row r="1" spans="1:12" x14ac:dyDescent="0.25">
      <c r="A1" s="1" t="s">
        <v>72</v>
      </c>
      <c r="B1" s="11" t="s">
        <v>73</v>
      </c>
    </row>
    <row r="2" spans="1:12" x14ac:dyDescent="0.25">
      <c r="A2" t="s">
        <v>71</v>
      </c>
      <c r="B2" s="12">
        <v>143430</v>
      </c>
      <c r="E2" t="s">
        <v>576</v>
      </c>
      <c r="H2" t="s">
        <v>240</v>
      </c>
      <c r="I2" t="s">
        <v>264</v>
      </c>
      <c r="L2" t="s">
        <v>266</v>
      </c>
    </row>
    <row r="3" spans="1:12" x14ac:dyDescent="0.25">
      <c r="A3" t="s">
        <v>74</v>
      </c>
      <c r="B3" s="12">
        <v>131398</v>
      </c>
      <c r="E3" t="s">
        <v>577</v>
      </c>
      <c r="H3" t="s">
        <v>241</v>
      </c>
      <c r="I3" t="s">
        <v>265</v>
      </c>
      <c r="L3" t="s">
        <v>267</v>
      </c>
    </row>
    <row r="4" spans="1:12" x14ac:dyDescent="0.25">
      <c r="A4" t="s">
        <v>75</v>
      </c>
      <c r="B4" s="12">
        <v>109739</v>
      </c>
      <c r="E4" t="s">
        <v>578</v>
      </c>
      <c r="H4" t="s">
        <v>242</v>
      </c>
      <c r="L4" t="s">
        <v>268</v>
      </c>
    </row>
    <row r="5" spans="1:12" x14ac:dyDescent="0.25">
      <c r="A5" t="s">
        <v>76</v>
      </c>
      <c r="B5" s="12">
        <v>106421</v>
      </c>
      <c r="E5" t="s">
        <v>579</v>
      </c>
      <c r="H5" t="s">
        <v>243</v>
      </c>
      <c r="L5" t="s">
        <v>289</v>
      </c>
    </row>
    <row r="6" spans="1:12" x14ac:dyDescent="0.25">
      <c r="A6" t="s">
        <v>77</v>
      </c>
      <c r="B6" s="12">
        <v>102112</v>
      </c>
      <c r="E6" t="s">
        <v>222</v>
      </c>
      <c r="H6" t="s">
        <v>244</v>
      </c>
      <c r="L6" t="s">
        <v>575</v>
      </c>
    </row>
    <row r="7" spans="1:12" x14ac:dyDescent="0.25">
      <c r="A7" t="s">
        <v>78</v>
      </c>
      <c r="B7" s="12">
        <v>90693</v>
      </c>
      <c r="E7" t="s">
        <v>580</v>
      </c>
      <c r="H7" t="s">
        <v>245</v>
      </c>
    </row>
    <row r="8" spans="1:12" x14ac:dyDescent="0.25">
      <c r="A8" t="s">
        <v>79</v>
      </c>
      <c r="B8" s="12">
        <v>89350</v>
      </c>
      <c r="H8" t="s">
        <v>246</v>
      </c>
    </row>
    <row r="9" spans="1:12" x14ac:dyDescent="0.25">
      <c r="A9" t="s">
        <v>80</v>
      </c>
      <c r="B9" s="12">
        <v>92260</v>
      </c>
      <c r="H9" t="s">
        <v>247</v>
      </c>
    </row>
    <row r="10" spans="1:12" x14ac:dyDescent="0.25">
      <c r="A10" t="s">
        <v>198</v>
      </c>
      <c r="H10" t="s">
        <v>248</v>
      </c>
    </row>
    <row r="11" spans="1:12" x14ac:dyDescent="0.25">
      <c r="A11" t="s">
        <v>199</v>
      </c>
      <c r="H11" t="s">
        <v>263</v>
      </c>
    </row>
    <row r="12" spans="1:12" x14ac:dyDescent="0.25">
      <c r="A12" t="s">
        <v>1096</v>
      </c>
    </row>
    <row r="15" spans="1:12" x14ac:dyDescent="0.25">
      <c r="A15" t="s">
        <v>1098</v>
      </c>
    </row>
    <row r="16" spans="1:12" x14ac:dyDescent="0.25">
      <c r="A16" s="3" t="s">
        <v>633</v>
      </c>
    </row>
    <row r="17" spans="1:1" x14ac:dyDescent="0.25">
      <c r="A17" s="3" t="s">
        <v>1099</v>
      </c>
    </row>
    <row r="18" spans="1:1" x14ac:dyDescent="0.25">
      <c r="A18" s="3" t="s">
        <v>1100</v>
      </c>
    </row>
    <row r="19" spans="1:1" x14ac:dyDescent="0.25">
      <c r="A19" s="3" t="s">
        <v>1101</v>
      </c>
    </row>
    <row r="20" spans="1:1" x14ac:dyDescent="0.25">
      <c r="A20" s="3" t="s">
        <v>1102</v>
      </c>
    </row>
    <row r="21" spans="1:1" x14ac:dyDescent="0.25">
      <c r="A21" s="3" t="s">
        <v>1103</v>
      </c>
    </row>
    <row r="22" spans="1:1" x14ac:dyDescent="0.25">
      <c r="A22" s="3" t="s">
        <v>1104</v>
      </c>
    </row>
    <row r="23" spans="1:1" x14ac:dyDescent="0.25">
      <c r="A23" s="3" t="s">
        <v>1105</v>
      </c>
    </row>
    <row r="24" spans="1:1" x14ac:dyDescent="0.25">
      <c r="A24" t="s">
        <v>1106</v>
      </c>
    </row>
    <row r="25" spans="1:1" x14ac:dyDescent="0.25">
      <c r="A25" s="3" t="s">
        <v>1107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5:P6"/>
  <sheetViews>
    <sheetView workbookViewId="0">
      <selection activeCell="O7" sqref="O7"/>
    </sheetView>
  </sheetViews>
  <sheetFormatPr defaultRowHeight="15" x14ac:dyDescent="0.25"/>
  <sheetData>
    <row r="5" spans="15:16" x14ac:dyDescent="0.25">
      <c r="O5" t="s">
        <v>1081</v>
      </c>
      <c r="P5">
        <v>250</v>
      </c>
    </row>
    <row r="6" spans="15:16" x14ac:dyDescent="0.25">
      <c r="O6" t="s">
        <v>1082</v>
      </c>
      <c r="P6">
        <v>20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45" bestFit="1" customWidth="1"/>
  </cols>
  <sheetData>
    <row r="1" spans="1:2" x14ac:dyDescent="0.25">
      <c r="A1" t="s">
        <v>770</v>
      </c>
      <c r="B1" t="s">
        <v>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2"/>
  <sheetViews>
    <sheetView workbookViewId="0">
      <selection activeCell="C13" sqref="C13"/>
    </sheetView>
  </sheetViews>
  <sheetFormatPr defaultRowHeight="15" x14ac:dyDescent="0.25"/>
  <cols>
    <col min="3" max="3" width="119.140625" bestFit="1" customWidth="1"/>
  </cols>
  <sheetData>
    <row r="2" spans="3:3" x14ac:dyDescent="0.25">
      <c r="C2" t="s">
        <v>836</v>
      </c>
    </row>
    <row r="3" spans="3:3" x14ac:dyDescent="0.25">
      <c r="C3" s="63" t="s">
        <v>837</v>
      </c>
    </row>
    <row r="5" spans="3:3" x14ac:dyDescent="0.25">
      <c r="C5" t="s">
        <v>838</v>
      </c>
    </row>
    <row r="6" spans="3:3" x14ac:dyDescent="0.25">
      <c r="C6" t="s">
        <v>839</v>
      </c>
    </row>
    <row r="7" spans="3:3" x14ac:dyDescent="0.25">
      <c r="C7" t="s">
        <v>840</v>
      </c>
    </row>
    <row r="8" spans="3:3" x14ac:dyDescent="0.25">
      <c r="C8" t="s">
        <v>841</v>
      </c>
    </row>
    <row r="9" spans="3:3" x14ac:dyDescent="0.25">
      <c r="C9" t="s">
        <v>842</v>
      </c>
    </row>
    <row r="10" spans="3:3" ht="18" x14ac:dyDescent="0.25">
      <c r="C10" s="117" t="s">
        <v>843</v>
      </c>
    </row>
    <row r="11" spans="3:3" x14ac:dyDescent="0.25">
      <c r="C11" t="s">
        <v>150</v>
      </c>
    </row>
    <row r="12" spans="3:3" x14ac:dyDescent="0.25">
      <c r="C12" t="s">
        <v>844</v>
      </c>
    </row>
  </sheetData>
  <hyperlinks>
    <hyperlink ref="C3"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8" sqref="F8"/>
    </sheetView>
  </sheetViews>
  <sheetFormatPr defaultRowHeight="15" x14ac:dyDescent="0.25"/>
  <cols>
    <col min="1" max="1" width="21.5703125" customWidth="1"/>
    <col min="3" max="3" width="11.28515625" bestFit="1" customWidth="1"/>
  </cols>
  <sheetData>
    <row r="1" spans="1:6" x14ac:dyDescent="0.25">
      <c r="A1" s="1" t="s">
        <v>218</v>
      </c>
      <c r="C1" t="s">
        <v>223</v>
      </c>
      <c r="F1" t="s">
        <v>334</v>
      </c>
    </row>
    <row r="2" spans="1:6" x14ac:dyDescent="0.25">
      <c r="A2" t="s">
        <v>150</v>
      </c>
      <c r="C2" t="s">
        <v>224</v>
      </c>
      <c r="F2" t="s">
        <v>321</v>
      </c>
    </row>
    <row r="3" spans="1:6" x14ac:dyDescent="0.25">
      <c r="A3" t="s">
        <v>163</v>
      </c>
      <c r="C3" t="s">
        <v>225</v>
      </c>
      <c r="F3" t="s">
        <v>294</v>
      </c>
    </row>
    <row r="4" spans="1:6" x14ac:dyDescent="0.25">
      <c r="A4" t="s">
        <v>219</v>
      </c>
      <c r="F4" t="s">
        <v>335</v>
      </c>
    </row>
    <row r="5" spans="1:6" x14ac:dyDescent="0.25">
      <c r="A5" t="s">
        <v>220</v>
      </c>
      <c r="F5" t="s">
        <v>150</v>
      </c>
    </row>
    <row r="6" spans="1:6" x14ac:dyDescent="0.25">
      <c r="A6" t="s">
        <v>164</v>
      </c>
      <c r="F6" t="s">
        <v>336</v>
      </c>
    </row>
    <row r="7" spans="1:6" x14ac:dyDescent="0.25">
      <c r="A7" t="s">
        <v>128</v>
      </c>
      <c r="F7" t="s">
        <v>163</v>
      </c>
    </row>
    <row r="8" spans="1:6" x14ac:dyDescent="0.25">
      <c r="A8" t="s">
        <v>226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A11" sqref="A11"/>
    </sheetView>
  </sheetViews>
  <sheetFormatPr defaultRowHeight="15" x14ac:dyDescent="0.25"/>
  <cols>
    <col min="1" max="1" width="47.7109375" bestFit="1" customWidth="1"/>
    <col min="2" max="2" width="32.28515625" bestFit="1" customWidth="1"/>
    <col min="3" max="3" width="46.140625" customWidth="1"/>
    <col min="4" max="4" width="28.140625" bestFit="1" customWidth="1"/>
    <col min="6" max="6" width="48.5703125" customWidth="1"/>
  </cols>
  <sheetData>
    <row r="1" spans="1:2" x14ac:dyDescent="0.25">
      <c r="A1" t="s">
        <v>83</v>
      </c>
    </row>
    <row r="2" spans="1:2" x14ac:dyDescent="0.25">
      <c r="A2" t="s">
        <v>466</v>
      </c>
    </row>
    <row r="3" spans="1:2" x14ac:dyDescent="0.25">
      <c r="A3" t="s">
        <v>84</v>
      </c>
    </row>
    <row r="4" spans="1:2" x14ac:dyDescent="0.25">
      <c r="A4" t="s">
        <v>85</v>
      </c>
    </row>
    <row r="5" spans="1:2" x14ac:dyDescent="0.25">
      <c r="A5" t="s">
        <v>86</v>
      </c>
    </row>
    <row r="6" spans="1:2" x14ac:dyDescent="0.25">
      <c r="A6" t="s">
        <v>87</v>
      </c>
    </row>
    <row r="7" spans="1:2" x14ac:dyDescent="0.25">
      <c r="A7" t="s">
        <v>88</v>
      </c>
    </row>
    <row r="8" spans="1:2" x14ac:dyDescent="0.25">
      <c r="A8" t="s">
        <v>89</v>
      </c>
    </row>
    <row r="9" spans="1:2" x14ac:dyDescent="0.25">
      <c r="A9" t="s">
        <v>90</v>
      </c>
    </row>
    <row r="10" spans="1:2" x14ac:dyDescent="0.25">
      <c r="A10" t="s">
        <v>91</v>
      </c>
    </row>
    <row r="11" spans="1:2" x14ac:dyDescent="0.25">
      <c r="A11" t="s">
        <v>92</v>
      </c>
      <c r="B11" t="s">
        <v>93</v>
      </c>
    </row>
    <row r="12" spans="1:2" x14ac:dyDescent="0.25">
      <c r="A12" t="s">
        <v>94</v>
      </c>
    </row>
    <row r="13" spans="1:2" x14ac:dyDescent="0.25">
      <c r="A13" t="s">
        <v>95</v>
      </c>
    </row>
    <row r="14" spans="1:2" ht="15.75" x14ac:dyDescent="0.25">
      <c r="A14" s="14" t="s">
        <v>96</v>
      </c>
    </row>
    <row r="15" spans="1:2" x14ac:dyDescent="0.25">
      <c r="A15" t="s">
        <v>97</v>
      </c>
    </row>
    <row r="16" spans="1:2" x14ac:dyDescent="0.25">
      <c r="A16" t="s">
        <v>98</v>
      </c>
      <c r="B16" t="s">
        <v>99</v>
      </c>
    </row>
    <row r="17" spans="1:6" x14ac:dyDescent="0.25">
      <c r="A17" t="s">
        <v>100</v>
      </c>
    </row>
    <row r="18" spans="1:6" x14ac:dyDescent="0.25">
      <c r="A18" t="s">
        <v>101</v>
      </c>
    </row>
    <row r="19" spans="1:6" x14ac:dyDescent="0.25">
      <c r="A19" t="s">
        <v>102</v>
      </c>
    </row>
    <row r="20" spans="1:6" x14ac:dyDescent="0.25">
      <c r="A20" t="s">
        <v>103</v>
      </c>
      <c r="B20" t="s">
        <v>115</v>
      </c>
      <c r="C20" t="s">
        <v>116</v>
      </c>
    </row>
    <row r="21" spans="1:6" x14ac:dyDescent="0.25">
      <c r="A21" t="s">
        <v>104</v>
      </c>
    </row>
    <row r="22" spans="1:6" x14ac:dyDescent="0.25">
      <c r="A22" t="s">
        <v>105</v>
      </c>
    </row>
    <row r="23" spans="1:6" x14ac:dyDescent="0.25">
      <c r="A23" t="s">
        <v>106</v>
      </c>
    </row>
    <row r="24" spans="1:6" x14ac:dyDescent="0.25">
      <c r="A24" t="s">
        <v>107</v>
      </c>
      <c r="C24" t="s">
        <v>119</v>
      </c>
      <c r="D24" s="3" t="s">
        <v>128</v>
      </c>
    </row>
    <row r="25" spans="1:6" x14ac:dyDescent="0.25">
      <c r="A25" t="s">
        <v>108</v>
      </c>
      <c r="C25" t="s">
        <v>120</v>
      </c>
      <c r="D25" s="3" t="s">
        <v>129</v>
      </c>
    </row>
    <row r="26" spans="1:6" x14ac:dyDescent="0.25">
      <c r="A26" t="s">
        <v>109</v>
      </c>
      <c r="C26" t="s">
        <v>121</v>
      </c>
      <c r="D26" s="3" t="s">
        <v>172</v>
      </c>
    </row>
    <row r="27" spans="1:6" x14ac:dyDescent="0.25">
      <c r="A27" t="s">
        <v>110</v>
      </c>
      <c r="C27" t="s">
        <v>122</v>
      </c>
      <c r="D27" s="3" t="s">
        <v>149</v>
      </c>
    </row>
    <row r="28" spans="1:6" x14ac:dyDescent="0.25">
      <c r="A28" t="s">
        <v>111</v>
      </c>
      <c r="C28" t="s">
        <v>123</v>
      </c>
      <c r="D28" s="3" t="s">
        <v>150</v>
      </c>
    </row>
    <row r="29" spans="1:6" x14ac:dyDescent="0.25">
      <c r="A29" t="s">
        <v>112</v>
      </c>
      <c r="C29" t="s">
        <v>124</v>
      </c>
      <c r="D29" t="s">
        <v>152</v>
      </c>
    </row>
    <row r="30" spans="1:6" x14ac:dyDescent="0.25">
      <c r="A30" t="s">
        <v>113</v>
      </c>
      <c r="C30" t="s">
        <v>125</v>
      </c>
      <c r="D30" t="s">
        <v>153</v>
      </c>
      <c r="F30" t="s">
        <v>348</v>
      </c>
    </row>
    <row r="31" spans="1:6" x14ac:dyDescent="0.25">
      <c r="A31" t="s">
        <v>117</v>
      </c>
      <c r="C31" t="s">
        <v>126</v>
      </c>
      <c r="D31" s="3" t="s">
        <v>135</v>
      </c>
      <c r="F31" t="s">
        <v>349</v>
      </c>
    </row>
    <row r="32" spans="1:6" x14ac:dyDescent="0.25">
      <c r="A32" t="s">
        <v>118</v>
      </c>
      <c r="C32" t="s">
        <v>127</v>
      </c>
      <c r="D32" t="s">
        <v>154</v>
      </c>
      <c r="F32" t="s">
        <v>350</v>
      </c>
    </row>
    <row r="33" spans="1:6" x14ac:dyDescent="0.25">
      <c r="A33" t="s">
        <v>467</v>
      </c>
      <c r="C33" t="s">
        <v>130</v>
      </c>
      <c r="D33" t="s">
        <v>155</v>
      </c>
      <c r="F33" t="s">
        <v>351</v>
      </c>
    </row>
    <row r="34" spans="1:6" x14ac:dyDescent="0.25">
      <c r="A34" t="s">
        <v>468</v>
      </c>
      <c r="C34" t="s">
        <v>131</v>
      </c>
      <c r="D34" t="s">
        <v>156</v>
      </c>
      <c r="F34" t="s">
        <v>352</v>
      </c>
    </row>
    <row r="35" spans="1:6" x14ac:dyDescent="0.25">
      <c r="A35" t="s">
        <v>469</v>
      </c>
      <c r="C35" t="s">
        <v>132</v>
      </c>
      <c r="D35" t="s">
        <v>157</v>
      </c>
      <c r="F35" t="s">
        <v>353</v>
      </c>
    </row>
    <row r="36" spans="1:6" x14ac:dyDescent="0.25">
      <c r="A36" t="s">
        <v>470</v>
      </c>
      <c r="C36" t="s">
        <v>133</v>
      </c>
      <c r="D36" t="s">
        <v>158</v>
      </c>
      <c r="F36" t="s">
        <v>354</v>
      </c>
    </row>
    <row r="37" spans="1:6" x14ac:dyDescent="0.25">
      <c r="A37" t="s">
        <v>472</v>
      </c>
      <c r="C37" t="s">
        <v>134</v>
      </c>
      <c r="D37" t="s">
        <v>161</v>
      </c>
      <c r="F37" t="s">
        <v>355</v>
      </c>
    </row>
    <row r="38" spans="1:6" x14ac:dyDescent="0.25">
      <c r="A38" t="s">
        <v>475</v>
      </c>
      <c r="C38" t="s">
        <v>136</v>
      </c>
      <c r="D38" t="s">
        <v>162</v>
      </c>
    </row>
    <row r="39" spans="1:6" x14ac:dyDescent="0.25">
      <c r="A39" t="s">
        <v>476</v>
      </c>
      <c r="C39" t="s">
        <v>137</v>
      </c>
      <c r="D39" s="3" t="s">
        <v>163</v>
      </c>
    </row>
    <row r="40" spans="1:6" x14ac:dyDescent="0.25">
      <c r="C40" t="s">
        <v>138</v>
      </c>
      <c r="D40" t="s">
        <v>164</v>
      </c>
    </row>
    <row r="41" spans="1:6" x14ac:dyDescent="0.25">
      <c r="C41" t="s">
        <v>139</v>
      </c>
      <c r="D41" t="s">
        <v>165</v>
      </c>
    </row>
    <row r="42" spans="1:6" x14ac:dyDescent="0.25">
      <c r="A42" t="s">
        <v>128</v>
      </c>
      <c r="C42" t="s">
        <v>140</v>
      </c>
      <c r="D42" s="3" t="s">
        <v>166</v>
      </c>
    </row>
    <row r="43" spans="1:6" x14ac:dyDescent="0.25">
      <c r="A43" t="s">
        <v>197</v>
      </c>
      <c r="C43" t="s">
        <v>141</v>
      </c>
      <c r="D43" t="s">
        <v>167</v>
      </c>
    </row>
    <row r="44" spans="1:6" x14ac:dyDescent="0.25">
      <c r="C44" t="s">
        <v>142</v>
      </c>
      <c r="D44" t="s">
        <v>168</v>
      </c>
    </row>
    <row r="45" spans="1:6" x14ac:dyDescent="0.25">
      <c r="C45" t="s">
        <v>143</v>
      </c>
      <c r="D45" t="s">
        <v>169</v>
      </c>
    </row>
    <row r="46" spans="1:6" x14ac:dyDescent="0.25">
      <c r="C46" t="s">
        <v>144</v>
      </c>
      <c r="D46" t="s">
        <v>170</v>
      </c>
    </row>
    <row r="47" spans="1:6" x14ac:dyDescent="0.25">
      <c r="A47" t="s">
        <v>215</v>
      </c>
      <c r="C47" t="s">
        <v>145</v>
      </c>
      <c r="D47" t="s">
        <v>171</v>
      </c>
    </row>
    <row r="48" spans="1:6" x14ac:dyDescent="0.25">
      <c r="A48" t="s">
        <v>216</v>
      </c>
      <c r="C48" t="s">
        <v>147</v>
      </c>
    </row>
    <row r="49" spans="1:3" x14ac:dyDescent="0.25">
      <c r="A49" t="s">
        <v>217</v>
      </c>
      <c r="C49" t="s">
        <v>146</v>
      </c>
    </row>
    <row r="50" spans="1:3" x14ac:dyDescent="0.25">
      <c r="C50" t="s">
        <v>148</v>
      </c>
    </row>
    <row r="51" spans="1:3" x14ac:dyDescent="0.25">
      <c r="C51" t="s">
        <v>151</v>
      </c>
    </row>
    <row r="52" spans="1:3" x14ac:dyDescent="0.25">
      <c r="C52" t="s">
        <v>159</v>
      </c>
    </row>
    <row r="53" spans="1:3" x14ac:dyDescent="0.25">
      <c r="C53" t="s">
        <v>160</v>
      </c>
    </row>
    <row r="54" spans="1:3" x14ac:dyDescent="0.25">
      <c r="C54" t="s">
        <v>173</v>
      </c>
    </row>
    <row r="55" spans="1:3" x14ac:dyDescent="0.25">
      <c r="C55" t="s">
        <v>174</v>
      </c>
    </row>
    <row r="56" spans="1:3" x14ac:dyDescent="0.25">
      <c r="C5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93"/>
  <sheetViews>
    <sheetView topLeftCell="E97" zoomScale="82" zoomScaleNormal="82" workbookViewId="0">
      <selection activeCell="I125" sqref="I125"/>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43294</v>
      </c>
      <c r="F2" s="266">
        <v>43621</v>
      </c>
      <c r="G2" s="267">
        <f ca="1">DATEDIF(E2,F2,"d")</f>
        <v>327</v>
      </c>
      <c r="H2" s="267">
        <f ca="1">(DATEDIF(E2,F2,"d")/7)</f>
        <v>46.714285714285715</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46.92</v>
      </c>
      <c r="L5" s="309">
        <f>(L6/64)</f>
        <v>1256.5000000000018</v>
      </c>
      <c r="M5" s="287" t="s">
        <v>834</v>
      </c>
      <c r="N5" s="329"/>
      <c r="O5" s="295">
        <f>SUM(G7:G9,G13,G18:G24)</f>
        <v>33218</v>
      </c>
      <c r="P5" s="192">
        <f>ROUND((O5/O6)*100,2)</f>
        <v>46.92</v>
      </c>
    </row>
    <row r="6" spans="4:20" x14ac:dyDescent="0.25">
      <c r="D6" s="13"/>
      <c r="E6" s="121">
        <v>1</v>
      </c>
      <c r="F6" s="94" t="s">
        <v>754</v>
      </c>
      <c r="G6" s="95"/>
      <c r="H6" s="96"/>
      <c r="I6" s="143"/>
      <c r="J6" s="96"/>
      <c r="L6">
        <f>(300000-L7)</f>
        <v>80416.000000000116</v>
      </c>
      <c r="M6" s="290" t="s">
        <v>762</v>
      </c>
      <c r="N6" s="330"/>
      <c r="O6" s="291">
        <f>SUM(H7:H24)</f>
        <v>70800</v>
      </c>
      <c r="R6" s="287" t="s">
        <v>707</v>
      </c>
      <c r="S6" s="288">
        <f>(O7*64)</f>
        <v>217600</v>
      </c>
      <c r="T6" s="289"/>
    </row>
    <row r="7" spans="4:20" x14ac:dyDescent="0.25">
      <c r="D7" s="182">
        <v>43206</v>
      </c>
      <c r="E7" s="114">
        <v>2</v>
      </c>
      <c r="F7" s="191">
        <v>9070</v>
      </c>
      <c r="G7" s="86">
        <v>13500</v>
      </c>
      <c r="H7" s="114">
        <v>17900</v>
      </c>
      <c r="I7" s="114">
        <f>(G7/H7)*100</f>
        <v>75.41899441340783</v>
      </c>
      <c r="J7" s="121">
        <v>20.239999999999998</v>
      </c>
      <c r="K7">
        <f>(H7/100*(79-I7))+1000</f>
        <v>1640.9999999999984</v>
      </c>
      <c r="L7" s="1">
        <f>(K10*64)</f>
        <v>219583.99999999988</v>
      </c>
      <c r="M7" s="290" t="s">
        <v>707</v>
      </c>
      <c r="N7" s="330"/>
      <c r="O7" s="296">
        <f>G15</f>
        <v>3400</v>
      </c>
      <c r="R7" s="290" t="s">
        <v>1849</v>
      </c>
      <c r="S7" s="5">
        <f>(O8*64)</f>
        <v>201152</v>
      </c>
      <c r="T7" s="291">
        <f>(SUM(S6:S7))</f>
        <v>418752</v>
      </c>
    </row>
    <row r="8" spans="4:20" ht="15.75" thickBot="1" x14ac:dyDescent="0.3">
      <c r="D8" s="218"/>
      <c r="E8" s="114">
        <v>3</v>
      </c>
      <c r="F8" s="193">
        <v>5011</v>
      </c>
      <c r="G8" s="247">
        <v>18</v>
      </c>
      <c r="H8" s="114">
        <f>1200-700</f>
        <v>500</v>
      </c>
      <c r="I8" s="114">
        <f>(G8/H8)*100</f>
        <v>3.5999999999999996</v>
      </c>
      <c r="J8" s="121">
        <v>15.24</v>
      </c>
      <c r="L8" s="16"/>
      <c r="M8" s="297" t="s">
        <v>833</v>
      </c>
      <c r="N8" s="331"/>
      <c r="O8" s="298">
        <f>G14</f>
        <v>3143</v>
      </c>
      <c r="R8" s="290" t="s">
        <v>1850</v>
      </c>
      <c r="S8" s="5">
        <f>(O5*64)</f>
        <v>2125952</v>
      </c>
      <c r="T8" s="291">
        <f>S8</f>
        <v>2125952</v>
      </c>
    </row>
    <row r="9" spans="4:20" ht="15.75" thickBot="1" x14ac:dyDescent="0.3">
      <c r="D9" s="182">
        <v>43192</v>
      </c>
      <c r="E9" s="114">
        <v>4</v>
      </c>
      <c r="F9" s="193">
        <v>8610</v>
      </c>
      <c r="G9" s="86">
        <v>16300</v>
      </c>
      <c r="H9" s="114">
        <f>(21000)</f>
        <v>21000</v>
      </c>
      <c r="I9" s="114">
        <f>(G9/H9)*100</f>
        <v>77.61904761904762</v>
      </c>
      <c r="J9" s="121">
        <v>19.239999999999998</v>
      </c>
      <c r="K9">
        <f>(H9/100*(79-I9))+1500</f>
        <v>1789.9999999999998</v>
      </c>
      <c r="L9" s="16"/>
      <c r="M9" s="115" t="s">
        <v>761</v>
      </c>
      <c r="N9" s="332"/>
      <c r="O9" s="116">
        <f>SUM(O5,O7,O8)</f>
        <v>39761</v>
      </c>
      <c r="R9" s="292" t="s">
        <v>1851</v>
      </c>
      <c r="S9" s="293">
        <v>200000</v>
      </c>
      <c r="T9" s="294">
        <f>SUM(T7,T8,S9)</f>
        <v>2744704</v>
      </c>
    </row>
    <row r="10" spans="4:20" x14ac:dyDescent="0.25">
      <c r="E10" s="114"/>
      <c r="F10" s="312"/>
      <c r="G10" s="83"/>
      <c r="H10" s="312"/>
      <c r="I10" s="114"/>
      <c r="J10" s="312"/>
      <c r="K10">
        <f>SUM(K7,K9)</f>
        <v>3430.9999999999982</v>
      </c>
      <c r="L10" s="2"/>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800</v>
      </c>
      <c r="H13" s="121">
        <v>3500</v>
      </c>
      <c r="I13" s="114">
        <f>(G13/H13)*100</f>
        <v>22.857142857142858</v>
      </c>
      <c r="J13" s="121">
        <v>11.75</v>
      </c>
    </row>
    <row r="14" spans="4:20" x14ac:dyDescent="0.25">
      <c r="E14" s="114">
        <v>7</v>
      </c>
      <c r="F14" s="110" t="s">
        <v>758</v>
      </c>
      <c r="G14" s="86">
        <v>3143</v>
      </c>
      <c r="H14" s="121"/>
      <c r="I14" s="114"/>
      <c r="J14" s="180">
        <v>10.25</v>
      </c>
      <c r="K14" s="5"/>
      <c r="L14" s="4" t="s">
        <v>964</v>
      </c>
      <c r="M14" s="5" t="s">
        <v>1210</v>
      </c>
      <c r="N14" s="245"/>
    </row>
    <row r="15" spans="4:20" x14ac:dyDescent="0.25">
      <c r="E15" s="114">
        <v>8</v>
      </c>
      <c r="F15" s="110" t="s">
        <v>760</v>
      </c>
      <c r="G15" s="86">
        <v>3400</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1400</v>
      </c>
      <c r="H18" s="88">
        <v>8100</v>
      </c>
      <c r="I18" s="146">
        <f t="shared" ref="I18:I24" si="0">(G18/H18)*100</f>
        <v>17.283950617283949</v>
      </c>
      <c r="J18" s="92">
        <v>15.49</v>
      </c>
      <c r="K18" s="182">
        <v>42590</v>
      </c>
      <c r="L18" s="126">
        <v>50.7</v>
      </c>
      <c r="M18" s="5"/>
      <c r="N18" s="245"/>
      <c r="O18" s="1"/>
    </row>
    <row r="19" spans="1:18" x14ac:dyDescent="0.25">
      <c r="E19" s="114">
        <v>10</v>
      </c>
      <c r="F19" s="110" t="s">
        <v>1846</v>
      </c>
      <c r="G19" s="86">
        <v>700</v>
      </c>
      <c r="H19" s="121">
        <v>14100</v>
      </c>
      <c r="I19" s="114">
        <f t="shared" si="0"/>
        <v>4.9645390070921991</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33.619999999999997</v>
      </c>
      <c r="M21" s="6">
        <v>65.44</v>
      </c>
      <c r="N21" s="159"/>
    </row>
    <row r="22" spans="1:18" x14ac:dyDescent="0.25">
      <c r="E22" s="149">
        <v>12</v>
      </c>
      <c r="F22" s="301" t="s">
        <v>4</v>
      </c>
      <c r="G22" s="302">
        <v>250</v>
      </c>
      <c r="H22" s="148">
        <v>800</v>
      </c>
      <c r="I22" s="114">
        <f t="shared" si="0"/>
        <v>31.25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39761</v>
      </c>
      <c r="H27" s="268">
        <f>(G27*D27)</f>
        <v>2516871.2999999998</v>
      </c>
      <c r="I27" s="269">
        <f>SUM(G18:G19)</f>
        <v>2100</v>
      </c>
      <c r="J27" s="269">
        <f>SUM(G27,-I27)</f>
        <v>37661</v>
      </c>
      <c r="K27" s="182">
        <v>42734</v>
      </c>
      <c r="L27" s="5"/>
      <c r="M27" s="6">
        <v>61.21</v>
      </c>
      <c r="N27" s="159"/>
      <c r="O27" s="18"/>
    </row>
    <row r="28" spans="1:18" ht="31.5" x14ac:dyDescent="0.5">
      <c r="I28" s="124"/>
      <c r="J28" s="268">
        <f>(J27*D27)</f>
        <v>2383941.2999999998</v>
      </c>
      <c r="K28" s="182">
        <v>42750</v>
      </c>
      <c r="L28" s="5"/>
      <c r="M28" s="126">
        <f>59.43</f>
        <v>59.43</v>
      </c>
      <c r="N28" s="333"/>
      <c r="O28" s="164" t="s">
        <v>1393</v>
      </c>
    </row>
    <row r="29" spans="1:18" x14ac:dyDescent="0.25">
      <c r="F29" t="s">
        <v>1707</v>
      </c>
      <c r="G29">
        <f>SUM(K7:K9)</f>
        <v>3430.9999999999982</v>
      </c>
      <c r="H29">
        <f>G29*64</f>
        <v>219583.99999999988</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16605</v>
      </c>
      <c r="K37" s="182">
        <v>42887</v>
      </c>
      <c r="L37" s="5"/>
      <c r="M37" s="6">
        <v>47.6</v>
      </c>
      <c r="N37" s="159"/>
    </row>
    <row r="38" spans="3:17" ht="31.5" x14ac:dyDescent="0.25">
      <c r="F38" s="190"/>
      <c r="G38" s="313">
        <f>(11060-120)</f>
        <v>10940</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29105</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10940</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46.92</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65" t="s">
        <v>1934</v>
      </c>
      <c r="C65" s="366"/>
      <c r="F65" s="365" t="s">
        <v>1780</v>
      </c>
      <c r="G65" s="366"/>
      <c r="H65" s="230">
        <f>SUM(G66:G91)</f>
        <v>3439</v>
      </c>
      <c r="J65" s="365">
        <v>43252</v>
      </c>
      <c r="K65" s="366"/>
      <c r="L65" s="265">
        <f>SUM(K66:K91)</f>
        <v>1730</v>
      </c>
      <c r="R65" s="310">
        <v>43132</v>
      </c>
      <c r="S65" s="311"/>
      <c r="T65" s="218">
        <f>SUM(S66:S91)</f>
        <v>307</v>
      </c>
    </row>
    <row r="66" spans="2:22" ht="26.25" x14ac:dyDescent="0.4">
      <c r="B66" s="22" t="s">
        <v>228</v>
      </c>
      <c r="C66" s="250"/>
      <c r="D66" s="237"/>
      <c r="F66" s="22" t="s">
        <v>228</v>
      </c>
      <c r="G66" s="217"/>
      <c r="J66" s="22" t="s">
        <v>228</v>
      </c>
      <c r="K66" s="217">
        <f>(3000-1000-500-130-250)</f>
        <v>1120</v>
      </c>
      <c r="L66" s="1"/>
      <c r="M66" s="281"/>
      <c r="N66" s="314"/>
      <c r="O66" s="282">
        <f>SUM(O67:O80)</f>
        <v>21840</v>
      </c>
      <c r="P66" s="271"/>
      <c r="R66" s="22" t="s">
        <v>228</v>
      </c>
      <c r="S66" s="217">
        <f>(1500-715-225-353)</f>
        <v>207</v>
      </c>
    </row>
    <row r="67" spans="2:22" x14ac:dyDescent="0.25">
      <c r="B67" s="6" t="s">
        <v>3</v>
      </c>
      <c r="C67" s="227"/>
      <c r="F67" s="6" t="s">
        <v>3</v>
      </c>
      <c r="G67" s="22"/>
      <c r="J67" s="6" t="s">
        <v>3</v>
      </c>
      <c r="K67" s="22">
        <f>(1300-500-500-200)</f>
        <v>100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-65</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-200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f>SUM(K66:K91)</f>
        <v>1730</v>
      </c>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v>-1650</v>
      </c>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v>0</v>
      </c>
      <c r="L75" s="194">
        <f>SUM(K66:K68,K71, K73, K80)</f>
        <v>4520</v>
      </c>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f>SUM(K70,K77,K78:K79,K81:K82,K84:K91)</f>
        <v>-1675</v>
      </c>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v>-136</v>
      </c>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-1600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v>-110</v>
      </c>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v>900</v>
      </c>
      <c r="M80" s="279">
        <v>43073</v>
      </c>
      <c r="N80" s="338"/>
      <c r="O80" s="285"/>
      <c r="P80" s="286"/>
      <c r="R80" s="22" t="s">
        <v>1772</v>
      </c>
      <c r="S80" s="22"/>
      <c r="T80">
        <v>-1500</v>
      </c>
    </row>
    <row r="81" spans="2:20" x14ac:dyDescent="0.25">
      <c r="B81" s="22" t="s">
        <v>972</v>
      </c>
      <c r="C81" s="6"/>
      <c r="F81" s="22" t="s">
        <v>972</v>
      </c>
      <c r="G81" s="22">
        <v>-1000</v>
      </c>
      <c r="H81">
        <v>-134000</v>
      </c>
      <c r="J81" s="231" t="s">
        <v>972</v>
      </c>
      <c r="K81" s="22">
        <v>1400</v>
      </c>
      <c r="L81" s="194"/>
      <c r="R81" s="22" t="s">
        <v>972</v>
      </c>
      <c r="S81" s="22">
        <v>0</v>
      </c>
    </row>
    <row r="82" spans="2:20" x14ac:dyDescent="0.25">
      <c r="B82" s="22" t="s">
        <v>521</v>
      </c>
      <c r="C82" s="6"/>
      <c r="F82" s="22" t="s">
        <v>521</v>
      </c>
      <c r="G82" s="22">
        <v>0</v>
      </c>
      <c r="J82" s="231" t="s">
        <v>521</v>
      </c>
      <c r="K82" s="22">
        <v>-300</v>
      </c>
      <c r="L82" s="194"/>
      <c r="R82" s="22" t="s">
        <v>521</v>
      </c>
      <c r="S82" s="22">
        <v>0</v>
      </c>
    </row>
    <row r="83" spans="2:20" x14ac:dyDescent="0.25">
      <c r="B83" s="22" t="s">
        <v>1572</v>
      </c>
      <c r="C83" s="6"/>
      <c r="F83" s="22" t="s">
        <v>1572</v>
      </c>
      <c r="G83" s="22">
        <v>-300</v>
      </c>
      <c r="H83">
        <v>-20000</v>
      </c>
      <c r="J83" s="22" t="s">
        <v>1572</v>
      </c>
      <c r="K83" s="22"/>
      <c r="L83" s="194">
        <v>-324</v>
      </c>
      <c r="R83" s="22" t="s">
        <v>1940</v>
      </c>
      <c r="S83" s="22">
        <v>0</v>
      </c>
      <c r="T83" s="194"/>
    </row>
    <row r="84" spans="2:20" x14ac:dyDescent="0.25">
      <c r="B84" s="22" t="s">
        <v>221</v>
      </c>
      <c r="C84" s="6"/>
      <c r="F84" s="22" t="s">
        <v>221</v>
      </c>
      <c r="G84" s="22">
        <v>-1000</v>
      </c>
      <c r="J84" s="231" t="s">
        <v>221</v>
      </c>
      <c r="K84" s="22">
        <v>700</v>
      </c>
      <c r="L84" s="194"/>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R87" s="6" t="s">
        <v>1692</v>
      </c>
      <c r="S87" s="22">
        <v>0</v>
      </c>
    </row>
    <row r="88" spans="2:20" x14ac:dyDescent="0.25">
      <c r="B88" s="6" t="s">
        <v>1693</v>
      </c>
      <c r="C88" s="6"/>
      <c r="F88" s="6" t="s">
        <v>1693</v>
      </c>
      <c r="G88" s="22"/>
      <c r="H88">
        <v>-21000</v>
      </c>
      <c r="J88" s="6" t="s">
        <v>1693</v>
      </c>
      <c r="K88" s="232">
        <v>-314</v>
      </c>
      <c r="L88" s="194"/>
      <c r="M88">
        <v>8610</v>
      </c>
      <c r="R88" s="6" t="s">
        <v>1693</v>
      </c>
      <c r="S88" s="232">
        <v>0</v>
      </c>
      <c r="T88">
        <v>-314</v>
      </c>
    </row>
    <row r="89" spans="2:20" x14ac:dyDescent="0.25">
      <c r="B89" s="22" t="s">
        <v>1468</v>
      </c>
      <c r="C89" s="6"/>
      <c r="F89" s="22" t="s">
        <v>1468</v>
      </c>
      <c r="G89" s="22">
        <v>0</v>
      </c>
      <c r="J89" s="22" t="s">
        <v>1468</v>
      </c>
      <c r="K89" s="22">
        <v>-20</v>
      </c>
      <c r="L89" s="194"/>
      <c r="M89">
        <v>9070</v>
      </c>
      <c r="R89" s="22" t="s">
        <v>1468</v>
      </c>
      <c r="S89" s="22">
        <v>0</v>
      </c>
    </row>
    <row r="90" spans="2:20" ht="23.25" x14ac:dyDescent="0.35">
      <c r="B90" s="197" t="s">
        <v>1573</v>
      </c>
      <c r="C90" s="6"/>
      <c r="F90" s="197" t="s">
        <v>1573</v>
      </c>
      <c r="G90" s="22">
        <v>0</v>
      </c>
      <c r="J90" s="197" t="s">
        <v>1573</v>
      </c>
      <c r="K90" s="300">
        <v>0</v>
      </c>
      <c r="L90" s="194"/>
      <c r="M90">
        <v>5011</v>
      </c>
      <c r="R90" s="197" t="s">
        <v>1573</v>
      </c>
      <c r="S90" s="22">
        <v>0</v>
      </c>
      <c r="T90">
        <v>-1400</v>
      </c>
    </row>
    <row r="91" spans="2:20" x14ac:dyDescent="0.25">
      <c r="B91" s="22" t="s">
        <v>1562</v>
      </c>
      <c r="C91" s="6"/>
      <c r="F91" s="22" t="s">
        <v>1562</v>
      </c>
      <c r="G91" s="22">
        <v>0</v>
      </c>
      <c r="J91" s="22" t="s">
        <v>745</v>
      </c>
      <c r="K91" s="22">
        <v>-400</v>
      </c>
      <c r="L91" s="194"/>
      <c r="R91" s="22" t="s">
        <v>745</v>
      </c>
      <c r="S91" s="22">
        <v>0</v>
      </c>
    </row>
    <row r="94" spans="2:20" x14ac:dyDescent="0.25">
      <c r="L94" t="s">
        <v>1959</v>
      </c>
      <c r="M94">
        <v>350</v>
      </c>
      <c r="O94">
        <f>SUM(M94:M98)</f>
        <v>1850</v>
      </c>
    </row>
    <row r="95" spans="2:20" x14ac:dyDescent="0.25">
      <c r="I95" t="s">
        <v>3</v>
      </c>
      <c r="J95">
        <f>(1300-495)</f>
        <v>805</v>
      </c>
      <c r="L95" t="s">
        <v>1960</v>
      </c>
      <c r="M95">
        <v>500</v>
      </c>
    </row>
    <row r="96" spans="2:20" x14ac:dyDescent="0.25">
      <c r="I96" t="s">
        <v>222</v>
      </c>
      <c r="L96" t="s">
        <v>1961</v>
      </c>
      <c r="M96">
        <v>400</v>
      </c>
    </row>
    <row r="97" spans="3:21" x14ac:dyDescent="0.25">
      <c r="L97" t="s">
        <v>1962</v>
      </c>
      <c r="M97">
        <v>200</v>
      </c>
    </row>
    <row r="98" spans="3:21" x14ac:dyDescent="0.25">
      <c r="L98" t="s">
        <v>1963</v>
      </c>
      <c r="M98">
        <v>400</v>
      </c>
    </row>
    <row r="100" spans="3:21" ht="26.25" x14ac:dyDescent="0.4">
      <c r="D100" s="154" t="s">
        <v>1626</v>
      </c>
      <c r="I100" s="204">
        <f>SUM(D115:M115)</f>
        <v>528.41999999999996</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f>(158.24-21.67)</f>
        <v>136.57</v>
      </c>
      <c r="E103" s="22">
        <v>54.92</v>
      </c>
      <c r="F103" s="22">
        <v>12.01</v>
      </c>
      <c r="G103" s="22">
        <v>58.26</v>
      </c>
      <c r="H103" s="22">
        <v>25.92</v>
      </c>
      <c r="I103" s="22">
        <v>54.92</v>
      </c>
      <c r="J103" s="22">
        <v>57.17</v>
      </c>
      <c r="K103" s="22">
        <v>63.17</v>
      </c>
      <c r="L103" s="22">
        <v>54.01</v>
      </c>
      <c r="M103" s="22">
        <v>12.01</v>
      </c>
      <c r="N103" s="264"/>
      <c r="O103" s="1">
        <f>SUM(D103:M103)</f>
        <v>528.96</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3.41</v>
      </c>
      <c r="E110" s="234">
        <v>3.41</v>
      </c>
      <c r="F110" s="234">
        <v>2.0099999999999998</v>
      </c>
      <c r="G110" s="234">
        <v>3.41</v>
      </c>
      <c r="H110" s="234">
        <v>3.29</v>
      </c>
      <c r="I110" s="234">
        <v>3.41</v>
      </c>
      <c r="J110" s="234">
        <v>3.29</v>
      </c>
      <c r="K110" s="234">
        <v>3.29</v>
      </c>
      <c r="L110" s="234">
        <v>3.29</v>
      </c>
      <c r="M110" s="234">
        <v>2.0099999999999998</v>
      </c>
      <c r="N110" s="341"/>
      <c r="R110" s="13">
        <v>43308</v>
      </c>
      <c r="S110">
        <v>3250</v>
      </c>
    </row>
    <row r="111" spans="3:21" x14ac:dyDescent="0.25">
      <c r="C111" s="5" t="s">
        <v>1433</v>
      </c>
      <c r="D111" s="234">
        <v>2.5099999999999998</v>
      </c>
      <c r="E111" s="234">
        <v>2.5099999999999998</v>
      </c>
      <c r="F111" s="234"/>
      <c r="G111" s="234">
        <v>2.5099999999999998</v>
      </c>
      <c r="H111" s="234">
        <v>2.5</v>
      </c>
      <c r="I111" s="234">
        <v>2.5099999999999998</v>
      </c>
      <c r="J111" s="234">
        <v>2.5</v>
      </c>
      <c r="K111" s="234">
        <v>3.49</v>
      </c>
      <c r="L111" s="234">
        <v>3.49</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61.929999999999993</v>
      </c>
      <c r="E115" s="22">
        <f>SUM(E104:E114)</f>
        <v>59.129999999999995</v>
      </c>
      <c r="F115" s="22">
        <f>SUM(F104:F114)</f>
        <v>16.52</v>
      </c>
      <c r="G115" s="22">
        <f>SUM(G104:G114)</f>
        <v>61.929999999999993</v>
      </c>
      <c r="H115" s="22">
        <f>SUM(H104:H113)</f>
        <v>35.79</v>
      </c>
      <c r="I115" s="22">
        <f>SUM(I104:I113)</f>
        <v>59.129999999999995</v>
      </c>
      <c r="J115" s="22">
        <f>SUM(J104:J114)</f>
        <v>71.55</v>
      </c>
      <c r="K115" s="22">
        <f>SUM(K104:K114)</f>
        <v>77.540000000000006</v>
      </c>
      <c r="L115" s="22">
        <f>SUM(L104:L114)</f>
        <v>68.38000000000001</v>
      </c>
      <c r="M115" s="22">
        <f>SUM(M104:M114)</f>
        <v>16.52</v>
      </c>
      <c r="N115" s="264"/>
      <c r="O115" s="1">
        <f>SUM(D115:M115)</f>
        <v>528.41999999999996</v>
      </c>
    </row>
    <row r="116" spans="3:16" ht="26.25" x14ac:dyDescent="0.4">
      <c r="C116" s="245"/>
      <c r="D116" s="367" t="s">
        <v>1221</v>
      </c>
      <c r="E116" s="368"/>
      <c r="F116" s="369"/>
      <c r="G116" s="370" t="s">
        <v>1565</v>
      </c>
      <c r="H116" s="371"/>
      <c r="I116" s="199" t="s">
        <v>1566</v>
      </c>
      <c r="J116" s="199" t="s">
        <v>1567</v>
      </c>
      <c r="K116" s="370" t="s">
        <v>1625</v>
      </c>
      <c r="L116" s="372"/>
      <c r="M116" s="371"/>
      <c r="N116" s="343"/>
    </row>
    <row r="117" spans="3:16" ht="26.25" x14ac:dyDescent="0.4">
      <c r="C117" s="245"/>
      <c r="D117" s="375">
        <f>SUM(D115:F115)</f>
        <v>137.57999999999998</v>
      </c>
      <c r="E117" s="376"/>
      <c r="F117" s="377"/>
      <c r="G117" s="378">
        <f>SUM(G115:H115)</f>
        <v>97.72</v>
      </c>
      <c r="H117" s="379"/>
      <c r="I117" s="200">
        <f>SUM(I104:I113)</f>
        <v>59.129999999999995</v>
      </c>
      <c r="J117" s="201">
        <f>SUM(J104:J113)</f>
        <v>71.55</v>
      </c>
      <c r="K117" s="380">
        <f>SUM(K115:M115)</f>
        <v>162.44000000000003</v>
      </c>
      <c r="L117" s="381"/>
      <c r="M117" s="382"/>
      <c r="N117" s="344"/>
      <c r="O117" s="1">
        <f>(O115-O103)</f>
        <v>-0.54000000000007731</v>
      </c>
      <c r="P117">
        <f>(O117/9)</f>
        <v>-6.0000000000008588E-2</v>
      </c>
    </row>
    <row r="118" spans="3:16" x14ac:dyDescent="0.25">
      <c r="D118" s="228"/>
      <c r="E118" s="228"/>
      <c r="F118" s="228"/>
      <c r="G118">
        <f>(150-97.72)</f>
        <v>52.28</v>
      </c>
    </row>
    <row r="120" spans="3:16" x14ac:dyDescent="0.25">
      <c r="I120" s="18">
        <v>596.15</v>
      </c>
      <c r="L120" t="s">
        <v>1823</v>
      </c>
      <c r="M120">
        <f>(I122-L121)</f>
        <v>40.720000000000027</v>
      </c>
      <c r="O120">
        <f>ROUND((M120/9),2)+0.01</f>
        <v>4.5299999999999994</v>
      </c>
    </row>
    <row r="121" spans="3:16" x14ac:dyDescent="0.25">
      <c r="H121" t="s">
        <v>1819</v>
      </c>
      <c r="I121">
        <v>-21.67</v>
      </c>
      <c r="L121" s="18">
        <f>SUM(L124:L133)</f>
        <v>533.76</v>
      </c>
    </row>
    <row r="122" spans="3:16" x14ac:dyDescent="0.25">
      <c r="I122" s="18">
        <f>SUM(I120:I121)</f>
        <v>574.48</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158.68</v>
      </c>
      <c r="J124" s="326">
        <f>I127</f>
        <v>58.67</v>
      </c>
      <c r="K124" s="203">
        <f>(J124-10.84)</f>
        <v>47.83</v>
      </c>
      <c r="L124" s="203">
        <f>(K124+10)</f>
        <v>57.83</v>
      </c>
      <c r="M124" s="203">
        <f>(L124+O120)</f>
        <v>62.36</v>
      </c>
      <c r="N124" s="356" t="s">
        <v>1221</v>
      </c>
      <c r="O124" s="356">
        <f>SUM(M124:M126)</f>
        <v>139.06</v>
      </c>
      <c r="P124" s="359">
        <f>ROUND(SUM(O124:O133),2)</f>
        <v>574.53</v>
      </c>
    </row>
    <row r="125" spans="3:16" ht="15" customHeight="1" x14ac:dyDescent="0.25">
      <c r="C125" t="s">
        <v>1813</v>
      </c>
      <c r="D125">
        <v>528.96</v>
      </c>
      <c r="H125" s="5" t="s">
        <v>1815</v>
      </c>
      <c r="I125" s="4">
        <v>55.43</v>
      </c>
      <c r="J125" s="4">
        <f t="shared" ref="J125:J133" si="1">I125</f>
        <v>55.43</v>
      </c>
      <c r="K125" s="203">
        <f>(J125-10.3)</f>
        <v>45.129999999999995</v>
      </c>
      <c r="L125" s="203">
        <f>(K125+10)</f>
        <v>55.129999999999995</v>
      </c>
      <c r="M125" s="203">
        <f>(L125+O120)</f>
        <v>59.66</v>
      </c>
      <c r="N125" s="357"/>
      <c r="O125" s="357"/>
      <c r="P125" s="359"/>
    </row>
    <row r="126" spans="3:16" ht="15" customHeight="1" x14ac:dyDescent="0.25">
      <c r="C126" t="s">
        <v>1436</v>
      </c>
      <c r="D126">
        <f>(47.42-158.24)+80</f>
        <v>-30.820000000000007</v>
      </c>
      <c r="E126">
        <f>(D126/8)</f>
        <v>-3.8525000000000009</v>
      </c>
      <c r="H126" s="5" t="s">
        <v>1437</v>
      </c>
      <c r="I126" s="4">
        <v>12.51</v>
      </c>
      <c r="J126" s="4">
        <f t="shared" si="1"/>
        <v>12.51</v>
      </c>
      <c r="K126" s="4">
        <v>12.51</v>
      </c>
      <c r="L126" s="4">
        <f>K126</f>
        <v>12.51</v>
      </c>
      <c r="M126" s="203">
        <f>(L126+O120)</f>
        <v>17.04</v>
      </c>
      <c r="N126" s="358"/>
      <c r="O126" s="358"/>
      <c r="P126" s="359"/>
    </row>
    <row r="127" spans="3:16" ht="15" customHeight="1" x14ac:dyDescent="0.25">
      <c r="H127" s="5" t="s">
        <v>1419</v>
      </c>
      <c r="I127" s="4">
        <v>58.67</v>
      </c>
      <c r="J127" s="203">
        <f t="shared" si="1"/>
        <v>58.67</v>
      </c>
      <c r="K127" s="203">
        <f>(J127-10.84)</f>
        <v>47.83</v>
      </c>
      <c r="L127" s="203">
        <f t="shared" ref="L127:L132" si="2">(K127+10)</f>
        <v>57.83</v>
      </c>
      <c r="M127" s="203">
        <f>(L127+O120)</f>
        <v>62.36</v>
      </c>
      <c r="N127" s="360" t="s">
        <v>1565</v>
      </c>
      <c r="O127" s="360">
        <f>SUM(M127:M128)</f>
        <v>98.789999999999992</v>
      </c>
      <c r="P127" s="359"/>
    </row>
    <row r="128" spans="3:16" ht="15" customHeight="1" x14ac:dyDescent="0.25">
      <c r="H128" s="5" t="s">
        <v>1816</v>
      </c>
      <c r="I128" s="4">
        <v>26.43</v>
      </c>
      <c r="J128" s="4">
        <f t="shared" si="1"/>
        <v>26.43</v>
      </c>
      <c r="K128" s="4">
        <v>26.43</v>
      </c>
      <c r="L128" s="203">
        <f t="shared" si="2"/>
        <v>36.43</v>
      </c>
      <c r="M128" s="4">
        <f>L128</f>
        <v>36.43</v>
      </c>
      <c r="N128" s="361"/>
      <c r="O128" s="361"/>
      <c r="P128" s="359"/>
    </row>
    <row r="129" spans="3:16" ht="15" customHeight="1" x14ac:dyDescent="0.25">
      <c r="H129" s="5" t="s">
        <v>1416</v>
      </c>
      <c r="I129" s="4">
        <v>55.43</v>
      </c>
      <c r="J129" s="4">
        <f t="shared" si="1"/>
        <v>55.43</v>
      </c>
      <c r="K129" s="203">
        <f>(J129-10.3)</f>
        <v>45.129999999999995</v>
      </c>
      <c r="L129" s="203">
        <f t="shared" si="2"/>
        <v>55.129999999999995</v>
      </c>
      <c r="M129" s="203">
        <f>(L129+O120)</f>
        <v>59.66</v>
      </c>
      <c r="N129" s="327" t="s">
        <v>1566</v>
      </c>
      <c r="O129" s="327">
        <f>M129</f>
        <v>59.66</v>
      </c>
      <c r="P129" s="359"/>
    </row>
    <row r="130" spans="3:16" ht="15" customHeight="1" x14ac:dyDescent="0.25">
      <c r="H130" s="5" t="s">
        <v>1417</v>
      </c>
      <c r="I130" s="4">
        <v>57.68</v>
      </c>
      <c r="J130" s="4">
        <f t="shared" si="1"/>
        <v>57.68</v>
      </c>
      <c r="K130" s="4">
        <f>J130</f>
        <v>57.68</v>
      </c>
      <c r="L130" s="203">
        <f t="shared" si="2"/>
        <v>67.680000000000007</v>
      </c>
      <c r="M130" s="203">
        <f>(L130+O120)</f>
        <v>72.210000000000008</v>
      </c>
      <c r="N130" s="328" t="s">
        <v>1567</v>
      </c>
      <c r="O130" s="328">
        <f>M130</f>
        <v>72.210000000000008</v>
      </c>
      <c r="P130" s="359"/>
    </row>
    <row r="131" spans="3:16" ht="15" customHeight="1" x14ac:dyDescent="0.25">
      <c r="C131">
        <f>32.34-21.5</f>
        <v>10.840000000000003</v>
      </c>
      <c r="H131" s="5" t="s">
        <v>1429</v>
      </c>
      <c r="I131" s="4">
        <v>94.94</v>
      </c>
      <c r="J131" s="4">
        <f t="shared" si="1"/>
        <v>94.94</v>
      </c>
      <c r="K131" s="4">
        <f>J131</f>
        <v>94.94</v>
      </c>
      <c r="L131" s="203">
        <f t="shared" si="2"/>
        <v>104.94</v>
      </c>
      <c r="M131" s="203">
        <f>(L131+O120)</f>
        <v>109.47</v>
      </c>
      <c r="N131" s="362" t="s">
        <v>1983</v>
      </c>
      <c r="O131" s="362">
        <f>SUM(M131:M133)</f>
        <v>204.81</v>
      </c>
      <c r="P131" s="359"/>
    </row>
    <row r="132" spans="3:16" ht="15" customHeight="1" x14ac:dyDescent="0.25">
      <c r="C132">
        <f>29-18.7</f>
        <v>10.3</v>
      </c>
      <c r="H132" s="5" t="s">
        <v>1121</v>
      </c>
      <c r="I132" s="4">
        <v>63.77</v>
      </c>
      <c r="J132" s="4">
        <f t="shared" si="1"/>
        <v>63.77</v>
      </c>
      <c r="K132" s="4">
        <f>J132</f>
        <v>63.77</v>
      </c>
      <c r="L132" s="203">
        <f t="shared" si="2"/>
        <v>73.77000000000001</v>
      </c>
      <c r="M132" s="203">
        <f>(L132+O120)</f>
        <v>78.300000000000011</v>
      </c>
      <c r="N132" s="363"/>
      <c r="O132" s="363"/>
      <c r="P132" s="359"/>
    </row>
    <row r="133" spans="3:16" ht="15" customHeight="1" x14ac:dyDescent="0.25">
      <c r="H133" s="5" t="s">
        <v>1445</v>
      </c>
      <c r="I133" s="4">
        <v>12.51</v>
      </c>
      <c r="J133" s="4">
        <f t="shared" si="1"/>
        <v>12.51</v>
      </c>
      <c r="K133" s="4">
        <f>J133</f>
        <v>12.51</v>
      </c>
      <c r="L133" s="4">
        <f>K133</f>
        <v>12.51</v>
      </c>
      <c r="M133" s="203">
        <f>(L133+O120)</f>
        <v>17.04</v>
      </c>
      <c r="N133" s="364"/>
      <c r="O133" s="364"/>
      <c r="P133" s="359"/>
    </row>
    <row r="134" spans="3:16" x14ac:dyDescent="0.25">
      <c r="I134">
        <f>SUM(I124:I133)</f>
        <v>596.04999999999995</v>
      </c>
      <c r="J134">
        <f>SUM(J124:J133)</f>
        <v>496.03999999999996</v>
      </c>
      <c r="K134">
        <f>SUM(K124:K133)</f>
        <v>453.76</v>
      </c>
      <c r="L134" s="325">
        <f>SUM(L124:L133)</f>
        <v>533.76</v>
      </c>
      <c r="M134">
        <f>SUM(M124:M133)</f>
        <v>574.53</v>
      </c>
    </row>
    <row r="135" spans="3:16" ht="21" x14ac:dyDescent="0.35">
      <c r="I135" t="s">
        <v>1766</v>
      </c>
      <c r="J135">
        <f>J134*8</f>
        <v>3968.3199999999997</v>
      </c>
      <c r="M135" s="246">
        <f>SUM(M124:M133)</f>
        <v>574.53</v>
      </c>
      <c r="N135" s="246"/>
    </row>
    <row r="136" spans="3:16" x14ac:dyDescent="0.25">
      <c r="I136" t="s">
        <v>987</v>
      </c>
      <c r="J136">
        <f>J135*21</f>
        <v>83334.720000000001</v>
      </c>
    </row>
    <row r="137" spans="3:16" x14ac:dyDescent="0.25">
      <c r="I137" t="s">
        <v>1767</v>
      </c>
      <c r="J137" s="16">
        <f>J136*11</f>
        <v>916681.92</v>
      </c>
    </row>
    <row r="138" spans="3:16" x14ac:dyDescent="0.25">
      <c r="D138" t="s">
        <v>1760</v>
      </c>
      <c r="E138">
        <f>3624.51*2</f>
        <v>7249.02</v>
      </c>
      <c r="F138" s="5" t="s">
        <v>1762</v>
      </c>
      <c r="G138" s="5">
        <f>(4541.7*2)</f>
        <v>9083.4</v>
      </c>
      <c r="H138" s="227">
        <f>SUM(G138:G147)</f>
        <v>7049.02</v>
      </c>
      <c r="I138" s="5" t="s">
        <v>1768</v>
      </c>
      <c r="J138" s="4">
        <f>(J137/12)</f>
        <v>76390.16</v>
      </c>
      <c r="K138" s="231">
        <f>SUM(J138,J140,J141,J142,J143,J145,J146)</f>
        <v>58093.349400000006</v>
      </c>
      <c r="L138">
        <f>(J138/2)</f>
        <v>38195.08</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-8464.0297279999995</v>
      </c>
      <c r="K140" s="5"/>
      <c r="L140">
        <f t="shared" si="3"/>
        <v>-4232.0148639999998</v>
      </c>
    </row>
    <row r="141" spans="3:16" x14ac:dyDescent="0.25">
      <c r="F141" s="5" t="s">
        <v>574</v>
      </c>
      <c r="G141" s="5">
        <f>-287.52*2</f>
        <v>-575.04</v>
      </c>
      <c r="H141" s="5">
        <f>ROUND((-G141/G138)*100,2)</f>
        <v>6.33</v>
      </c>
      <c r="I141" s="5"/>
      <c r="J141" s="5">
        <f>-(J138/100)*H141</f>
        <v>-4835.497128</v>
      </c>
      <c r="K141" s="5"/>
      <c r="L141">
        <f t="shared" si="3"/>
        <v>-2417.748564</v>
      </c>
    </row>
    <row r="142" spans="3:16" x14ac:dyDescent="0.25">
      <c r="F142" s="5" t="s">
        <v>573</v>
      </c>
      <c r="G142" s="5">
        <f>-67.24*2</f>
        <v>-134.47999999999999</v>
      </c>
      <c r="H142" s="5">
        <f>ROUND((-G142/G138)*100,2)</f>
        <v>1.48</v>
      </c>
      <c r="I142" s="5"/>
      <c r="J142" s="5">
        <f>-(J138/100)*H142</f>
        <v>-1130.574368</v>
      </c>
      <c r="K142" s="5"/>
      <c r="L142">
        <f t="shared" si="3"/>
        <v>-565.28718400000002</v>
      </c>
    </row>
    <row r="143" spans="3:16" x14ac:dyDescent="0.25">
      <c r="F143" s="5" t="s">
        <v>1765</v>
      </c>
      <c r="G143" s="5">
        <f>-152.65*2</f>
        <v>-305.3</v>
      </c>
      <c r="H143" s="5">
        <f>ROUND((-G143/G138)*100,2)</f>
        <v>3.36</v>
      </c>
      <c r="I143" s="4">
        <f>SUM(H140:H143)</f>
        <v>22.25</v>
      </c>
      <c r="J143" s="5">
        <f>-(J138/100)*H143</f>
        <v>-2566.7093759999998</v>
      </c>
      <c r="K143" s="5">
        <f>SUM(J140:J143)</f>
        <v>-16996.810600000001</v>
      </c>
      <c r="L143">
        <f t="shared" si="3"/>
        <v>-1283.3546879999999</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73" t="s">
        <v>1829</v>
      </c>
      <c r="J149" s="374"/>
      <c r="K149" s="374"/>
      <c r="L149" s="374"/>
      <c r="M149" s="156">
        <v>85</v>
      </c>
      <c r="N149" s="156"/>
      <c r="O149" s="156"/>
    </row>
    <row r="150" spans="4:16" x14ac:dyDescent="0.25">
      <c r="D150" s="155"/>
      <c r="E150" s="155"/>
      <c r="F150" s="5" t="s">
        <v>1763</v>
      </c>
      <c r="G150" s="5"/>
      <c r="H150" s="5"/>
      <c r="I150" s="374"/>
      <c r="J150" s="374"/>
      <c r="K150" s="374"/>
      <c r="L150" s="374"/>
      <c r="M150" s="156"/>
      <c r="N150" s="156"/>
      <c r="O150" s="156"/>
    </row>
    <row r="151" spans="4:16" x14ac:dyDescent="0.25">
      <c r="D151" s="155"/>
      <c r="E151" s="155"/>
      <c r="F151" s="5" t="s">
        <v>1764</v>
      </c>
      <c r="G151" s="5">
        <f>-503.28*2</f>
        <v>-1006.56</v>
      </c>
      <c r="H151" s="5">
        <f>ROUND(-G151/G149*100,2)</f>
        <v>10.07</v>
      </c>
      <c r="I151" s="374"/>
      <c r="J151" s="374"/>
      <c r="K151" s="374"/>
      <c r="L151" s="374"/>
      <c r="M151" s="156"/>
      <c r="N151" s="156"/>
      <c r="O151" s="156"/>
    </row>
    <row r="152" spans="4:16" x14ac:dyDescent="0.25">
      <c r="D152" s="155"/>
      <c r="E152" s="155"/>
      <c r="F152" s="5" t="s">
        <v>574</v>
      </c>
      <c r="G152" s="5">
        <f>-(G149/100)*6.33</f>
        <v>-633</v>
      </c>
      <c r="H152" s="5">
        <f>ROUND((G152/G149)*100,2)</f>
        <v>-6.33</v>
      </c>
      <c r="I152" s="374"/>
      <c r="J152" s="374"/>
      <c r="K152" s="374"/>
      <c r="L152" s="374"/>
      <c r="M152" s="156"/>
      <c r="N152" s="156"/>
      <c r="O152" s="156"/>
    </row>
    <row r="153" spans="4:16" x14ac:dyDescent="0.25">
      <c r="D153" s="155"/>
      <c r="E153" s="155"/>
      <c r="F153" s="5" t="s">
        <v>573</v>
      </c>
      <c r="G153" s="5">
        <f>-(G149/100)*1.48</f>
        <v>-148</v>
      </c>
      <c r="H153" s="5">
        <f>ROUND((G153/G149)*100,2)</f>
        <v>-1.48</v>
      </c>
      <c r="I153" s="374"/>
      <c r="J153" s="374"/>
      <c r="K153" s="374"/>
      <c r="L153" s="374"/>
      <c r="M153" s="156"/>
      <c r="N153" s="156"/>
      <c r="O153" s="156"/>
    </row>
    <row r="154" spans="4:16" x14ac:dyDescent="0.25">
      <c r="D154" s="155"/>
      <c r="E154" s="155"/>
      <c r="F154" s="5" t="s">
        <v>1765</v>
      </c>
      <c r="G154" s="5">
        <f>-(G149/100)*3.36</f>
        <v>-336</v>
      </c>
      <c r="H154" s="5">
        <f>ROUND((-G154/G149)*100,2)</f>
        <v>3.36</v>
      </c>
      <c r="I154" s="374"/>
      <c r="J154" s="374"/>
      <c r="K154" s="374"/>
      <c r="L154" s="374"/>
      <c r="M154" s="156"/>
      <c r="N154" s="156"/>
      <c r="O154" s="156"/>
    </row>
    <row r="155" spans="4:16" x14ac:dyDescent="0.25">
      <c r="D155" s="155"/>
      <c r="E155" s="155"/>
      <c r="F155" s="5"/>
      <c r="G155" s="5"/>
      <c r="I155" s="374"/>
      <c r="J155" s="374"/>
      <c r="K155" s="374"/>
      <c r="L155" s="374"/>
      <c r="M155" s="156"/>
      <c r="N155" s="156"/>
      <c r="O155" s="156"/>
    </row>
    <row r="156" spans="4:16" x14ac:dyDescent="0.25">
      <c r="D156" s="155"/>
      <c r="E156" s="155"/>
      <c r="F156" s="5" t="s">
        <v>1224</v>
      </c>
      <c r="G156" s="5">
        <v>-600</v>
      </c>
      <c r="H156" s="5">
        <f>ROUND((-G156/G149)*100,2)</f>
        <v>6</v>
      </c>
      <c r="I156" s="374"/>
      <c r="J156" s="374"/>
      <c r="K156" s="374"/>
      <c r="L156" s="374"/>
      <c r="M156" s="156"/>
      <c r="N156" s="156"/>
      <c r="O156" s="156"/>
    </row>
    <row r="157" spans="4:16" x14ac:dyDescent="0.25">
      <c r="D157" s="155"/>
      <c r="E157" s="155"/>
      <c r="F157" s="5" t="s">
        <v>1304</v>
      </c>
      <c r="G157" s="5"/>
      <c r="H157" s="5">
        <f>ROUND((-G157/G149)*100,2)</f>
        <v>0</v>
      </c>
      <c r="I157" s="374"/>
      <c r="J157" s="374"/>
      <c r="K157" s="374"/>
      <c r="L157" s="374"/>
      <c r="M157" s="156"/>
      <c r="N157" s="156"/>
      <c r="O157" s="156"/>
    </row>
    <row r="158" spans="4:16" x14ac:dyDescent="0.25">
      <c r="D158" s="155"/>
      <c r="E158" s="155"/>
      <c r="F158" s="5" t="s">
        <v>1226</v>
      </c>
      <c r="G158" s="5"/>
      <c r="H158" s="5">
        <f>ROUND((-G158/G149)*100,2)</f>
        <v>0</v>
      </c>
      <c r="I158" s="374"/>
      <c r="J158" s="374"/>
      <c r="K158" s="374"/>
      <c r="L158" s="374"/>
      <c r="M158" s="156"/>
      <c r="N158" s="156"/>
      <c r="O158" s="156"/>
    </row>
    <row r="159" spans="4:16" x14ac:dyDescent="0.25">
      <c r="D159" s="155"/>
      <c r="E159" s="155"/>
      <c r="F159" s="155"/>
      <c r="G159" s="155"/>
      <c r="H159" s="156"/>
      <c r="I159" s="374"/>
      <c r="J159" s="374"/>
      <c r="K159" s="374"/>
      <c r="L159" s="374"/>
      <c r="M159" s="156"/>
      <c r="N159" s="156"/>
      <c r="O159" s="156"/>
    </row>
    <row r="160" spans="4:16" x14ac:dyDescent="0.25">
      <c r="D160" s="155"/>
      <c r="E160" s="155"/>
      <c r="F160" s="155"/>
      <c r="G160" s="155"/>
      <c r="H160" s="156"/>
      <c r="I160" s="374"/>
      <c r="J160" s="374"/>
      <c r="K160" s="374"/>
      <c r="L160" s="374"/>
      <c r="M160" s="156"/>
      <c r="N160" s="156"/>
      <c r="O160" s="156"/>
    </row>
    <row r="161" spans="4:15" x14ac:dyDescent="0.25">
      <c r="D161" s="155"/>
      <c r="E161" s="155"/>
      <c r="F161" s="155"/>
      <c r="G161" s="155"/>
      <c r="H161" s="156"/>
      <c r="I161" s="374"/>
      <c r="J161" s="374"/>
      <c r="K161" s="374"/>
      <c r="L161" s="374"/>
      <c r="M161" s="156"/>
      <c r="N161" s="156"/>
      <c r="O161" s="156"/>
    </row>
    <row r="162" spans="4:15" x14ac:dyDescent="0.25">
      <c r="D162" s="155"/>
      <c r="E162" s="155"/>
      <c r="F162" s="155"/>
      <c r="G162" s="155"/>
      <c r="H162" s="156"/>
      <c r="I162" s="374"/>
      <c r="J162" s="374"/>
      <c r="K162" s="374"/>
      <c r="L162" s="374"/>
      <c r="M162" s="156"/>
      <c r="N162" s="156"/>
      <c r="O162" s="156"/>
    </row>
    <row r="163" spans="4:15" x14ac:dyDescent="0.25">
      <c r="D163" s="155"/>
      <c r="E163" s="155"/>
      <c r="F163" s="155"/>
      <c r="G163" s="155"/>
      <c r="I163" s="374"/>
      <c r="J163" s="374"/>
      <c r="K163" s="374"/>
      <c r="L163" s="374"/>
    </row>
    <row r="180" spans="8:14" x14ac:dyDescent="0.25">
      <c r="H180" s="5">
        <v>30000</v>
      </c>
      <c r="I180" s="5">
        <v>-2100</v>
      </c>
      <c r="J180" s="5">
        <v>-300</v>
      </c>
    </row>
    <row r="181" spans="8:14" x14ac:dyDescent="0.25">
      <c r="H181" s="5">
        <v>25000</v>
      </c>
      <c r="I181" s="5">
        <v>-3500</v>
      </c>
      <c r="J181" s="5">
        <v>-250</v>
      </c>
    </row>
    <row r="182" spans="8:14" x14ac:dyDescent="0.25">
      <c r="H182" s="5">
        <v>20000</v>
      </c>
      <c r="I182" s="5">
        <v>-4400</v>
      </c>
      <c r="J182" s="5">
        <v>-200</v>
      </c>
    </row>
    <row r="183" spans="8:14" x14ac:dyDescent="0.25">
      <c r="H183" s="5">
        <v>50000</v>
      </c>
      <c r="I183" s="5">
        <v>-13100</v>
      </c>
      <c r="J183" s="5">
        <v>-500</v>
      </c>
    </row>
    <row r="184" spans="8:14" x14ac:dyDescent="0.25">
      <c r="H184" s="5">
        <v>10000</v>
      </c>
      <c r="I184" s="5">
        <v>-2000</v>
      </c>
      <c r="J184" s="5">
        <v>-100</v>
      </c>
    </row>
    <row r="185" spans="8:14" x14ac:dyDescent="0.25">
      <c r="H185" s="5">
        <v>30000</v>
      </c>
      <c r="I185" s="5">
        <v>-15900</v>
      </c>
      <c r="J185" s="5">
        <v>-300</v>
      </c>
    </row>
    <row r="186" spans="8:14" x14ac:dyDescent="0.25">
      <c r="H186" s="5">
        <v>20000</v>
      </c>
      <c r="I186" s="5">
        <v>-8000</v>
      </c>
      <c r="J186" s="5">
        <v>-200</v>
      </c>
    </row>
    <row r="187" spans="8:14" x14ac:dyDescent="0.25">
      <c r="H187" s="5">
        <v>30000</v>
      </c>
      <c r="I187" s="5">
        <v>-7800</v>
      </c>
      <c r="J187" s="5">
        <v>-300</v>
      </c>
    </row>
    <row r="188" spans="8:14" x14ac:dyDescent="0.25">
      <c r="H188" s="5">
        <v>30000</v>
      </c>
      <c r="I188" s="5">
        <v>-5400</v>
      </c>
      <c r="J188" s="5">
        <v>-300</v>
      </c>
    </row>
    <row r="189" spans="8:14" x14ac:dyDescent="0.25">
      <c r="H189" s="5">
        <v>50000</v>
      </c>
      <c r="I189" s="5">
        <v>-12500</v>
      </c>
      <c r="J189" s="5">
        <v>-500</v>
      </c>
    </row>
    <row r="190" spans="8:14" x14ac:dyDescent="0.25">
      <c r="H190" s="5">
        <v>30000</v>
      </c>
      <c r="I190" s="5"/>
      <c r="J190" s="5">
        <v>-300</v>
      </c>
      <c r="N190">
        <v>100</v>
      </c>
    </row>
    <row r="191" spans="8:14" x14ac:dyDescent="0.25">
      <c r="H191" s="5">
        <v>10000</v>
      </c>
      <c r="I191" s="5"/>
      <c r="J191" s="5">
        <v>-100</v>
      </c>
    </row>
    <row r="192" spans="8:14" x14ac:dyDescent="0.25">
      <c r="H192" s="5">
        <v>10000</v>
      </c>
      <c r="I192" s="5">
        <v>-4000</v>
      </c>
      <c r="J192" s="5">
        <v>-200</v>
      </c>
      <c r="K192">
        <f>SUM(J180:J192)</f>
        <v>-3550</v>
      </c>
      <c r="L192">
        <f>(K192*100)+78700</f>
        <v>-276300</v>
      </c>
    </row>
    <row r="193" spans="8:10" x14ac:dyDescent="0.25">
      <c r="H193" s="5">
        <f>SUM(H180:H192)</f>
        <v>345000</v>
      </c>
      <c r="I193" s="5">
        <f>SUM(I180:I192)</f>
        <v>-78700</v>
      </c>
      <c r="J193" s="5">
        <f>SUM(H193:I193)</f>
        <v>266300</v>
      </c>
    </row>
  </sheetData>
  <mergeCells count="17">
    <mergeCell ref="I149:L163"/>
    <mergeCell ref="N124:N126"/>
    <mergeCell ref="N127:N128"/>
    <mergeCell ref="N131:N133"/>
    <mergeCell ref="D117:F117"/>
    <mergeCell ref="G117:H117"/>
    <mergeCell ref="K117:M117"/>
    <mergeCell ref="O124:O126"/>
    <mergeCell ref="P124:P133"/>
    <mergeCell ref="O127:O128"/>
    <mergeCell ref="O131:O133"/>
    <mergeCell ref="B65:C65"/>
    <mergeCell ref="F65:G65"/>
    <mergeCell ref="J65:K65"/>
    <mergeCell ref="D116:F116"/>
    <mergeCell ref="G116:H116"/>
    <mergeCell ref="K116:M116"/>
  </mergeCells>
  <pageMargins left="0.25" right="0.25" top="0.75" bottom="0.75" header="0.3" footer="0.3"/>
  <pageSetup scale="30" fitToHeight="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6"/>
  <sheetViews>
    <sheetView topLeftCell="A10" zoomScale="71" zoomScaleNormal="71" workbookViewId="0">
      <selection activeCell="T47" sqref="T47"/>
    </sheetView>
  </sheetViews>
  <sheetFormatPr defaultRowHeight="15" x14ac:dyDescent="0.25"/>
  <cols>
    <col min="3" max="3" width="41.42578125" bestFit="1" customWidth="1"/>
    <col min="4" max="4" width="3.5703125" bestFit="1" customWidth="1"/>
    <col min="6" max="6" width="11.42578125" bestFit="1" customWidth="1"/>
  </cols>
  <sheetData>
    <row r="2" spans="1:18" x14ac:dyDescent="0.25">
      <c r="C2" t="s">
        <v>175</v>
      </c>
    </row>
    <row r="3" spans="1:18" x14ac:dyDescent="0.25">
      <c r="C3" t="s">
        <v>176</v>
      </c>
    </row>
    <row r="4" spans="1:18" x14ac:dyDescent="0.25">
      <c r="C4" t="s">
        <v>177</v>
      </c>
      <c r="H4" s="373" t="s">
        <v>186</v>
      </c>
      <c r="I4" s="373"/>
      <c r="J4" s="373"/>
      <c r="K4" s="373"/>
      <c r="L4" s="373"/>
      <c r="M4" s="373"/>
      <c r="N4" s="373"/>
      <c r="O4" s="15"/>
    </row>
    <row r="5" spans="1:18" x14ac:dyDescent="0.25">
      <c r="C5" t="s">
        <v>178</v>
      </c>
      <c r="H5" s="373"/>
      <c r="I5" s="373"/>
      <c r="J5" s="373"/>
      <c r="K5" s="373"/>
      <c r="L5" s="373"/>
      <c r="M5" s="373"/>
      <c r="N5" s="373"/>
      <c r="O5" s="15"/>
    </row>
    <row r="6" spans="1:18" x14ac:dyDescent="0.25">
      <c r="C6" t="s">
        <v>179</v>
      </c>
      <c r="H6" s="373"/>
      <c r="I6" s="373"/>
      <c r="J6" s="373"/>
      <c r="K6" s="373"/>
      <c r="L6" s="373"/>
      <c r="M6" s="373"/>
      <c r="N6" s="373"/>
      <c r="O6" s="15"/>
    </row>
    <row r="7" spans="1:18" x14ac:dyDescent="0.25">
      <c r="C7" t="s">
        <v>181</v>
      </c>
      <c r="H7" s="373"/>
      <c r="I7" s="373"/>
      <c r="J7" s="373"/>
      <c r="K7" s="373"/>
      <c r="L7" s="373"/>
      <c r="M7" s="373"/>
      <c r="N7" s="373"/>
      <c r="O7" s="15"/>
    </row>
    <row r="8" spans="1:18" x14ac:dyDescent="0.25">
      <c r="H8" s="373"/>
      <c r="I8" s="373"/>
      <c r="J8" s="373"/>
      <c r="K8" s="373"/>
      <c r="L8" s="373"/>
      <c r="M8" s="373"/>
      <c r="N8" s="373"/>
      <c r="O8" s="15"/>
      <c r="P8" s="17" t="s">
        <v>182</v>
      </c>
      <c r="Q8" s="19" t="s">
        <v>183</v>
      </c>
    </row>
    <row r="9" spans="1:18" x14ac:dyDescent="0.25">
      <c r="H9" s="373"/>
      <c r="I9" s="373"/>
      <c r="J9" s="373"/>
      <c r="K9" s="373"/>
      <c r="L9" s="373"/>
      <c r="M9" s="373"/>
      <c r="N9" s="373"/>
      <c r="O9" s="15" t="s">
        <v>191</v>
      </c>
      <c r="P9" s="18">
        <v>2577</v>
      </c>
      <c r="Q9" s="20">
        <v>2790</v>
      </c>
      <c r="R9" t="s">
        <v>192</v>
      </c>
    </row>
    <row r="10" spans="1:18" x14ac:dyDescent="0.25">
      <c r="H10" s="373"/>
      <c r="I10" s="373"/>
      <c r="J10" s="373"/>
      <c r="K10" s="373"/>
      <c r="L10" s="373"/>
      <c r="M10" s="373"/>
      <c r="N10" s="373"/>
      <c r="O10" s="15" t="s">
        <v>185</v>
      </c>
      <c r="P10" s="18">
        <v>5580</v>
      </c>
      <c r="Q10" s="20">
        <v>6050</v>
      </c>
      <c r="R10" t="s">
        <v>192</v>
      </c>
    </row>
    <row r="11" spans="1:18" x14ac:dyDescent="0.25">
      <c r="H11" s="373"/>
      <c r="I11" s="373"/>
      <c r="J11" s="373"/>
      <c r="K11" s="373"/>
      <c r="L11" s="373"/>
      <c r="M11" s="373"/>
      <c r="N11" s="373"/>
      <c r="O11" s="15"/>
      <c r="P11" s="18"/>
      <c r="Q11" s="20">
        <v>6306</v>
      </c>
      <c r="R11" t="s">
        <v>193</v>
      </c>
    </row>
    <row r="12" spans="1:18" x14ac:dyDescent="0.25">
      <c r="H12" s="373"/>
      <c r="I12" s="373"/>
      <c r="J12" s="373"/>
      <c r="K12" s="373"/>
      <c r="L12" s="373"/>
      <c r="M12" s="373"/>
      <c r="N12" s="373"/>
      <c r="O12" s="15"/>
      <c r="P12" s="18"/>
      <c r="Q12" s="20">
        <v>6604</v>
      </c>
      <c r="R12" t="s">
        <v>194</v>
      </c>
    </row>
    <row r="13" spans="1:18" x14ac:dyDescent="0.25">
      <c r="C13" t="s">
        <v>182</v>
      </c>
      <c r="D13" t="s">
        <v>183</v>
      </c>
      <c r="H13" s="373"/>
      <c r="I13" s="373"/>
      <c r="J13" s="373"/>
      <c r="K13" s="373"/>
      <c r="L13" s="373"/>
      <c r="M13" s="373"/>
      <c r="N13" s="373"/>
      <c r="O13" s="15"/>
      <c r="P13" s="18"/>
      <c r="Q13" s="20">
        <v>7196</v>
      </c>
      <c r="R13" t="s">
        <v>195</v>
      </c>
    </row>
    <row r="14" spans="1:18" x14ac:dyDescent="0.25">
      <c r="A14">
        <v>86125</v>
      </c>
      <c r="B14" t="s">
        <v>184</v>
      </c>
      <c r="C14">
        <v>2577</v>
      </c>
      <c r="H14" s="373"/>
      <c r="I14" s="373"/>
      <c r="J14" s="373"/>
      <c r="K14" s="373"/>
      <c r="L14" s="373"/>
      <c r="M14" s="373"/>
      <c r="N14" s="373"/>
      <c r="O14" s="15"/>
      <c r="P14" s="18"/>
      <c r="Q14" s="20">
        <v>7696</v>
      </c>
      <c r="R14" t="s">
        <v>196</v>
      </c>
    </row>
    <row r="15" spans="1:18" x14ac:dyDescent="0.25">
      <c r="B15" t="s">
        <v>185</v>
      </c>
      <c r="C15">
        <v>5584</v>
      </c>
      <c r="H15" s="373"/>
      <c r="I15" s="373"/>
      <c r="J15" s="373"/>
      <c r="K15" s="373"/>
      <c r="L15" s="373"/>
      <c r="M15" s="373"/>
      <c r="N15" s="373"/>
      <c r="O15" s="15"/>
      <c r="P15" s="18"/>
      <c r="Q15" s="20"/>
    </row>
    <row r="16" spans="1:18" x14ac:dyDescent="0.25">
      <c r="H16" s="373"/>
      <c r="I16" s="373"/>
      <c r="J16" s="373"/>
      <c r="K16" s="373"/>
      <c r="L16" s="373"/>
      <c r="M16" s="373"/>
      <c r="N16" s="373"/>
      <c r="O16" s="15"/>
      <c r="P16" s="18"/>
      <c r="Q16" s="20"/>
    </row>
    <row r="17" spans="2:17" x14ac:dyDescent="0.25">
      <c r="H17" s="373"/>
      <c r="I17" s="373"/>
      <c r="J17" s="373"/>
      <c r="K17" s="373"/>
      <c r="L17" s="373"/>
      <c r="M17" s="373"/>
      <c r="N17" s="373"/>
      <c r="O17" s="15"/>
      <c r="P17" s="18"/>
      <c r="Q17" s="20"/>
    </row>
    <row r="18" spans="2:17" x14ac:dyDescent="0.25">
      <c r="H18" s="373"/>
      <c r="I18" s="373"/>
      <c r="J18" s="373"/>
      <c r="K18" s="373"/>
      <c r="L18" s="373"/>
      <c r="M18" s="373"/>
      <c r="N18" s="373"/>
      <c r="O18" s="15"/>
      <c r="P18" s="18"/>
      <c r="Q18" s="20"/>
    </row>
    <row r="19" spans="2:17" x14ac:dyDescent="0.25">
      <c r="P19" s="18"/>
      <c r="Q19" s="20"/>
    </row>
    <row r="20" spans="2:17" x14ac:dyDescent="0.25">
      <c r="P20" s="18"/>
      <c r="Q20" s="20"/>
    </row>
    <row r="21" spans="2:17" x14ac:dyDescent="0.25">
      <c r="E21">
        <v>100</v>
      </c>
      <c r="F21">
        <v>25</v>
      </c>
      <c r="P21" s="18"/>
      <c r="Q21" s="20"/>
    </row>
    <row r="22" spans="2:17" x14ac:dyDescent="0.25">
      <c r="P22" s="18"/>
      <c r="Q22" s="20"/>
    </row>
    <row r="24" spans="2:17" x14ac:dyDescent="0.25">
      <c r="F24">
        <v>100</v>
      </c>
      <c r="H24">
        <f>E21+(E21/100)*F21</f>
        <v>125</v>
      </c>
    </row>
    <row r="27" spans="2:17" x14ac:dyDescent="0.25">
      <c r="F27" t="s">
        <v>735</v>
      </c>
      <c r="G27" t="s">
        <v>736</v>
      </c>
      <c r="H27" t="s">
        <v>737</v>
      </c>
    </row>
    <row r="28" spans="2:17" x14ac:dyDescent="0.25">
      <c r="F28">
        <v>75</v>
      </c>
      <c r="G28">
        <v>80</v>
      </c>
      <c r="H28">
        <f>(G28/100)*F28</f>
        <v>60</v>
      </c>
    </row>
    <row r="31" spans="2:17" x14ac:dyDescent="0.25">
      <c r="B31" t="s">
        <v>1942</v>
      </c>
      <c r="C31">
        <v>122</v>
      </c>
    </row>
    <row r="32" spans="2:17" x14ac:dyDescent="0.25">
      <c r="B32" s="98" t="s">
        <v>1943</v>
      </c>
      <c r="C32">
        <f>(122+12.2)</f>
        <v>134.19999999999999</v>
      </c>
    </row>
    <row r="33" spans="2:3" x14ac:dyDescent="0.25">
      <c r="B33" t="s">
        <v>1946</v>
      </c>
      <c r="C33">
        <f>(122+24.4)</f>
        <v>146.4</v>
      </c>
    </row>
    <row r="34" spans="2:3" x14ac:dyDescent="0.25">
      <c r="C34">
        <f>SUM(C32, C33)</f>
        <v>280.60000000000002</v>
      </c>
    </row>
    <row r="35" spans="2:3" ht="23.25" x14ac:dyDescent="0.35">
      <c r="B35" t="s">
        <v>1944</v>
      </c>
      <c r="C35" s="304">
        <f>(C34/2)</f>
        <v>140.30000000000001</v>
      </c>
    </row>
    <row r="36" spans="2:3" x14ac:dyDescent="0.25">
      <c r="B36" t="s">
        <v>1945</v>
      </c>
      <c r="C36" s="1">
        <v>135</v>
      </c>
    </row>
  </sheetData>
  <mergeCells count="1">
    <mergeCell ref="H4:N1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B4" zoomScale="51" zoomScaleNormal="51" workbookViewId="0">
      <selection activeCell="E49" sqref="E49"/>
    </sheetView>
  </sheetViews>
  <sheetFormatPr defaultRowHeight="15" x14ac:dyDescent="0.25"/>
  <cols>
    <col min="1" max="1" width="7.28515625" bestFit="1" customWidth="1"/>
    <col min="2" max="2" width="14" customWidth="1"/>
    <col min="3" max="3" width="17.5703125" customWidth="1"/>
    <col min="4" max="4" width="18.28515625" customWidth="1"/>
    <col min="5" max="5" width="26" customWidth="1"/>
  </cols>
  <sheetData>
    <row r="1" spans="1:7" ht="28.5" x14ac:dyDescent="0.25">
      <c r="A1" s="28" t="s">
        <v>249</v>
      </c>
      <c r="B1" s="29" t="s">
        <v>250</v>
      </c>
      <c r="C1" s="30" t="s">
        <v>251</v>
      </c>
      <c r="D1" s="31" t="s">
        <v>252</v>
      </c>
      <c r="E1" s="48" t="s">
        <v>544</v>
      </c>
      <c r="F1" s="48" t="s">
        <v>546</v>
      </c>
      <c r="G1" s="48" t="s">
        <v>547</v>
      </c>
    </row>
    <row r="2" spans="1:7" x14ac:dyDescent="0.25">
      <c r="A2" s="32">
        <v>46</v>
      </c>
      <c r="B2" s="26" t="s">
        <v>58</v>
      </c>
      <c r="C2" s="25">
        <v>430</v>
      </c>
      <c r="D2" s="33">
        <v>115330</v>
      </c>
      <c r="E2" t="s">
        <v>545</v>
      </c>
      <c r="F2" t="s">
        <v>548</v>
      </c>
      <c r="G2" t="s">
        <v>549</v>
      </c>
    </row>
    <row r="3" spans="1:7" x14ac:dyDescent="0.25">
      <c r="A3" s="32">
        <v>50</v>
      </c>
      <c r="B3" s="26" t="s">
        <v>60</v>
      </c>
      <c r="C3" s="25">
        <v>168</v>
      </c>
      <c r="D3" s="33">
        <v>107563</v>
      </c>
    </row>
    <row r="4" spans="1:7" x14ac:dyDescent="0.25">
      <c r="A4" s="32">
        <v>45</v>
      </c>
      <c r="B4" s="26" t="s">
        <v>45</v>
      </c>
      <c r="C4" s="25">
        <v>490</v>
      </c>
      <c r="D4" s="33">
        <v>101225</v>
      </c>
    </row>
    <row r="5" spans="1:7" x14ac:dyDescent="0.25">
      <c r="A5" s="32">
        <v>41</v>
      </c>
      <c r="B5" s="26" t="s">
        <v>30</v>
      </c>
      <c r="C5" s="25">
        <v>714</v>
      </c>
      <c r="D5" s="33">
        <v>98541</v>
      </c>
    </row>
    <row r="6" spans="1:7" x14ac:dyDescent="0.25">
      <c r="A6" s="32">
        <v>8</v>
      </c>
      <c r="B6" s="26" t="s">
        <v>57</v>
      </c>
      <c r="C6" s="27">
        <v>17907</v>
      </c>
      <c r="D6" s="33">
        <v>95118</v>
      </c>
    </row>
    <row r="7" spans="1:7" x14ac:dyDescent="0.25">
      <c r="A7" s="32">
        <v>1</v>
      </c>
      <c r="B7" s="26" t="s">
        <v>17</v>
      </c>
      <c r="C7" s="27">
        <v>98457</v>
      </c>
      <c r="D7" s="33">
        <v>94181</v>
      </c>
    </row>
    <row r="8" spans="1:7" x14ac:dyDescent="0.25">
      <c r="A8" s="32">
        <v>3</v>
      </c>
      <c r="B8" s="26" t="s">
        <v>43</v>
      </c>
      <c r="C8" s="27">
        <v>48836</v>
      </c>
      <c r="D8" s="33">
        <v>89823</v>
      </c>
    </row>
    <row r="9" spans="1:7" x14ac:dyDescent="0.25">
      <c r="A9" s="32">
        <v>51</v>
      </c>
      <c r="B9" s="39" t="s">
        <v>37</v>
      </c>
      <c r="C9" s="38">
        <v>134</v>
      </c>
      <c r="D9" s="33">
        <v>89439</v>
      </c>
    </row>
    <row r="10" spans="1:7" x14ac:dyDescent="0.25">
      <c r="A10" s="32">
        <v>48</v>
      </c>
      <c r="B10" s="26" t="s">
        <v>262</v>
      </c>
      <c r="C10" s="25">
        <v>281</v>
      </c>
      <c r="D10" s="33">
        <v>88818</v>
      </c>
    </row>
    <row r="11" spans="1:7" x14ac:dyDescent="0.25">
      <c r="A11" s="32">
        <v>23</v>
      </c>
      <c r="B11" s="26" t="s">
        <v>48</v>
      </c>
      <c r="C11" s="27">
        <v>4594</v>
      </c>
      <c r="D11" s="33">
        <v>86840</v>
      </c>
    </row>
    <row r="12" spans="1:7" x14ac:dyDescent="0.25">
      <c r="A12" s="32">
        <v>32</v>
      </c>
      <c r="B12" s="26" t="s">
        <v>259</v>
      </c>
      <c r="C12" s="27">
        <v>2170</v>
      </c>
      <c r="D12" s="33">
        <v>86603</v>
      </c>
    </row>
    <row r="13" spans="1:7" x14ac:dyDescent="0.25">
      <c r="A13" s="32">
        <v>49</v>
      </c>
      <c r="B13" s="26" t="s">
        <v>14</v>
      </c>
      <c r="C13" s="25">
        <v>246</v>
      </c>
      <c r="D13" s="33">
        <v>85724</v>
      </c>
    </row>
    <row r="14" spans="1:7" x14ac:dyDescent="0.25">
      <c r="A14" s="32">
        <v>42</v>
      </c>
      <c r="B14" s="26" t="s">
        <v>35</v>
      </c>
      <c r="C14" s="25">
        <v>678</v>
      </c>
      <c r="D14" s="33">
        <v>85545</v>
      </c>
    </row>
    <row r="15" spans="1:7" x14ac:dyDescent="0.25">
      <c r="A15" s="32">
        <v>40</v>
      </c>
      <c r="B15" s="26" t="s">
        <v>42</v>
      </c>
      <c r="C15" s="25">
        <v>908</v>
      </c>
      <c r="D15" s="33">
        <v>85413</v>
      </c>
    </row>
    <row r="16" spans="1:7" x14ac:dyDescent="0.25">
      <c r="A16" s="32">
        <v>6</v>
      </c>
      <c r="B16" s="26" t="s">
        <v>253</v>
      </c>
      <c r="C16" s="27">
        <v>19897</v>
      </c>
      <c r="D16" s="33">
        <v>84556</v>
      </c>
    </row>
    <row r="17" spans="1:7" x14ac:dyDescent="0.25">
      <c r="A17" s="32">
        <v>47</v>
      </c>
      <c r="B17" s="26" t="s">
        <v>55</v>
      </c>
      <c r="C17" s="25">
        <v>361</v>
      </c>
      <c r="D17" s="33">
        <v>82687</v>
      </c>
    </row>
    <row r="18" spans="1:7" ht="30" x14ac:dyDescent="0.25">
      <c r="A18" s="32">
        <v>25</v>
      </c>
      <c r="B18" s="26" t="s">
        <v>257</v>
      </c>
      <c r="C18" s="27">
        <v>3725</v>
      </c>
      <c r="D18" s="33">
        <v>82679</v>
      </c>
    </row>
    <row r="19" spans="1:7" x14ac:dyDescent="0.25">
      <c r="A19" s="32">
        <v>35</v>
      </c>
      <c r="B19" s="26" t="s">
        <v>29</v>
      </c>
      <c r="C19" s="27">
        <v>1838</v>
      </c>
      <c r="D19" s="33">
        <v>82408</v>
      </c>
    </row>
    <row r="20" spans="1:7" x14ac:dyDescent="0.25">
      <c r="A20" s="32">
        <v>17</v>
      </c>
      <c r="B20" s="26" t="s">
        <v>18</v>
      </c>
      <c r="C20" s="27">
        <v>8914</v>
      </c>
      <c r="D20" s="33">
        <v>82241</v>
      </c>
    </row>
    <row r="21" spans="1:7" x14ac:dyDescent="0.25">
      <c r="A21" s="32">
        <v>27</v>
      </c>
      <c r="B21" s="26" t="s">
        <v>258</v>
      </c>
      <c r="C21" s="27">
        <v>3166</v>
      </c>
      <c r="D21" s="33">
        <v>81325</v>
      </c>
    </row>
    <row r="22" spans="1:7" ht="30" x14ac:dyDescent="0.25">
      <c r="A22" s="32">
        <v>38</v>
      </c>
      <c r="B22" s="26" t="s">
        <v>260</v>
      </c>
      <c r="C22" s="27">
        <v>1676</v>
      </c>
      <c r="D22" s="33">
        <v>80732</v>
      </c>
    </row>
    <row r="23" spans="1:7" x14ac:dyDescent="0.25">
      <c r="A23" s="32">
        <v>39</v>
      </c>
      <c r="B23" s="26" t="s">
        <v>39</v>
      </c>
      <c r="C23" s="27">
        <v>1230</v>
      </c>
      <c r="D23" s="33">
        <v>80473</v>
      </c>
    </row>
    <row r="24" spans="1:7" x14ac:dyDescent="0.25">
      <c r="A24" s="32">
        <v>20</v>
      </c>
      <c r="B24" s="26" t="s">
        <v>255</v>
      </c>
      <c r="C24" s="27">
        <v>5809</v>
      </c>
      <c r="D24" s="33">
        <v>80361</v>
      </c>
    </row>
    <row r="25" spans="1:7" x14ac:dyDescent="0.25">
      <c r="A25" s="32">
        <v>31</v>
      </c>
      <c r="B25" s="26" t="s">
        <v>50</v>
      </c>
      <c r="C25" s="27">
        <v>2222</v>
      </c>
      <c r="D25" s="33">
        <v>80176</v>
      </c>
    </row>
    <row r="26" spans="1:7" x14ac:dyDescent="0.25">
      <c r="A26" s="32">
        <v>21</v>
      </c>
      <c r="B26" s="26" t="s">
        <v>59</v>
      </c>
      <c r="C26" s="27">
        <v>5529</v>
      </c>
      <c r="D26" s="33">
        <v>79853</v>
      </c>
    </row>
    <row r="27" spans="1:7" x14ac:dyDescent="0.25">
      <c r="A27" s="32">
        <v>22</v>
      </c>
      <c r="B27" s="26" t="s">
        <v>25</v>
      </c>
      <c r="C27" s="27">
        <v>5505</v>
      </c>
      <c r="D27" s="33">
        <v>79609</v>
      </c>
    </row>
    <row r="28" spans="1:7" x14ac:dyDescent="0.25">
      <c r="A28" s="32">
        <v>26</v>
      </c>
      <c r="B28" s="26" t="s">
        <v>19</v>
      </c>
      <c r="C28" s="27">
        <v>3180</v>
      </c>
      <c r="D28" s="33">
        <v>79097</v>
      </c>
    </row>
    <row r="29" spans="1:7" x14ac:dyDescent="0.25">
      <c r="A29" s="32">
        <v>16</v>
      </c>
      <c r="B29" s="26" t="s">
        <v>34</v>
      </c>
      <c r="C29" s="27">
        <v>8994</v>
      </c>
      <c r="D29" s="33">
        <v>79055</v>
      </c>
    </row>
    <row r="30" spans="1:7" x14ac:dyDescent="0.25">
      <c r="A30" s="32">
        <v>18</v>
      </c>
      <c r="B30" s="26" t="s">
        <v>12</v>
      </c>
      <c r="C30" s="27">
        <v>7301</v>
      </c>
      <c r="D30" s="33">
        <v>79016</v>
      </c>
      <c r="E30" t="s">
        <v>556</v>
      </c>
      <c r="F30" t="s">
        <v>557</v>
      </c>
      <c r="G30" t="s">
        <v>558</v>
      </c>
    </row>
    <row r="31" spans="1:7" x14ac:dyDescent="0.25">
      <c r="A31" s="32">
        <v>11</v>
      </c>
      <c r="B31" s="26" t="s">
        <v>56</v>
      </c>
      <c r="C31" s="27">
        <v>15467</v>
      </c>
      <c r="D31" s="33">
        <v>78886</v>
      </c>
      <c r="E31" t="s">
        <v>550</v>
      </c>
      <c r="F31" t="s">
        <v>551</v>
      </c>
      <c r="G31" t="s">
        <v>552</v>
      </c>
    </row>
    <row r="32" spans="1:7" x14ac:dyDescent="0.25">
      <c r="A32" s="32">
        <v>15</v>
      </c>
      <c r="B32" s="26" t="s">
        <v>31</v>
      </c>
      <c r="C32" s="27">
        <v>9592</v>
      </c>
      <c r="D32" s="33">
        <v>78673</v>
      </c>
      <c r="E32" t="s">
        <v>555</v>
      </c>
      <c r="F32" t="s">
        <v>553</v>
      </c>
      <c r="G32" t="s">
        <v>554</v>
      </c>
    </row>
    <row r="33" spans="1:7" x14ac:dyDescent="0.25">
      <c r="A33" s="32">
        <v>13</v>
      </c>
      <c r="B33" s="26" t="s">
        <v>44</v>
      </c>
      <c r="C33" s="27">
        <v>13545</v>
      </c>
      <c r="D33" s="33">
        <v>78660</v>
      </c>
      <c r="E33" t="s">
        <v>559</v>
      </c>
      <c r="F33" t="s">
        <v>560</v>
      </c>
      <c r="G33" t="s">
        <v>561</v>
      </c>
    </row>
    <row r="34" spans="1:7" x14ac:dyDescent="0.25">
      <c r="A34" s="32">
        <v>7</v>
      </c>
      <c r="B34" s="26" t="s">
        <v>254</v>
      </c>
      <c r="C34" s="27">
        <v>19133</v>
      </c>
      <c r="D34" s="33">
        <v>78548</v>
      </c>
    </row>
    <row r="35" spans="1:7" x14ac:dyDescent="0.25">
      <c r="A35" s="32">
        <v>2</v>
      </c>
      <c r="B35" s="26" t="s">
        <v>53</v>
      </c>
      <c r="C35" s="27">
        <v>51814</v>
      </c>
      <c r="D35" s="33">
        <v>78226</v>
      </c>
    </row>
    <row r="36" spans="1:7" x14ac:dyDescent="0.25">
      <c r="A36" s="32">
        <v>30</v>
      </c>
      <c r="B36" s="26" t="s">
        <v>16</v>
      </c>
      <c r="C36" s="27">
        <v>2328</v>
      </c>
      <c r="D36" s="33">
        <v>78064</v>
      </c>
    </row>
    <row r="37" spans="1:7" x14ac:dyDescent="0.25">
      <c r="A37" s="32">
        <v>24</v>
      </c>
      <c r="B37" s="26" t="s">
        <v>256</v>
      </c>
      <c r="C37" s="27">
        <v>4582</v>
      </c>
      <c r="D37" s="33">
        <v>77977</v>
      </c>
    </row>
    <row r="38" spans="1:7" x14ac:dyDescent="0.25">
      <c r="A38" s="32">
        <v>5</v>
      </c>
      <c r="B38" s="26" t="s">
        <v>24</v>
      </c>
      <c r="C38" s="27">
        <v>27399</v>
      </c>
      <c r="D38" s="33">
        <v>77885</v>
      </c>
    </row>
    <row r="39" spans="1:7" x14ac:dyDescent="0.25">
      <c r="A39" s="32">
        <v>36</v>
      </c>
      <c r="B39" s="26" t="s">
        <v>13</v>
      </c>
      <c r="C39" s="27">
        <v>1777</v>
      </c>
      <c r="D39" s="33">
        <v>77730</v>
      </c>
    </row>
    <row r="40" spans="1:7" x14ac:dyDescent="0.25">
      <c r="A40" s="32">
        <v>37</v>
      </c>
      <c r="B40" s="26" t="s">
        <v>38</v>
      </c>
      <c r="C40" s="27">
        <v>1708</v>
      </c>
      <c r="D40" s="33">
        <v>77642</v>
      </c>
    </row>
    <row r="41" spans="1:7" x14ac:dyDescent="0.25">
      <c r="A41" s="32">
        <v>43</v>
      </c>
      <c r="B41" s="26" t="s">
        <v>23</v>
      </c>
      <c r="C41" s="25">
        <v>609</v>
      </c>
      <c r="D41" s="33">
        <v>77581</v>
      </c>
    </row>
    <row r="42" spans="1:7" x14ac:dyDescent="0.25">
      <c r="A42" s="32">
        <v>34</v>
      </c>
      <c r="B42" s="26" t="s">
        <v>47</v>
      </c>
      <c r="C42" s="27">
        <v>1845</v>
      </c>
      <c r="D42" s="33">
        <v>76716</v>
      </c>
    </row>
    <row r="43" spans="1:7" x14ac:dyDescent="0.25">
      <c r="A43" s="32">
        <v>9</v>
      </c>
      <c r="B43" s="26" t="s">
        <v>21</v>
      </c>
      <c r="C43" s="27">
        <v>17714</v>
      </c>
      <c r="D43" s="33">
        <v>76638</v>
      </c>
      <c r="E43" t="s">
        <v>205</v>
      </c>
      <c r="F43" t="s">
        <v>562</v>
      </c>
      <c r="G43" t="s">
        <v>563</v>
      </c>
    </row>
    <row r="44" spans="1:7" x14ac:dyDescent="0.25">
      <c r="A44" s="32">
        <v>4</v>
      </c>
      <c r="B44" s="26" t="s">
        <v>204</v>
      </c>
      <c r="C44" s="27">
        <v>36769</v>
      </c>
      <c r="D44" s="33">
        <v>76393</v>
      </c>
    </row>
    <row r="45" spans="1:7" x14ac:dyDescent="0.25">
      <c r="A45" s="32">
        <v>19</v>
      </c>
      <c r="B45" s="26" t="s">
        <v>36</v>
      </c>
      <c r="C45" s="27">
        <v>6198</v>
      </c>
      <c r="D45" s="33">
        <v>76284</v>
      </c>
    </row>
    <row r="46" spans="1:7" x14ac:dyDescent="0.25">
      <c r="A46" s="32">
        <v>28</v>
      </c>
      <c r="B46" s="26" t="s">
        <v>27</v>
      </c>
      <c r="C46" s="27">
        <v>2423</v>
      </c>
      <c r="D46" s="33">
        <v>76138</v>
      </c>
    </row>
    <row r="47" spans="1:7" x14ac:dyDescent="0.25">
      <c r="A47" s="32">
        <v>14</v>
      </c>
      <c r="B47" s="26" t="s">
        <v>46</v>
      </c>
      <c r="C47" s="27">
        <v>13507</v>
      </c>
      <c r="D47" s="33">
        <v>76006</v>
      </c>
    </row>
    <row r="48" spans="1:7" x14ac:dyDescent="0.25">
      <c r="A48" s="32">
        <v>12</v>
      </c>
      <c r="B48" s="26" t="s">
        <v>33</v>
      </c>
      <c r="C48" s="27">
        <v>13910</v>
      </c>
      <c r="D48" s="33">
        <v>75695</v>
      </c>
    </row>
    <row r="49" spans="1:4" x14ac:dyDescent="0.25">
      <c r="A49" s="32">
        <v>10</v>
      </c>
      <c r="B49" s="26" t="s">
        <v>20</v>
      </c>
      <c r="C49" s="27">
        <v>17629</v>
      </c>
      <c r="D49" s="33">
        <v>75444</v>
      </c>
    </row>
    <row r="50" spans="1:4" x14ac:dyDescent="0.25">
      <c r="A50" s="32">
        <v>29</v>
      </c>
      <c r="B50" s="26" t="s">
        <v>54</v>
      </c>
      <c r="C50" s="27">
        <v>2368</v>
      </c>
      <c r="D50" s="33">
        <v>74808</v>
      </c>
    </row>
    <row r="51" spans="1:4" x14ac:dyDescent="0.25">
      <c r="A51" s="32">
        <v>33</v>
      </c>
      <c r="B51" s="26" t="s">
        <v>51</v>
      </c>
      <c r="C51" s="27">
        <v>2082</v>
      </c>
      <c r="D51" s="33">
        <v>73995</v>
      </c>
    </row>
    <row r="52" spans="1:4" ht="15.75" thickBot="1" x14ac:dyDescent="0.3">
      <c r="A52" s="34">
        <v>44</v>
      </c>
      <c r="B52" s="35" t="s">
        <v>261</v>
      </c>
      <c r="C52" s="36">
        <v>602</v>
      </c>
      <c r="D52" s="37">
        <v>68650</v>
      </c>
    </row>
  </sheetData>
  <autoFilter ref="A1:D1">
    <sortState ref="A2:D52">
      <sortCondition descending="1" ref="D1"/>
    </sortState>
  </autoFilter>
  <hyperlinks>
    <hyperlink ref="C1" location="LCA" display="LCA"/>
    <hyperlink ref="B7" r:id="rId1" display="http://www.myvisajobs.com/California-2015WS.htm"/>
    <hyperlink ref="B35" r:id="rId2" display="http://www.myvisajobs.com/Texas-2015WS.htm"/>
    <hyperlink ref="B8" r:id="rId3" display="http://www.myvisajobs.com/New-York-2015WS.htm"/>
    <hyperlink ref="B44" r:id="rId4" display="http://www.myvisajobs.com/New-Jersey-2015WS.htm"/>
    <hyperlink ref="B38" r:id="rId5" display="http://www.myvisajobs.com/Illinois-2015WS.htm"/>
    <hyperlink ref="B16" r:id="rId6" display="http://www.myvisajobs.com/Massachusetts-2015WS.htm"/>
    <hyperlink ref="B34" r:id="rId7" display="http://www.myvisajobs.com/Pennsylvania-2015WS.htm"/>
    <hyperlink ref="B6" r:id="rId8" display="http://www.myvisajobs.com/Washington-2015WS.htm"/>
    <hyperlink ref="B43" r:id="rId9" display="http://www.myvisajobs.com/Georgia-2015WS.htm"/>
    <hyperlink ref="B49" r:id="rId10" display="http://www.myvisajobs.com/Florida-2015WS.htm"/>
    <hyperlink ref="B31" r:id="rId11" display="http://www.myvisajobs.com/Virginia-2015WS.htm"/>
    <hyperlink ref="B48" r:id="rId12" display="http://www.myvisajobs.com/Michigan-2015WS.htm"/>
    <hyperlink ref="B33" r:id="rId13" display="http://www.myvisajobs.com/North-Carolina-2015WS.htm"/>
    <hyperlink ref="B47" r:id="rId14" display="http://www.myvisajobs.com/Ohio-2015WS.htm"/>
    <hyperlink ref="B32" r:id="rId15" display="http://www.myvisajobs.com/Maryland-2015WS.htm"/>
    <hyperlink ref="B29" r:id="rId16" display="http://www.myvisajobs.com/Minnesota-2015WS.htm"/>
    <hyperlink ref="B20" r:id="rId17" display="http://www.myvisajobs.com/Connecticut-2015WS.htm"/>
    <hyperlink ref="B30" r:id="rId18" display="http://www.myvisajobs.com/Arizona-2015WS.htm"/>
    <hyperlink ref="B45" r:id="rId19" display="http://www.myvisajobs.com/Missouri-2015WS.htm"/>
    <hyperlink ref="B24" r:id="rId20" display="http://www.myvisajobs.com/Colorado-2015WS.htm"/>
    <hyperlink ref="B26" r:id="rId21" display="http://www.myvisajobs.com/Wisconsin-2015WS.htm"/>
    <hyperlink ref="B27" r:id="rId22" display="http://www.myvisajobs.com/Indiana-2015WS.htm"/>
    <hyperlink ref="B11" r:id="rId23" display="http://www.myvisajobs.com/Oregon-2015WS.htm"/>
    <hyperlink ref="B37" r:id="rId24" display="http://www.myvisajobs.com/Tennessee-2015WS.htm"/>
    <hyperlink ref="B18" r:id="rId25" display="http://www.myvisajobs.com/District-of-Columbia-2015WS.htm"/>
    <hyperlink ref="B28" r:id="rId26" display="http://www.myvisajobs.com/Delaware-2015WS.htm"/>
    <hyperlink ref="B21" r:id="rId27" display="http://www.myvisajobs.com/Iowa-2015WS.htm"/>
    <hyperlink ref="B46" r:id="rId28" display="http://www.myvisajobs.com/Kansas-2015WS.htm"/>
    <hyperlink ref="B50" r:id="rId29" display="http://www.myvisajobs.com/Utah-2015WS.htm"/>
    <hyperlink ref="B36" r:id="rId30" display="http://www.myvisajobs.com/Arkansas-2015WS.htm"/>
    <hyperlink ref="B25" r:id="rId31" display="http://www.myvisajobs.com/Rhode-Island-2015WS.htm"/>
    <hyperlink ref="B12" r:id="rId32" display="http://www.myvisajobs.com/Kentucky-2015WS.htm"/>
    <hyperlink ref="B51" r:id="rId33" display="http://www.myvisajobs.com/South-Carolina-2015WS.htm"/>
    <hyperlink ref="B42" r:id="rId34" display="http://www.myvisajobs.com/Oklahoma-2015WS.htm"/>
    <hyperlink ref="B19" r:id="rId35" display="http://www.myvisajobs.com/Louisiana-2015WS.htm"/>
    <hyperlink ref="B39" r:id="rId36" display="http://www.myvisajobs.com/Alabama-2015WS.htm"/>
    <hyperlink ref="B40" r:id="rId37" display="http://www.myvisajobs.com/Nebraska-2015WS.htm"/>
    <hyperlink ref="B22" r:id="rId38" display="http://www.myvisajobs.com/New-Hampshire-2015WS.htm"/>
    <hyperlink ref="B23" r:id="rId39" display="http://www.myvisajobs.com/Nevada-2015WS.htm"/>
    <hyperlink ref="B15" r:id="rId40" display="http://www.myvisajobs.com/New-Mexico-2015WS.htm"/>
    <hyperlink ref="B5" r:id="rId41" display="http://www.myvisajobs.com/Maine-2015WS.htm"/>
    <hyperlink ref="B14" r:id="rId42" display="http://www.myvisajobs.com/Mississippi-2015WS.htm"/>
    <hyperlink ref="B41" r:id="rId43" display="http://www.myvisajobs.com/Idaho-2015WS.htm"/>
    <hyperlink ref="B52" r:id="rId44" display="http://www.myvisajobs.com/Hawaii-2015WS.htm"/>
    <hyperlink ref="B4" r:id="rId45" display="http://www.myvisajobs.com/North-Dakota-2015WS.htm"/>
    <hyperlink ref="B2" r:id="rId46" display="http://www.myvisajobs.com/West-Virginia-2015WS.htm"/>
    <hyperlink ref="B17" r:id="rId47" display="http://www.myvisajobs.com/Vermont-2015WS.htm"/>
    <hyperlink ref="B10" r:id="rId48" display="http://www.myvisajobs.com/South-Dakota-2015WS.htm"/>
    <hyperlink ref="B13" r:id="rId49" display="http://www.myvisajobs.com/Alaska-2015WS.htm"/>
    <hyperlink ref="B3" r:id="rId50" display="http://www.myvisajobs.com/Wyoming-2015WS.htm"/>
    <hyperlink ref="B9" r:id="rId51" display="http://www.myvisajobs.com/Montana-2015WS.htm"/>
  </hyperlinks>
  <pageMargins left="0.7" right="0.7" top="0.75" bottom="0.75" header="0.3" footer="0.3"/>
  <pageSetup orientation="portrait" r:id="rId52"/>
  <legacyDrawing r:id="rId5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4" sqref="A4"/>
    </sheetView>
  </sheetViews>
  <sheetFormatPr defaultRowHeight="15" x14ac:dyDescent="0.25"/>
  <sheetData>
    <row r="1" spans="1:8" ht="26.25" x14ac:dyDescent="0.4">
      <c r="A1" t="s">
        <v>1569</v>
      </c>
      <c r="B1">
        <v>25</v>
      </c>
      <c r="E1" s="198">
        <f>SUM(B1:B28)</f>
        <v>225</v>
      </c>
      <c r="G1" t="s">
        <v>1571</v>
      </c>
      <c r="H1" s="202">
        <f>(1000-E1)</f>
        <v>775</v>
      </c>
    </row>
    <row r="2" spans="1:8" x14ac:dyDescent="0.25">
      <c r="A2" t="s">
        <v>1570</v>
      </c>
      <c r="B2">
        <v>200</v>
      </c>
    </row>
    <row r="3" spans="1:8" x14ac:dyDescent="0.25">
      <c r="A3" t="s">
        <v>1572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B1" workbookViewId="0">
      <selection activeCell="G5" sqref="G5:I27"/>
    </sheetView>
  </sheetViews>
  <sheetFormatPr defaultRowHeight="15" x14ac:dyDescent="0.25"/>
  <cols>
    <col min="1" max="1" width="30.42578125" customWidth="1"/>
    <col min="2" max="2" width="35.7109375" bestFit="1" customWidth="1"/>
    <col min="3" max="3" width="16.140625" bestFit="1" customWidth="1"/>
    <col min="7" max="7" width="68.28515625" bestFit="1" customWidth="1"/>
    <col min="9" max="9" width="19.140625" bestFit="1" customWidth="1"/>
  </cols>
  <sheetData>
    <row r="1" spans="1:9" x14ac:dyDescent="0.25">
      <c r="A1" t="s">
        <v>419</v>
      </c>
      <c r="G1" s="1" t="s">
        <v>510</v>
      </c>
    </row>
    <row r="2" spans="1:9" x14ac:dyDescent="0.25">
      <c r="A2" t="s">
        <v>510</v>
      </c>
      <c r="B2" t="s">
        <v>831</v>
      </c>
      <c r="G2" t="s">
        <v>935</v>
      </c>
    </row>
    <row r="3" spans="1:9" x14ac:dyDescent="0.25">
      <c r="A3" t="s">
        <v>420</v>
      </c>
      <c r="B3" t="s">
        <v>832</v>
      </c>
      <c r="G3" s="1" t="s">
        <v>936</v>
      </c>
    </row>
    <row r="4" spans="1:9" x14ac:dyDescent="0.25">
      <c r="G4" t="s">
        <v>937</v>
      </c>
    </row>
    <row r="5" spans="1:9" x14ac:dyDescent="0.25">
      <c r="B5" s="63" t="s">
        <v>828</v>
      </c>
      <c r="G5" s="4" t="s">
        <v>880</v>
      </c>
      <c r="H5" s="5" t="s">
        <v>883</v>
      </c>
      <c r="I5" s="5" t="s">
        <v>882</v>
      </c>
    </row>
    <row r="6" spans="1:9" ht="30" x14ac:dyDescent="0.25">
      <c r="B6" t="s">
        <v>826</v>
      </c>
      <c r="C6" t="s">
        <v>827</v>
      </c>
      <c r="G6" s="122" t="s">
        <v>881</v>
      </c>
      <c r="H6" s="6"/>
      <c r="I6" s="6" t="s">
        <v>884</v>
      </c>
    </row>
    <row r="7" spans="1:9" ht="30" x14ac:dyDescent="0.25">
      <c r="G7" s="122" t="s">
        <v>885</v>
      </c>
      <c r="H7" s="6"/>
      <c r="I7" s="6" t="s">
        <v>886</v>
      </c>
    </row>
    <row r="8" spans="1:9" ht="30" x14ac:dyDescent="0.25">
      <c r="B8" s="63" t="s">
        <v>829</v>
      </c>
      <c r="G8" s="123" t="s">
        <v>887</v>
      </c>
      <c r="H8" s="124"/>
      <c r="I8" s="124" t="s">
        <v>888</v>
      </c>
    </row>
    <row r="9" spans="1:9" ht="30" x14ac:dyDescent="0.25">
      <c r="G9" s="123" t="s">
        <v>889</v>
      </c>
      <c r="H9" s="124"/>
      <c r="I9" s="124" t="s">
        <v>890</v>
      </c>
    </row>
    <row r="10" spans="1:9" ht="30" x14ac:dyDescent="0.25">
      <c r="B10" s="63" t="s">
        <v>830</v>
      </c>
      <c r="G10" s="123" t="s">
        <v>891</v>
      </c>
      <c r="H10" s="124"/>
      <c r="I10" s="124" t="s">
        <v>892</v>
      </c>
    </row>
    <row r="11" spans="1:9" ht="30" x14ac:dyDescent="0.25">
      <c r="G11" s="125" t="s">
        <v>893</v>
      </c>
      <c r="H11" s="126"/>
      <c r="I11" s="126" t="s">
        <v>894</v>
      </c>
    </row>
    <row r="12" spans="1:9" ht="30" x14ac:dyDescent="0.25">
      <c r="B12" s="63" t="s">
        <v>835</v>
      </c>
      <c r="G12" s="123" t="s">
        <v>895</v>
      </c>
      <c r="H12" s="124"/>
      <c r="I12" s="124" t="s">
        <v>896</v>
      </c>
    </row>
    <row r="13" spans="1:9" ht="45" x14ac:dyDescent="0.25">
      <c r="G13" s="122" t="s">
        <v>926</v>
      </c>
      <c r="H13" s="6"/>
      <c r="I13" s="6" t="s">
        <v>897</v>
      </c>
    </row>
    <row r="14" spans="1:9" ht="30" x14ac:dyDescent="0.25">
      <c r="B14" s="63" t="s">
        <v>845</v>
      </c>
      <c r="G14" s="125" t="s">
        <v>898</v>
      </c>
      <c r="H14" s="126"/>
      <c r="I14" s="126" t="s">
        <v>899</v>
      </c>
    </row>
    <row r="15" spans="1:9" ht="30" x14ac:dyDescent="0.25">
      <c r="G15" s="125" t="s">
        <v>900</v>
      </c>
      <c r="H15" s="126"/>
      <c r="I15" s="126" t="s">
        <v>901</v>
      </c>
    </row>
    <row r="16" spans="1:9" ht="30" x14ac:dyDescent="0.25">
      <c r="B16" s="63" t="s">
        <v>879</v>
      </c>
      <c r="G16" s="123" t="s">
        <v>902</v>
      </c>
      <c r="H16" s="124"/>
      <c r="I16" s="124" t="s">
        <v>903</v>
      </c>
    </row>
    <row r="17" spans="2:9" ht="30" x14ac:dyDescent="0.25">
      <c r="G17" s="123" t="s">
        <v>904</v>
      </c>
      <c r="H17" s="124"/>
      <c r="I17" s="124" t="s">
        <v>905</v>
      </c>
    </row>
    <row r="18" spans="2:9" ht="30" x14ac:dyDescent="0.25">
      <c r="G18" s="122" t="s">
        <v>906</v>
      </c>
      <c r="H18" s="6"/>
      <c r="I18" s="6" t="s">
        <v>907</v>
      </c>
    </row>
    <row r="19" spans="2:9" ht="61.5" x14ac:dyDescent="0.9">
      <c r="B19" s="127" t="s">
        <v>927</v>
      </c>
      <c r="G19" s="125" t="s">
        <v>908</v>
      </c>
      <c r="H19" s="126"/>
      <c r="I19" s="126" t="s">
        <v>909</v>
      </c>
    </row>
    <row r="20" spans="2:9" ht="30" x14ac:dyDescent="0.25">
      <c r="B20" t="s">
        <v>872</v>
      </c>
      <c r="G20" s="123" t="s">
        <v>910</v>
      </c>
      <c r="H20" s="124"/>
      <c r="I20" s="124" t="s">
        <v>911</v>
      </c>
    </row>
    <row r="21" spans="2:9" ht="30" x14ac:dyDescent="0.25">
      <c r="B21" t="s">
        <v>419</v>
      </c>
      <c r="G21" s="123" t="s">
        <v>912</v>
      </c>
      <c r="H21" s="124"/>
      <c r="I21" s="124" t="s">
        <v>913</v>
      </c>
    </row>
    <row r="22" spans="2:9" ht="30" x14ac:dyDescent="0.25">
      <c r="B22" t="s">
        <v>510</v>
      </c>
      <c r="G22" s="123" t="s">
        <v>914</v>
      </c>
      <c r="H22" s="124"/>
      <c r="I22" s="124" t="s">
        <v>920</v>
      </c>
    </row>
    <row r="23" spans="2:9" ht="30" x14ac:dyDescent="0.25">
      <c r="B23" t="s">
        <v>928</v>
      </c>
      <c r="G23" s="125" t="s">
        <v>915</v>
      </c>
      <c r="H23" s="126"/>
      <c r="I23" s="126" t="s">
        <v>921</v>
      </c>
    </row>
    <row r="24" spans="2:9" ht="30" x14ac:dyDescent="0.25">
      <c r="B24" t="s">
        <v>929</v>
      </c>
      <c r="G24" s="123" t="s">
        <v>916</v>
      </c>
      <c r="H24" s="124"/>
      <c r="I24" s="124" t="s">
        <v>922</v>
      </c>
    </row>
    <row r="25" spans="2:9" ht="30" x14ac:dyDescent="0.25">
      <c r="B25" t="s">
        <v>930</v>
      </c>
      <c r="G25" s="123" t="s">
        <v>917</v>
      </c>
      <c r="H25" s="124"/>
      <c r="I25" s="124" t="s">
        <v>923</v>
      </c>
    </row>
    <row r="26" spans="2:9" ht="30" x14ac:dyDescent="0.25">
      <c r="G26" s="123" t="s">
        <v>918</v>
      </c>
      <c r="H26" s="124"/>
      <c r="I26" s="124" t="s">
        <v>924</v>
      </c>
    </row>
    <row r="27" spans="2:9" ht="30" x14ac:dyDescent="0.25">
      <c r="G27" s="123" t="s">
        <v>919</v>
      </c>
      <c r="H27" s="124"/>
      <c r="I27" s="124" t="s">
        <v>925</v>
      </c>
    </row>
    <row r="34" spans="7:9" x14ac:dyDescent="0.25">
      <c r="G34" s="5"/>
      <c r="H34" s="5"/>
      <c r="I34" s="5"/>
    </row>
    <row r="35" spans="7:9" x14ac:dyDescent="0.25">
      <c r="G35" s="5"/>
      <c r="H35" s="5"/>
      <c r="I35" s="5"/>
    </row>
    <row r="36" spans="7:9" x14ac:dyDescent="0.25">
      <c r="G36" s="5"/>
      <c r="H36" s="5"/>
      <c r="I36" s="5"/>
    </row>
    <row r="37" spans="7:9" x14ac:dyDescent="0.25">
      <c r="G37" s="5"/>
      <c r="H37" s="5"/>
      <c r="I37" s="5"/>
    </row>
    <row r="38" spans="7:9" x14ac:dyDescent="0.25">
      <c r="G38" s="5"/>
      <c r="H38" s="5"/>
      <c r="I38" s="5"/>
    </row>
    <row r="39" spans="7:9" x14ac:dyDescent="0.25">
      <c r="G39" s="5"/>
      <c r="H39" s="5"/>
      <c r="I39" s="5"/>
    </row>
    <row r="40" spans="7:9" x14ac:dyDescent="0.25">
      <c r="G40" s="5"/>
      <c r="H40" s="5"/>
      <c r="I40" s="5"/>
    </row>
    <row r="41" spans="7:9" x14ac:dyDescent="0.25">
      <c r="G41" s="5"/>
      <c r="H41" s="5"/>
      <c r="I41" s="5"/>
    </row>
    <row r="42" spans="7:9" x14ac:dyDescent="0.25">
      <c r="G42" s="5"/>
      <c r="H42" s="5"/>
      <c r="I42" s="5"/>
    </row>
    <row r="43" spans="7:9" x14ac:dyDescent="0.25">
      <c r="G43" s="5"/>
      <c r="H43" s="5"/>
      <c r="I43" s="5"/>
    </row>
    <row r="44" spans="7:9" x14ac:dyDescent="0.25">
      <c r="G44" s="5"/>
      <c r="H44" s="5"/>
      <c r="I44" s="5"/>
    </row>
    <row r="45" spans="7:9" x14ac:dyDescent="0.25">
      <c r="G45" s="5"/>
      <c r="H45" s="5"/>
      <c r="I45" s="5"/>
    </row>
    <row r="46" spans="7:9" x14ac:dyDescent="0.25">
      <c r="G46" s="5"/>
      <c r="H46" s="5"/>
      <c r="I46" s="5"/>
    </row>
    <row r="47" spans="7:9" x14ac:dyDescent="0.25">
      <c r="G47" s="5"/>
      <c r="H47" s="5"/>
      <c r="I47" s="5"/>
    </row>
    <row r="48" spans="7:9" x14ac:dyDescent="0.25">
      <c r="G48" s="5"/>
      <c r="H48" s="5"/>
      <c r="I48" s="5"/>
    </row>
    <row r="49" spans="7:9" x14ac:dyDescent="0.25">
      <c r="G49" s="5"/>
      <c r="H49" s="5"/>
      <c r="I49" s="5"/>
    </row>
  </sheetData>
  <hyperlinks>
    <hyperlink ref="B5" r:id="rId1" location="_"/>
    <hyperlink ref="B8" r:id="rId2"/>
    <hyperlink ref="B10" r:id="rId3"/>
    <hyperlink ref="B12" r:id="rId4"/>
    <hyperlink ref="B14" r:id="rId5"/>
    <hyperlink ref="B16" r:id="rId6"/>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6" sqref="A26"/>
    </sheetView>
  </sheetViews>
  <sheetFormatPr defaultRowHeight="15" x14ac:dyDescent="0.25"/>
  <cols>
    <col min="1" max="1" width="140.7109375" bestFit="1" customWidth="1"/>
  </cols>
  <sheetData>
    <row r="1" spans="1:1" x14ac:dyDescent="0.25">
      <c r="A1" s="3" t="s">
        <v>506</v>
      </c>
    </row>
    <row r="2" spans="1:1" x14ac:dyDescent="0.25">
      <c r="A2" s="3" t="s">
        <v>507</v>
      </c>
    </row>
    <row r="3" spans="1:1" x14ac:dyDescent="0.25">
      <c r="A3" t="s">
        <v>494</v>
      </c>
    </row>
    <row r="4" spans="1:1" x14ac:dyDescent="0.25">
      <c r="A4" t="s">
        <v>495</v>
      </c>
    </row>
    <row r="5" spans="1:1" x14ac:dyDescent="0.25">
      <c r="A5" t="s">
        <v>496</v>
      </c>
    </row>
    <row r="6" spans="1:1" x14ac:dyDescent="0.25">
      <c r="A6" t="s">
        <v>497</v>
      </c>
    </row>
    <row r="7" spans="1:1" x14ac:dyDescent="0.25">
      <c r="A7" t="s">
        <v>498</v>
      </c>
    </row>
    <row r="8" spans="1:1" x14ac:dyDescent="0.25">
      <c r="A8" t="s">
        <v>499</v>
      </c>
    </row>
    <row r="9" spans="1:1" x14ac:dyDescent="0.25">
      <c r="A9" t="s">
        <v>500</v>
      </c>
    </row>
    <row r="10" spans="1:1" x14ac:dyDescent="0.25">
      <c r="A10" t="s">
        <v>501</v>
      </c>
    </row>
    <row r="11" spans="1:1" x14ac:dyDescent="0.25">
      <c r="A11" t="s">
        <v>502</v>
      </c>
    </row>
    <row r="12" spans="1:1" x14ac:dyDescent="0.25">
      <c r="A12" t="s">
        <v>503</v>
      </c>
    </row>
    <row r="13" spans="1:1" x14ac:dyDescent="0.25">
      <c r="A13" t="s">
        <v>504</v>
      </c>
    </row>
    <row r="14" spans="1:1" x14ac:dyDescent="0.25">
      <c r="A14" t="s">
        <v>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3" sqref="C3"/>
    </sheetView>
  </sheetViews>
  <sheetFormatPr defaultRowHeight="15" x14ac:dyDescent="0.25"/>
  <cols>
    <col min="1" max="1" width="23.28515625" customWidth="1"/>
  </cols>
  <sheetData>
    <row r="1" spans="1:7" ht="195" x14ac:dyDescent="0.25">
      <c r="A1" t="s">
        <v>516</v>
      </c>
      <c r="B1" t="s">
        <v>20</v>
      </c>
      <c r="G1" s="62" t="s">
        <v>611</v>
      </c>
    </row>
    <row r="2" spans="1:7" x14ac:dyDescent="0.25">
      <c r="B2" t="s">
        <v>21</v>
      </c>
    </row>
    <row r="3" spans="1:7" x14ac:dyDescent="0.25">
      <c r="B3" t="s">
        <v>53</v>
      </c>
    </row>
    <row r="4" spans="1:7" x14ac:dyDescent="0.25">
      <c r="B4" t="s">
        <v>19</v>
      </c>
    </row>
    <row r="5" spans="1:7" x14ac:dyDescent="0.25">
      <c r="B5" t="s">
        <v>29</v>
      </c>
    </row>
    <row r="6" spans="1:7" x14ac:dyDescent="0.25">
      <c r="B6" t="s">
        <v>517</v>
      </c>
    </row>
    <row r="7" spans="1:7" x14ac:dyDescent="0.25">
      <c r="B7" t="s">
        <v>31</v>
      </c>
    </row>
    <row r="8" spans="1:7" x14ac:dyDescent="0.25">
      <c r="A8" t="s">
        <v>518</v>
      </c>
      <c r="B8" t="s">
        <v>519</v>
      </c>
    </row>
    <row r="9" spans="1:7" x14ac:dyDescent="0.25">
      <c r="B9" t="s">
        <v>520</v>
      </c>
    </row>
    <row r="10" spans="1:7" x14ac:dyDescent="0.25">
      <c r="B10" t="s">
        <v>521</v>
      </c>
    </row>
    <row r="11" spans="1:7" x14ac:dyDescent="0.25">
      <c r="B11" t="s">
        <v>522</v>
      </c>
    </row>
    <row r="12" spans="1:7" x14ac:dyDescent="0.25">
      <c r="B12" t="s">
        <v>523</v>
      </c>
    </row>
    <row r="13" spans="1:7" x14ac:dyDescent="0.25">
      <c r="B13" t="s">
        <v>524</v>
      </c>
    </row>
    <row r="14" spans="1:7" x14ac:dyDescent="0.25">
      <c r="B14" t="s">
        <v>525</v>
      </c>
    </row>
    <row r="15" spans="1:7" x14ac:dyDescent="0.25">
      <c r="B15" t="s">
        <v>526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x14ac:dyDescent="0.25"/>
  <cols>
    <col min="1" max="1" width="75" customWidth="1"/>
  </cols>
  <sheetData>
    <row r="1" spans="1:1" x14ac:dyDescent="0.25">
      <c r="A1" t="s">
        <v>536</v>
      </c>
    </row>
    <row r="2" spans="1:1" x14ac:dyDescent="0.25">
      <c r="A2" t="s">
        <v>537</v>
      </c>
    </row>
    <row r="3" spans="1:1" x14ac:dyDescent="0.25">
      <c r="A3" t="s">
        <v>538</v>
      </c>
    </row>
    <row r="4" spans="1:1" x14ac:dyDescent="0.25">
      <c r="A4" t="s">
        <v>539</v>
      </c>
    </row>
    <row r="5" spans="1:1" x14ac:dyDescent="0.25">
      <c r="A5" t="s">
        <v>540</v>
      </c>
    </row>
    <row r="6" spans="1:1" x14ac:dyDescent="0.25">
      <c r="A6" t="s">
        <v>541</v>
      </c>
    </row>
    <row r="7" spans="1:1" x14ac:dyDescent="0.25">
      <c r="A7" t="s">
        <v>542</v>
      </c>
    </row>
    <row r="8" spans="1:1" x14ac:dyDescent="0.25">
      <c r="A8" t="s">
        <v>543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I3" sqref="I3"/>
    </sheetView>
  </sheetViews>
  <sheetFormatPr defaultRowHeight="15" x14ac:dyDescent="0.25"/>
  <cols>
    <col min="4" max="4" width="15.7109375" bestFit="1" customWidth="1"/>
  </cols>
  <sheetData>
    <row r="1" spans="1:6" x14ac:dyDescent="0.25">
      <c r="A1" s="53">
        <v>42294</v>
      </c>
      <c r="B1">
        <v>64414</v>
      </c>
      <c r="E1" t="s">
        <v>581</v>
      </c>
      <c r="F1" t="s">
        <v>582</v>
      </c>
    </row>
    <row r="2" spans="1:6" ht="26.25" x14ac:dyDescent="0.4">
      <c r="B2">
        <v>66346</v>
      </c>
      <c r="D2" s="54">
        <f>SUM(B1:B26)</f>
        <v>1861062</v>
      </c>
      <c r="E2">
        <v>28</v>
      </c>
      <c r="F2">
        <f>D2/E2</f>
        <v>66466.5</v>
      </c>
    </row>
    <row r="3" spans="1:6" x14ac:dyDescent="0.25">
      <c r="B3">
        <v>65495</v>
      </c>
    </row>
    <row r="4" spans="1:6" x14ac:dyDescent="0.25">
      <c r="B4">
        <v>129600</v>
      </c>
    </row>
    <row r="5" spans="1:6" x14ac:dyDescent="0.25">
      <c r="B5">
        <v>61662</v>
      </c>
    </row>
    <row r="6" spans="1:6" x14ac:dyDescent="0.25">
      <c r="B6">
        <v>60510</v>
      </c>
    </row>
    <row r="7" spans="1:6" x14ac:dyDescent="0.25">
      <c r="B7">
        <v>62362</v>
      </c>
    </row>
    <row r="8" spans="1:6" x14ac:dyDescent="0.25">
      <c r="B8">
        <v>60530</v>
      </c>
    </row>
    <row r="9" spans="1:6" x14ac:dyDescent="0.25">
      <c r="B9">
        <v>60460</v>
      </c>
    </row>
    <row r="10" spans="1:6" x14ac:dyDescent="0.25">
      <c r="B10">
        <v>60460</v>
      </c>
    </row>
    <row r="11" spans="1:6" x14ac:dyDescent="0.25">
      <c r="B11">
        <v>59670</v>
      </c>
    </row>
    <row r="12" spans="1:6" x14ac:dyDescent="0.25">
      <c r="B12">
        <v>35550</v>
      </c>
    </row>
    <row r="13" spans="1:6" x14ac:dyDescent="0.25">
      <c r="B13">
        <v>59409</v>
      </c>
    </row>
    <row r="14" spans="1:6" x14ac:dyDescent="0.25">
      <c r="B14">
        <v>167832</v>
      </c>
    </row>
    <row r="15" spans="1:6" x14ac:dyDescent="0.25">
      <c r="B15">
        <v>180953</v>
      </c>
    </row>
    <row r="16" spans="1:6" x14ac:dyDescent="0.25">
      <c r="B16">
        <v>141910</v>
      </c>
    </row>
    <row r="17" spans="2:2" x14ac:dyDescent="0.25">
      <c r="B17">
        <v>61461</v>
      </c>
    </row>
    <row r="18" spans="2:2" x14ac:dyDescent="0.25">
      <c r="B18">
        <v>177770</v>
      </c>
    </row>
    <row r="19" spans="2:2" x14ac:dyDescent="0.25">
      <c r="B19">
        <v>130860</v>
      </c>
    </row>
    <row r="20" spans="2:2" x14ac:dyDescent="0.25">
      <c r="B20">
        <v>66208</v>
      </c>
    </row>
    <row r="21" spans="2:2" x14ac:dyDescent="0.25">
      <c r="B21">
        <v>87600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8"/>
  <sheetViews>
    <sheetView workbookViewId="0">
      <selection activeCell="G3" sqref="G3"/>
    </sheetView>
  </sheetViews>
  <sheetFormatPr defaultRowHeight="15" x14ac:dyDescent="0.25"/>
  <cols>
    <col min="3" max="3" width="18" bestFit="1" customWidth="1"/>
  </cols>
  <sheetData>
    <row r="3" spans="3:5" x14ac:dyDescent="0.25">
      <c r="C3" t="s">
        <v>584</v>
      </c>
      <c r="D3">
        <v>104800</v>
      </c>
      <c r="E3">
        <v>157364</v>
      </c>
    </row>
    <row r="4" spans="3:5" x14ac:dyDescent="0.25">
      <c r="C4" t="s">
        <v>585</v>
      </c>
      <c r="E4">
        <v>173466</v>
      </c>
    </row>
    <row r="5" spans="3:5" x14ac:dyDescent="0.25">
      <c r="C5" t="s">
        <v>586</v>
      </c>
      <c r="E5" s="56">
        <v>147810</v>
      </c>
    </row>
    <row r="6" spans="3:5" x14ac:dyDescent="0.25">
      <c r="C6" t="s">
        <v>587</v>
      </c>
    </row>
    <row r="7" spans="3:5" x14ac:dyDescent="0.25">
      <c r="C7" t="s">
        <v>588</v>
      </c>
    </row>
    <row r="8" spans="3:5" x14ac:dyDescent="0.25">
      <c r="C8" t="s">
        <v>589</v>
      </c>
      <c r="E8">
        <v>145159</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18"/>
  <sheetViews>
    <sheetView workbookViewId="0">
      <selection activeCell="P9" sqref="P9"/>
    </sheetView>
  </sheetViews>
  <sheetFormatPr defaultRowHeight="15" x14ac:dyDescent="0.25"/>
  <cols>
    <col min="5" max="5" width="14.85546875" bestFit="1" customWidth="1"/>
  </cols>
  <sheetData>
    <row r="3" spans="5:15" x14ac:dyDescent="0.25">
      <c r="E3" t="s">
        <v>590</v>
      </c>
      <c r="F3">
        <v>4034.4</v>
      </c>
      <c r="H3">
        <v>486.97</v>
      </c>
    </row>
    <row r="4" spans="5:15" x14ac:dyDescent="0.25">
      <c r="E4" t="s">
        <v>591</v>
      </c>
      <c r="F4">
        <v>26</v>
      </c>
      <c r="L4" t="s">
        <v>192</v>
      </c>
      <c r="M4">
        <v>439.9</v>
      </c>
    </row>
    <row r="5" spans="5:15" x14ac:dyDescent="0.25">
      <c r="E5" t="s">
        <v>592</v>
      </c>
      <c r="F5">
        <f>(F3*F4)</f>
        <v>104894.40000000001</v>
      </c>
    </row>
    <row r="10" spans="5:15" x14ac:dyDescent="0.25">
      <c r="L10">
        <v>5384.62</v>
      </c>
      <c r="M10">
        <v>324.35000000000002</v>
      </c>
      <c r="N10">
        <f>(M10/L10)*100</f>
        <v>6.0236376940248348</v>
      </c>
      <c r="O10" t="s">
        <v>593</v>
      </c>
    </row>
    <row r="11" spans="5:15" x14ac:dyDescent="0.25">
      <c r="L11">
        <v>5384.62</v>
      </c>
      <c r="M11">
        <v>824.52</v>
      </c>
      <c r="N11">
        <f t="shared" ref="N11:N18" si="0">(M11/L11)*100</f>
        <v>15.312501160713291</v>
      </c>
    </row>
    <row r="12" spans="5:15" x14ac:dyDescent="0.25">
      <c r="L12">
        <v>5384.62</v>
      </c>
      <c r="N12">
        <f t="shared" si="0"/>
        <v>0</v>
      </c>
    </row>
    <row r="13" spans="5:15" x14ac:dyDescent="0.25">
      <c r="L13">
        <v>5384.62</v>
      </c>
      <c r="N13">
        <f t="shared" si="0"/>
        <v>0</v>
      </c>
    </row>
    <row r="14" spans="5:15" x14ac:dyDescent="0.25">
      <c r="L14">
        <v>5384.62</v>
      </c>
      <c r="N14">
        <f t="shared" si="0"/>
        <v>0</v>
      </c>
    </row>
    <row r="15" spans="5:15" x14ac:dyDescent="0.25">
      <c r="L15">
        <v>5384.62</v>
      </c>
      <c r="N15">
        <f t="shared" si="0"/>
        <v>0</v>
      </c>
    </row>
    <row r="16" spans="5:15" x14ac:dyDescent="0.25">
      <c r="L16">
        <v>5384.62</v>
      </c>
      <c r="N16">
        <f t="shared" si="0"/>
        <v>0</v>
      </c>
    </row>
    <row r="17" spans="12:14" x14ac:dyDescent="0.25">
      <c r="L17">
        <v>5384.62</v>
      </c>
      <c r="N17">
        <f t="shared" si="0"/>
        <v>0</v>
      </c>
    </row>
    <row r="18" spans="12:14" x14ac:dyDescent="0.25">
      <c r="L18">
        <v>5384.62</v>
      </c>
      <c r="N1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8" sqref="A18"/>
    </sheetView>
  </sheetViews>
  <sheetFormatPr defaultRowHeight="15" x14ac:dyDescent="0.25"/>
  <cols>
    <col min="1" max="1" width="34.85546875" bestFit="1" customWidth="1"/>
    <col min="4" max="4" width="12.42578125" bestFit="1" customWidth="1"/>
  </cols>
  <sheetData>
    <row r="1" spans="1:5" x14ac:dyDescent="0.25">
      <c r="A1" t="s">
        <v>1696</v>
      </c>
      <c r="D1" t="s">
        <v>1697</v>
      </c>
      <c r="E1" t="s">
        <v>1698</v>
      </c>
    </row>
    <row r="13" spans="1:5" x14ac:dyDescent="0.25">
      <c r="A13" t="s">
        <v>1306</v>
      </c>
    </row>
    <row r="14" spans="1:5" x14ac:dyDescent="0.25">
      <c r="A14" t="s">
        <v>1702</v>
      </c>
      <c r="B14">
        <v>64</v>
      </c>
    </row>
    <row r="15" spans="1:5" x14ac:dyDescent="0.25">
      <c r="A15" t="s">
        <v>1703</v>
      </c>
    </row>
    <row r="16" spans="1:5" x14ac:dyDescent="0.25">
      <c r="A16" t="s">
        <v>1704</v>
      </c>
      <c r="B16">
        <v>64</v>
      </c>
    </row>
    <row r="17" spans="1:2" x14ac:dyDescent="0.25">
      <c r="A17" t="s">
        <v>1705</v>
      </c>
      <c r="B17" t="s">
        <v>67</v>
      </c>
    </row>
    <row r="18" spans="1:2" x14ac:dyDescent="0.25">
      <c r="A18" t="s">
        <v>1706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7"/>
  <sheetViews>
    <sheetView topLeftCell="C1" workbookViewId="0">
      <selection activeCell="S17" sqref="S17"/>
    </sheetView>
  </sheetViews>
  <sheetFormatPr defaultRowHeight="15" x14ac:dyDescent="0.25"/>
  <cols>
    <col min="3" max="3" width="14.42578125" bestFit="1" customWidth="1"/>
    <col min="18" max="18" width="8.28515625" bestFit="1" customWidth="1"/>
  </cols>
  <sheetData>
    <row r="2" spans="3:20" x14ac:dyDescent="0.25">
      <c r="P2" t="s">
        <v>511</v>
      </c>
      <c r="Q2" t="s">
        <v>17</v>
      </c>
      <c r="R2" t="s">
        <v>202</v>
      </c>
    </row>
    <row r="3" spans="3:20" x14ac:dyDescent="0.25">
      <c r="C3" s="386" t="s">
        <v>17</v>
      </c>
      <c r="D3" s="386"/>
      <c r="E3" t="s">
        <v>594</v>
      </c>
      <c r="F3" t="s">
        <v>595</v>
      </c>
      <c r="L3" t="s">
        <v>12</v>
      </c>
      <c r="M3" t="s">
        <v>68</v>
      </c>
      <c r="N3" t="s">
        <v>595</v>
      </c>
      <c r="P3">
        <v>104800</v>
      </c>
      <c r="Q3">
        <v>3049</v>
      </c>
      <c r="R3">
        <v>3127</v>
      </c>
      <c r="S3">
        <f>(R3/100)*7</f>
        <v>218.89</v>
      </c>
      <c r="T3">
        <f>(R3-S3)</f>
        <v>2908.11</v>
      </c>
    </row>
    <row r="4" spans="3:20" x14ac:dyDescent="0.25">
      <c r="C4" t="s">
        <v>511</v>
      </c>
      <c r="D4">
        <f>(T11*26)/12</f>
        <v>9257.0399999999991</v>
      </c>
      <c r="F4" s="18">
        <f>SUM(D4:D17)</f>
        <v>4263.0399999999991</v>
      </c>
      <c r="K4" t="s">
        <v>511</v>
      </c>
      <c r="L4">
        <f>(T3*26)/12</f>
        <v>6300.9049999999997</v>
      </c>
      <c r="M4">
        <f>(T3*26)/12</f>
        <v>6300.9049999999997</v>
      </c>
      <c r="N4" s="57">
        <f>SUM(L4:L17)</f>
        <v>3198.9049999999997</v>
      </c>
      <c r="P4" t="s">
        <v>597</v>
      </c>
      <c r="Q4">
        <v>3792</v>
      </c>
      <c r="R4">
        <v>8</v>
      </c>
      <c r="S4">
        <f>(Q4/100)*R4</f>
        <v>303.36</v>
      </c>
      <c r="T4">
        <f>(Q4-S4)</f>
        <v>3488.64</v>
      </c>
    </row>
    <row r="5" spans="3:20" x14ac:dyDescent="0.25">
      <c r="C5" t="s">
        <v>510</v>
      </c>
      <c r="D5">
        <v>-2000</v>
      </c>
      <c r="K5" t="s">
        <v>510</v>
      </c>
      <c r="L5">
        <v>-1325</v>
      </c>
      <c r="P5" t="s">
        <v>598</v>
      </c>
      <c r="Q5">
        <v>3914</v>
      </c>
      <c r="R5">
        <v>8</v>
      </c>
      <c r="S5">
        <f t="shared" ref="S5:S11" si="0">(Q5/100)*R5</f>
        <v>313.12</v>
      </c>
      <c r="T5">
        <f t="shared" ref="T5:T11" si="1">(Q5-S5)</f>
        <v>3600.88</v>
      </c>
    </row>
    <row r="6" spans="3:20" x14ac:dyDescent="0.25">
      <c r="C6" s="49" t="s">
        <v>570</v>
      </c>
      <c r="D6" s="49">
        <v>-300</v>
      </c>
      <c r="K6" s="49" t="s">
        <v>570</v>
      </c>
      <c r="L6" s="49">
        <v>-150</v>
      </c>
      <c r="P6" t="s">
        <v>599</v>
      </c>
      <c r="Q6">
        <v>4035</v>
      </c>
      <c r="R6">
        <v>8</v>
      </c>
      <c r="S6">
        <f t="shared" si="0"/>
        <v>322.8</v>
      </c>
      <c r="T6">
        <f t="shared" si="1"/>
        <v>3712.2</v>
      </c>
    </row>
    <row r="7" spans="3:20" x14ac:dyDescent="0.25">
      <c r="C7" s="49" t="s">
        <v>565</v>
      </c>
      <c r="D7" s="49">
        <v>-200</v>
      </c>
      <c r="K7" s="49" t="s">
        <v>565</v>
      </c>
      <c r="L7" s="49">
        <v>-100</v>
      </c>
      <c r="P7" t="s">
        <v>600</v>
      </c>
      <c r="Q7">
        <v>4157</v>
      </c>
      <c r="R7">
        <v>8</v>
      </c>
      <c r="S7">
        <f t="shared" si="0"/>
        <v>332.56</v>
      </c>
      <c r="T7">
        <f t="shared" si="1"/>
        <v>3824.44</v>
      </c>
    </row>
    <row r="8" spans="3:20" x14ac:dyDescent="0.25">
      <c r="C8" s="50" t="s">
        <v>419</v>
      </c>
      <c r="D8" s="50">
        <v>-600</v>
      </c>
      <c r="K8" s="50" t="s">
        <v>419</v>
      </c>
      <c r="L8" s="50">
        <v>-260</v>
      </c>
      <c r="P8" t="s">
        <v>601</v>
      </c>
      <c r="Q8">
        <v>4279</v>
      </c>
      <c r="R8">
        <v>8</v>
      </c>
      <c r="S8">
        <f t="shared" si="0"/>
        <v>342.32</v>
      </c>
      <c r="T8">
        <f t="shared" si="1"/>
        <v>3936.68</v>
      </c>
    </row>
    <row r="9" spans="3:20" x14ac:dyDescent="0.25">
      <c r="C9" t="s">
        <v>512</v>
      </c>
      <c r="D9">
        <v>-314</v>
      </c>
      <c r="K9" t="s">
        <v>512</v>
      </c>
      <c r="L9">
        <v>-314</v>
      </c>
      <c r="P9" t="s">
        <v>602</v>
      </c>
      <c r="Q9">
        <v>4401</v>
      </c>
      <c r="R9">
        <v>8</v>
      </c>
      <c r="S9">
        <f t="shared" si="0"/>
        <v>352.08</v>
      </c>
      <c r="T9">
        <f t="shared" si="1"/>
        <v>4048.92</v>
      </c>
    </row>
    <row r="10" spans="3:20" x14ac:dyDescent="0.25">
      <c r="C10" t="s">
        <v>513</v>
      </c>
      <c r="D10">
        <v>-800</v>
      </c>
      <c r="K10" t="s">
        <v>513</v>
      </c>
      <c r="L10">
        <v>-500</v>
      </c>
      <c r="P10" t="s">
        <v>603</v>
      </c>
      <c r="Q10">
        <v>4522</v>
      </c>
      <c r="R10">
        <v>8</v>
      </c>
      <c r="S10">
        <f t="shared" si="0"/>
        <v>361.76</v>
      </c>
      <c r="T10">
        <f t="shared" si="1"/>
        <v>4160.24</v>
      </c>
    </row>
    <row r="11" spans="3:20" x14ac:dyDescent="0.25">
      <c r="C11" t="s">
        <v>514</v>
      </c>
      <c r="D11">
        <v>0</v>
      </c>
      <c r="K11" t="s">
        <v>514</v>
      </c>
      <c r="L11">
        <v>0</v>
      </c>
      <c r="P11" t="s">
        <v>604</v>
      </c>
      <c r="Q11">
        <v>4644</v>
      </c>
      <c r="R11">
        <v>8</v>
      </c>
      <c r="S11">
        <f t="shared" si="0"/>
        <v>371.52</v>
      </c>
      <c r="T11">
        <f t="shared" si="1"/>
        <v>4272.4799999999996</v>
      </c>
    </row>
    <row r="12" spans="3:20" x14ac:dyDescent="0.25">
      <c r="C12" s="51" t="s">
        <v>8</v>
      </c>
      <c r="D12" s="51">
        <v>-120</v>
      </c>
      <c r="K12" s="51" t="s">
        <v>8</v>
      </c>
      <c r="L12" s="51">
        <v>-113</v>
      </c>
      <c r="R12" t="s">
        <v>596</v>
      </c>
      <c r="S12" t="s">
        <v>182</v>
      </c>
    </row>
    <row r="13" spans="3:20" x14ac:dyDescent="0.25">
      <c r="C13" s="51" t="s">
        <v>6</v>
      </c>
      <c r="D13" s="51">
        <v>-70</v>
      </c>
      <c r="K13" s="51" t="s">
        <v>6</v>
      </c>
      <c r="L13" s="51">
        <v>-35</v>
      </c>
      <c r="Q13">
        <v>104800</v>
      </c>
      <c r="R13">
        <v>1612</v>
      </c>
      <c r="S13">
        <v>3504</v>
      </c>
    </row>
    <row r="14" spans="3:20" x14ac:dyDescent="0.25">
      <c r="C14" s="49" t="s">
        <v>571</v>
      </c>
      <c r="D14" s="49">
        <v>-120</v>
      </c>
      <c r="K14" s="49" t="s">
        <v>571</v>
      </c>
      <c r="L14" s="49">
        <v>-60</v>
      </c>
      <c r="Q14" s="59" t="s">
        <v>597</v>
      </c>
      <c r="R14" s="60">
        <v>2564</v>
      </c>
      <c r="S14">
        <f>(R14-S4)</f>
        <v>2260.64</v>
      </c>
    </row>
    <row r="15" spans="3:20" x14ac:dyDescent="0.25">
      <c r="C15" t="s">
        <v>515</v>
      </c>
      <c r="D15">
        <v>-160</v>
      </c>
      <c r="K15" t="s">
        <v>515</v>
      </c>
      <c r="L15">
        <v>-117</v>
      </c>
      <c r="Q15" s="59" t="s">
        <v>598</v>
      </c>
      <c r="R15" s="60">
        <v>2807</v>
      </c>
    </row>
    <row r="16" spans="3:20" x14ac:dyDescent="0.25">
      <c r="C16" s="50" t="s">
        <v>569</v>
      </c>
      <c r="D16" s="50">
        <v>-160</v>
      </c>
      <c r="K16" s="50" t="s">
        <v>569</v>
      </c>
      <c r="L16" s="50">
        <v>-78</v>
      </c>
      <c r="Q16" s="59" t="s">
        <v>599</v>
      </c>
      <c r="R16" s="60">
        <v>3049</v>
      </c>
    </row>
    <row r="17" spans="3:18" x14ac:dyDescent="0.25">
      <c r="C17" t="s">
        <v>566</v>
      </c>
      <c r="D17">
        <v>-150</v>
      </c>
      <c r="K17" t="s">
        <v>566</v>
      </c>
      <c r="L17">
        <v>-50</v>
      </c>
      <c r="Q17" s="61" t="s">
        <v>600</v>
      </c>
      <c r="R17" s="61">
        <v>3292</v>
      </c>
    </row>
    <row r="18" spans="3:18" x14ac:dyDescent="0.25">
      <c r="Q18" s="61" t="s">
        <v>601</v>
      </c>
      <c r="R18" s="61">
        <v>3535</v>
      </c>
    </row>
    <row r="19" spans="3:18" x14ac:dyDescent="0.25">
      <c r="Q19" s="59" t="s">
        <v>602</v>
      </c>
      <c r="R19" s="60">
        <v>3778</v>
      </c>
    </row>
    <row r="20" spans="3:18" x14ac:dyDescent="0.25">
      <c r="F20" t="s">
        <v>606</v>
      </c>
      <c r="Q20" s="59" t="s">
        <v>603</v>
      </c>
      <c r="R20" s="60">
        <v>4019</v>
      </c>
    </row>
    <row r="21" spans="3:18" x14ac:dyDescent="0.25">
      <c r="E21">
        <v>100</v>
      </c>
      <c r="F21">
        <v>2.5</v>
      </c>
      <c r="G21">
        <f>(F21/E21)*100</f>
        <v>2.5</v>
      </c>
      <c r="Q21" s="59" t="s">
        <v>605</v>
      </c>
      <c r="R21" s="60">
        <v>4269</v>
      </c>
    </row>
    <row r="22" spans="3:18" x14ac:dyDescent="0.25">
      <c r="E22">
        <v>4034</v>
      </c>
      <c r="F22">
        <v>276</v>
      </c>
      <c r="G22">
        <f t="shared" ref="G22:G27" si="2">(F22/E22)*100</f>
        <v>6.8418443232523547</v>
      </c>
    </row>
    <row r="23" spans="3:18" x14ac:dyDescent="0.25">
      <c r="E23">
        <v>3318</v>
      </c>
      <c r="F23">
        <v>184</v>
      </c>
      <c r="G23">
        <f t="shared" si="2"/>
        <v>5.5455093429776978</v>
      </c>
    </row>
    <row r="24" spans="3:18" x14ac:dyDescent="0.25">
      <c r="E24">
        <v>5575</v>
      </c>
      <c r="F24">
        <v>340</v>
      </c>
      <c r="G24">
        <f t="shared" si="2"/>
        <v>6.0986547085201792</v>
      </c>
    </row>
    <row r="25" spans="3:18" x14ac:dyDescent="0.25">
      <c r="G25" t="e">
        <f t="shared" si="2"/>
        <v>#DIV/0!</v>
      </c>
    </row>
    <row r="26" spans="3:18" x14ac:dyDescent="0.25">
      <c r="G26" t="e">
        <f t="shared" si="2"/>
        <v>#DIV/0!</v>
      </c>
    </row>
    <row r="27" spans="3:18" x14ac:dyDescent="0.25">
      <c r="G27" t="e">
        <f t="shared" si="2"/>
        <v>#DIV/0!</v>
      </c>
    </row>
  </sheetData>
  <mergeCells count="1">
    <mergeCell ref="C3:D3"/>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71.28515625" customWidth="1"/>
    <col min="2" max="2" width="31.85546875" bestFit="1" customWidth="1"/>
  </cols>
  <sheetData>
    <row r="1" spans="1:2" x14ac:dyDescent="0.25">
      <c r="A1" t="s">
        <v>778</v>
      </c>
      <c r="B1">
        <v>225177</v>
      </c>
    </row>
    <row r="2" spans="1:2" x14ac:dyDescent="0.25">
      <c r="A2" s="45" t="s">
        <v>607</v>
      </c>
      <c r="B2" s="45">
        <v>521821</v>
      </c>
    </row>
    <row r="3" spans="1:2" x14ac:dyDescent="0.25">
      <c r="A3" s="45" t="s">
        <v>608</v>
      </c>
      <c r="B3" s="45" t="s">
        <v>609</v>
      </c>
    </row>
    <row r="4" spans="1:2" ht="75" x14ac:dyDescent="0.25">
      <c r="A4" s="58" t="s">
        <v>610</v>
      </c>
      <c r="B4" s="45"/>
    </row>
    <row r="5" spans="1:2" x14ac:dyDescent="0.25">
      <c r="A5" t="s">
        <v>1145</v>
      </c>
      <c r="B5">
        <v>3020527</v>
      </c>
    </row>
    <row r="7" spans="1:2" x14ac:dyDescent="0.25">
      <c r="A7" s="63" t="s">
        <v>716</v>
      </c>
    </row>
    <row r="10" spans="1:2" ht="61.5" customHeight="1" x14ac:dyDescent="0.25">
      <c r="A10" s="62" t="s">
        <v>741</v>
      </c>
    </row>
    <row r="12" spans="1:2" x14ac:dyDescent="0.25">
      <c r="A12" t="s">
        <v>846</v>
      </c>
      <c r="B12" t="s">
        <v>849</v>
      </c>
    </row>
    <row r="13" spans="1:2" x14ac:dyDescent="0.25">
      <c r="A13">
        <v>100505301</v>
      </c>
    </row>
    <row r="14" spans="1:2" x14ac:dyDescent="0.25">
      <c r="A14" t="s">
        <v>847</v>
      </c>
    </row>
    <row r="15" spans="1:2" x14ac:dyDescent="0.25">
      <c r="A15" t="s">
        <v>848</v>
      </c>
      <c r="B15" t="s">
        <v>1009</v>
      </c>
    </row>
    <row r="17" spans="1:2" x14ac:dyDescent="0.25">
      <c r="A17" t="s">
        <v>954</v>
      </c>
      <c r="B17" t="s">
        <v>955</v>
      </c>
    </row>
  </sheetData>
  <hyperlinks>
    <hyperlink ref="A7" r:id="rId1"/>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3"/>
  <sheetViews>
    <sheetView topLeftCell="H20" workbookViewId="0">
      <selection activeCell="H27" sqref="H27"/>
    </sheetView>
  </sheetViews>
  <sheetFormatPr defaultRowHeight="15" x14ac:dyDescent="0.25"/>
  <cols>
    <col min="2" max="2" width="20.140625" bestFit="1" customWidth="1"/>
    <col min="8" max="8" width="65.42578125" customWidth="1"/>
    <col min="10" max="10" width="15.85546875" bestFit="1" customWidth="1"/>
    <col min="11" max="11" width="66.7109375" bestFit="1" customWidth="1"/>
    <col min="12" max="12" width="32" bestFit="1" customWidth="1"/>
  </cols>
  <sheetData>
    <row r="1" spans="2:12" x14ac:dyDescent="0.25">
      <c r="B1" t="s">
        <v>622</v>
      </c>
      <c r="I1">
        <v>1</v>
      </c>
      <c r="J1" t="s">
        <v>652</v>
      </c>
      <c r="K1" s="63" t="s">
        <v>651</v>
      </c>
      <c r="L1" t="s">
        <v>654</v>
      </c>
    </row>
    <row r="2" spans="2:12" x14ac:dyDescent="0.25">
      <c r="B2" t="s">
        <v>623</v>
      </c>
      <c r="C2" s="373" t="s">
        <v>626</v>
      </c>
      <c r="I2">
        <v>2</v>
      </c>
      <c r="J2" t="s">
        <v>653</v>
      </c>
      <c r="K2" t="s">
        <v>660</v>
      </c>
      <c r="L2" t="s">
        <v>655</v>
      </c>
    </row>
    <row r="3" spans="2:12" x14ac:dyDescent="0.25">
      <c r="B3" t="s">
        <v>624</v>
      </c>
      <c r="C3" s="373"/>
      <c r="F3" t="s">
        <v>698</v>
      </c>
      <c r="G3">
        <v>3000</v>
      </c>
      <c r="H3" s="45">
        <f>SUM(G3:G12)</f>
        <v>8000</v>
      </c>
      <c r="J3" t="s">
        <v>697</v>
      </c>
      <c r="L3" t="s">
        <v>656</v>
      </c>
    </row>
    <row r="4" spans="2:12" x14ac:dyDescent="0.25">
      <c r="B4" t="s">
        <v>625</v>
      </c>
      <c r="C4" s="373"/>
      <c r="F4" t="s">
        <v>699</v>
      </c>
      <c r="G4">
        <v>3500</v>
      </c>
      <c r="L4" t="s">
        <v>657</v>
      </c>
    </row>
    <row r="5" spans="2:12" x14ac:dyDescent="0.25">
      <c r="B5" t="s">
        <v>627</v>
      </c>
      <c r="C5" t="s">
        <v>628</v>
      </c>
      <c r="F5" t="s">
        <v>700</v>
      </c>
      <c r="G5">
        <v>500</v>
      </c>
      <c r="L5" t="s">
        <v>658</v>
      </c>
    </row>
    <row r="6" spans="2:12" x14ac:dyDescent="0.25">
      <c r="B6" s="1" t="s">
        <v>629</v>
      </c>
      <c r="F6" t="s">
        <v>701</v>
      </c>
      <c r="G6">
        <v>1000</v>
      </c>
    </row>
    <row r="7" spans="2:12" x14ac:dyDescent="0.25">
      <c r="B7" t="s">
        <v>630</v>
      </c>
    </row>
    <row r="8" spans="2:12" x14ac:dyDescent="0.25">
      <c r="B8" t="s">
        <v>631</v>
      </c>
    </row>
    <row r="9" spans="2:12" x14ac:dyDescent="0.25">
      <c r="B9" t="s">
        <v>632</v>
      </c>
    </row>
    <row r="10" spans="2:12" x14ac:dyDescent="0.25">
      <c r="B10" t="s">
        <v>633</v>
      </c>
    </row>
    <row r="12" spans="2:12" x14ac:dyDescent="0.25">
      <c r="B12" s="1" t="s">
        <v>634</v>
      </c>
    </row>
    <row r="13" spans="2:12" x14ac:dyDescent="0.25">
      <c r="B13" t="s">
        <v>635</v>
      </c>
    </row>
    <row r="14" spans="2:12" x14ac:dyDescent="0.25">
      <c r="B14" t="s">
        <v>636</v>
      </c>
    </row>
    <row r="19" spans="2:15" ht="30" customHeight="1" x14ac:dyDescent="0.25">
      <c r="J19" s="389" t="s">
        <v>661</v>
      </c>
      <c r="K19" s="391" t="s">
        <v>662</v>
      </c>
      <c r="L19" s="392"/>
      <c r="M19" s="393" t="s">
        <v>675</v>
      </c>
      <c r="N19" s="395">
        <v>394.41</v>
      </c>
      <c r="O19" s="387">
        <v>3142.68</v>
      </c>
    </row>
    <row r="20" spans="2:15" x14ac:dyDescent="0.25">
      <c r="C20">
        <v>3441</v>
      </c>
      <c r="D20">
        <f>(C20/3)</f>
        <v>1147</v>
      </c>
      <c r="F20">
        <f>SUM(C20:C33) -1000</f>
        <v>1691</v>
      </c>
      <c r="J20" s="389"/>
      <c r="K20" s="64" t="s">
        <v>663</v>
      </c>
      <c r="L20" s="66">
        <v>42256</v>
      </c>
      <c r="M20" s="393"/>
      <c r="N20" s="395"/>
      <c r="O20" s="387"/>
    </row>
    <row r="21" spans="2:15" x14ac:dyDescent="0.25">
      <c r="B21">
        <v>1489</v>
      </c>
      <c r="C21">
        <v>0</v>
      </c>
      <c r="J21" s="389"/>
      <c r="K21" s="65" t="s">
        <v>664</v>
      </c>
      <c r="L21" s="67" t="s">
        <v>665</v>
      </c>
      <c r="M21" s="393"/>
      <c r="N21" s="395"/>
      <c r="O21" s="387"/>
    </row>
    <row r="22" spans="2:15" x14ac:dyDescent="0.25">
      <c r="B22" t="s">
        <v>583</v>
      </c>
      <c r="C22">
        <v>-700</v>
      </c>
      <c r="J22" s="389"/>
      <c r="K22" s="65" t="s">
        <v>666</v>
      </c>
      <c r="L22" s="67" t="s">
        <v>667</v>
      </c>
      <c r="M22" s="393"/>
      <c r="N22" s="395"/>
      <c r="O22" s="387"/>
    </row>
    <row r="23" spans="2:15" ht="30" x14ac:dyDescent="0.25">
      <c r="B23" t="s">
        <v>659</v>
      </c>
      <c r="C23">
        <v>-50</v>
      </c>
      <c r="J23" s="389"/>
      <c r="K23" s="65" t="s">
        <v>668</v>
      </c>
      <c r="L23" s="67" t="s">
        <v>669</v>
      </c>
      <c r="M23" s="393"/>
      <c r="N23" s="395"/>
      <c r="O23" s="387"/>
    </row>
    <row r="24" spans="2:15" x14ac:dyDescent="0.25">
      <c r="J24" s="389"/>
      <c r="K24" s="65" t="s">
        <v>670</v>
      </c>
      <c r="L24" s="67" t="s">
        <v>671</v>
      </c>
      <c r="M24" s="393"/>
      <c r="N24" s="395"/>
      <c r="O24" s="387"/>
    </row>
    <row r="25" spans="2:15" x14ac:dyDescent="0.25">
      <c r="J25" s="389"/>
      <c r="K25" s="65" t="s">
        <v>672</v>
      </c>
      <c r="L25" s="67" t="s">
        <v>673</v>
      </c>
      <c r="M25" s="393"/>
      <c r="N25" s="395"/>
      <c r="O25" s="387"/>
    </row>
    <row r="26" spans="2:15" ht="15.75" thickBot="1" x14ac:dyDescent="0.3">
      <c r="J26" s="390"/>
      <c r="K26" s="68" t="s">
        <v>674</v>
      </c>
      <c r="L26" s="69">
        <v>8903</v>
      </c>
      <c r="M26" s="394"/>
      <c r="N26" s="396"/>
      <c r="O26" s="388"/>
    </row>
    <row r="32" spans="2:15" x14ac:dyDescent="0.25">
      <c r="F32" s="70" t="s">
        <v>677</v>
      </c>
    </row>
    <row r="33" spans="6:6" x14ac:dyDescent="0.25">
      <c r="F33" s="70" t="s">
        <v>678</v>
      </c>
    </row>
    <row r="34" spans="6:6" x14ac:dyDescent="0.25">
      <c r="F34" s="70" t="s">
        <v>679</v>
      </c>
    </row>
    <row r="35" spans="6:6" x14ac:dyDescent="0.25">
      <c r="F35" s="70" t="s">
        <v>680</v>
      </c>
    </row>
    <row r="36" spans="6:6" x14ac:dyDescent="0.25">
      <c r="F36" s="70" t="s">
        <v>681</v>
      </c>
    </row>
    <row r="37" spans="6:6" x14ac:dyDescent="0.25">
      <c r="F37" s="70" t="s">
        <v>682</v>
      </c>
    </row>
    <row r="38" spans="6:6" x14ac:dyDescent="0.25">
      <c r="F38" s="71" t="s">
        <v>683</v>
      </c>
    </row>
    <row r="39" spans="6:6" x14ac:dyDescent="0.25">
      <c r="F39" s="71" t="s">
        <v>684</v>
      </c>
    </row>
    <row r="40" spans="6:6" x14ac:dyDescent="0.25">
      <c r="F40" s="70" t="s">
        <v>685</v>
      </c>
    </row>
    <row r="41" spans="6:6" x14ac:dyDescent="0.25">
      <c r="F41" s="71" t="s">
        <v>686</v>
      </c>
    </row>
    <row r="42" spans="6:6" x14ac:dyDescent="0.25">
      <c r="F42" s="71" t="s">
        <v>687</v>
      </c>
    </row>
    <row r="43" spans="6:6" x14ac:dyDescent="0.25">
      <c r="F43" s="71" t="s">
        <v>688</v>
      </c>
    </row>
    <row r="44" spans="6:6" x14ac:dyDescent="0.25">
      <c r="F44" s="70" t="s">
        <v>689</v>
      </c>
    </row>
    <row r="45" spans="6:6" x14ac:dyDescent="0.25">
      <c r="F45" s="70" t="s">
        <v>690</v>
      </c>
    </row>
    <row r="46" spans="6:6" x14ac:dyDescent="0.25">
      <c r="F46" s="70" t="s">
        <v>691</v>
      </c>
    </row>
    <row r="47" spans="6:6" x14ac:dyDescent="0.25">
      <c r="F47" s="71" t="s">
        <v>692</v>
      </c>
    </row>
    <row r="48" spans="6:6" x14ac:dyDescent="0.25">
      <c r="F48" s="70" t="s">
        <v>693</v>
      </c>
    </row>
    <row r="49" spans="6:8" x14ac:dyDescent="0.25">
      <c r="F49" s="70" t="s">
        <v>694</v>
      </c>
    </row>
    <row r="50" spans="6:8" x14ac:dyDescent="0.25">
      <c r="F50" s="70" t="s">
        <v>695</v>
      </c>
    </row>
    <row r="51" spans="6:8" x14ac:dyDescent="0.25">
      <c r="F51" s="70" t="s">
        <v>696</v>
      </c>
    </row>
    <row r="52" spans="6:8" x14ac:dyDescent="0.25">
      <c r="H52" t="s">
        <v>702</v>
      </c>
    </row>
    <row r="53" spans="6:8" x14ac:dyDescent="0.25">
      <c r="H53" t="s">
        <v>703</v>
      </c>
    </row>
  </sheetData>
  <mergeCells count="6">
    <mergeCell ref="O19:O26"/>
    <mergeCell ref="C2:C4"/>
    <mergeCell ref="J19:J26"/>
    <mergeCell ref="K19:L19"/>
    <mergeCell ref="M19:M26"/>
    <mergeCell ref="N19:N26"/>
  </mergeCells>
  <hyperlinks>
    <hyperlink ref="K1" r:id="rId1"/>
    <hyperlink ref="J19" r:id="rId2" display="javascript:void(0);"/>
    <hyperlink ref="K19" r:id="rId3" display="javascript:void(0);"/>
  </hyperlinks>
  <pageMargins left="0.7" right="0.7" top="0.75" bottom="0.75" header="0.3" footer="0.3"/>
  <pageSetup orientation="portrait" r:id="rId4"/>
  <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25"/>
  <sheetViews>
    <sheetView topLeftCell="A3" workbookViewId="0">
      <selection activeCell="I11" sqref="I11"/>
    </sheetView>
  </sheetViews>
  <sheetFormatPr defaultRowHeight="15" x14ac:dyDescent="0.25"/>
  <sheetData>
    <row r="7" spans="1:14" x14ac:dyDescent="0.25">
      <c r="A7">
        <v>3</v>
      </c>
      <c r="C7">
        <f>(2800+2600+2000+2000+600)</f>
        <v>10000</v>
      </c>
      <c r="D7">
        <v>1626</v>
      </c>
      <c r="E7">
        <f>(D7/C7)*100</f>
        <v>16.259999999999998</v>
      </c>
      <c r="G7" t="s">
        <v>782</v>
      </c>
      <c r="H7">
        <v>2800</v>
      </c>
      <c r="I7">
        <v>1626</v>
      </c>
      <c r="J7">
        <f>(H7-I7)</f>
        <v>1174</v>
      </c>
      <c r="K7">
        <f>(I7/H7)*100</f>
        <v>58.071428571428577</v>
      </c>
      <c r="L7" s="78">
        <v>43040</v>
      </c>
    </row>
    <row r="8" spans="1:14" x14ac:dyDescent="0.25">
      <c r="A8">
        <v>2</v>
      </c>
      <c r="C8">
        <v>18000</v>
      </c>
      <c r="D8">
        <v>14812</v>
      </c>
      <c r="E8">
        <f>(D8/C8)*100</f>
        <v>82.288888888888891</v>
      </c>
      <c r="G8" t="s">
        <v>783</v>
      </c>
      <c r="H8">
        <v>22000</v>
      </c>
      <c r="I8">
        <v>14812</v>
      </c>
      <c r="J8">
        <f>(H8-I8)</f>
        <v>7188</v>
      </c>
      <c r="K8">
        <f>(I8/H8)*100</f>
        <v>67.327272727272728</v>
      </c>
    </row>
    <row r="9" spans="1:14" x14ac:dyDescent="0.25">
      <c r="A9">
        <v>1</v>
      </c>
      <c r="C9">
        <v>11400</v>
      </c>
      <c r="D9">
        <v>9600</v>
      </c>
      <c r="E9">
        <f>(D9/C9)*100</f>
        <v>84.210526315789465</v>
      </c>
      <c r="G9" t="s">
        <v>784</v>
      </c>
      <c r="H9">
        <v>14600</v>
      </c>
      <c r="I9">
        <v>9600</v>
      </c>
      <c r="J9">
        <f>(H9-I9)</f>
        <v>5000</v>
      </c>
      <c r="K9">
        <f>(I9/H9)*100</f>
        <v>65.753424657534239</v>
      </c>
      <c r="L9" s="78">
        <v>42795</v>
      </c>
    </row>
    <row r="10" spans="1:14" x14ac:dyDescent="0.25">
      <c r="C10" s="18">
        <f>SUM(C7:C9)</f>
        <v>39400</v>
      </c>
      <c r="H10" s="18">
        <f>SUM(H7:H9)</f>
        <v>39400</v>
      </c>
      <c r="I10">
        <f>SUM(I7:I9)</f>
        <v>26038</v>
      </c>
      <c r="J10" s="1">
        <f>SUM(J7:J9)</f>
        <v>13362</v>
      </c>
    </row>
    <row r="15" spans="1:14" x14ac:dyDescent="0.25">
      <c r="G15" s="1" t="s">
        <v>785</v>
      </c>
      <c r="J15" t="s">
        <v>786</v>
      </c>
      <c r="N15">
        <f>J16</f>
        <v>13250</v>
      </c>
    </row>
    <row r="16" spans="1:14" x14ac:dyDescent="0.25">
      <c r="G16" t="s">
        <v>228</v>
      </c>
      <c r="H16">
        <v>300</v>
      </c>
      <c r="I16">
        <f>SUM(H16:H19)-800</f>
        <v>4500</v>
      </c>
      <c r="J16">
        <v>13250</v>
      </c>
      <c r="M16">
        <f>I16</f>
        <v>4500</v>
      </c>
      <c r="N16">
        <f>(N15-M16)</f>
        <v>8750</v>
      </c>
    </row>
    <row r="17" spans="3:13" x14ac:dyDescent="0.25">
      <c r="G17" t="s">
        <v>3</v>
      </c>
      <c r="H17">
        <v>500</v>
      </c>
    </row>
    <row r="18" spans="3:13" x14ac:dyDescent="0.25">
      <c r="C18">
        <v>10000</v>
      </c>
      <c r="D18">
        <f>SUM(C18:C22)</f>
        <v>2374</v>
      </c>
      <c r="G18" t="s">
        <v>511</v>
      </c>
      <c r="H18">
        <v>3000</v>
      </c>
    </row>
    <row r="19" spans="3:13" x14ac:dyDescent="0.25">
      <c r="C19">
        <v>-1626</v>
      </c>
      <c r="G19" t="s">
        <v>511</v>
      </c>
      <c r="H19">
        <v>1500</v>
      </c>
    </row>
    <row r="20" spans="3:13" x14ac:dyDescent="0.25">
      <c r="C20">
        <v>-6000</v>
      </c>
    </row>
    <row r="22" spans="3:13" x14ac:dyDescent="0.25">
      <c r="F22">
        <v>8610</v>
      </c>
      <c r="G22" s="78">
        <v>42614</v>
      </c>
      <c r="J22" s="13">
        <v>42555</v>
      </c>
      <c r="L22" t="s">
        <v>788</v>
      </c>
    </row>
    <row r="23" spans="3:13" x14ac:dyDescent="0.25">
      <c r="J23" t="s">
        <v>787</v>
      </c>
      <c r="K23" s="98">
        <v>0</v>
      </c>
      <c r="L23">
        <v>8133.49</v>
      </c>
      <c r="M23" s="99">
        <v>42614</v>
      </c>
    </row>
    <row r="24" spans="3:13" x14ac:dyDescent="0.25">
      <c r="J24" t="s">
        <v>763</v>
      </c>
      <c r="K24" s="98">
        <v>0</v>
      </c>
      <c r="L24">
        <v>5150</v>
      </c>
      <c r="M24" s="78">
        <v>42948</v>
      </c>
    </row>
    <row r="25" spans="3:13" x14ac:dyDescent="0.25">
      <c r="J25" t="s">
        <v>763</v>
      </c>
      <c r="K25" s="98">
        <v>0</v>
      </c>
      <c r="L25">
        <v>2060</v>
      </c>
      <c r="M25" s="78">
        <v>43040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workbookViewId="0">
      <selection activeCell="K13" sqref="K13"/>
    </sheetView>
  </sheetViews>
  <sheetFormatPr defaultRowHeight="15" x14ac:dyDescent="0.25"/>
  <cols>
    <col min="3" max="3" width="15.28515625" customWidth="1"/>
    <col min="4" max="4" width="10.28515625" bestFit="1" customWidth="1"/>
    <col min="5" max="6" width="10.42578125" bestFit="1" customWidth="1"/>
    <col min="7" max="7" width="9.42578125" bestFit="1" customWidth="1"/>
    <col min="8" max="9" width="10.42578125" bestFit="1" customWidth="1"/>
    <col min="11" max="11" width="9.85546875" bestFit="1" customWidth="1"/>
  </cols>
  <sheetData>
    <row r="2" spans="3:11" x14ac:dyDescent="0.25">
      <c r="C2" s="106">
        <v>42415</v>
      </c>
      <c r="D2" s="107" t="s">
        <v>789</v>
      </c>
      <c r="E2" s="107"/>
      <c r="F2" s="108">
        <v>492.86</v>
      </c>
      <c r="G2" s="108">
        <v>140.63</v>
      </c>
      <c r="H2" s="108">
        <v>352.23</v>
      </c>
      <c r="I2" s="108">
        <v>14647.77</v>
      </c>
      <c r="K2" s="109">
        <f>SUM(G9:G37)</f>
        <v>1828.9699999999998</v>
      </c>
    </row>
    <row r="3" spans="3:11" x14ac:dyDescent="0.25">
      <c r="C3" s="106">
        <v>42444</v>
      </c>
      <c r="D3" s="107" t="s">
        <v>790</v>
      </c>
      <c r="E3" s="107"/>
      <c r="F3" s="108">
        <v>492.86</v>
      </c>
      <c r="G3" s="108">
        <v>137.32</v>
      </c>
      <c r="H3" s="108">
        <v>355.54</v>
      </c>
      <c r="I3" s="108">
        <v>14292.23</v>
      </c>
    </row>
    <row r="4" spans="3:11" x14ac:dyDescent="0.25">
      <c r="C4" s="106">
        <v>42475</v>
      </c>
      <c r="D4" s="107" t="s">
        <v>791</v>
      </c>
      <c r="E4" s="107"/>
      <c r="F4" s="108">
        <v>492.86</v>
      </c>
      <c r="G4" s="108">
        <v>133.99</v>
      </c>
      <c r="H4" s="108">
        <v>358.87</v>
      </c>
      <c r="I4" s="108">
        <v>13933.36</v>
      </c>
    </row>
    <row r="5" spans="3:11" x14ac:dyDescent="0.25">
      <c r="C5" s="106">
        <v>42505</v>
      </c>
      <c r="D5" s="107" t="s">
        <v>792</v>
      </c>
      <c r="E5" s="107"/>
      <c r="F5" s="108">
        <v>492.86</v>
      </c>
      <c r="G5" s="108">
        <v>130.63</v>
      </c>
      <c r="H5" s="108">
        <v>362.23</v>
      </c>
      <c r="I5" s="108">
        <v>13571.13</v>
      </c>
    </row>
    <row r="6" spans="3:11" x14ac:dyDescent="0.25">
      <c r="C6" s="106">
        <v>42536</v>
      </c>
      <c r="D6" s="107" t="s">
        <v>793</v>
      </c>
      <c r="E6" s="107"/>
      <c r="F6" s="108">
        <v>492.86</v>
      </c>
      <c r="G6" s="108">
        <v>127.23</v>
      </c>
      <c r="H6" s="108">
        <v>365.63</v>
      </c>
      <c r="I6" s="108">
        <v>13205.5</v>
      </c>
    </row>
    <row r="7" spans="3:11" x14ac:dyDescent="0.25">
      <c r="C7" s="106">
        <v>42566</v>
      </c>
      <c r="D7" s="107" t="s">
        <v>794</v>
      </c>
      <c r="E7" s="107"/>
      <c r="F7" s="108">
        <v>492.86</v>
      </c>
      <c r="G7" s="108">
        <v>123.8</v>
      </c>
      <c r="H7" s="108">
        <v>369.06</v>
      </c>
      <c r="I7" s="108">
        <v>12836.44</v>
      </c>
    </row>
    <row r="8" spans="3:11" x14ac:dyDescent="0.25">
      <c r="C8" s="106">
        <v>42597</v>
      </c>
      <c r="D8" s="107" t="s">
        <v>795</v>
      </c>
      <c r="E8" s="107"/>
      <c r="F8" s="108">
        <v>492.86</v>
      </c>
      <c r="G8" s="108">
        <v>120.34</v>
      </c>
      <c r="H8" s="108">
        <v>372.52</v>
      </c>
      <c r="I8" s="108">
        <v>12463.92</v>
      </c>
    </row>
    <row r="9" spans="3:11" x14ac:dyDescent="0.25">
      <c r="C9" s="13">
        <v>42628</v>
      </c>
      <c r="D9" s="102" t="s">
        <v>796</v>
      </c>
      <c r="E9" s="102"/>
      <c r="F9" s="103">
        <v>492.86</v>
      </c>
      <c r="G9" s="103">
        <v>116.85</v>
      </c>
      <c r="H9" s="103">
        <v>376.01</v>
      </c>
      <c r="I9" s="103">
        <v>12087.91</v>
      </c>
    </row>
    <row r="10" spans="3:11" x14ac:dyDescent="0.25">
      <c r="C10" s="13">
        <v>42658</v>
      </c>
      <c r="D10" s="100" t="s">
        <v>797</v>
      </c>
      <c r="E10" s="100"/>
      <c r="F10" s="101">
        <v>492.86</v>
      </c>
      <c r="G10" s="101">
        <v>113.32</v>
      </c>
      <c r="H10" s="101">
        <v>379.54</v>
      </c>
      <c r="I10" s="101">
        <v>11708.37</v>
      </c>
    </row>
    <row r="11" spans="3:11" x14ac:dyDescent="0.25">
      <c r="C11" s="13">
        <v>42689</v>
      </c>
      <c r="D11" s="102" t="s">
        <v>798</v>
      </c>
      <c r="E11" s="102"/>
      <c r="F11" s="103">
        <v>492.86</v>
      </c>
      <c r="G11" s="103">
        <v>109.77</v>
      </c>
      <c r="H11" s="103">
        <v>383.09</v>
      </c>
      <c r="I11" s="103">
        <v>11325.28</v>
      </c>
    </row>
    <row r="12" spans="3:11" x14ac:dyDescent="0.25">
      <c r="C12" s="13">
        <v>42719</v>
      </c>
      <c r="D12" s="100" t="s">
        <v>799</v>
      </c>
      <c r="E12" s="100"/>
      <c r="F12" s="101">
        <v>492.86</v>
      </c>
      <c r="G12" s="101">
        <v>106.17</v>
      </c>
      <c r="H12" s="101">
        <v>386.69</v>
      </c>
      <c r="I12" s="101">
        <v>10938.59</v>
      </c>
    </row>
    <row r="13" spans="3:11" x14ac:dyDescent="0.25">
      <c r="C13" s="13">
        <v>42750</v>
      </c>
      <c r="D13" s="102" t="s">
        <v>800</v>
      </c>
      <c r="E13" s="102"/>
      <c r="F13" s="103">
        <v>492.86</v>
      </c>
      <c r="G13" s="103">
        <v>102.55</v>
      </c>
      <c r="H13" s="103">
        <v>390.31</v>
      </c>
      <c r="I13" s="103">
        <v>10548.28</v>
      </c>
    </row>
    <row r="14" spans="3:11" x14ac:dyDescent="0.25">
      <c r="C14" s="13">
        <v>42781</v>
      </c>
      <c r="D14" s="100" t="s">
        <v>801</v>
      </c>
      <c r="E14" s="100"/>
      <c r="F14" s="101">
        <v>492.86</v>
      </c>
      <c r="G14" s="101">
        <v>98.89</v>
      </c>
      <c r="H14" s="101">
        <v>393.97</v>
      </c>
      <c r="I14" s="101">
        <v>10154.31</v>
      </c>
    </row>
    <row r="15" spans="3:11" x14ac:dyDescent="0.25">
      <c r="C15" s="13">
        <v>42809</v>
      </c>
      <c r="D15" s="102" t="s">
        <v>802</v>
      </c>
      <c r="E15" s="102"/>
      <c r="F15" s="103">
        <v>492.86</v>
      </c>
      <c r="G15" s="103">
        <v>95.2</v>
      </c>
      <c r="H15" s="103">
        <v>397.66</v>
      </c>
      <c r="I15" s="103">
        <v>9756.65</v>
      </c>
    </row>
    <row r="16" spans="3:11" x14ac:dyDescent="0.25">
      <c r="C16" s="13">
        <v>42840</v>
      </c>
      <c r="D16" s="100" t="s">
        <v>803</v>
      </c>
      <c r="E16" s="100"/>
      <c r="F16" s="101">
        <v>492.86</v>
      </c>
      <c r="G16" s="101">
        <v>91.47</v>
      </c>
      <c r="H16" s="101">
        <v>401.39</v>
      </c>
      <c r="I16" s="101">
        <v>9355.26</v>
      </c>
    </row>
    <row r="17" spans="3:9" x14ac:dyDescent="0.25">
      <c r="C17" s="13">
        <v>42870</v>
      </c>
      <c r="D17" s="102" t="s">
        <v>804</v>
      </c>
      <c r="E17" s="102"/>
      <c r="F17" s="103">
        <v>492.86</v>
      </c>
      <c r="G17" s="103">
        <v>87.71</v>
      </c>
      <c r="H17" s="103">
        <v>405.15</v>
      </c>
      <c r="I17" s="103">
        <v>8950.11</v>
      </c>
    </row>
    <row r="18" spans="3:9" x14ac:dyDescent="0.25">
      <c r="C18" s="13">
        <v>42901</v>
      </c>
      <c r="D18" s="100" t="s">
        <v>805</v>
      </c>
      <c r="E18" s="100"/>
      <c r="F18" s="101">
        <v>492.86</v>
      </c>
      <c r="G18" s="101">
        <v>83.91</v>
      </c>
      <c r="H18" s="101">
        <v>408.95</v>
      </c>
      <c r="I18" s="101">
        <v>8541.16</v>
      </c>
    </row>
    <row r="19" spans="3:9" x14ac:dyDescent="0.25">
      <c r="C19" s="13">
        <v>42931</v>
      </c>
      <c r="D19" s="102" t="s">
        <v>806</v>
      </c>
      <c r="E19" s="102"/>
      <c r="F19" s="103">
        <v>492.86</v>
      </c>
      <c r="G19" s="103">
        <v>80.069999999999993</v>
      </c>
      <c r="H19" s="103">
        <v>412.79</v>
      </c>
      <c r="I19" s="103">
        <v>8128.37</v>
      </c>
    </row>
    <row r="20" spans="3:9" x14ac:dyDescent="0.25">
      <c r="C20" s="13">
        <v>42962</v>
      </c>
      <c r="D20" s="100" t="s">
        <v>807</v>
      </c>
      <c r="E20" s="100"/>
      <c r="F20" s="101">
        <v>492.86</v>
      </c>
      <c r="G20" s="101">
        <v>76.2</v>
      </c>
      <c r="H20" s="101">
        <v>416.66</v>
      </c>
      <c r="I20" s="101">
        <v>7711.71</v>
      </c>
    </row>
    <row r="21" spans="3:9" x14ac:dyDescent="0.25">
      <c r="C21" s="13">
        <v>42993</v>
      </c>
      <c r="D21" s="102" t="s">
        <v>808</v>
      </c>
      <c r="E21" s="102"/>
      <c r="F21" s="103">
        <v>492.86</v>
      </c>
      <c r="G21" s="103">
        <v>72.3</v>
      </c>
      <c r="H21" s="103">
        <v>420.56</v>
      </c>
      <c r="I21" s="103">
        <v>7291.15</v>
      </c>
    </row>
    <row r="22" spans="3:9" x14ac:dyDescent="0.25">
      <c r="C22" s="13">
        <v>43023</v>
      </c>
      <c r="D22" s="100" t="s">
        <v>809</v>
      </c>
      <c r="E22" s="100"/>
      <c r="F22" s="101">
        <v>492.86</v>
      </c>
      <c r="G22" s="101">
        <v>68.349999999999994</v>
      </c>
      <c r="H22" s="101">
        <v>424.51</v>
      </c>
      <c r="I22" s="101">
        <v>6866.64</v>
      </c>
    </row>
    <row r="23" spans="3:9" x14ac:dyDescent="0.25">
      <c r="C23" s="13">
        <v>43054</v>
      </c>
      <c r="D23" s="102" t="s">
        <v>810</v>
      </c>
      <c r="E23" s="102"/>
      <c r="F23" s="103">
        <v>492.86</v>
      </c>
      <c r="G23" s="103">
        <v>64.37</v>
      </c>
      <c r="H23" s="103">
        <v>428.49</v>
      </c>
      <c r="I23" s="103">
        <v>6438.15</v>
      </c>
    </row>
    <row r="24" spans="3:9" x14ac:dyDescent="0.25">
      <c r="C24" s="13">
        <v>43084</v>
      </c>
      <c r="D24" s="100" t="s">
        <v>811</v>
      </c>
      <c r="E24" s="100"/>
      <c r="F24" s="101">
        <v>492.86</v>
      </c>
      <c r="G24" s="101">
        <v>60.36</v>
      </c>
      <c r="H24" s="101">
        <v>432.5</v>
      </c>
      <c r="I24" s="101">
        <v>6005.65</v>
      </c>
    </row>
    <row r="25" spans="3:9" x14ac:dyDescent="0.25">
      <c r="C25" s="13">
        <v>43115</v>
      </c>
      <c r="D25" s="102" t="s">
        <v>812</v>
      </c>
      <c r="E25" s="102"/>
      <c r="F25" s="103">
        <v>492.86</v>
      </c>
      <c r="G25" s="103">
        <v>56.3</v>
      </c>
      <c r="H25" s="103">
        <v>436.56</v>
      </c>
      <c r="I25" s="103">
        <v>5569.09</v>
      </c>
    </row>
    <row r="26" spans="3:9" x14ac:dyDescent="0.25">
      <c r="C26" s="13">
        <v>43146</v>
      </c>
      <c r="D26" s="100" t="s">
        <v>813</v>
      </c>
      <c r="E26" s="100"/>
      <c r="F26" s="101">
        <v>492.86</v>
      </c>
      <c r="G26" s="101">
        <v>52.21</v>
      </c>
      <c r="H26" s="101">
        <v>440.65</v>
      </c>
      <c r="I26" s="101">
        <v>5128.4399999999996</v>
      </c>
    </row>
    <row r="27" spans="3:9" x14ac:dyDescent="0.25">
      <c r="C27" s="13">
        <v>43174</v>
      </c>
      <c r="D27" s="102" t="s">
        <v>814</v>
      </c>
      <c r="E27" s="102"/>
      <c r="F27" s="103">
        <v>492.86</v>
      </c>
      <c r="G27" s="103">
        <v>48.08</v>
      </c>
      <c r="H27" s="103">
        <v>444.78</v>
      </c>
      <c r="I27" s="103">
        <v>4683.66</v>
      </c>
    </row>
    <row r="28" spans="3:9" x14ac:dyDescent="0.25">
      <c r="C28" s="13">
        <v>43205</v>
      </c>
      <c r="D28" s="100" t="s">
        <v>815</v>
      </c>
      <c r="E28" s="100"/>
      <c r="F28" s="101">
        <v>492.86</v>
      </c>
      <c r="G28" s="101">
        <v>43.91</v>
      </c>
      <c r="H28" s="101">
        <v>448.95</v>
      </c>
      <c r="I28" s="101">
        <v>4234.71</v>
      </c>
    </row>
    <row r="29" spans="3:9" x14ac:dyDescent="0.25">
      <c r="C29" s="13">
        <v>43235</v>
      </c>
      <c r="D29" s="102" t="s">
        <v>816</v>
      </c>
      <c r="E29" s="102"/>
      <c r="F29" s="103">
        <v>492.86</v>
      </c>
      <c r="G29" s="103">
        <v>39.700000000000003</v>
      </c>
      <c r="H29" s="103">
        <v>453.16</v>
      </c>
      <c r="I29" s="103">
        <v>3781.55</v>
      </c>
    </row>
    <row r="30" spans="3:9" x14ac:dyDescent="0.25">
      <c r="C30" s="13">
        <v>43266</v>
      </c>
      <c r="D30" s="100" t="s">
        <v>817</v>
      </c>
      <c r="E30" s="100"/>
      <c r="F30" s="101">
        <v>492.86</v>
      </c>
      <c r="G30" s="101">
        <v>35.450000000000003</v>
      </c>
      <c r="H30" s="101">
        <v>457.41</v>
      </c>
      <c r="I30" s="101">
        <v>3324.14</v>
      </c>
    </row>
    <row r="31" spans="3:9" x14ac:dyDescent="0.25">
      <c r="C31" s="13">
        <v>43296</v>
      </c>
      <c r="D31" s="102" t="s">
        <v>818</v>
      </c>
      <c r="E31" s="102"/>
      <c r="F31" s="103">
        <v>492.86</v>
      </c>
      <c r="G31" s="103">
        <v>31.16</v>
      </c>
      <c r="H31" s="103">
        <v>461.7</v>
      </c>
      <c r="I31" s="103">
        <v>2862.44</v>
      </c>
    </row>
    <row r="32" spans="3:9" x14ac:dyDescent="0.25">
      <c r="C32" s="13">
        <v>43327</v>
      </c>
      <c r="D32" s="100" t="s">
        <v>819</v>
      </c>
      <c r="E32" s="100"/>
      <c r="F32" s="101">
        <v>492.86</v>
      </c>
      <c r="G32" s="101">
        <v>26.84</v>
      </c>
      <c r="H32" s="101">
        <v>466.02</v>
      </c>
      <c r="I32" s="101">
        <v>2396.42</v>
      </c>
    </row>
    <row r="33" spans="3:9" x14ac:dyDescent="0.25">
      <c r="C33" s="13">
        <v>43358</v>
      </c>
      <c r="D33" s="102" t="s">
        <v>820</v>
      </c>
      <c r="E33" s="102"/>
      <c r="F33" s="103">
        <v>492.86</v>
      </c>
      <c r="G33" s="103">
        <v>22.47</v>
      </c>
      <c r="H33" s="103">
        <v>470.39</v>
      </c>
      <c r="I33" s="103">
        <v>1926.03</v>
      </c>
    </row>
    <row r="34" spans="3:9" x14ac:dyDescent="0.25">
      <c r="C34" s="13">
        <v>43388</v>
      </c>
      <c r="D34" s="100" t="s">
        <v>821</v>
      </c>
      <c r="E34" s="100"/>
      <c r="F34" s="101">
        <v>492.86</v>
      </c>
      <c r="G34" s="101">
        <v>18.059999999999999</v>
      </c>
      <c r="H34" s="101">
        <v>474.8</v>
      </c>
      <c r="I34" s="101">
        <v>1451.23</v>
      </c>
    </row>
    <row r="35" spans="3:9" x14ac:dyDescent="0.25">
      <c r="C35" s="13">
        <v>43419</v>
      </c>
      <c r="D35" s="102" t="s">
        <v>822</v>
      </c>
      <c r="E35" s="102"/>
      <c r="F35" s="103">
        <v>492.86</v>
      </c>
      <c r="G35" s="103">
        <v>13.61</v>
      </c>
      <c r="H35" s="103">
        <v>479.25</v>
      </c>
      <c r="I35" s="103">
        <v>971.98</v>
      </c>
    </row>
    <row r="36" spans="3:9" x14ac:dyDescent="0.25">
      <c r="C36" s="13">
        <v>43449</v>
      </c>
      <c r="D36" s="100" t="s">
        <v>823</v>
      </c>
      <c r="E36" s="100"/>
      <c r="F36" s="101">
        <v>492.86</v>
      </c>
      <c r="G36" s="101">
        <v>9.11</v>
      </c>
      <c r="H36" s="101">
        <v>483.75</v>
      </c>
      <c r="I36" s="101">
        <v>488.23</v>
      </c>
    </row>
    <row r="37" spans="3:9" ht="15.75" thickBot="1" x14ac:dyDescent="0.3">
      <c r="C37" s="13">
        <v>43480</v>
      </c>
      <c r="D37" s="102" t="s">
        <v>824</v>
      </c>
      <c r="E37" s="102"/>
      <c r="F37" s="103">
        <v>492.81</v>
      </c>
      <c r="G37" s="103">
        <v>4.58</v>
      </c>
      <c r="H37" s="103">
        <v>488.23</v>
      </c>
      <c r="I37" s="103">
        <v>0</v>
      </c>
    </row>
    <row r="38" spans="3:9" ht="15.75" thickTop="1" x14ac:dyDescent="0.25">
      <c r="D38" s="104" t="s">
        <v>825</v>
      </c>
      <c r="E38" s="105">
        <v>15000</v>
      </c>
      <c r="F38" s="105">
        <v>17742.91</v>
      </c>
      <c r="G38" s="105">
        <v>2742.91</v>
      </c>
      <c r="H38" s="105">
        <v>15000</v>
      </c>
      <c r="I38" s="105">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B2" workbookViewId="0">
      <selection activeCell="D6" sqref="D6"/>
    </sheetView>
  </sheetViews>
  <sheetFormatPr defaultRowHeight="15" x14ac:dyDescent="0.25"/>
  <cols>
    <col min="1" max="1" width="35.42578125" style="1" bestFit="1" customWidth="1"/>
    <col min="2" max="2" width="80.5703125" bestFit="1" customWidth="1"/>
    <col min="4" max="4" width="49.85546875" bestFit="1" customWidth="1"/>
  </cols>
  <sheetData>
    <row r="1" spans="1:4" x14ac:dyDescent="0.25">
      <c r="A1" s="1" t="s">
        <v>850</v>
      </c>
      <c r="B1" t="s">
        <v>851</v>
      </c>
    </row>
    <row r="2" spans="1:4" x14ac:dyDescent="0.25">
      <c r="D2" s="1" t="s">
        <v>867</v>
      </c>
    </row>
    <row r="3" spans="1:4" x14ac:dyDescent="0.25">
      <c r="D3" t="s">
        <v>869</v>
      </c>
    </row>
    <row r="4" spans="1:4" x14ac:dyDescent="0.25">
      <c r="A4" s="1" t="s">
        <v>854</v>
      </c>
      <c r="B4" t="s">
        <v>855</v>
      </c>
      <c r="D4" t="s">
        <v>868</v>
      </c>
    </row>
    <row r="5" spans="1:4" x14ac:dyDescent="0.25">
      <c r="A5" s="1" t="s">
        <v>852</v>
      </c>
      <c r="B5" t="s">
        <v>853</v>
      </c>
      <c r="D5" t="s">
        <v>870</v>
      </c>
    </row>
    <row r="6" spans="1:4" x14ac:dyDescent="0.25">
      <c r="A6" s="1" t="s">
        <v>857</v>
      </c>
      <c r="B6" t="s">
        <v>856</v>
      </c>
    </row>
    <row r="7" spans="1:4" x14ac:dyDescent="0.25">
      <c r="A7" s="1" t="s">
        <v>858</v>
      </c>
      <c r="B7" t="s">
        <v>859</v>
      </c>
    </row>
    <row r="8" spans="1:4" x14ac:dyDescent="0.25">
      <c r="A8" s="1" t="s">
        <v>861</v>
      </c>
      <c r="B8" t="s">
        <v>860</v>
      </c>
    </row>
    <row r="9" spans="1:4" x14ac:dyDescent="0.25">
      <c r="A9" s="1" t="s">
        <v>863</v>
      </c>
      <c r="B9" t="s">
        <v>862</v>
      </c>
    </row>
    <row r="11" spans="1:4" x14ac:dyDescent="0.25">
      <c r="A11" s="1" t="s">
        <v>864</v>
      </c>
    </row>
    <row r="13" spans="1:4" ht="45" x14ac:dyDescent="0.25">
      <c r="A13" s="85" t="s">
        <v>866</v>
      </c>
      <c r="B13" s="119" t="s">
        <v>865</v>
      </c>
    </row>
    <row r="16" spans="1:4" x14ac:dyDescent="0.25">
      <c r="D16" s="118"/>
    </row>
    <row r="17" spans="4:4" x14ac:dyDescent="0.25">
      <c r="D17" s="118"/>
    </row>
    <row r="18" spans="4:4" x14ac:dyDescent="0.25">
      <c r="D18" s="118"/>
    </row>
  </sheetData>
  <hyperlinks>
    <hyperlink ref="B13" r:id="rId1"/>
  </hyperlink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7"/>
  <sheetViews>
    <sheetView topLeftCell="B1" workbookViewId="0">
      <selection activeCell="C28" sqref="C28"/>
    </sheetView>
  </sheetViews>
  <sheetFormatPr defaultRowHeight="15" x14ac:dyDescent="0.25"/>
  <cols>
    <col min="3" max="3" width="11.85546875" bestFit="1" customWidth="1"/>
  </cols>
  <sheetData>
    <row r="4" spans="3:5" x14ac:dyDescent="0.25">
      <c r="C4" t="s">
        <v>871</v>
      </c>
      <c r="D4">
        <v>2000</v>
      </c>
      <c r="E4">
        <f>SUM(D4:D8)</f>
        <v>1700</v>
      </c>
    </row>
    <row r="5" spans="3:5" x14ac:dyDescent="0.25">
      <c r="C5" t="s">
        <v>779</v>
      </c>
    </row>
    <row r="6" spans="3:5" x14ac:dyDescent="0.25">
      <c r="C6" t="s">
        <v>780</v>
      </c>
      <c r="D6">
        <v>-300</v>
      </c>
    </row>
    <row r="7" spans="3:5" x14ac:dyDescent="0.25">
      <c r="C7" t="s">
        <v>872</v>
      </c>
    </row>
    <row r="8" spans="3:5" x14ac:dyDescent="0.25">
      <c r="C8" t="s">
        <v>873</v>
      </c>
    </row>
    <row r="14" spans="3:5" x14ac:dyDescent="0.25">
      <c r="C14" t="s">
        <v>871</v>
      </c>
      <c r="D14">
        <v>2000</v>
      </c>
      <c r="E14">
        <f>SUM(D14:D24)</f>
        <v>8596</v>
      </c>
    </row>
    <row r="15" spans="3:5" x14ac:dyDescent="0.25">
      <c r="C15" t="s">
        <v>222</v>
      </c>
      <c r="D15">
        <v>4000</v>
      </c>
    </row>
    <row r="16" spans="3:5" x14ac:dyDescent="0.25">
      <c r="C16" t="s">
        <v>3</v>
      </c>
      <c r="D16">
        <v>1500</v>
      </c>
    </row>
    <row r="17" spans="3:4" x14ac:dyDescent="0.25">
      <c r="C17" t="s">
        <v>971</v>
      </c>
      <c r="D17">
        <v>3500</v>
      </c>
    </row>
    <row r="18" spans="3:4" x14ac:dyDescent="0.25">
      <c r="C18" t="s">
        <v>640</v>
      </c>
      <c r="D18">
        <v>-700</v>
      </c>
    </row>
    <row r="19" spans="3:4" x14ac:dyDescent="0.25">
      <c r="C19" t="s">
        <v>708</v>
      </c>
      <c r="D19">
        <v>-495</v>
      </c>
    </row>
    <row r="20" spans="3:4" x14ac:dyDescent="0.25">
      <c r="C20" t="s">
        <v>707</v>
      </c>
      <c r="D20">
        <v>-314</v>
      </c>
    </row>
    <row r="21" spans="3:4" x14ac:dyDescent="0.25">
      <c r="C21" t="s">
        <v>745</v>
      </c>
      <c r="D21">
        <v>-150</v>
      </c>
    </row>
    <row r="22" spans="3:4" x14ac:dyDescent="0.25">
      <c r="C22" t="s">
        <v>972</v>
      </c>
      <c r="D22">
        <v>-145</v>
      </c>
    </row>
    <row r="23" spans="3:4" x14ac:dyDescent="0.25">
      <c r="C23" t="s">
        <v>2</v>
      </c>
      <c r="D23">
        <v>-300</v>
      </c>
    </row>
    <row r="24" spans="3:4" x14ac:dyDescent="0.25">
      <c r="C24" t="s">
        <v>742</v>
      </c>
      <c r="D24">
        <v>-300</v>
      </c>
    </row>
    <row r="25" spans="3:4" x14ac:dyDescent="0.25">
      <c r="C25" t="s">
        <v>743</v>
      </c>
      <c r="D25">
        <v>-300</v>
      </c>
    </row>
    <row r="26" spans="3:4" x14ac:dyDescent="0.25">
      <c r="C26" t="s">
        <v>744</v>
      </c>
      <c r="D26">
        <v>-1000</v>
      </c>
    </row>
    <row r="27" spans="3:4" x14ac:dyDescent="0.25">
      <c r="C27" t="s">
        <v>521</v>
      </c>
      <c r="D27">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6"/>
  <sheetViews>
    <sheetView topLeftCell="A22" workbookViewId="0">
      <selection activeCell="H27" sqref="H27"/>
    </sheetView>
  </sheetViews>
  <sheetFormatPr defaultRowHeight="15" x14ac:dyDescent="0.25"/>
  <cols>
    <col min="2" max="2" width="30.7109375" bestFit="1" customWidth="1"/>
    <col min="6" max="6" width="13.5703125" bestFit="1" customWidth="1"/>
    <col min="8" max="8" width="44.5703125" bestFit="1" customWidth="1"/>
    <col min="10" max="10" width="32.28515625" bestFit="1" customWidth="1"/>
  </cols>
  <sheetData>
    <row r="1" spans="2:10" x14ac:dyDescent="0.25">
      <c r="J1" s="63" t="s">
        <v>1016</v>
      </c>
    </row>
    <row r="2" spans="2:10" x14ac:dyDescent="0.25">
      <c r="B2" t="s">
        <v>938</v>
      </c>
    </row>
    <row r="3" spans="2:10" x14ac:dyDescent="0.25">
      <c r="B3" t="s">
        <v>939</v>
      </c>
    </row>
    <row r="4" spans="2:10" x14ac:dyDescent="0.25">
      <c r="H4" t="s">
        <v>1042</v>
      </c>
    </row>
    <row r="5" spans="2:10" x14ac:dyDescent="0.25">
      <c r="H5" t="s">
        <v>1041</v>
      </c>
    </row>
    <row r="6" spans="2:10" x14ac:dyDescent="0.25">
      <c r="H6" s="18" t="s">
        <v>1039</v>
      </c>
    </row>
    <row r="7" spans="2:10" x14ac:dyDescent="0.25">
      <c r="B7" s="1" t="s">
        <v>940</v>
      </c>
      <c r="H7" s="5" t="s">
        <v>1010</v>
      </c>
    </row>
    <row r="8" spans="2:10" x14ac:dyDescent="0.25">
      <c r="B8" t="s">
        <v>941</v>
      </c>
      <c r="H8" s="6" t="s">
        <v>1011</v>
      </c>
    </row>
    <row r="9" spans="2:10" x14ac:dyDescent="0.25">
      <c r="B9" t="s">
        <v>942</v>
      </c>
      <c r="H9" s="22" t="s">
        <v>1012</v>
      </c>
    </row>
    <row r="10" spans="2:10" x14ac:dyDescent="0.25">
      <c r="H10" s="5" t="s">
        <v>1013</v>
      </c>
    </row>
    <row r="11" spans="2:10" ht="45" x14ac:dyDescent="0.25">
      <c r="H11" s="153" t="s">
        <v>1014</v>
      </c>
    </row>
    <row r="12" spans="2:10" x14ac:dyDescent="0.25">
      <c r="B12" t="s">
        <v>943</v>
      </c>
      <c r="H12" s="5" t="s">
        <v>1015</v>
      </c>
    </row>
    <row r="13" spans="2:10" x14ac:dyDescent="0.25">
      <c r="B13" t="s">
        <v>945</v>
      </c>
      <c r="H13" s="154" t="s">
        <v>1017</v>
      </c>
    </row>
    <row r="14" spans="2:10" x14ac:dyDescent="0.25">
      <c r="B14" t="s">
        <v>948</v>
      </c>
      <c r="H14" s="5" t="s">
        <v>1018</v>
      </c>
    </row>
    <row r="15" spans="2:10" x14ac:dyDescent="0.25">
      <c r="B15" t="s">
        <v>944</v>
      </c>
      <c r="H15" s="6" t="s">
        <v>1040</v>
      </c>
    </row>
    <row r="16" spans="2:10" x14ac:dyDescent="0.25">
      <c r="B16" t="s">
        <v>947</v>
      </c>
      <c r="H16" s="5" t="s">
        <v>1019</v>
      </c>
    </row>
    <row r="17" spans="2:8" x14ac:dyDescent="0.25">
      <c r="B17" t="s">
        <v>946</v>
      </c>
      <c r="H17" s="5" t="s">
        <v>1020</v>
      </c>
    </row>
    <row r="19" spans="2:8" ht="90" x14ac:dyDescent="0.25">
      <c r="B19" s="1" t="s">
        <v>949</v>
      </c>
      <c r="H19" s="62" t="s">
        <v>1022</v>
      </c>
    </row>
    <row r="20" spans="2:8" x14ac:dyDescent="0.25">
      <c r="B20" t="s">
        <v>950</v>
      </c>
      <c r="H20" t="s">
        <v>1023</v>
      </c>
    </row>
    <row r="21" spans="2:8" x14ac:dyDescent="0.25">
      <c r="H21" t="s">
        <v>1024</v>
      </c>
    </row>
    <row r="22" spans="2:8" x14ac:dyDescent="0.25">
      <c r="H22" t="s">
        <v>1025</v>
      </c>
    </row>
    <row r="23" spans="2:8" x14ac:dyDescent="0.25">
      <c r="B23" t="s">
        <v>1030</v>
      </c>
      <c r="H23" t="s">
        <v>1026</v>
      </c>
    </row>
    <row r="24" spans="2:8" x14ac:dyDescent="0.25">
      <c r="B24" s="63" t="s">
        <v>1031</v>
      </c>
      <c r="H24" t="s">
        <v>1027</v>
      </c>
    </row>
    <row r="25" spans="2:8" x14ac:dyDescent="0.25">
      <c r="B25" s="63" t="s">
        <v>1036</v>
      </c>
      <c r="H25" t="s">
        <v>1028</v>
      </c>
    </row>
    <row r="26" spans="2:8" x14ac:dyDescent="0.25">
      <c r="H26" t="s">
        <v>1029</v>
      </c>
    </row>
    <row r="27" spans="2:8" x14ac:dyDescent="0.25">
      <c r="B27" s="1" t="s">
        <v>1032</v>
      </c>
      <c r="H27" t="s">
        <v>1038</v>
      </c>
    </row>
    <row r="28" spans="2:8" x14ac:dyDescent="0.25">
      <c r="B28" t="s">
        <v>1033</v>
      </c>
    </row>
    <row r="29" spans="2:8" x14ac:dyDescent="0.25">
      <c r="B29" t="s">
        <v>1034</v>
      </c>
    </row>
    <row r="30" spans="2:8" x14ac:dyDescent="0.25">
      <c r="B30" t="s">
        <v>295</v>
      </c>
    </row>
    <row r="31" spans="2:8" x14ac:dyDescent="0.25">
      <c r="B31" t="s">
        <v>1035</v>
      </c>
    </row>
    <row r="32" spans="2:8" x14ac:dyDescent="0.25">
      <c r="B32" t="s">
        <v>1037</v>
      </c>
    </row>
    <row r="40" spans="2:3" x14ac:dyDescent="0.25">
      <c r="B40" t="s">
        <v>1043</v>
      </c>
    </row>
    <row r="41" spans="2:3" x14ac:dyDescent="0.25">
      <c r="B41" t="s">
        <v>1044</v>
      </c>
      <c r="C41" t="s">
        <v>974</v>
      </c>
    </row>
    <row r="42" spans="2:3" x14ac:dyDescent="0.25">
      <c r="B42" t="s">
        <v>1045</v>
      </c>
      <c r="C42" t="s">
        <v>974</v>
      </c>
    </row>
    <row r="43" spans="2:3" x14ac:dyDescent="0.25">
      <c r="B43" t="s">
        <v>1046</v>
      </c>
    </row>
    <row r="44" spans="2:3" x14ac:dyDescent="0.25">
      <c r="B44" t="s">
        <v>1047</v>
      </c>
    </row>
    <row r="45" spans="2:3" x14ac:dyDescent="0.25">
      <c r="B45" t="s">
        <v>1049</v>
      </c>
    </row>
    <row r="46" spans="2:3" x14ac:dyDescent="0.25">
      <c r="B46" t="s">
        <v>1048</v>
      </c>
    </row>
  </sheetData>
  <hyperlinks>
    <hyperlink ref="J1" r:id="rId1"/>
    <hyperlink ref="B24" r:id="rId2"/>
    <hyperlink ref="B25" r:id="rId3"/>
  </hyperlinks>
  <pageMargins left="0.7" right="0.7" top="0.75" bottom="0.75" header="0.3" footer="0.3"/>
  <pageSetup orientation="portrait"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cols>
    <col min="1" max="1" width="83.140625" bestFit="1" customWidth="1"/>
  </cols>
  <sheetData>
    <row r="1" spans="1:1" x14ac:dyDescent="0.25">
      <c r="A1" t="s">
        <v>1092</v>
      </c>
    </row>
    <row r="2" spans="1:1" x14ac:dyDescent="0.25">
      <c r="A2" t="s">
        <v>1093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5" workbookViewId="0">
      <selection activeCell="A8" sqref="A8"/>
    </sheetView>
  </sheetViews>
  <sheetFormatPr defaultRowHeight="15" x14ac:dyDescent="0.25"/>
  <cols>
    <col min="1" max="1" width="125.140625" bestFit="1" customWidth="1"/>
    <col min="3" max="3" width="56.140625" bestFit="1" customWidth="1"/>
  </cols>
  <sheetData>
    <row r="1" spans="1:3" x14ac:dyDescent="0.25">
      <c r="A1" s="3" t="s">
        <v>1123</v>
      </c>
      <c r="C1" t="s">
        <v>1147</v>
      </c>
    </row>
    <row r="2" spans="1:3" x14ac:dyDescent="0.25">
      <c r="A2" t="s">
        <v>1124</v>
      </c>
      <c r="C2" t="s">
        <v>1148</v>
      </c>
    </row>
    <row r="3" spans="1:3" x14ac:dyDescent="0.25">
      <c r="A3" s="3" t="s">
        <v>1142</v>
      </c>
      <c r="C3" t="s">
        <v>1153</v>
      </c>
    </row>
    <row r="4" spans="1:3" x14ac:dyDescent="0.25">
      <c r="A4" s="18" t="s">
        <v>1125</v>
      </c>
      <c r="C4" t="s">
        <v>1149</v>
      </c>
    </row>
    <row r="5" spans="1:3" x14ac:dyDescent="0.25">
      <c r="A5" s="18" t="s">
        <v>1126</v>
      </c>
      <c r="C5" t="s">
        <v>1150</v>
      </c>
    </row>
    <row r="6" spans="1:3" x14ac:dyDescent="0.25">
      <c r="A6" s="18" t="s">
        <v>1127</v>
      </c>
      <c r="C6" t="s">
        <v>965</v>
      </c>
    </row>
    <row r="7" spans="1:3" x14ac:dyDescent="0.25">
      <c r="A7" t="s">
        <v>1128</v>
      </c>
      <c r="C7" t="s">
        <v>1151</v>
      </c>
    </row>
    <row r="8" spans="1:3" ht="90" x14ac:dyDescent="0.25">
      <c r="A8" s="62" t="s">
        <v>1184</v>
      </c>
      <c r="C8" t="s">
        <v>1152</v>
      </c>
    </row>
    <row r="9" spans="1:3" x14ac:dyDescent="0.25">
      <c r="C9" t="s">
        <v>1154</v>
      </c>
    </row>
    <row r="10" spans="1:3" x14ac:dyDescent="0.25">
      <c r="A10" s="3" t="s">
        <v>1143</v>
      </c>
      <c r="C10" t="s">
        <v>1155</v>
      </c>
    </row>
    <row r="11" spans="1:3" ht="60" x14ac:dyDescent="0.25">
      <c r="A11" s="62" t="s">
        <v>1185</v>
      </c>
      <c r="C11" t="s">
        <v>1156</v>
      </c>
    </row>
    <row r="12" spans="1:3" x14ac:dyDescent="0.25">
      <c r="A12" t="s">
        <v>1129</v>
      </c>
      <c r="C12" t="s">
        <v>1157</v>
      </c>
    </row>
    <row r="13" spans="1:3" x14ac:dyDescent="0.25">
      <c r="A13" s="3" t="s">
        <v>1130</v>
      </c>
      <c r="C13" t="s">
        <v>164</v>
      </c>
    </row>
    <row r="14" spans="1:3" x14ac:dyDescent="0.25">
      <c r="A14" s="3" t="s">
        <v>1131</v>
      </c>
      <c r="C14" t="s">
        <v>1158</v>
      </c>
    </row>
    <row r="15" spans="1:3" x14ac:dyDescent="0.25">
      <c r="A15" t="s">
        <v>1132</v>
      </c>
    </row>
    <row r="16" spans="1:3" x14ac:dyDescent="0.25">
      <c r="A16" s="18" t="s">
        <v>1133</v>
      </c>
    </row>
    <row r="17" spans="1:1" x14ac:dyDescent="0.25">
      <c r="A17" t="s">
        <v>1134</v>
      </c>
    </row>
    <row r="18" spans="1:1" x14ac:dyDescent="0.25">
      <c r="A18" t="s">
        <v>1135</v>
      </c>
    </row>
    <row r="19" spans="1:1" x14ac:dyDescent="0.25">
      <c r="A19" t="s">
        <v>1136</v>
      </c>
    </row>
    <row r="20" spans="1:1" x14ac:dyDescent="0.25">
      <c r="A20" s="3" t="s">
        <v>1182</v>
      </c>
    </row>
    <row r="21" spans="1:1" x14ac:dyDescent="0.25">
      <c r="A21" t="s">
        <v>1137</v>
      </c>
    </row>
    <row r="22" spans="1:1" x14ac:dyDescent="0.25">
      <c r="A22" s="3" t="s">
        <v>1138</v>
      </c>
    </row>
    <row r="23" spans="1:1" ht="60" x14ac:dyDescent="0.25">
      <c r="A23" s="162" t="s">
        <v>1183</v>
      </c>
    </row>
    <row r="24" spans="1:1" x14ac:dyDescent="0.25">
      <c r="A24" s="18" t="s">
        <v>1139</v>
      </c>
    </row>
    <row r="25" spans="1:1" x14ac:dyDescent="0.25">
      <c r="A25" s="160" t="s">
        <v>1138</v>
      </c>
    </row>
    <row r="26" spans="1:1" x14ac:dyDescent="0.25">
      <c r="A26" t="s">
        <v>1140</v>
      </c>
    </row>
    <row r="27" spans="1:1" x14ac:dyDescent="0.25">
      <c r="A27" t="s">
        <v>1141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15" sqref="D15"/>
    </sheetView>
  </sheetViews>
  <sheetFormatPr defaultRowHeight="15" x14ac:dyDescent="0.25"/>
  <cols>
    <col min="1" max="1" width="36.28515625" bestFit="1" customWidth="1"/>
    <col min="3" max="3" width="36.85546875" bestFit="1" customWidth="1"/>
    <col min="4" max="4" width="15.28515625" bestFit="1" customWidth="1"/>
    <col min="9" max="9" width="17" bestFit="1" customWidth="1"/>
  </cols>
  <sheetData>
    <row r="1" spans="1:9" x14ac:dyDescent="0.25">
      <c r="A1" t="s">
        <v>1422</v>
      </c>
      <c r="D1" t="s">
        <v>1469</v>
      </c>
    </row>
    <row r="2" spans="1:9" x14ac:dyDescent="0.25">
      <c r="A2" t="s">
        <v>1424</v>
      </c>
      <c r="I2" t="s">
        <v>1804</v>
      </c>
    </row>
    <row r="3" spans="1:9" x14ac:dyDescent="0.25">
      <c r="A3" t="s">
        <v>1423</v>
      </c>
      <c r="I3" t="s">
        <v>1805</v>
      </c>
    </row>
    <row r="4" spans="1:9" x14ac:dyDescent="0.25">
      <c r="A4" t="s">
        <v>1425</v>
      </c>
      <c r="I4" t="s">
        <v>1833</v>
      </c>
    </row>
    <row r="5" spans="1:9" x14ac:dyDescent="0.25">
      <c r="A5" t="s">
        <v>1426</v>
      </c>
      <c r="I5" t="s">
        <v>1834</v>
      </c>
    </row>
    <row r="6" spans="1:9" x14ac:dyDescent="0.25">
      <c r="C6">
        <v>121</v>
      </c>
      <c r="I6" s="3" t="s">
        <v>1835</v>
      </c>
    </row>
    <row r="7" spans="1:9" x14ac:dyDescent="0.25">
      <c r="C7">
        <v>68</v>
      </c>
    </row>
    <row r="10" spans="1:9" x14ac:dyDescent="0.25">
      <c r="C10" s="6" t="s">
        <v>1579</v>
      </c>
      <c r="D10" t="s">
        <v>1845</v>
      </c>
    </row>
    <row r="11" spans="1:9" x14ac:dyDescent="0.25">
      <c r="C11" s="5" t="s">
        <v>1836</v>
      </c>
    </row>
    <row r="12" spans="1:9" x14ac:dyDescent="0.25">
      <c r="C12" s="5" t="s">
        <v>1837</v>
      </c>
    </row>
    <row r="13" spans="1:9" x14ac:dyDescent="0.25">
      <c r="C13" s="5" t="s">
        <v>1838</v>
      </c>
    </row>
    <row r="14" spans="1:9" x14ac:dyDescent="0.25">
      <c r="C14" s="5" t="s">
        <v>1839</v>
      </c>
    </row>
    <row r="15" spans="1:9" x14ac:dyDescent="0.25">
      <c r="C15" s="5" t="s">
        <v>1840</v>
      </c>
    </row>
    <row r="16" spans="1:9" x14ac:dyDescent="0.25">
      <c r="C16" s="5" t="s">
        <v>1841</v>
      </c>
    </row>
    <row r="17" spans="3:3" x14ac:dyDescent="0.25">
      <c r="C17" s="5" t="s">
        <v>1842</v>
      </c>
    </row>
    <row r="18" spans="3:3" x14ac:dyDescent="0.25">
      <c r="C18" s="5" t="s">
        <v>1843</v>
      </c>
    </row>
    <row r="19" spans="3:3" x14ac:dyDescent="0.25">
      <c r="C19" s="5" t="s">
        <v>1844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30" sqref="B30"/>
    </sheetView>
  </sheetViews>
  <sheetFormatPr defaultRowHeight="15" x14ac:dyDescent="0.25"/>
  <cols>
    <col min="1" max="1" width="17" bestFit="1" customWidth="1"/>
    <col min="2" max="2" width="17.7109375" bestFit="1" customWidth="1"/>
    <col min="3" max="3" width="11.140625" bestFit="1" customWidth="1"/>
    <col min="8" max="8" width="12.85546875" bestFit="1" customWidth="1"/>
    <col min="12" max="12" width="32.42578125" bestFit="1" customWidth="1"/>
  </cols>
  <sheetData>
    <row r="1" spans="1:14" x14ac:dyDescent="0.25">
      <c r="A1" t="s">
        <v>1340</v>
      </c>
      <c r="B1" s="4" t="s">
        <v>1341</v>
      </c>
      <c r="C1" s="4" t="s">
        <v>1186</v>
      </c>
      <c r="D1" s="1"/>
      <c r="E1" s="1"/>
      <c r="F1" s="1"/>
      <c r="G1" s="1"/>
      <c r="H1" s="4" t="s">
        <v>1187</v>
      </c>
      <c r="I1" s="1"/>
      <c r="J1" s="1"/>
      <c r="K1" s="1"/>
      <c r="L1" s="4" t="s">
        <v>1188</v>
      </c>
      <c r="N1" t="s">
        <v>1212</v>
      </c>
    </row>
    <row r="2" spans="1:14" x14ac:dyDescent="0.25">
      <c r="B2" s="5" t="s">
        <v>1342</v>
      </c>
      <c r="H2" s="5" t="s">
        <v>216</v>
      </c>
      <c r="L2" s="5" t="s">
        <v>1189</v>
      </c>
      <c r="N2" t="s">
        <v>1213</v>
      </c>
    </row>
    <row r="3" spans="1:14" x14ac:dyDescent="0.25">
      <c r="B3" s="5" t="s">
        <v>1343</v>
      </c>
      <c r="H3" s="5" t="s">
        <v>1202</v>
      </c>
      <c r="L3" s="5" t="s">
        <v>1190</v>
      </c>
    </row>
    <row r="4" spans="1:14" x14ac:dyDescent="0.25">
      <c r="B4" s="5" t="s">
        <v>390</v>
      </c>
      <c r="H4" s="5" t="s">
        <v>1211</v>
      </c>
      <c r="L4" s="5" t="s">
        <v>1197</v>
      </c>
    </row>
    <row r="5" spans="1:14" x14ac:dyDescent="0.25">
      <c r="B5" s="5" t="s">
        <v>1344</v>
      </c>
      <c r="H5" s="5"/>
      <c r="L5" s="5" t="s">
        <v>1198</v>
      </c>
    </row>
    <row r="6" spans="1:14" x14ac:dyDescent="0.25">
      <c r="B6" s="5" t="s">
        <v>300</v>
      </c>
      <c r="H6" s="5"/>
      <c r="L6" s="5" t="s">
        <v>1199</v>
      </c>
    </row>
    <row r="7" spans="1:14" x14ac:dyDescent="0.25">
      <c r="B7" s="5" t="s">
        <v>1345</v>
      </c>
      <c r="H7" s="5"/>
      <c r="L7" s="5" t="s">
        <v>1200</v>
      </c>
    </row>
    <row r="8" spans="1:14" x14ac:dyDescent="0.25">
      <c r="B8" s="5" t="s">
        <v>1208</v>
      </c>
      <c r="H8" s="5"/>
      <c r="L8" s="5" t="s">
        <v>1201</v>
      </c>
    </row>
    <row r="9" spans="1:14" x14ac:dyDescent="0.25">
      <c r="B9" s="5" t="s">
        <v>1346</v>
      </c>
      <c r="C9" s="5"/>
      <c r="H9" s="5"/>
      <c r="L9" s="5" t="s">
        <v>1195</v>
      </c>
    </row>
    <row r="10" spans="1:14" x14ac:dyDescent="0.25">
      <c r="B10" s="5" t="s">
        <v>1191</v>
      </c>
      <c r="C10" s="5"/>
      <c r="H10" s="5"/>
      <c r="L10" s="5"/>
    </row>
    <row r="11" spans="1:14" x14ac:dyDescent="0.25">
      <c r="B11" s="5" t="s">
        <v>1192</v>
      </c>
      <c r="C11" s="5"/>
      <c r="H11" s="5"/>
      <c r="L11" s="5"/>
    </row>
    <row r="12" spans="1:14" x14ac:dyDescent="0.25">
      <c r="B12" s="5" t="s">
        <v>1193</v>
      </c>
      <c r="C12" s="5"/>
      <c r="H12" s="5"/>
      <c r="L12" s="5"/>
    </row>
    <row r="13" spans="1:14" x14ac:dyDescent="0.25">
      <c r="B13" s="5" t="s">
        <v>1194</v>
      </c>
      <c r="C13" s="5"/>
      <c r="H13" s="5"/>
      <c r="L13" s="5"/>
    </row>
    <row r="14" spans="1:14" x14ac:dyDescent="0.25">
      <c r="B14" s="5" t="s">
        <v>1206</v>
      </c>
      <c r="C14" s="5"/>
      <c r="H14" s="5"/>
      <c r="L14" s="5"/>
    </row>
    <row r="15" spans="1:14" x14ac:dyDescent="0.25">
      <c r="B15" s="5" t="s">
        <v>1196</v>
      </c>
      <c r="C15" s="5"/>
      <c r="H15" s="5"/>
      <c r="L15" s="5"/>
    </row>
    <row r="16" spans="1:14" x14ac:dyDescent="0.25">
      <c r="B16" s="163" t="s">
        <v>1207</v>
      </c>
      <c r="C16" s="5"/>
      <c r="H16" s="5"/>
      <c r="L16" s="5"/>
    </row>
    <row r="17" spans="2:12" x14ac:dyDescent="0.25">
      <c r="B17" s="5"/>
      <c r="C17" s="5"/>
      <c r="H17" s="5"/>
      <c r="L17" s="5"/>
    </row>
    <row r="18" spans="2:12" x14ac:dyDescent="0.25">
      <c r="B18" s="5" t="s">
        <v>1347</v>
      </c>
      <c r="C18" s="5"/>
      <c r="H18" s="5"/>
      <c r="L18" s="5"/>
    </row>
    <row r="19" spans="2:12" x14ac:dyDescent="0.25">
      <c r="B19" s="5" t="s">
        <v>1348</v>
      </c>
      <c r="C19" s="5"/>
      <c r="H19" s="5"/>
      <c r="L19" s="5"/>
    </row>
    <row r="20" spans="2:12" x14ac:dyDescent="0.25">
      <c r="B20" s="5" t="s">
        <v>1349</v>
      </c>
      <c r="C20" s="5"/>
      <c r="H20" s="5"/>
      <c r="L20" s="5"/>
    </row>
    <row r="21" spans="2:12" x14ac:dyDescent="0.25">
      <c r="B21" s="5" t="s">
        <v>1350</v>
      </c>
      <c r="C21" s="5"/>
      <c r="H21" s="5"/>
      <c r="L21" s="5"/>
    </row>
    <row r="22" spans="2:12" x14ac:dyDescent="0.25">
      <c r="B22" s="5" t="s">
        <v>1351</v>
      </c>
      <c r="C22" s="5"/>
      <c r="H22" s="5"/>
      <c r="L22" s="5"/>
    </row>
    <row r="23" spans="2:12" x14ac:dyDescent="0.25">
      <c r="B23" s="163" t="s">
        <v>1352</v>
      </c>
      <c r="L23" s="5"/>
    </row>
    <row r="24" spans="2:12" x14ac:dyDescent="0.25">
      <c r="B24" s="163" t="s">
        <v>1353</v>
      </c>
    </row>
    <row r="25" spans="2:12" x14ac:dyDescent="0.25">
      <c r="B25" s="163" t="s">
        <v>1354</v>
      </c>
    </row>
    <row r="26" spans="2:12" x14ac:dyDescent="0.25">
      <c r="B26" s="163" t="s">
        <v>1355</v>
      </c>
    </row>
    <row r="27" spans="2:12" x14ac:dyDescent="0.25">
      <c r="B27" s="163" t="s">
        <v>1356</v>
      </c>
    </row>
    <row r="28" spans="2:12" x14ac:dyDescent="0.25">
      <c r="B28" s="163" t="s">
        <v>1357</v>
      </c>
    </row>
    <row r="29" spans="2:12" x14ac:dyDescent="0.25">
      <c r="B29" s="163" t="s">
        <v>1358</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40"/>
  <sheetViews>
    <sheetView topLeftCell="A2" workbookViewId="0">
      <selection activeCell="C5" sqref="C5:D5"/>
    </sheetView>
  </sheetViews>
  <sheetFormatPr defaultRowHeight="15" x14ac:dyDescent="0.25"/>
  <cols>
    <col min="3" max="3" width="33" bestFit="1" customWidth="1"/>
    <col min="4" max="4" width="13.42578125" bestFit="1" customWidth="1"/>
    <col min="6" max="7" width="9.85546875" bestFit="1" customWidth="1"/>
    <col min="8" max="8" width="25.28515625" customWidth="1"/>
  </cols>
  <sheetData>
    <row r="3" spans="3:10" x14ac:dyDescent="0.25">
      <c r="J3" t="s">
        <v>1319</v>
      </c>
    </row>
    <row r="5" spans="3:10" x14ac:dyDescent="0.25">
      <c r="C5" s="397" t="s">
        <v>1220</v>
      </c>
      <c r="D5" s="397"/>
      <c r="G5" s="398" t="s">
        <v>1221</v>
      </c>
      <c r="H5" s="398"/>
    </row>
    <row r="7" spans="3:10" ht="18.75" x14ac:dyDescent="0.3">
      <c r="C7" t="s">
        <v>1228</v>
      </c>
      <c r="D7" s="167">
        <f>(D12*26)</f>
        <v>108000.1</v>
      </c>
      <c r="G7" s="167">
        <f>(G12*24)</f>
        <v>110094.48000000001</v>
      </c>
      <c r="H7" t="s">
        <v>1228</v>
      </c>
    </row>
    <row r="8" spans="3:10" x14ac:dyDescent="0.25">
      <c r="C8" t="s">
        <v>1229</v>
      </c>
      <c r="D8">
        <f>(D36*26)</f>
        <v>67129.920000000013</v>
      </c>
      <c r="G8">
        <f>(24*G36)</f>
        <v>82626.48000000001</v>
      </c>
      <c r="H8" t="s">
        <v>1229</v>
      </c>
    </row>
    <row r="9" spans="3:10" x14ac:dyDescent="0.25">
      <c r="C9" t="s">
        <v>1230</v>
      </c>
      <c r="D9">
        <f>(D7/12)</f>
        <v>9000.0083333333332</v>
      </c>
      <c r="G9">
        <f>(G7/12)</f>
        <v>9174.5400000000009</v>
      </c>
      <c r="H9" t="s">
        <v>1230</v>
      </c>
    </row>
    <row r="10" spans="3:10" ht="23.25" x14ac:dyDescent="0.35">
      <c r="C10" t="s">
        <v>1231</v>
      </c>
      <c r="D10" s="168">
        <f>(D8/12)</f>
        <v>5594.1600000000008</v>
      </c>
      <c r="G10" s="168">
        <f>(G8/12)</f>
        <v>6885.5400000000009</v>
      </c>
      <c r="H10" t="s">
        <v>1231</v>
      </c>
    </row>
    <row r="12" spans="3:10" ht="30" x14ac:dyDescent="0.25">
      <c r="C12" s="165" t="s">
        <v>1245</v>
      </c>
      <c r="D12" s="166">
        <v>4153.8500000000004</v>
      </c>
      <c r="E12" s="166"/>
      <c r="F12" s="166"/>
      <c r="G12" s="166">
        <v>4587.2700000000004</v>
      </c>
      <c r="H12" s="165" t="s">
        <v>1244</v>
      </c>
    </row>
    <row r="15" spans="3:10" x14ac:dyDescent="0.25">
      <c r="C15" s="1" t="s">
        <v>1222</v>
      </c>
      <c r="H15" s="1" t="s">
        <v>1222</v>
      </c>
    </row>
    <row r="16" spans="3:10" x14ac:dyDescent="0.25">
      <c r="C16" t="s">
        <v>1223</v>
      </c>
      <c r="D16">
        <v>-737.96</v>
      </c>
      <c r="G16">
        <v>-437.25</v>
      </c>
      <c r="H16" t="s">
        <v>1223</v>
      </c>
    </row>
    <row r="17" spans="3:14" x14ac:dyDescent="0.25">
      <c r="C17" t="s">
        <v>1235</v>
      </c>
      <c r="D17">
        <v>-58.61</v>
      </c>
      <c r="G17">
        <v>-270.22000000000003</v>
      </c>
      <c r="H17" t="s">
        <v>574</v>
      </c>
    </row>
    <row r="18" spans="3:14" x14ac:dyDescent="0.25">
      <c r="C18" t="s">
        <v>1236</v>
      </c>
      <c r="D18">
        <v>-250.61</v>
      </c>
      <c r="G18">
        <v>-63.2</v>
      </c>
      <c r="H18" t="s">
        <v>573</v>
      </c>
    </row>
    <row r="19" spans="3:14" x14ac:dyDescent="0.25">
      <c r="C19" t="s">
        <v>572</v>
      </c>
      <c r="D19">
        <v>-203.94</v>
      </c>
      <c r="G19">
        <f>-117.68-22.5</f>
        <v>-140.18</v>
      </c>
      <c r="H19" t="s">
        <v>1242</v>
      </c>
    </row>
    <row r="21" spans="3:14" x14ac:dyDescent="0.25">
      <c r="C21" t="s">
        <v>1224</v>
      </c>
      <c r="D21">
        <v>-2.5</v>
      </c>
      <c r="G21">
        <v>-22.5</v>
      </c>
    </row>
    <row r="22" spans="3:14" x14ac:dyDescent="0.25">
      <c r="C22" t="s">
        <v>1225</v>
      </c>
      <c r="D22">
        <v>-169.6</v>
      </c>
      <c r="G22">
        <v>-199.5</v>
      </c>
    </row>
    <row r="23" spans="3:14" x14ac:dyDescent="0.25">
      <c r="C23" t="s">
        <v>1226</v>
      </c>
      <c r="D23">
        <v>-2.89</v>
      </c>
      <c r="G23">
        <v>-9.25</v>
      </c>
    </row>
    <row r="24" spans="3:14" x14ac:dyDescent="0.25">
      <c r="C24" s="16" t="s">
        <v>1233</v>
      </c>
      <c r="D24" s="16">
        <v>-207.69</v>
      </c>
    </row>
    <row r="25" spans="3:14" x14ac:dyDescent="0.25">
      <c r="C25" s="16" t="s">
        <v>1234</v>
      </c>
      <c r="D25" s="16">
        <v>-29.16</v>
      </c>
    </row>
    <row r="26" spans="3:14" x14ac:dyDescent="0.25">
      <c r="C26" s="16" t="s">
        <v>1232</v>
      </c>
      <c r="D26" s="16">
        <v>-1.33</v>
      </c>
    </row>
    <row r="27" spans="3:14" x14ac:dyDescent="0.25">
      <c r="K27">
        <v>4231.53</v>
      </c>
      <c r="M27">
        <v>4153.8500000000004</v>
      </c>
      <c r="N27">
        <f>SUM(M27:M35)</f>
        <v>2581.9200000000005</v>
      </c>
    </row>
    <row r="28" spans="3:14" x14ac:dyDescent="0.25">
      <c r="C28" t="s">
        <v>1237</v>
      </c>
      <c r="D28">
        <v>12.54</v>
      </c>
      <c r="K28">
        <v>3834.37</v>
      </c>
      <c r="L28">
        <f>SUM(K28:K30,M31:M35)</f>
        <v>2262.44</v>
      </c>
      <c r="M28" s="170">
        <v>-1251.1199999999999</v>
      </c>
    </row>
    <row r="29" spans="3:14" x14ac:dyDescent="0.25">
      <c r="C29" t="s">
        <v>1238</v>
      </c>
      <c r="D29">
        <v>10.38</v>
      </c>
      <c r="K29" s="170">
        <v>-1251.1199999999999</v>
      </c>
      <c r="M29" s="169">
        <v>-411.84</v>
      </c>
    </row>
    <row r="30" spans="3:14" x14ac:dyDescent="0.25">
      <c r="C30" t="s">
        <v>1239</v>
      </c>
      <c r="D30">
        <v>17.3</v>
      </c>
      <c r="K30" s="169">
        <v>-413.17</v>
      </c>
      <c r="M30" s="169">
        <v>-1.33</v>
      </c>
    </row>
    <row r="31" spans="3:14" x14ac:dyDescent="0.25">
      <c r="C31" t="s">
        <v>1240</v>
      </c>
      <c r="D31">
        <v>50</v>
      </c>
      <c r="M31">
        <v>12.54</v>
      </c>
    </row>
    <row r="32" spans="3:14" x14ac:dyDescent="0.25">
      <c r="C32" t="s">
        <v>1241</v>
      </c>
      <c r="D32">
        <v>2.14</v>
      </c>
      <c r="G32">
        <v>-2.4</v>
      </c>
      <c r="H32" t="s">
        <v>1243</v>
      </c>
      <c r="M32">
        <v>10.38</v>
      </c>
    </row>
    <row r="33" spans="3:13" x14ac:dyDescent="0.25">
      <c r="M33">
        <v>17.3</v>
      </c>
    </row>
    <row r="34" spans="3:13" x14ac:dyDescent="0.25">
      <c r="M34">
        <v>50</v>
      </c>
    </row>
    <row r="35" spans="3:13" x14ac:dyDescent="0.25">
      <c r="M35">
        <v>2.14</v>
      </c>
    </row>
    <row r="36" spans="3:13" x14ac:dyDescent="0.25">
      <c r="C36" t="s">
        <v>1227</v>
      </c>
      <c r="D36">
        <f>SUM(D12:D32)</f>
        <v>2581.9200000000005</v>
      </c>
      <c r="G36">
        <f>SUM(G12:G35)</f>
        <v>3442.7700000000004</v>
      </c>
    </row>
    <row r="40" spans="3:13" x14ac:dyDescent="0.25">
      <c r="D40">
        <v>2567.2399999999998</v>
      </c>
      <c r="E40">
        <f>(D36-D40)</f>
        <v>14.680000000000746</v>
      </c>
    </row>
  </sheetData>
  <mergeCells count="2">
    <mergeCell ref="C5:D5"/>
    <mergeCell ref="G5:H5"/>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cols>
    <col min="1" max="1" width="22.85546875" bestFit="1" customWidth="1"/>
  </cols>
  <sheetData>
    <row r="1" spans="1:1" x14ac:dyDescent="0.25">
      <c r="A1" t="s">
        <v>1320</v>
      </c>
    </row>
    <row r="2" spans="1:1" x14ac:dyDescent="0.25">
      <c r="A2" t="s">
        <v>1321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15" sqref="B15"/>
    </sheetView>
  </sheetViews>
  <sheetFormatPr defaultRowHeight="15" x14ac:dyDescent="0.25"/>
  <cols>
    <col min="1" max="1" width="58" bestFit="1" customWidth="1"/>
    <col min="6" max="6" width="27.85546875" bestFit="1" customWidth="1"/>
    <col min="9" max="9" width="18.42578125" bestFit="1" customWidth="1"/>
  </cols>
  <sheetData>
    <row r="1" spans="1:11" x14ac:dyDescent="0.25">
      <c r="A1" t="s">
        <v>1322</v>
      </c>
    </row>
    <row r="2" spans="1:11" x14ac:dyDescent="0.25">
      <c r="A2" t="s">
        <v>1323</v>
      </c>
      <c r="J2" t="s">
        <v>1333</v>
      </c>
    </row>
    <row r="3" spans="1:11" x14ac:dyDescent="0.25">
      <c r="A3" t="s">
        <v>1324</v>
      </c>
      <c r="I3" t="s">
        <v>511</v>
      </c>
      <c r="J3">
        <v>4587</v>
      </c>
      <c r="K3">
        <f>(J3*24)</f>
        <v>110088</v>
      </c>
    </row>
    <row r="4" spans="1:11" x14ac:dyDescent="0.25">
      <c r="A4" t="s">
        <v>1336</v>
      </c>
      <c r="I4" t="s">
        <v>1223</v>
      </c>
      <c r="J4">
        <v>-460.13</v>
      </c>
    </row>
    <row r="5" spans="1:11" x14ac:dyDescent="0.25">
      <c r="F5" t="s">
        <v>1325</v>
      </c>
      <c r="I5" t="s">
        <v>574</v>
      </c>
      <c r="J5">
        <v>-275.89999999999998</v>
      </c>
    </row>
    <row r="6" spans="1:11" x14ac:dyDescent="0.25">
      <c r="F6" t="s">
        <v>1326</v>
      </c>
      <c r="I6" t="s">
        <v>573</v>
      </c>
      <c r="J6">
        <v>-64.52</v>
      </c>
    </row>
    <row r="7" spans="1:11" x14ac:dyDescent="0.25">
      <c r="F7" t="s">
        <v>1327</v>
      </c>
      <c r="I7" t="s">
        <v>1334</v>
      </c>
      <c r="J7">
        <v>-140.18</v>
      </c>
    </row>
    <row r="9" spans="1:11" x14ac:dyDescent="0.25">
      <c r="F9" t="s">
        <v>1328</v>
      </c>
      <c r="I9" t="s">
        <v>1224</v>
      </c>
      <c r="J9">
        <v>-22</v>
      </c>
    </row>
    <row r="10" spans="1:11" x14ac:dyDescent="0.25">
      <c r="F10" t="s">
        <v>1329</v>
      </c>
      <c r="I10" t="s">
        <v>1304</v>
      </c>
      <c r="J10">
        <v>-112.5</v>
      </c>
    </row>
    <row r="11" spans="1:11" x14ac:dyDescent="0.25">
      <c r="F11" t="s">
        <v>1330</v>
      </c>
      <c r="I11" t="s">
        <v>1226</v>
      </c>
      <c r="J11">
        <v>-5.25</v>
      </c>
    </row>
    <row r="12" spans="1:11" x14ac:dyDescent="0.25">
      <c r="F12" t="s">
        <v>1331</v>
      </c>
    </row>
    <row r="13" spans="1:11" x14ac:dyDescent="0.25">
      <c r="F13" t="s">
        <v>1332</v>
      </c>
      <c r="I13" t="s">
        <v>1335</v>
      </c>
    </row>
    <row r="15" spans="1:11" x14ac:dyDescent="0.25">
      <c r="A15" t="s">
        <v>1337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6" sqref="E6"/>
    </sheetView>
  </sheetViews>
  <sheetFormatPr defaultRowHeight="15" x14ac:dyDescent="0.25"/>
  <cols>
    <col min="3" max="3" width="19.7109375" bestFit="1" customWidth="1"/>
    <col min="4" max="4" width="20" customWidth="1"/>
    <col min="5" max="5" width="45.7109375" customWidth="1"/>
    <col min="6" max="6" width="28.7109375" bestFit="1" customWidth="1"/>
  </cols>
  <sheetData>
    <row r="1" spans="1:6" x14ac:dyDescent="0.25">
      <c r="A1" s="63" t="s">
        <v>1367</v>
      </c>
    </row>
    <row r="5" spans="1:6" x14ac:dyDescent="0.25">
      <c r="C5" s="1" t="s">
        <v>1361</v>
      </c>
      <c r="D5" s="1"/>
    </row>
    <row r="6" spans="1:6" x14ac:dyDescent="0.25">
      <c r="C6" s="114" t="s">
        <v>72</v>
      </c>
      <c r="D6" s="114" t="s">
        <v>1362</v>
      </c>
      <c r="E6" s="114" t="s">
        <v>1363</v>
      </c>
      <c r="F6" s="114" t="s">
        <v>1364</v>
      </c>
    </row>
    <row r="7" spans="1:6" x14ac:dyDescent="0.25">
      <c r="C7" s="5" t="s">
        <v>1365</v>
      </c>
      <c r="D7" s="5" t="s">
        <v>1366</v>
      </c>
      <c r="E7" s="186" t="s">
        <v>1367</v>
      </c>
      <c r="F7" s="5" t="s">
        <v>1368</v>
      </c>
    </row>
    <row r="8" spans="1:6" x14ac:dyDescent="0.25">
      <c r="C8" s="5" t="s">
        <v>1369</v>
      </c>
      <c r="D8" s="5" t="s">
        <v>1370</v>
      </c>
      <c r="E8" s="186" t="s">
        <v>1371</v>
      </c>
      <c r="F8" s="5" t="s">
        <v>1368</v>
      </c>
    </row>
    <row r="9" spans="1:6" x14ac:dyDescent="0.25">
      <c r="C9" s="131" t="s">
        <v>1719</v>
      </c>
      <c r="D9" s="131" t="s">
        <v>1657</v>
      </c>
      <c r="E9" s="186" t="s">
        <v>1720</v>
      </c>
      <c r="F9" s="131" t="s">
        <v>1721</v>
      </c>
    </row>
    <row r="13" spans="1:6" ht="15.75" thickBot="1" x14ac:dyDescent="0.3">
      <c r="C13" s="206" t="s">
        <v>1633</v>
      </c>
      <c r="D13" s="209" t="s">
        <v>1635</v>
      </c>
      <c r="E13" s="416" t="s">
        <v>1654</v>
      </c>
      <c r="F13" s="417"/>
    </row>
    <row r="14" spans="1:6" ht="15.75" thickBot="1" x14ac:dyDescent="0.3">
      <c r="C14" s="206" t="s">
        <v>1634</v>
      </c>
      <c r="D14" s="209" t="s">
        <v>1636</v>
      </c>
      <c r="E14" s="418" t="s">
        <v>1651</v>
      </c>
      <c r="F14" s="419"/>
    </row>
    <row r="15" spans="1:6" ht="15.75" thickBot="1" x14ac:dyDescent="0.3">
      <c r="C15" s="207"/>
      <c r="D15" s="209" t="s">
        <v>1638</v>
      </c>
      <c r="E15" s="408" t="s">
        <v>1652</v>
      </c>
      <c r="F15" s="409"/>
    </row>
    <row r="16" spans="1:6" ht="15.75" thickBot="1" x14ac:dyDescent="0.3">
      <c r="C16" s="207"/>
      <c r="D16" s="209" t="s">
        <v>1639</v>
      </c>
      <c r="E16" s="408" t="s">
        <v>1653</v>
      </c>
      <c r="F16" s="409"/>
    </row>
    <row r="17" spans="3:6" ht="15.75" thickBot="1" x14ac:dyDescent="0.3">
      <c r="C17" s="207"/>
      <c r="D17" s="209" t="s">
        <v>1640</v>
      </c>
      <c r="E17" s="408" t="s">
        <v>1655</v>
      </c>
      <c r="F17" s="409"/>
    </row>
    <row r="18" spans="3:6" ht="15.75" thickBot="1" x14ac:dyDescent="0.3">
      <c r="C18" s="207"/>
      <c r="D18" s="209" t="s">
        <v>1641</v>
      </c>
      <c r="E18" s="211" t="s">
        <v>1642</v>
      </c>
      <c r="F18" s="210"/>
    </row>
    <row r="19" spans="3:6" ht="30" x14ac:dyDescent="0.25">
      <c r="C19" s="207"/>
      <c r="D19" s="212" t="s">
        <v>1643</v>
      </c>
      <c r="E19" s="414" t="s">
        <v>1656</v>
      </c>
      <c r="F19" s="415"/>
    </row>
    <row r="20" spans="3:6" ht="15.75" thickBot="1" x14ac:dyDescent="0.3">
      <c r="C20" s="208"/>
      <c r="D20" s="209" t="s">
        <v>1644</v>
      </c>
      <c r="E20" s="401" t="s">
        <v>1657</v>
      </c>
      <c r="F20" s="402"/>
    </row>
    <row r="21" spans="3:6" ht="15.75" thickBot="1" x14ac:dyDescent="0.3">
      <c r="C21" s="403" t="s">
        <v>1645</v>
      </c>
      <c r="D21" s="209" t="s">
        <v>1635</v>
      </c>
      <c r="E21" s="406" t="s">
        <v>1646</v>
      </c>
      <c r="F21" s="407"/>
    </row>
    <row r="22" spans="3:6" ht="15.75" thickBot="1" x14ac:dyDescent="0.3">
      <c r="C22" s="404"/>
      <c r="D22" s="209" t="s">
        <v>1636</v>
      </c>
      <c r="E22" s="408" t="s">
        <v>1637</v>
      </c>
      <c r="F22" s="409"/>
    </row>
    <row r="23" spans="3:6" ht="15.75" thickBot="1" x14ac:dyDescent="0.3">
      <c r="C23" s="404"/>
      <c r="D23" s="209" t="s">
        <v>1638</v>
      </c>
      <c r="E23" s="408" t="s">
        <v>1647</v>
      </c>
      <c r="F23" s="409"/>
    </row>
    <row r="24" spans="3:6" ht="15.75" thickBot="1" x14ac:dyDescent="0.3">
      <c r="C24" s="404"/>
      <c r="D24" s="209" t="s">
        <v>1639</v>
      </c>
      <c r="E24" s="408" t="s">
        <v>1648</v>
      </c>
      <c r="F24" s="409"/>
    </row>
    <row r="25" spans="3:6" ht="15.75" thickBot="1" x14ac:dyDescent="0.3">
      <c r="C25" s="404"/>
      <c r="D25" s="209" t="s">
        <v>1640</v>
      </c>
      <c r="E25" s="408" t="s">
        <v>1649</v>
      </c>
      <c r="F25" s="409"/>
    </row>
    <row r="26" spans="3:6" ht="15.75" thickBot="1" x14ac:dyDescent="0.3">
      <c r="C26" s="404"/>
      <c r="D26" s="209" t="s">
        <v>1641</v>
      </c>
      <c r="E26" s="408" t="s">
        <v>1642</v>
      </c>
      <c r="F26" s="409"/>
    </row>
    <row r="27" spans="3:6" ht="30" x14ac:dyDescent="0.25">
      <c r="C27" s="404"/>
      <c r="D27" s="212" t="s">
        <v>1643</v>
      </c>
      <c r="E27" s="410" t="s">
        <v>1650</v>
      </c>
      <c r="F27" s="411"/>
    </row>
    <row r="28" spans="3:6" x14ac:dyDescent="0.25">
      <c r="C28" s="404"/>
      <c r="D28" s="212" t="s">
        <v>1644</v>
      </c>
      <c r="E28" s="412" t="s">
        <v>1366</v>
      </c>
      <c r="F28" s="413"/>
    </row>
    <row r="29" spans="3:6" ht="15.75" thickBot="1" x14ac:dyDescent="0.3">
      <c r="C29" s="404"/>
      <c r="D29" s="209"/>
      <c r="E29" s="399"/>
      <c r="F29" s="400"/>
    </row>
    <row r="30" spans="3:6" ht="15.75" thickBot="1" x14ac:dyDescent="0.3">
      <c r="C30" s="405"/>
    </row>
    <row r="31" spans="3:6" x14ac:dyDescent="0.25">
      <c r="C31" s="1" t="s">
        <v>1361</v>
      </c>
      <c r="D31" s="1"/>
    </row>
    <row r="32" spans="3:6" x14ac:dyDescent="0.25">
      <c r="C32" s="114" t="s">
        <v>72</v>
      </c>
      <c r="D32" s="114" t="s">
        <v>1362</v>
      </c>
      <c r="E32" s="114" t="s">
        <v>1363</v>
      </c>
      <c r="F32" s="114" t="s">
        <v>1364</v>
      </c>
    </row>
    <row r="33" spans="3:6" x14ac:dyDescent="0.25">
      <c r="C33" s="5" t="s">
        <v>1365</v>
      </c>
      <c r="D33" s="5" t="s">
        <v>1366</v>
      </c>
      <c r="E33" s="186" t="s">
        <v>1367</v>
      </c>
      <c r="F33" s="5" t="s">
        <v>1368</v>
      </c>
    </row>
    <row r="34" spans="3:6" x14ac:dyDescent="0.25">
      <c r="C34" s="5" t="s">
        <v>1369</v>
      </c>
      <c r="D34" s="5" t="s">
        <v>1370</v>
      </c>
      <c r="E34" s="186" t="s">
        <v>1371</v>
      </c>
      <c r="F34" s="5" t="s">
        <v>1368</v>
      </c>
    </row>
    <row r="35" spans="3:6" x14ac:dyDescent="0.25">
      <c r="C35" s="5" t="s">
        <v>1757</v>
      </c>
      <c r="D35" s="5" t="s">
        <v>1758</v>
      </c>
      <c r="E35" s="186"/>
      <c r="F35" s="5" t="s">
        <v>1759</v>
      </c>
    </row>
    <row r="36" spans="3:6" x14ac:dyDescent="0.25">
      <c r="C36" s="131" t="s">
        <v>1719</v>
      </c>
      <c r="D36" s="131" t="s">
        <v>1657</v>
      </c>
      <c r="E36" s="186" t="s">
        <v>1720</v>
      </c>
      <c r="F36" s="131" t="s">
        <v>1721</v>
      </c>
    </row>
  </sheetData>
  <mergeCells count="17">
    <mergeCell ref="E19:F19"/>
    <mergeCell ref="E13:F13"/>
    <mergeCell ref="E14:F14"/>
    <mergeCell ref="E15:F15"/>
    <mergeCell ref="E16:F16"/>
    <mergeCell ref="E17:F17"/>
    <mergeCell ref="E29:F29"/>
    <mergeCell ref="E20:F20"/>
    <mergeCell ref="C21:C30"/>
    <mergeCell ref="E21:F21"/>
    <mergeCell ref="E22:F22"/>
    <mergeCell ref="E23:F23"/>
    <mergeCell ref="E24:F24"/>
    <mergeCell ref="E25:F25"/>
    <mergeCell ref="E26:F26"/>
    <mergeCell ref="E27:F27"/>
    <mergeCell ref="E28:F28"/>
  </mergeCells>
  <hyperlinks>
    <hyperlink ref="E7" r:id="rId1"/>
    <hyperlink ref="E8" r:id="rId2"/>
    <hyperlink ref="E9" r:id="rId3"/>
    <hyperlink ref="E33" r:id="rId4"/>
    <hyperlink ref="E34" r:id="rId5"/>
    <hyperlink ref="E36" r:id="rId6"/>
    <hyperlink ref="A1" r:id="rId7"/>
  </hyperlinks>
  <pageMargins left="0.7" right="0.7" top="0.75" bottom="0.75" header="0.3" footer="0.3"/>
  <pageSetup orientation="portrait" r:id="rId8"/>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H18" sqref="H18:J22"/>
    </sheetView>
  </sheetViews>
  <sheetFormatPr defaultRowHeight="15" x14ac:dyDescent="0.25"/>
  <cols>
    <col min="1" max="1" width="20.85546875" bestFit="1" customWidth="1"/>
  </cols>
  <sheetData>
    <row r="1" spans="1:1" x14ac:dyDescent="0.25">
      <c r="A1" t="s">
        <v>388</v>
      </c>
    </row>
    <row r="2" spans="1:1" x14ac:dyDescent="0.25">
      <c r="A2" t="s">
        <v>1187</v>
      </c>
    </row>
    <row r="3" spans="1:1" x14ac:dyDescent="0.25">
      <c r="A3" t="s">
        <v>1359</v>
      </c>
    </row>
    <row r="4" spans="1:1" x14ac:dyDescent="0.25">
      <c r="A4" t="s">
        <v>166</v>
      </c>
    </row>
    <row r="5" spans="1:1" x14ac:dyDescent="0.25">
      <c r="A5" t="s">
        <v>220</v>
      </c>
    </row>
    <row r="6" spans="1:1" x14ac:dyDescent="0.25">
      <c r="A6" t="s">
        <v>1360</v>
      </c>
    </row>
    <row r="7" spans="1:1" x14ac:dyDescent="0.25">
      <c r="A7" t="s">
        <v>163</v>
      </c>
    </row>
    <row r="8" spans="1:1" x14ac:dyDescent="0.25">
      <c r="A8" t="s">
        <v>226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workbookViewId="0">
      <selection activeCell="A15" sqref="A15"/>
    </sheetView>
  </sheetViews>
  <sheetFormatPr defaultRowHeight="15" x14ac:dyDescent="0.25"/>
  <cols>
    <col min="1" max="1" width="81.140625" bestFit="1" customWidth="1"/>
  </cols>
  <sheetData>
    <row r="2" spans="1:1" x14ac:dyDescent="0.25">
      <c r="A2" t="s">
        <v>1375</v>
      </c>
    </row>
    <row r="3" spans="1:1" x14ac:dyDescent="0.25">
      <c r="A3" t="s">
        <v>1376</v>
      </c>
    </row>
    <row r="4" spans="1:1" x14ac:dyDescent="0.25">
      <c r="A4" t="s">
        <v>1377</v>
      </c>
    </row>
    <row r="5" spans="1:1" x14ac:dyDescent="0.25">
      <c r="A5" s="187" t="s">
        <v>1378</v>
      </c>
    </row>
    <row r="6" spans="1:1" x14ac:dyDescent="0.25">
      <c r="A6" t="s">
        <v>1379</v>
      </c>
    </row>
    <row r="7" spans="1:1" x14ac:dyDescent="0.25">
      <c r="A7" t="s">
        <v>1380</v>
      </c>
    </row>
    <row r="9" spans="1:1" x14ac:dyDescent="0.25">
      <c r="A9" t="s">
        <v>1381</v>
      </c>
    </row>
    <row r="10" spans="1:1" x14ac:dyDescent="0.25">
      <c r="A10" t="s">
        <v>1382</v>
      </c>
    </row>
    <row r="11" spans="1:1" x14ac:dyDescent="0.25">
      <c r="A11" t="s">
        <v>1383</v>
      </c>
    </row>
    <row r="12" spans="1:1" x14ac:dyDescent="0.25">
      <c r="A12" t="s">
        <v>1384</v>
      </c>
    </row>
    <row r="13" spans="1:1" x14ac:dyDescent="0.25">
      <c r="A13" t="s">
        <v>1385</v>
      </c>
    </row>
    <row r="14" spans="1:1" x14ac:dyDescent="0.25">
      <c r="A14" t="s">
        <v>1386</v>
      </c>
    </row>
    <row r="15" spans="1:1" x14ac:dyDescent="0.25">
      <c r="A15" t="s">
        <v>1387</v>
      </c>
    </row>
    <row r="16" spans="1:1" x14ac:dyDescent="0.25">
      <c r="A16" t="s">
        <v>1388</v>
      </c>
    </row>
    <row r="17" spans="1:1" x14ac:dyDescent="0.25">
      <c r="A17" t="s">
        <v>1389</v>
      </c>
    </row>
    <row r="18" spans="1:1" x14ac:dyDescent="0.25">
      <c r="A18" s="160" t="s">
        <v>1390</v>
      </c>
    </row>
    <row r="19" spans="1:1" x14ac:dyDescent="0.25">
      <c r="A19" t="s">
        <v>1391</v>
      </c>
    </row>
    <row r="20" spans="1:1" x14ac:dyDescent="0.25">
      <c r="A20" t="s">
        <v>1392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H13" sqref="H13"/>
    </sheetView>
  </sheetViews>
  <sheetFormatPr defaultRowHeight="15" x14ac:dyDescent="0.25"/>
  <cols>
    <col min="7" max="7" width="13.85546875" bestFit="1" customWidth="1"/>
    <col min="15" max="15" width="13.7109375" bestFit="1" customWidth="1"/>
    <col min="16" max="16" width="12" bestFit="1" customWidth="1"/>
  </cols>
  <sheetData>
    <row r="2" spans="1:19" x14ac:dyDescent="0.25">
      <c r="A2" s="18" t="s">
        <v>1428</v>
      </c>
    </row>
    <row r="3" spans="1:19" x14ac:dyDescent="0.25">
      <c r="A3" s="18" t="s">
        <v>1436</v>
      </c>
    </row>
    <row r="4" spans="1:19" x14ac:dyDescent="0.25">
      <c r="A4" s="18" t="s">
        <v>1437</v>
      </c>
      <c r="B4">
        <v>1</v>
      </c>
      <c r="O4" t="s">
        <v>1447</v>
      </c>
    </row>
    <row r="5" spans="1:19" x14ac:dyDescent="0.25">
      <c r="A5" s="18" t="s">
        <v>1417</v>
      </c>
      <c r="G5" t="s">
        <v>780</v>
      </c>
      <c r="K5">
        <v>5</v>
      </c>
    </row>
    <row r="6" spans="1:19" x14ac:dyDescent="0.25">
      <c r="A6" s="16" t="s">
        <v>1416</v>
      </c>
      <c r="G6" t="s">
        <v>1448</v>
      </c>
      <c r="H6">
        <v>700</v>
      </c>
      <c r="K6">
        <v>12</v>
      </c>
    </row>
    <row r="7" spans="1:19" x14ac:dyDescent="0.25">
      <c r="A7" s="16" t="s">
        <v>1438</v>
      </c>
      <c r="G7" t="s">
        <v>1449</v>
      </c>
      <c r="H7">
        <v>700</v>
      </c>
    </row>
    <row r="8" spans="1:19" x14ac:dyDescent="0.25">
      <c r="A8" s="16" t="s">
        <v>1439</v>
      </c>
      <c r="G8" t="s">
        <v>1453</v>
      </c>
    </row>
    <row r="9" spans="1:19" x14ac:dyDescent="0.25">
      <c r="A9" s="16" t="s">
        <v>1440</v>
      </c>
      <c r="B9">
        <v>1</v>
      </c>
    </row>
    <row r="10" spans="1:19" x14ac:dyDescent="0.25">
      <c r="A10" s="18" t="s">
        <v>1441</v>
      </c>
      <c r="B10">
        <v>1</v>
      </c>
    </row>
    <row r="11" spans="1:19" x14ac:dyDescent="0.25">
      <c r="A11" s="18" t="s">
        <v>1442</v>
      </c>
      <c r="O11">
        <v>700</v>
      </c>
      <c r="P11">
        <v>700</v>
      </c>
      <c r="Q11">
        <f>SUM(O11:P11)/20</f>
        <v>70</v>
      </c>
      <c r="R11">
        <f>(Q11*3)</f>
        <v>210</v>
      </c>
      <c r="S11">
        <f>(Q11*4)</f>
        <v>280</v>
      </c>
    </row>
    <row r="12" spans="1:19" x14ac:dyDescent="0.25">
      <c r="A12" s="18" t="s">
        <v>1443</v>
      </c>
    </row>
    <row r="13" spans="1:19" x14ac:dyDescent="0.25">
      <c r="A13" s="18" t="s">
        <v>1444</v>
      </c>
      <c r="B13">
        <v>1</v>
      </c>
    </row>
    <row r="14" spans="1:19" x14ac:dyDescent="0.25">
      <c r="A14" s="16" t="s">
        <v>1121</v>
      </c>
    </row>
    <row r="15" spans="1:19" x14ac:dyDescent="0.25">
      <c r="A15" s="16" t="s">
        <v>1429</v>
      </c>
      <c r="G15" t="s">
        <v>1452</v>
      </c>
      <c r="I15" t="s">
        <v>1454</v>
      </c>
    </row>
    <row r="16" spans="1:19" x14ac:dyDescent="0.25">
      <c r="A16" s="16" t="s">
        <v>1445</v>
      </c>
      <c r="B16">
        <v>1</v>
      </c>
      <c r="G16">
        <v>3</v>
      </c>
      <c r="H16">
        <v>206</v>
      </c>
      <c r="I16">
        <v>20</v>
      </c>
      <c r="L16" t="s">
        <v>1428</v>
      </c>
      <c r="M16">
        <v>200</v>
      </c>
      <c r="N16">
        <v>79</v>
      </c>
      <c r="O16" t="s">
        <v>1417</v>
      </c>
    </row>
    <row r="17" spans="1:16" x14ac:dyDescent="0.25">
      <c r="A17" s="16" t="s">
        <v>1268</v>
      </c>
      <c r="I17">
        <v>20</v>
      </c>
      <c r="L17" t="s">
        <v>1443</v>
      </c>
      <c r="M17">
        <v>200</v>
      </c>
      <c r="N17">
        <v>79</v>
      </c>
      <c r="O17" t="s">
        <v>1416</v>
      </c>
    </row>
    <row r="18" spans="1:16" x14ac:dyDescent="0.25">
      <c r="A18" s="18" t="s">
        <v>1446</v>
      </c>
      <c r="I18">
        <v>14</v>
      </c>
      <c r="L18" t="s">
        <v>1438</v>
      </c>
      <c r="M18">
        <v>279</v>
      </c>
    </row>
    <row r="19" spans="1:16" x14ac:dyDescent="0.25">
      <c r="A19" s="18" t="s">
        <v>1419</v>
      </c>
      <c r="I19" t="s">
        <v>1455</v>
      </c>
      <c r="L19" s="18" t="s">
        <v>1429</v>
      </c>
      <c r="M19" s="18">
        <v>200</v>
      </c>
      <c r="N19" s="18">
        <v>79</v>
      </c>
    </row>
    <row r="20" spans="1:16" x14ac:dyDescent="0.25">
      <c r="A20" s="18" t="s">
        <v>1450</v>
      </c>
      <c r="I20">
        <v>10</v>
      </c>
      <c r="L20" t="s">
        <v>1419</v>
      </c>
      <c r="M20">
        <v>200</v>
      </c>
      <c r="N20" s="18">
        <v>79</v>
      </c>
      <c r="O20" t="s">
        <v>1121</v>
      </c>
    </row>
    <row r="21" spans="1:16" x14ac:dyDescent="0.25">
      <c r="A21" s="18" t="s">
        <v>1451</v>
      </c>
      <c r="I21">
        <v>10</v>
      </c>
      <c r="P21">
        <f>279-203</f>
        <v>76</v>
      </c>
    </row>
    <row r="22" spans="1:16" x14ac:dyDescent="0.25">
      <c r="I22">
        <v>8</v>
      </c>
      <c r="P22">
        <f>(279/4)</f>
        <v>69.75</v>
      </c>
    </row>
    <row r="23" spans="1:16" x14ac:dyDescent="0.25">
      <c r="L23" t="s">
        <v>1419</v>
      </c>
      <c r="M23">
        <v>200</v>
      </c>
    </row>
    <row r="24" spans="1:16" x14ac:dyDescent="0.25">
      <c r="I24" t="s">
        <v>1456</v>
      </c>
      <c r="L24" t="s">
        <v>1428</v>
      </c>
      <c r="M24">
        <v>200</v>
      </c>
    </row>
    <row r="25" spans="1:16" x14ac:dyDescent="0.25">
      <c r="I25">
        <v>19</v>
      </c>
      <c r="L25" t="s">
        <v>1443</v>
      </c>
      <c r="M25">
        <v>200</v>
      </c>
    </row>
    <row r="26" spans="1:16" x14ac:dyDescent="0.25">
      <c r="I26">
        <v>19</v>
      </c>
      <c r="L26" t="s">
        <v>1438</v>
      </c>
      <c r="M26">
        <v>279</v>
      </c>
    </row>
    <row r="27" spans="1:16" x14ac:dyDescent="0.25">
      <c r="I27">
        <v>11</v>
      </c>
      <c r="L27" t="s">
        <v>1429</v>
      </c>
      <c r="M27">
        <v>358</v>
      </c>
    </row>
  </sheetData>
  <autoFilter ref="A1:B1"/>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9" zoomScale="85" zoomScaleNormal="85" workbookViewId="0">
      <selection activeCell="F25" sqref="F25"/>
    </sheetView>
  </sheetViews>
  <sheetFormatPr defaultRowHeight="15" x14ac:dyDescent="0.25"/>
  <cols>
    <col min="1" max="1" width="48" bestFit="1" customWidth="1"/>
    <col min="3" max="3" width="34.42578125" bestFit="1" customWidth="1"/>
    <col min="4" max="4" width="60.140625" bestFit="1" customWidth="1"/>
    <col min="6" max="6" width="60.5703125" bestFit="1" customWidth="1"/>
  </cols>
  <sheetData>
    <row r="1" spans="1:6" x14ac:dyDescent="0.25">
      <c r="A1" s="3" t="s">
        <v>1463</v>
      </c>
      <c r="C1" t="s">
        <v>1472</v>
      </c>
      <c r="F1" s="1" t="s">
        <v>1466</v>
      </c>
    </row>
    <row r="2" spans="1:6" x14ac:dyDescent="0.25">
      <c r="A2" t="s">
        <v>1464</v>
      </c>
      <c r="C2" t="s">
        <v>1473</v>
      </c>
      <c r="D2" s="1" t="s">
        <v>1488</v>
      </c>
      <c r="F2" t="s">
        <v>1467</v>
      </c>
    </row>
    <row r="3" spans="1:6" x14ac:dyDescent="0.25">
      <c r="A3" t="s">
        <v>1465</v>
      </c>
      <c r="C3" t="s">
        <v>1476</v>
      </c>
      <c r="D3" t="s">
        <v>1489</v>
      </c>
    </row>
    <row r="4" spans="1:6" x14ac:dyDescent="0.25">
      <c r="A4" t="s">
        <v>1539</v>
      </c>
      <c r="C4" t="s">
        <v>1477</v>
      </c>
    </row>
    <row r="5" spans="1:6" x14ac:dyDescent="0.25">
      <c r="A5" t="s">
        <v>1470</v>
      </c>
      <c r="C5" t="s">
        <v>1478</v>
      </c>
    </row>
    <row r="6" spans="1:6" x14ac:dyDescent="0.25">
      <c r="A6" t="s">
        <v>1471</v>
      </c>
      <c r="C6" t="s">
        <v>1479</v>
      </c>
    </row>
    <row r="7" spans="1:6" x14ac:dyDescent="0.25">
      <c r="A7" t="s">
        <v>1474</v>
      </c>
      <c r="C7" t="s">
        <v>1480</v>
      </c>
    </row>
    <row r="8" spans="1:6" x14ac:dyDescent="0.25">
      <c r="A8" t="s">
        <v>1475</v>
      </c>
      <c r="C8" t="s">
        <v>1485</v>
      </c>
    </row>
    <row r="9" spans="1:6" x14ac:dyDescent="0.25">
      <c r="A9" t="s">
        <v>1481</v>
      </c>
      <c r="C9" t="s">
        <v>1486</v>
      </c>
    </row>
    <row r="10" spans="1:6" x14ac:dyDescent="0.25">
      <c r="A10" t="s">
        <v>1482</v>
      </c>
      <c r="C10" t="s">
        <v>1487</v>
      </c>
      <c r="D10" t="s">
        <v>1525</v>
      </c>
    </row>
    <row r="11" spans="1:6" x14ac:dyDescent="0.25">
      <c r="A11" t="s">
        <v>1483</v>
      </c>
      <c r="C11" t="s">
        <v>1490</v>
      </c>
      <c r="D11" t="s">
        <v>1526</v>
      </c>
    </row>
    <row r="12" spans="1:6" x14ac:dyDescent="0.25">
      <c r="A12" t="s">
        <v>1484</v>
      </c>
      <c r="C12" t="s">
        <v>1491</v>
      </c>
      <c r="D12" t="s">
        <v>1527</v>
      </c>
    </row>
    <row r="13" spans="1:6" x14ac:dyDescent="0.25">
      <c r="A13" t="s">
        <v>1504</v>
      </c>
      <c r="C13" t="s">
        <v>1492</v>
      </c>
      <c r="D13" t="s">
        <v>1528</v>
      </c>
    </row>
    <row r="14" spans="1:6" x14ac:dyDescent="0.25">
      <c r="A14" t="s">
        <v>1505</v>
      </c>
      <c r="C14" t="s">
        <v>1493</v>
      </c>
    </row>
    <row r="15" spans="1:6" x14ac:dyDescent="0.25">
      <c r="A15" t="s">
        <v>1506</v>
      </c>
      <c r="C15" t="s">
        <v>1476</v>
      </c>
    </row>
    <row r="16" spans="1:6" x14ac:dyDescent="0.25">
      <c r="C16" t="s">
        <v>1494</v>
      </c>
    </row>
    <row r="17" spans="1:12" x14ac:dyDescent="0.25">
      <c r="C17" t="s">
        <v>1495</v>
      </c>
    </row>
    <row r="18" spans="1:12" x14ac:dyDescent="0.25">
      <c r="C18" t="s">
        <v>1496</v>
      </c>
      <c r="F18" s="63" t="s">
        <v>1560</v>
      </c>
    </row>
    <row r="19" spans="1:12" x14ac:dyDescent="0.25">
      <c r="C19" t="s">
        <v>1500</v>
      </c>
      <c r="F19" s="63" t="s">
        <v>1509</v>
      </c>
    </row>
    <row r="20" spans="1:12" x14ac:dyDescent="0.25">
      <c r="C20" t="s">
        <v>1502</v>
      </c>
      <c r="F20" s="63" t="s">
        <v>1036</v>
      </c>
    </row>
    <row r="21" spans="1:12" x14ac:dyDescent="0.25">
      <c r="C21" t="s">
        <v>1503</v>
      </c>
      <c r="D21" t="s">
        <v>1534</v>
      </c>
      <c r="F21" s="63" t="s">
        <v>1538</v>
      </c>
    </row>
    <row r="22" spans="1:12" ht="375" x14ac:dyDescent="0.25">
      <c r="C22" t="s">
        <v>1513</v>
      </c>
      <c r="D22" t="s">
        <v>1537</v>
      </c>
      <c r="F22" s="62" t="s">
        <v>1559</v>
      </c>
    </row>
    <row r="23" spans="1:12" x14ac:dyDescent="0.25">
      <c r="A23" t="s">
        <v>1512</v>
      </c>
      <c r="D23" t="s">
        <v>1549</v>
      </c>
    </row>
    <row r="24" spans="1:12" ht="135" x14ac:dyDescent="0.25">
      <c r="A24" s="62" t="s">
        <v>1514</v>
      </c>
      <c r="D24" t="s">
        <v>1550</v>
      </c>
      <c r="F24" s="62" t="s">
        <v>1561</v>
      </c>
      <c r="L24" t="s">
        <v>1519</v>
      </c>
    </row>
    <row r="25" spans="1:12" x14ac:dyDescent="0.25">
      <c r="D25" t="s">
        <v>1551</v>
      </c>
    </row>
    <row r="26" spans="1:12" x14ac:dyDescent="0.25">
      <c r="A26" t="s">
        <v>1516</v>
      </c>
      <c r="D26" t="s">
        <v>1552</v>
      </c>
    </row>
    <row r="27" spans="1:12" x14ac:dyDescent="0.25">
      <c r="A27" t="s">
        <v>1517</v>
      </c>
      <c r="D27" t="s">
        <v>1553</v>
      </c>
      <c r="L27" t="s">
        <v>1523</v>
      </c>
    </row>
    <row r="28" spans="1:12" x14ac:dyDescent="0.25">
      <c r="A28" t="s">
        <v>1518</v>
      </c>
      <c r="D28" t="s">
        <v>1554</v>
      </c>
    </row>
    <row r="29" spans="1:12" x14ac:dyDescent="0.25">
      <c r="A29" t="s">
        <v>1520</v>
      </c>
      <c r="D29" t="s">
        <v>1555</v>
      </c>
    </row>
    <row r="30" spans="1:12" x14ac:dyDescent="0.25">
      <c r="A30" t="s">
        <v>1524</v>
      </c>
      <c r="D30" t="s">
        <v>1556</v>
      </c>
    </row>
    <row r="31" spans="1:12" x14ac:dyDescent="0.25">
      <c r="A31" t="s">
        <v>1529</v>
      </c>
      <c r="D31" t="s">
        <v>1557</v>
      </c>
    </row>
    <row r="32" spans="1:12" x14ac:dyDescent="0.25">
      <c r="D32" t="s">
        <v>1558</v>
      </c>
    </row>
    <row r="33" spans="1:1" x14ac:dyDescent="0.25">
      <c r="A33" t="s">
        <v>1530</v>
      </c>
    </row>
    <row r="34" spans="1:1" x14ac:dyDescent="0.25">
      <c r="A34" t="s">
        <v>301</v>
      </c>
    </row>
    <row r="35" spans="1:1" x14ac:dyDescent="0.25">
      <c r="A35" t="s">
        <v>1531</v>
      </c>
    </row>
    <row r="36" spans="1:1" x14ac:dyDescent="0.25">
      <c r="A36" t="s">
        <v>1540</v>
      </c>
    </row>
    <row r="37" spans="1:1" x14ac:dyDescent="0.25">
      <c r="A37" t="s">
        <v>1535</v>
      </c>
    </row>
    <row r="38" spans="1:1" x14ac:dyDescent="0.25">
      <c r="A38" t="s">
        <v>1536</v>
      </c>
    </row>
  </sheetData>
  <hyperlinks>
    <hyperlink ref="F19" r:id="rId1"/>
    <hyperlink ref="F20" r:id="rId2"/>
    <hyperlink ref="F21" r:id="rId3"/>
    <hyperlink ref="F18" r:id="rId4"/>
  </hyperlinks>
  <pageMargins left="0.7" right="0.7" top="0.75" bottom="0.75" header="0.3" footer="0.3"/>
  <pageSetup orientation="portrait" horizontalDpi="90" verticalDpi="90" r:id="rId5"/>
  <drawing r:id="rId6"/>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70" zoomScaleNormal="70" workbookViewId="0">
      <selection activeCell="A11" sqref="A11"/>
    </sheetView>
  </sheetViews>
  <sheetFormatPr defaultRowHeight="15" x14ac:dyDescent="0.25"/>
  <cols>
    <col min="1" max="1" width="118.28515625" bestFit="1" customWidth="1"/>
  </cols>
  <sheetData>
    <row r="1" spans="1:2" ht="30" x14ac:dyDescent="0.25">
      <c r="A1" s="196" t="s">
        <v>1497</v>
      </c>
      <c r="B1" t="s">
        <v>1498</v>
      </c>
    </row>
    <row r="2" spans="1:2" x14ac:dyDescent="0.25">
      <c r="A2" s="3" t="s">
        <v>1532</v>
      </c>
    </row>
    <row r="3" spans="1:2" ht="30" x14ac:dyDescent="0.25">
      <c r="A3" s="162" t="s">
        <v>1533</v>
      </c>
    </row>
    <row r="4" spans="1:2" x14ac:dyDescent="0.25">
      <c r="A4" t="s">
        <v>1499</v>
      </c>
    </row>
    <row r="5" spans="1:2" x14ac:dyDescent="0.25">
      <c r="A5" s="162" t="s">
        <v>1501</v>
      </c>
    </row>
    <row r="6" spans="1:2" x14ac:dyDescent="0.25">
      <c r="A6" t="s">
        <v>1507</v>
      </c>
    </row>
    <row r="7" spans="1:2" x14ac:dyDescent="0.25">
      <c r="A7" t="s">
        <v>1508</v>
      </c>
    </row>
    <row r="8" spans="1:2" x14ac:dyDescent="0.25">
      <c r="A8" t="s">
        <v>1510</v>
      </c>
    </row>
    <row r="9" spans="1:2" x14ac:dyDescent="0.25">
      <c r="A9" t="s">
        <v>1511</v>
      </c>
    </row>
    <row r="10" spans="1:2" x14ac:dyDescent="0.25">
      <c r="A10" s="52" t="s">
        <v>1515</v>
      </c>
    </row>
    <row r="11" spans="1:2" x14ac:dyDescent="0.25">
      <c r="A11" t="s">
        <v>1521</v>
      </c>
    </row>
    <row r="12" spans="1:2" x14ac:dyDescent="0.25">
      <c r="A12" t="s">
        <v>1522</v>
      </c>
    </row>
    <row r="13" spans="1:2" x14ac:dyDescent="0.25">
      <c r="A13" t="s">
        <v>1541</v>
      </c>
    </row>
    <row r="14" spans="1:2" x14ac:dyDescent="0.25">
      <c r="A14" t="s">
        <v>1542</v>
      </c>
    </row>
    <row r="15" spans="1:2" x14ac:dyDescent="0.25">
      <c r="A15" t="s">
        <v>1543</v>
      </c>
    </row>
    <row r="16" spans="1:2" x14ac:dyDescent="0.25">
      <c r="A16" t="s">
        <v>1544</v>
      </c>
    </row>
    <row r="17" spans="1:1" x14ac:dyDescent="0.25">
      <c r="A17" t="s">
        <v>1545</v>
      </c>
    </row>
    <row r="18" spans="1:1" x14ac:dyDescent="0.25">
      <c r="A18" t="s">
        <v>1546</v>
      </c>
    </row>
    <row r="19" spans="1:1" x14ac:dyDescent="0.25">
      <c r="A19" t="s">
        <v>1547</v>
      </c>
    </row>
    <row r="20" spans="1:1" x14ac:dyDescent="0.25">
      <c r="A20" t="s">
        <v>1548</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18" workbookViewId="0">
      <selection activeCell="D18" sqref="D18"/>
    </sheetView>
  </sheetViews>
  <sheetFormatPr defaultRowHeight="15" x14ac:dyDescent="0.25"/>
  <cols>
    <col min="1" max="1" width="75.5703125" bestFit="1" customWidth="1"/>
    <col min="2" max="2" width="24.5703125" bestFit="1" customWidth="1"/>
    <col min="3" max="3" width="11.140625" bestFit="1" customWidth="1"/>
    <col min="8" max="8" width="20.7109375" customWidth="1"/>
    <col min="9" max="9" width="22.5703125" customWidth="1"/>
    <col min="10" max="10" width="28" bestFit="1" customWidth="1"/>
  </cols>
  <sheetData>
    <row r="1" spans="1:10" x14ac:dyDescent="0.25">
      <c r="A1" t="s">
        <v>1276</v>
      </c>
    </row>
    <row r="2" spans="1:10" x14ac:dyDescent="0.25">
      <c r="A2" t="s">
        <v>1277</v>
      </c>
    </row>
    <row r="3" spans="1:10" x14ac:dyDescent="0.25">
      <c r="A3" t="s">
        <v>1288</v>
      </c>
      <c r="C3" t="s">
        <v>204</v>
      </c>
      <c r="D3" t="s">
        <v>1300</v>
      </c>
      <c r="H3">
        <v>12074.94</v>
      </c>
      <c r="I3">
        <v>493.14</v>
      </c>
      <c r="J3">
        <f>SUM(H3-I3)</f>
        <v>11581.800000000001</v>
      </c>
    </row>
    <row r="4" spans="1:10" x14ac:dyDescent="0.25">
      <c r="A4" t="s">
        <v>1282</v>
      </c>
      <c r="B4" t="s">
        <v>511</v>
      </c>
      <c r="C4">
        <v>110094</v>
      </c>
      <c r="D4">
        <v>120000</v>
      </c>
      <c r="H4">
        <v>12181.34</v>
      </c>
      <c r="J4">
        <f>SUM(H4-I3)</f>
        <v>11688.2</v>
      </c>
    </row>
    <row r="5" spans="1:10" ht="30" x14ac:dyDescent="0.25">
      <c r="A5" t="s">
        <v>1278</v>
      </c>
      <c r="B5" s="62" t="s">
        <v>1301</v>
      </c>
      <c r="C5">
        <f>(C4/12)</f>
        <v>9174.5</v>
      </c>
      <c r="D5">
        <f>(D4/12)</f>
        <v>10000</v>
      </c>
    </row>
    <row r="6" spans="1:10" ht="30" x14ac:dyDescent="0.25">
      <c r="A6" t="s">
        <v>1279</v>
      </c>
      <c r="B6" s="62" t="s">
        <v>1302</v>
      </c>
      <c r="C6">
        <f>3506*24</f>
        <v>84144</v>
      </c>
      <c r="D6">
        <f>(4000*24)</f>
        <v>96000</v>
      </c>
    </row>
    <row r="7" spans="1:10" x14ac:dyDescent="0.25">
      <c r="A7" t="s">
        <v>1280</v>
      </c>
      <c r="B7" t="s">
        <v>1223</v>
      </c>
      <c r="C7">
        <v>-460.13</v>
      </c>
      <c r="D7">
        <v>-597.6</v>
      </c>
    </row>
    <row r="8" spans="1:10" x14ac:dyDescent="0.25">
      <c r="A8" t="s">
        <v>1281</v>
      </c>
      <c r="B8" t="s">
        <v>574</v>
      </c>
      <c r="C8">
        <v>-275.89</v>
      </c>
    </row>
    <row r="9" spans="1:10" x14ac:dyDescent="0.25">
      <c r="A9" t="s">
        <v>1283</v>
      </c>
      <c r="B9" t="s">
        <v>573</v>
      </c>
      <c r="C9">
        <v>-64.53</v>
      </c>
      <c r="D9">
        <v>-72.5</v>
      </c>
      <c r="J9" t="s">
        <v>1290</v>
      </c>
    </row>
    <row r="10" spans="1:10" x14ac:dyDescent="0.25">
      <c r="A10" t="s">
        <v>1284</v>
      </c>
      <c r="B10" t="s">
        <v>1303</v>
      </c>
      <c r="C10">
        <v>-140.18</v>
      </c>
      <c r="D10">
        <v>-274</v>
      </c>
    </row>
    <row r="11" spans="1:10" x14ac:dyDescent="0.25">
      <c r="A11" t="s">
        <v>1285</v>
      </c>
      <c r="C11" s="1">
        <f>SUM(C7:C10)</f>
        <v>-940.73</v>
      </c>
      <c r="D11" s="1">
        <f>SUM(D7:D10)</f>
        <v>-944.1</v>
      </c>
    </row>
    <row r="12" spans="1:10" x14ac:dyDescent="0.25">
      <c r="A12" t="s">
        <v>1286</v>
      </c>
      <c r="B12" t="s">
        <v>1304</v>
      </c>
      <c r="C12">
        <v>-112.5</v>
      </c>
      <c r="D12">
        <v>-260</v>
      </c>
    </row>
    <row r="13" spans="1:10" x14ac:dyDescent="0.25">
      <c r="A13" t="s">
        <v>1287</v>
      </c>
      <c r="B13" t="s">
        <v>1226</v>
      </c>
      <c r="C13">
        <v>-5.25</v>
      </c>
      <c r="D13">
        <v>-10</v>
      </c>
      <c r="H13" t="s">
        <v>509</v>
      </c>
      <c r="I13" t="s">
        <v>76</v>
      </c>
    </row>
    <row r="14" spans="1:10" x14ac:dyDescent="0.25">
      <c r="A14" t="s">
        <v>1289</v>
      </c>
      <c r="B14" t="s">
        <v>1224</v>
      </c>
      <c r="C14">
        <v>-22</v>
      </c>
      <c r="D14">
        <v>-30</v>
      </c>
      <c r="H14" t="s">
        <v>1291</v>
      </c>
      <c r="I14" t="s">
        <v>1292</v>
      </c>
    </row>
    <row r="15" spans="1:10" x14ac:dyDescent="0.25">
      <c r="A15" t="s">
        <v>1294</v>
      </c>
      <c r="C15" s="1">
        <f>SUM(C12:C14)</f>
        <v>-139.75</v>
      </c>
      <c r="D15" s="1">
        <f>SUM(D12:D14)</f>
        <v>-300</v>
      </c>
      <c r="H15" t="s">
        <v>1293</v>
      </c>
    </row>
    <row r="16" spans="1:10" x14ac:dyDescent="0.25">
      <c r="A16" t="s">
        <v>1295</v>
      </c>
      <c r="H16" t="s">
        <v>1225</v>
      </c>
    </row>
    <row r="17" spans="1:8" x14ac:dyDescent="0.25">
      <c r="A17" t="s">
        <v>1297</v>
      </c>
      <c r="H17" t="s">
        <v>1226</v>
      </c>
    </row>
    <row r="18" spans="1:8" x14ac:dyDescent="0.25">
      <c r="A18" t="s">
        <v>1298</v>
      </c>
      <c r="C18" t="s">
        <v>1309</v>
      </c>
      <c r="D18" t="s">
        <v>68</v>
      </c>
      <c r="E18" t="s">
        <v>1310</v>
      </c>
      <c r="H18" t="s">
        <v>1224</v>
      </c>
    </row>
    <row r="19" spans="1:8" x14ac:dyDescent="0.25">
      <c r="A19" t="s">
        <v>1299</v>
      </c>
      <c r="B19" t="s">
        <v>1306</v>
      </c>
      <c r="C19">
        <f>5574.96*12</f>
        <v>66899.520000000004</v>
      </c>
      <c r="D19">
        <f>C19/12</f>
        <v>5574.96</v>
      </c>
      <c r="E19">
        <v>4470.47</v>
      </c>
      <c r="H19" t="s">
        <v>1296</v>
      </c>
    </row>
    <row r="20" spans="1:8" x14ac:dyDescent="0.25">
      <c r="A20" t="s">
        <v>1313</v>
      </c>
      <c r="B20" t="s">
        <v>508</v>
      </c>
      <c r="C20">
        <f>(3318.27*24)</f>
        <v>79638.48</v>
      </c>
      <c r="D20">
        <f>C20/12</f>
        <v>6636.54</v>
      </c>
      <c r="E20">
        <f>(2157.3*2)+430</f>
        <v>4744.6000000000004</v>
      </c>
    </row>
    <row r="21" spans="1:8" x14ac:dyDescent="0.25">
      <c r="A21" t="s">
        <v>1314</v>
      </c>
      <c r="B21" t="s">
        <v>1307</v>
      </c>
      <c r="C21">
        <f>4587.27*24</f>
        <v>110094.48000000001</v>
      </c>
      <c r="D21">
        <f>(C21/12)</f>
        <v>9174.5400000000009</v>
      </c>
      <c r="E21">
        <v>7012</v>
      </c>
    </row>
    <row r="22" spans="1:8" x14ac:dyDescent="0.25">
      <c r="A22" t="s">
        <v>1315</v>
      </c>
      <c r="B22" t="s">
        <v>1308</v>
      </c>
      <c r="C22">
        <v>120000</v>
      </c>
      <c r="D22">
        <f>(C22/12)</f>
        <v>10000</v>
      </c>
    </row>
    <row r="23" spans="1:8" x14ac:dyDescent="0.25">
      <c r="A23" t="s">
        <v>1316</v>
      </c>
    </row>
    <row r="24" spans="1:8" x14ac:dyDescent="0.25">
      <c r="A24" t="s">
        <v>1317</v>
      </c>
    </row>
    <row r="25" spans="1:8" x14ac:dyDescent="0.25">
      <c r="A25" t="s">
        <v>1318</v>
      </c>
    </row>
    <row r="60" spans="1:6" x14ac:dyDescent="0.25">
      <c r="A60" t="s">
        <v>877</v>
      </c>
      <c r="C60" s="179" t="s">
        <v>877</v>
      </c>
      <c r="D60" s="179" t="s">
        <v>1305</v>
      </c>
    </row>
    <row r="61" spans="1:6" x14ac:dyDescent="0.25">
      <c r="B61" t="s">
        <v>511</v>
      </c>
      <c r="C61">
        <v>7012</v>
      </c>
      <c r="D61">
        <v>8000</v>
      </c>
      <c r="E61">
        <f>(D61-C61)</f>
        <v>988</v>
      </c>
      <c r="F61">
        <f>SUM(E61:E78)</f>
        <v>1467</v>
      </c>
    </row>
    <row r="62" spans="1:6" x14ac:dyDescent="0.25">
      <c r="B62" t="s">
        <v>640</v>
      </c>
      <c r="C62">
        <v>-1500</v>
      </c>
      <c r="D62">
        <v>-1300</v>
      </c>
      <c r="E62">
        <f>(D62-C62)</f>
        <v>200</v>
      </c>
    </row>
    <row r="63" spans="1:6" x14ac:dyDescent="0.25">
      <c r="B63" t="s">
        <v>513</v>
      </c>
      <c r="C63">
        <v>-1000</v>
      </c>
      <c r="D63">
        <v>-800</v>
      </c>
      <c r="E63">
        <f>(D63-C63)</f>
        <v>200</v>
      </c>
    </row>
    <row r="64" spans="1:6" x14ac:dyDescent="0.25">
      <c r="B64" t="s">
        <v>9</v>
      </c>
      <c r="C64">
        <v>-100</v>
      </c>
      <c r="D64">
        <v>-60</v>
      </c>
      <c r="E64">
        <f>(D64-C64)</f>
        <v>40</v>
      </c>
    </row>
    <row r="65" spans="2:5" x14ac:dyDescent="0.25">
      <c r="B65" t="s">
        <v>512</v>
      </c>
      <c r="C65">
        <v>-900</v>
      </c>
      <c r="D65">
        <v>-900</v>
      </c>
      <c r="E65">
        <f>(D65-C65)</f>
        <v>0</v>
      </c>
    </row>
    <row r="66" spans="2:5" x14ac:dyDescent="0.25">
      <c r="B66" t="s">
        <v>1311</v>
      </c>
      <c r="C66">
        <v>940</v>
      </c>
      <c r="D66">
        <v>740</v>
      </c>
      <c r="E66">
        <f>SUM(C66-D66)</f>
        <v>200</v>
      </c>
    </row>
    <row r="67" spans="2:5" x14ac:dyDescent="0.25">
      <c r="B67" t="s">
        <v>1312</v>
      </c>
      <c r="C67">
        <v>139</v>
      </c>
      <c r="D67">
        <v>300</v>
      </c>
      <c r="E67">
        <f>SUM(C67-D67)</f>
        <v>-161</v>
      </c>
    </row>
    <row r="68" spans="2:5" x14ac:dyDescent="0.25">
      <c r="B68" t="s">
        <v>930</v>
      </c>
      <c r="C68">
        <v>50</v>
      </c>
      <c r="D68">
        <v>50</v>
      </c>
      <c r="E68">
        <f>SUM(C68-D68)</f>
        <v>0</v>
      </c>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21" sqref="L21"/>
    </sheetView>
  </sheetViews>
  <sheetFormatPr defaultRowHeight="15" x14ac:dyDescent="0.25"/>
  <cols>
    <col min="1" max="1" width="25.28515625" bestFit="1" customWidth="1"/>
    <col min="8" max="8" width="14.5703125" bestFit="1" customWidth="1"/>
  </cols>
  <sheetData>
    <row r="1" spans="1:8" x14ac:dyDescent="0.25">
      <c r="A1" t="s">
        <v>1574</v>
      </c>
      <c r="H1" t="s">
        <v>1599</v>
      </c>
    </row>
    <row r="2" spans="1:8" x14ac:dyDescent="0.25">
      <c r="A2" t="s">
        <v>508</v>
      </c>
      <c r="H2" t="s">
        <v>1600</v>
      </c>
    </row>
    <row r="3" spans="1:8" x14ac:dyDescent="0.25">
      <c r="A3" t="s">
        <v>1575</v>
      </c>
      <c r="H3" t="s">
        <v>1601</v>
      </c>
    </row>
    <row r="4" spans="1:8" x14ac:dyDescent="0.25">
      <c r="A4" t="s">
        <v>1576</v>
      </c>
      <c r="H4" t="s">
        <v>163</v>
      </c>
    </row>
    <row r="5" spans="1:8" x14ac:dyDescent="0.25">
      <c r="A5" t="s">
        <v>1577</v>
      </c>
      <c r="H5" t="s">
        <v>336</v>
      </c>
    </row>
    <row r="6" spans="1:8" x14ac:dyDescent="0.25">
      <c r="A6" t="s">
        <v>1578</v>
      </c>
      <c r="H6" t="s">
        <v>1602</v>
      </c>
    </row>
    <row r="7" spans="1:8" x14ac:dyDescent="0.25">
      <c r="A7" t="s">
        <v>1579</v>
      </c>
      <c r="H7" t="s">
        <v>1603</v>
      </c>
    </row>
    <row r="8" spans="1:8" x14ac:dyDescent="0.25">
      <c r="A8" t="s">
        <v>1580</v>
      </c>
      <c r="H8" t="s">
        <v>1604</v>
      </c>
    </row>
    <row r="9" spans="1:8" x14ac:dyDescent="0.25">
      <c r="A9" t="s">
        <v>1581</v>
      </c>
      <c r="H9" t="s">
        <v>1605</v>
      </c>
    </row>
    <row r="10" spans="1:8" x14ac:dyDescent="0.25">
      <c r="H10" t="s">
        <v>1606</v>
      </c>
    </row>
    <row r="11" spans="1:8" x14ac:dyDescent="0.25">
      <c r="H11" t="s">
        <v>965</v>
      </c>
    </row>
    <row r="12" spans="1:8" x14ac:dyDescent="0.25">
      <c r="H12" s="18" t="s">
        <v>1607</v>
      </c>
    </row>
    <row r="13" spans="1:8" x14ac:dyDescent="0.25">
      <c r="H13" s="16" t="s">
        <v>1608</v>
      </c>
    </row>
    <row r="14" spans="1:8" x14ac:dyDescent="0.25">
      <c r="H14" t="s">
        <v>1609</v>
      </c>
    </row>
    <row r="15" spans="1:8" x14ac:dyDescent="0.25">
      <c r="H15" t="s">
        <v>1610</v>
      </c>
    </row>
    <row r="16" spans="1:8" x14ac:dyDescent="0.25">
      <c r="H16" t="s">
        <v>1611</v>
      </c>
    </row>
    <row r="17" spans="8:8" x14ac:dyDescent="0.25">
      <c r="H17" t="s">
        <v>1612</v>
      </c>
    </row>
    <row r="18" spans="8:8" x14ac:dyDescent="0.25">
      <c r="H18" t="s">
        <v>1613</v>
      </c>
    </row>
    <row r="19" spans="8:8" x14ac:dyDescent="0.25">
      <c r="H19" t="s">
        <v>1614</v>
      </c>
    </row>
    <row r="20" spans="8:8" x14ac:dyDescent="0.25">
      <c r="H20" t="s">
        <v>1615</v>
      </c>
    </row>
    <row r="21" spans="8:8" x14ac:dyDescent="0.25">
      <c r="H21" t="s">
        <v>1616</v>
      </c>
    </row>
    <row r="22" spans="8:8" x14ac:dyDescent="0.25">
      <c r="H22" t="s">
        <v>1617</v>
      </c>
    </row>
    <row r="23" spans="8:8" x14ac:dyDescent="0.25">
      <c r="H23" t="s">
        <v>1618</v>
      </c>
    </row>
    <row r="24" spans="8:8" x14ac:dyDescent="0.25">
      <c r="H24" s="16" t="s">
        <v>1619</v>
      </c>
    </row>
    <row r="25" spans="8:8" x14ac:dyDescent="0.25">
      <c r="H25" s="16" t="s">
        <v>1620</v>
      </c>
    </row>
  </sheetData>
  <pageMargins left="0.7" right="0.7" top="0.75" bottom="0.75" header="0.3" footer="0.3"/>
  <pageSetup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I2" sqref="I2"/>
    </sheetView>
  </sheetViews>
  <sheetFormatPr defaultRowHeight="15" x14ac:dyDescent="0.25"/>
  <cols>
    <col min="1" max="1" width="12" bestFit="1" customWidth="1"/>
    <col min="7" max="7" width="14.85546875" bestFit="1" customWidth="1"/>
  </cols>
  <sheetData>
    <row r="1" spans="1:7" x14ac:dyDescent="0.25">
      <c r="A1" t="s">
        <v>1710</v>
      </c>
      <c r="B1" t="s">
        <v>1711</v>
      </c>
      <c r="G1" t="s">
        <v>1716</v>
      </c>
    </row>
    <row r="2" spans="1:7" x14ac:dyDescent="0.25">
      <c r="A2" t="s">
        <v>1712</v>
      </c>
      <c r="B2" t="s">
        <v>1713</v>
      </c>
    </row>
    <row r="3" spans="1:7" x14ac:dyDescent="0.25">
      <c r="A3" t="s">
        <v>1714</v>
      </c>
      <c r="B3" t="s">
        <v>1715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activeCell="B36" sqref="B36"/>
    </sheetView>
  </sheetViews>
  <sheetFormatPr defaultRowHeight="15" x14ac:dyDescent="0.25"/>
  <cols>
    <col min="1" max="1" width="9.140625" style="62"/>
    <col min="2" max="2" width="81" style="62" customWidth="1"/>
    <col min="3" max="3" width="14.28515625" style="62" customWidth="1"/>
    <col min="4" max="4" width="44.28515625" style="62" customWidth="1"/>
    <col min="5" max="5" width="21.140625" style="62" bestFit="1" customWidth="1"/>
    <col min="6" max="11" width="9.140625" style="62"/>
    <col min="12" max="12" width="68.5703125" style="62" customWidth="1"/>
    <col min="13" max="16384" width="9.140625" style="62"/>
  </cols>
  <sheetData>
    <row r="1" spans="2:4" x14ac:dyDescent="0.25">
      <c r="B1" s="252"/>
      <c r="C1" s="252"/>
    </row>
    <row r="2" spans="2:4" x14ac:dyDescent="0.25">
      <c r="B2" s="252" t="s">
        <v>1884</v>
      </c>
      <c r="C2" s="252"/>
    </row>
    <row r="3" spans="2:4" x14ac:dyDescent="0.25">
      <c r="B3" s="253" t="s">
        <v>1885</v>
      </c>
      <c r="C3" s="253"/>
    </row>
    <row r="4" spans="2:4" x14ac:dyDescent="0.25">
      <c r="B4" s="253" t="s">
        <v>1886</v>
      </c>
      <c r="C4" s="253"/>
    </row>
    <row r="5" spans="2:4" x14ac:dyDescent="0.25">
      <c r="B5" s="253" t="s">
        <v>1887</v>
      </c>
      <c r="C5" s="253"/>
    </row>
    <row r="6" spans="2:4" x14ac:dyDescent="0.25">
      <c r="B6" s="253"/>
      <c r="C6" s="253"/>
    </row>
    <row r="7" spans="2:4" x14ac:dyDescent="0.25">
      <c r="B7" s="252" t="s">
        <v>1888</v>
      </c>
      <c r="C7" s="252"/>
    </row>
    <row r="8" spans="2:4" ht="30" x14ac:dyDescent="0.25">
      <c r="B8" s="253" t="s">
        <v>1889</v>
      </c>
      <c r="C8" s="253"/>
    </row>
    <row r="9" spans="2:4" x14ac:dyDescent="0.25">
      <c r="B9" s="253" t="s">
        <v>1890</v>
      </c>
      <c r="C9" s="253"/>
    </row>
    <row r="10" spans="2:4" ht="30" x14ac:dyDescent="0.25">
      <c r="B10" s="253" t="s">
        <v>1891</v>
      </c>
      <c r="C10" s="253"/>
    </row>
    <row r="11" spans="2:4" x14ac:dyDescent="0.25">
      <c r="B11" s="252"/>
      <c r="C11" s="252"/>
    </row>
    <row r="12" spans="2:4" x14ac:dyDescent="0.25">
      <c r="B12" s="254" t="s">
        <v>1884</v>
      </c>
      <c r="C12" s="255" t="s">
        <v>1903</v>
      </c>
    </row>
    <row r="13" spans="2:4" ht="30" x14ac:dyDescent="0.25">
      <c r="B13" s="253" t="s">
        <v>1892</v>
      </c>
      <c r="C13" s="253" t="s">
        <v>1904</v>
      </c>
      <c r="D13" s="256">
        <v>43067</v>
      </c>
    </row>
    <row r="14" spans="2:4" ht="30" x14ac:dyDescent="0.25">
      <c r="B14" s="253" t="s">
        <v>1886</v>
      </c>
      <c r="C14" s="253" t="s">
        <v>1905</v>
      </c>
      <c r="D14" s="256">
        <v>43068</v>
      </c>
    </row>
    <row r="15" spans="2:4" ht="30" x14ac:dyDescent="0.25">
      <c r="B15" s="257" t="s">
        <v>1893</v>
      </c>
      <c r="C15" s="257" t="s">
        <v>1905</v>
      </c>
      <c r="D15" s="256">
        <v>43069</v>
      </c>
    </row>
    <row r="16" spans="2:4" x14ac:dyDescent="0.25">
      <c r="B16" s="253"/>
      <c r="C16" s="253"/>
      <c r="D16" s="258"/>
    </row>
    <row r="17" spans="2:4" x14ac:dyDescent="0.25">
      <c r="B17" s="254" t="s">
        <v>1888</v>
      </c>
      <c r="C17" s="255"/>
      <c r="D17" s="258"/>
    </row>
    <row r="18" spans="2:4" ht="30" x14ac:dyDescent="0.25">
      <c r="B18" s="259" t="s">
        <v>1895</v>
      </c>
      <c r="C18" s="259" t="s">
        <v>1906</v>
      </c>
      <c r="D18" s="256">
        <v>43070</v>
      </c>
    </row>
    <row r="19" spans="2:4" x14ac:dyDescent="0.25">
      <c r="B19" s="260" t="s">
        <v>1890</v>
      </c>
      <c r="C19" s="260" t="s">
        <v>1907</v>
      </c>
      <c r="D19" s="258" t="s">
        <v>1896</v>
      </c>
    </row>
    <row r="20" spans="2:4" ht="30" x14ac:dyDescent="0.25">
      <c r="B20" s="259" t="s">
        <v>1894</v>
      </c>
      <c r="C20" s="259" t="s">
        <v>1908</v>
      </c>
      <c r="D20" s="256">
        <v>43070</v>
      </c>
    </row>
    <row r="22" spans="2:4" x14ac:dyDescent="0.25">
      <c r="B22" s="196"/>
      <c r="C22" s="196"/>
    </row>
    <row r="23" spans="2:4" x14ac:dyDescent="0.25">
      <c r="B23" s="261" t="s">
        <v>1897</v>
      </c>
      <c r="C23" s="261"/>
    </row>
    <row r="24" spans="2:4" x14ac:dyDescent="0.25">
      <c r="B24" s="261" t="s">
        <v>1898</v>
      </c>
      <c r="C24" s="261"/>
    </row>
    <row r="25" spans="2:4" x14ac:dyDescent="0.25">
      <c r="B25" s="261" t="s">
        <v>1899</v>
      </c>
      <c r="C25" s="261"/>
    </row>
    <row r="26" spans="2:4" x14ac:dyDescent="0.25">
      <c r="B26" s="261" t="s">
        <v>1900</v>
      </c>
      <c r="C26" s="261"/>
    </row>
    <row r="27" spans="2:4" x14ac:dyDescent="0.25">
      <c r="B27" s="261" t="s">
        <v>1901</v>
      </c>
      <c r="C27" s="261"/>
    </row>
    <row r="28" spans="2:4" x14ac:dyDescent="0.25">
      <c r="B28" s="261" t="s">
        <v>1902</v>
      </c>
      <c r="C28" s="261"/>
    </row>
    <row r="29" spans="2:4" x14ac:dyDescent="0.25">
      <c r="B29" s="261" t="s">
        <v>1925</v>
      </c>
    </row>
    <row r="30" spans="2:4" x14ac:dyDescent="0.25">
      <c r="B30" s="261" t="s">
        <v>1926</v>
      </c>
    </row>
    <row r="36" spans="1:7" ht="30" x14ac:dyDescent="0.25">
      <c r="A36" s="46" t="s">
        <v>1924</v>
      </c>
      <c r="B36" s="46" t="s">
        <v>1909</v>
      </c>
      <c r="C36" s="46" t="s">
        <v>1904</v>
      </c>
      <c r="D36" s="256"/>
      <c r="G36" s="62" t="s">
        <v>1921</v>
      </c>
    </row>
    <row r="37" spans="1:7" ht="45" x14ac:dyDescent="0.25">
      <c r="A37" s="46">
        <v>2</v>
      </c>
      <c r="B37" s="46" t="s">
        <v>1910</v>
      </c>
      <c r="C37" s="46" t="s">
        <v>1905</v>
      </c>
      <c r="D37" s="256"/>
      <c r="G37" s="62" t="s">
        <v>1922</v>
      </c>
    </row>
    <row r="38" spans="1:7" ht="60" x14ac:dyDescent="0.25">
      <c r="A38" s="46">
        <v>3</v>
      </c>
      <c r="B38" s="47" t="s">
        <v>1911</v>
      </c>
      <c r="C38" s="46" t="s">
        <v>1905</v>
      </c>
      <c r="D38" s="256"/>
      <c r="G38" s="62" t="s">
        <v>1923</v>
      </c>
    </row>
    <row r="39" spans="1:7" x14ac:dyDescent="0.25">
      <c r="A39" s="46"/>
      <c r="B39" s="46"/>
      <c r="C39" s="46"/>
      <c r="D39" s="258"/>
    </row>
    <row r="40" spans="1:7" x14ac:dyDescent="0.25">
      <c r="A40" s="46"/>
      <c r="B40" s="263" t="s">
        <v>1888</v>
      </c>
      <c r="C40" s="46"/>
      <c r="D40" s="258"/>
    </row>
    <row r="41" spans="1:7" ht="30" x14ac:dyDescent="0.25">
      <c r="A41" s="46">
        <v>4</v>
      </c>
      <c r="B41" s="262" t="s">
        <v>1912</v>
      </c>
      <c r="C41" s="46" t="s">
        <v>1906</v>
      </c>
      <c r="D41" s="256"/>
      <c r="E41" s="62">
        <v>15005</v>
      </c>
    </row>
    <row r="42" spans="1:7" x14ac:dyDescent="0.25">
      <c r="A42" s="176">
        <v>5</v>
      </c>
      <c r="B42" s="176" t="s">
        <v>1913</v>
      </c>
      <c r="C42" s="176" t="s">
        <v>1907</v>
      </c>
      <c r="D42" s="258"/>
    </row>
    <row r="43" spans="1:7" ht="30" x14ac:dyDescent="0.25">
      <c r="A43" s="176">
        <v>6</v>
      </c>
      <c r="B43" s="176" t="s">
        <v>1914</v>
      </c>
      <c r="C43" s="176" t="s">
        <v>1907</v>
      </c>
      <c r="D43" s="256"/>
    </row>
    <row r="70" spans="3:4" x14ac:dyDescent="0.25">
      <c r="C70" s="263" t="s">
        <v>1927</v>
      </c>
      <c r="D70" s="263" t="s">
        <v>1928</v>
      </c>
    </row>
    <row r="71" spans="3:4" ht="30" x14ac:dyDescent="0.25">
      <c r="C71" s="46" t="s">
        <v>1929</v>
      </c>
      <c r="D71" s="46" t="s">
        <v>1930</v>
      </c>
    </row>
  </sheetData>
  <pageMargins left="0.7" right="0.7" top="0.75" bottom="0.75" header="0.3" footer="0.3"/>
  <pageSetup orientation="portrait" horizontalDpi="90" verticalDpi="9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topLeftCell="A2" workbookViewId="0">
      <selection activeCell="J10" sqref="J10"/>
    </sheetView>
  </sheetViews>
  <sheetFormatPr defaultRowHeight="15" x14ac:dyDescent="0.25"/>
  <cols>
    <col min="1" max="1" width="31.42578125" bestFit="1" customWidth="1"/>
    <col min="2" max="2" width="12" bestFit="1" customWidth="1"/>
    <col min="3" max="3" width="10" bestFit="1" customWidth="1"/>
    <col min="4" max="4" width="12.42578125" bestFit="1" customWidth="1"/>
    <col min="5" max="5" width="3.42578125" bestFit="1" customWidth="1"/>
    <col min="6" max="6" width="10" bestFit="1" customWidth="1"/>
    <col min="7" max="7" width="18.42578125" bestFit="1" customWidth="1"/>
    <col min="8" max="8" width="12.7109375" bestFit="1" customWidth="1"/>
    <col min="9" max="9" width="15.140625" bestFit="1" customWidth="1"/>
    <col min="10" max="10" width="15.85546875" bestFit="1" customWidth="1"/>
    <col min="16" max="16" width="24.28515625" bestFit="1" customWidth="1"/>
  </cols>
  <sheetData>
    <row r="2" spans="1:16" x14ac:dyDescent="0.25">
      <c r="A2" s="1" t="s">
        <v>1856</v>
      </c>
      <c r="N2" t="s">
        <v>1872</v>
      </c>
      <c r="P2" t="s">
        <v>1863</v>
      </c>
    </row>
    <row r="3" spans="1:16" x14ac:dyDescent="0.25">
      <c r="P3" t="s">
        <v>1864</v>
      </c>
    </row>
    <row r="4" spans="1:16" x14ac:dyDescent="0.25">
      <c r="P4" t="s">
        <v>1865</v>
      </c>
    </row>
    <row r="5" spans="1:16" x14ac:dyDescent="0.25">
      <c r="A5" t="s">
        <v>1857</v>
      </c>
      <c r="B5" t="s">
        <v>1858</v>
      </c>
      <c r="C5" t="s">
        <v>1859</v>
      </c>
      <c r="D5" t="s">
        <v>1860</v>
      </c>
      <c r="E5" t="s">
        <v>1861</v>
      </c>
      <c r="F5" t="s">
        <v>1862</v>
      </c>
      <c r="G5" s="251" t="s">
        <v>1874</v>
      </c>
      <c r="H5" t="s">
        <v>84</v>
      </c>
      <c r="I5" t="s">
        <v>1877</v>
      </c>
      <c r="J5" t="s">
        <v>1879</v>
      </c>
      <c r="P5" t="s">
        <v>1866</v>
      </c>
    </row>
    <row r="6" spans="1:16" x14ac:dyDescent="0.25">
      <c r="G6" t="s">
        <v>72</v>
      </c>
      <c r="H6" t="s">
        <v>1876</v>
      </c>
      <c r="I6" t="s">
        <v>1878</v>
      </c>
      <c r="J6" t="s">
        <v>1880</v>
      </c>
      <c r="P6" t="s">
        <v>1867</v>
      </c>
    </row>
    <row r="7" spans="1:16" x14ac:dyDescent="0.25">
      <c r="G7" t="s">
        <v>1875</v>
      </c>
      <c r="J7" t="s">
        <v>1881</v>
      </c>
      <c r="P7" t="s">
        <v>1868</v>
      </c>
    </row>
    <row r="8" spans="1:16" x14ac:dyDescent="0.25">
      <c r="J8" t="s">
        <v>1882</v>
      </c>
      <c r="P8" t="s">
        <v>1869</v>
      </c>
    </row>
    <row r="9" spans="1:16" x14ac:dyDescent="0.25">
      <c r="J9" t="s">
        <v>1883</v>
      </c>
      <c r="P9" t="s">
        <v>1870</v>
      </c>
    </row>
    <row r="10" spans="1:16" x14ac:dyDescent="0.25">
      <c r="P10" s="251" t="s">
        <v>1871</v>
      </c>
    </row>
    <row r="11" spans="1:16" x14ac:dyDescent="0.25">
      <c r="P11" t="s">
        <v>1873</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L5" sqref="L5"/>
    </sheetView>
  </sheetViews>
  <sheetFormatPr defaultRowHeight="15" x14ac:dyDescent="0.25"/>
  <cols>
    <col min="2" max="2" width="11.85546875" bestFit="1" customWidth="1"/>
    <col min="3" max="3" width="15" bestFit="1" customWidth="1"/>
    <col min="4" max="4" width="14.28515625" bestFit="1" customWidth="1"/>
  </cols>
  <sheetData>
    <row r="1" spans="1:6" x14ac:dyDescent="0.25">
      <c r="A1" t="s">
        <v>72</v>
      </c>
      <c r="B1" t="s">
        <v>1966</v>
      </c>
      <c r="C1" t="s">
        <v>1967</v>
      </c>
      <c r="D1" t="s">
        <v>1968</v>
      </c>
      <c r="E1" t="s">
        <v>1970</v>
      </c>
      <c r="F1" t="s">
        <v>1975</v>
      </c>
    </row>
    <row r="2" spans="1:6" x14ac:dyDescent="0.25">
      <c r="A2" t="s">
        <v>1969</v>
      </c>
      <c r="B2">
        <v>5100</v>
      </c>
      <c r="C2">
        <v>100</v>
      </c>
      <c r="D2">
        <f>(C2*100)</f>
        <v>10000</v>
      </c>
      <c r="E2">
        <f>(D2-B2)</f>
        <v>4900</v>
      </c>
      <c r="F2">
        <f>(D2/100)*8</f>
        <v>800</v>
      </c>
    </row>
    <row r="3" spans="1:6" x14ac:dyDescent="0.25">
      <c r="B3">
        <v>12800</v>
      </c>
      <c r="C3">
        <v>200</v>
      </c>
      <c r="D3">
        <f t="shared" ref="D3:D22" si="0">(C3*100)</f>
        <v>20000</v>
      </c>
      <c r="E3">
        <f t="shared" ref="E3:E22" si="1">(D3-B3)</f>
        <v>7200</v>
      </c>
      <c r="F3">
        <f t="shared" ref="F3:F22" si="2">(D3/100)*8</f>
        <v>1600</v>
      </c>
    </row>
    <row r="4" spans="1:6" x14ac:dyDescent="0.25">
      <c r="B4">
        <v>13000</v>
      </c>
      <c r="C4">
        <v>200</v>
      </c>
      <c r="D4">
        <f t="shared" si="0"/>
        <v>20000</v>
      </c>
      <c r="E4">
        <f t="shared" si="1"/>
        <v>7000</v>
      </c>
      <c r="F4">
        <f t="shared" si="2"/>
        <v>1600</v>
      </c>
    </row>
    <row r="5" spans="1:6" x14ac:dyDescent="0.25">
      <c r="B5">
        <v>20700</v>
      </c>
      <c r="C5">
        <v>300</v>
      </c>
      <c r="D5" s="16">
        <f t="shared" si="0"/>
        <v>30000</v>
      </c>
      <c r="E5">
        <f t="shared" si="1"/>
        <v>9300</v>
      </c>
      <c r="F5">
        <f t="shared" si="2"/>
        <v>2400</v>
      </c>
    </row>
    <row r="6" spans="1:6" x14ac:dyDescent="0.25">
      <c r="B6">
        <v>6900</v>
      </c>
      <c r="C6">
        <v>100</v>
      </c>
      <c r="D6">
        <f t="shared" si="0"/>
        <v>10000</v>
      </c>
      <c r="E6">
        <f t="shared" si="1"/>
        <v>3100</v>
      </c>
      <c r="F6">
        <f t="shared" si="2"/>
        <v>800</v>
      </c>
    </row>
    <row r="7" spans="1:6" x14ac:dyDescent="0.25">
      <c r="B7">
        <v>7700</v>
      </c>
      <c r="C7">
        <v>100</v>
      </c>
      <c r="D7">
        <f t="shared" si="0"/>
        <v>10000</v>
      </c>
      <c r="E7">
        <f t="shared" si="1"/>
        <v>2300</v>
      </c>
      <c r="F7">
        <f t="shared" si="2"/>
        <v>800</v>
      </c>
    </row>
    <row r="8" spans="1:6" x14ac:dyDescent="0.25">
      <c r="B8">
        <v>12600</v>
      </c>
      <c r="C8">
        <v>200</v>
      </c>
      <c r="D8">
        <f t="shared" si="0"/>
        <v>20000</v>
      </c>
      <c r="E8">
        <f t="shared" si="1"/>
        <v>7400</v>
      </c>
      <c r="F8">
        <f t="shared" si="2"/>
        <v>1600</v>
      </c>
    </row>
    <row r="9" spans="1:6" x14ac:dyDescent="0.25">
      <c r="B9" s="16">
        <v>3800</v>
      </c>
      <c r="C9" s="16">
        <v>500</v>
      </c>
      <c r="D9" s="16">
        <f t="shared" si="0"/>
        <v>50000</v>
      </c>
      <c r="E9" s="16">
        <f t="shared" si="1"/>
        <v>46200</v>
      </c>
      <c r="F9">
        <f t="shared" si="2"/>
        <v>4000</v>
      </c>
    </row>
    <row r="10" spans="1:6" x14ac:dyDescent="0.25">
      <c r="B10">
        <v>7600</v>
      </c>
      <c r="C10">
        <v>100</v>
      </c>
      <c r="D10">
        <f t="shared" si="0"/>
        <v>10000</v>
      </c>
      <c r="E10">
        <f t="shared" si="1"/>
        <v>2400</v>
      </c>
      <c r="F10">
        <f t="shared" si="2"/>
        <v>800</v>
      </c>
    </row>
    <row r="11" spans="1:6" x14ac:dyDescent="0.25">
      <c r="B11">
        <v>15000</v>
      </c>
      <c r="C11">
        <v>200</v>
      </c>
      <c r="D11">
        <f t="shared" si="0"/>
        <v>20000</v>
      </c>
      <c r="E11">
        <f t="shared" si="1"/>
        <v>5000</v>
      </c>
      <c r="F11">
        <f t="shared" si="2"/>
        <v>1600</v>
      </c>
    </row>
    <row r="12" spans="1:6" x14ac:dyDescent="0.25">
      <c r="B12">
        <v>3500</v>
      </c>
      <c r="C12">
        <v>150</v>
      </c>
      <c r="D12">
        <f t="shared" si="0"/>
        <v>15000</v>
      </c>
      <c r="E12">
        <f t="shared" si="1"/>
        <v>11500</v>
      </c>
      <c r="F12">
        <f t="shared" si="2"/>
        <v>1200</v>
      </c>
    </row>
    <row r="13" spans="1:6" x14ac:dyDescent="0.25">
      <c r="B13">
        <v>7800</v>
      </c>
      <c r="C13">
        <v>100</v>
      </c>
      <c r="D13">
        <f t="shared" si="0"/>
        <v>10000</v>
      </c>
      <c r="E13">
        <f t="shared" si="1"/>
        <v>2200</v>
      </c>
      <c r="F13">
        <f t="shared" si="2"/>
        <v>800</v>
      </c>
    </row>
    <row r="14" spans="1:6" x14ac:dyDescent="0.25">
      <c r="B14">
        <v>24400</v>
      </c>
      <c r="C14">
        <v>300</v>
      </c>
      <c r="D14" s="16">
        <f t="shared" si="0"/>
        <v>30000</v>
      </c>
      <c r="E14">
        <f t="shared" si="1"/>
        <v>5600</v>
      </c>
      <c r="F14">
        <f t="shared" si="2"/>
        <v>2400</v>
      </c>
    </row>
    <row r="15" spans="1:6" x14ac:dyDescent="0.25">
      <c r="B15">
        <v>16200</v>
      </c>
      <c r="C15">
        <v>200</v>
      </c>
      <c r="D15">
        <f t="shared" si="0"/>
        <v>20000</v>
      </c>
      <c r="E15">
        <f t="shared" si="1"/>
        <v>3800</v>
      </c>
      <c r="F15">
        <f t="shared" si="2"/>
        <v>1600</v>
      </c>
    </row>
    <row r="16" spans="1:6" x14ac:dyDescent="0.25">
      <c r="B16">
        <v>28500</v>
      </c>
      <c r="C16">
        <v>300</v>
      </c>
      <c r="D16" s="16">
        <f t="shared" si="0"/>
        <v>30000</v>
      </c>
      <c r="E16">
        <f t="shared" si="1"/>
        <v>1500</v>
      </c>
      <c r="F16">
        <f t="shared" si="2"/>
        <v>2400</v>
      </c>
    </row>
    <row r="17" spans="2:9" x14ac:dyDescent="0.25">
      <c r="B17">
        <v>16000</v>
      </c>
      <c r="C17">
        <v>200</v>
      </c>
      <c r="D17">
        <f t="shared" si="0"/>
        <v>20000</v>
      </c>
      <c r="E17">
        <f t="shared" si="1"/>
        <v>4000</v>
      </c>
      <c r="F17">
        <f t="shared" si="2"/>
        <v>1600</v>
      </c>
    </row>
    <row r="18" spans="2:9" x14ac:dyDescent="0.25">
      <c r="B18">
        <v>27300</v>
      </c>
      <c r="C18">
        <v>300</v>
      </c>
      <c r="D18" s="16">
        <f t="shared" si="0"/>
        <v>30000</v>
      </c>
      <c r="E18">
        <f t="shared" si="1"/>
        <v>2700</v>
      </c>
      <c r="F18">
        <f t="shared" si="2"/>
        <v>2400</v>
      </c>
    </row>
    <row r="19" spans="2:9" x14ac:dyDescent="0.25">
      <c r="B19">
        <v>19600</v>
      </c>
      <c r="C19">
        <v>200</v>
      </c>
      <c r="D19">
        <f t="shared" si="0"/>
        <v>20000</v>
      </c>
      <c r="E19">
        <f t="shared" si="1"/>
        <v>400</v>
      </c>
      <c r="F19">
        <f t="shared" si="2"/>
        <v>1600</v>
      </c>
    </row>
    <row r="20" spans="2:9" x14ac:dyDescent="0.25">
      <c r="B20">
        <v>20000</v>
      </c>
      <c r="C20">
        <v>200</v>
      </c>
      <c r="D20">
        <f t="shared" si="0"/>
        <v>20000</v>
      </c>
      <c r="E20">
        <f t="shared" si="1"/>
        <v>0</v>
      </c>
      <c r="F20">
        <f t="shared" si="2"/>
        <v>1600</v>
      </c>
    </row>
    <row r="21" spans="2:9" x14ac:dyDescent="0.25">
      <c r="B21">
        <v>9700</v>
      </c>
      <c r="C21">
        <v>100</v>
      </c>
      <c r="D21">
        <f t="shared" si="0"/>
        <v>10000</v>
      </c>
      <c r="E21">
        <f t="shared" si="1"/>
        <v>300</v>
      </c>
      <c r="F21">
        <f t="shared" si="2"/>
        <v>800</v>
      </c>
    </row>
    <row r="22" spans="2:9" x14ac:dyDescent="0.25">
      <c r="B22">
        <v>4900</v>
      </c>
      <c r="C22">
        <v>50</v>
      </c>
      <c r="D22">
        <f t="shared" si="0"/>
        <v>5000</v>
      </c>
      <c r="E22">
        <f t="shared" si="1"/>
        <v>100</v>
      </c>
      <c r="F22">
        <f t="shared" si="2"/>
        <v>400</v>
      </c>
    </row>
    <row r="23" spans="2:9" s="16" customFormat="1" x14ac:dyDescent="0.25">
      <c r="B23" s="16">
        <f>SUM(B2:B22)</f>
        <v>283100</v>
      </c>
      <c r="E23" s="16">
        <f>SUM(E2:E22)</f>
        <v>126900</v>
      </c>
      <c r="F23" s="16">
        <f>SUM(F2:F22)</f>
        <v>32800</v>
      </c>
    </row>
    <row r="25" spans="2:9" x14ac:dyDescent="0.25">
      <c r="F25" s="5"/>
      <c r="G25" s="5">
        <f>SUM(H21:H41)</f>
        <v>325828</v>
      </c>
      <c r="H25" s="5">
        <v>62850</v>
      </c>
      <c r="I25" s="5"/>
    </row>
    <row r="26" spans="2:9" x14ac:dyDescent="0.25">
      <c r="C26">
        <f>SUM(B23,E23)</f>
        <v>410000</v>
      </c>
      <c r="F26" s="5"/>
      <c r="G26" s="5"/>
      <c r="H26" s="5">
        <v>126400</v>
      </c>
      <c r="I26" s="5"/>
    </row>
    <row r="27" spans="2:9" x14ac:dyDescent="0.25">
      <c r="F27" s="5"/>
      <c r="G27" s="5"/>
      <c r="H27" s="5">
        <v>63300</v>
      </c>
      <c r="I27" s="5"/>
    </row>
    <row r="28" spans="2:9" x14ac:dyDescent="0.25">
      <c r="F28" s="5"/>
      <c r="G28" s="5"/>
      <c r="H28" s="5">
        <v>101232</v>
      </c>
      <c r="I28" s="5"/>
    </row>
    <row r="29" spans="2:9" x14ac:dyDescent="0.25">
      <c r="F29" s="5"/>
      <c r="G29" s="5"/>
      <c r="H29" s="5">
        <v>96030</v>
      </c>
      <c r="I29" s="5"/>
    </row>
    <row r="30" spans="2:9" x14ac:dyDescent="0.25">
      <c r="F30" s="5"/>
      <c r="G30" s="5"/>
      <c r="H30" s="5">
        <v>100016</v>
      </c>
      <c r="I30" s="5"/>
    </row>
    <row r="31" spans="2:9" x14ac:dyDescent="0.25">
      <c r="F31" s="5"/>
      <c r="G31" s="5" t="s">
        <v>1972</v>
      </c>
      <c r="H31" s="5">
        <v>-40000</v>
      </c>
      <c r="I31" s="5"/>
    </row>
    <row r="32" spans="2:9" x14ac:dyDescent="0.25">
      <c r="F32" s="5"/>
      <c r="G32" s="5"/>
      <c r="H32" s="5">
        <v>-50000</v>
      </c>
      <c r="I32" s="5"/>
    </row>
    <row r="33" spans="6:9" x14ac:dyDescent="0.25">
      <c r="F33" s="5"/>
      <c r="G33" s="5" t="s">
        <v>1954</v>
      </c>
      <c r="H33" s="5">
        <v>-10000</v>
      </c>
      <c r="I33" s="5"/>
    </row>
    <row r="34" spans="6:9" x14ac:dyDescent="0.25">
      <c r="F34" s="5"/>
      <c r="G34" s="5" t="s">
        <v>1971</v>
      </c>
      <c r="H34" s="5">
        <v>-100000</v>
      </c>
      <c r="I34" s="5"/>
    </row>
    <row r="35" spans="6:9" x14ac:dyDescent="0.25">
      <c r="G35" s="163" t="s">
        <v>1973</v>
      </c>
      <c r="H35" s="163">
        <v>-21000</v>
      </c>
    </row>
    <row r="36" spans="6:9" x14ac:dyDescent="0.25">
      <c r="G36" s="163" t="s">
        <v>1974</v>
      </c>
      <c r="H36" s="163">
        <v>-3000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24" zoomScaleNormal="100" workbookViewId="0">
      <selection activeCell="A25" sqref="A25"/>
    </sheetView>
  </sheetViews>
  <sheetFormatPr defaultRowHeight="15" x14ac:dyDescent="0.25"/>
  <cols>
    <col min="1" max="1" width="29" bestFit="1" customWidth="1"/>
    <col min="2" max="2" width="41.5703125" bestFit="1" customWidth="1"/>
    <col min="3" max="3" width="11.28515625" bestFit="1" customWidth="1"/>
    <col min="5" max="5" width="82.42578125" customWidth="1"/>
    <col min="6" max="6" width="23.5703125" bestFit="1" customWidth="1"/>
  </cols>
  <sheetData>
    <row r="1" spans="1:6" x14ac:dyDescent="0.25">
      <c r="A1" s="1" t="s">
        <v>205</v>
      </c>
    </row>
    <row r="2" spans="1:6" x14ac:dyDescent="0.25">
      <c r="A2" t="s">
        <v>612</v>
      </c>
      <c r="F2" s="1" t="s">
        <v>222</v>
      </c>
    </row>
    <row r="3" spans="1:6" x14ac:dyDescent="0.25">
      <c r="A3" t="s">
        <v>613</v>
      </c>
      <c r="F3" t="s">
        <v>150</v>
      </c>
    </row>
    <row r="4" spans="1:6" x14ac:dyDescent="0.25">
      <c r="A4" t="s">
        <v>614</v>
      </c>
      <c r="F4" s="1" t="s">
        <v>965</v>
      </c>
    </row>
    <row r="5" spans="1:6" x14ac:dyDescent="0.25">
      <c r="A5" t="s">
        <v>615</v>
      </c>
      <c r="F5" t="s">
        <v>966</v>
      </c>
    </row>
    <row r="6" spans="1:6" x14ac:dyDescent="0.25">
      <c r="A6" t="s">
        <v>616</v>
      </c>
      <c r="F6" t="s">
        <v>293</v>
      </c>
    </row>
    <row r="7" spans="1:6" x14ac:dyDescent="0.25">
      <c r="A7" t="s">
        <v>617</v>
      </c>
      <c r="F7" t="s">
        <v>967</v>
      </c>
    </row>
    <row r="8" spans="1:6" x14ac:dyDescent="0.25">
      <c r="A8" t="s">
        <v>618</v>
      </c>
      <c r="B8" t="s">
        <v>619</v>
      </c>
      <c r="F8" t="s">
        <v>163</v>
      </c>
    </row>
    <row r="9" spans="1:6" x14ac:dyDescent="0.25">
      <c r="A9" t="s">
        <v>620</v>
      </c>
      <c r="F9" t="s">
        <v>968</v>
      </c>
    </row>
    <row r="10" spans="1:6" x14ac:dyDescent="0.25">
      <c r="A10" t="s">
        <v>621</v>
      </c>
      <c r="F10" t="s">
        <v>969</v>
      </c>
    </row>
    <row r="11" spans="1:6" x14ac:dyDescent="0.25">
      <c r="F11" t="s">
        <v>226</v>
      </c>
    </row>
    <row r="12" spans="1:6" ht="165" x14ac:dyDescent="0.25">
      <c r="F12" s="62" t="s">
        <v>970</v>
      </c>
    </row>
    <row r="13" spans="1:6" x14ac:dyDescent="0.25">
      <c r="A13" s="4" t="s">
        <v>960</v>
      </c>
      <c r="B13" s="4" t="s">
        <v>959</v>
      </c>
    </row>
    <row r="14" spans="1:6" x14ac:dyDescent="0.25">
      <c r="A14" s="5" t="s">
        <v>44</v>
      </c>
      <c r="B14" s="5" t="s">
        <v>1083</v>
      </c>
    </row>
    <row r="15" spans="1:6" x14ac:dyDescent="0.25">
      <c r="A15" s="5" t="s">
        <v>21</v>
      </c>
      <c r="B15" s="5" t="s">
        <v>205</v>
      </c>
    </row>
    <row r="16" spans="1:6" x14ac:dyDescent="0.25">
      <c r="A16" s="5" t="s">
        <v>31</v>
      </c>
      <c r="B16" s="5"/>
    </row>
    <row r="17" spans="1:5" x14ac:dyDescent="0.25">
      <c r="A17" s="5" t="s">
        <v>56</v>
      </c>
      <c r="B17" s="5" t="s">
        <v>961</v>
      </c>
    </row>
    <row r="18" spans="1:5" x14ac:dyDescent="0.25">
      <c r="A18" s="5" t="s">
        <v>20</v>
      </c>
      <c r="B18" s="5" t="s">
        <v>962</v>
      </c>
    </row>
    <row r="25" spans="1:5" ht="135" x14ac:dyDescent="0.25">
      <c r="A25" s="224" t="s">
        <v>222</v>
      </c>
      <c r="B25" s="224" t="s">
        <v>1742</v>
      </c>
      <c r="C25" s="224" t="s">
        <v>1743</v>
      </c>
      <c r="D25" s="224" t="s">
        <v>1744</v>
      </c>
      <c r="E25" s="224" t="s">
        <v>1753</v>
      </c>
    </row>
    <row r="26" spans="1:5" ht="30" x14ac:dyDescent="0.25">
      <c r="A26" s="224" t="s">
        <v>1746</v>
      </c>
      <c r="B26" s="224" t="s">
        <v>1745</v>
      </c>
      <c r="C26" s="224" t="s">
        <v>1747</v>
      </c>
      <c r="D26" s="224" t="s">
        <v>1744</v>
      </c>
      <c r="E26" s="224" t="s">
        <v>1752</v>
      </c>
    </row>
    <row r="27" spans="1:5" ht="105" x14ac:dyDescent="0.25">
      <c r="A27" s="224" t="s">
        <v>1749</v>
      </c>
      <c r="B27" s="224" t="s">
        <v>1748</v>
      </c>
      <c r="C27" s="224" t="s">
        <v>1750</v>
      </c>
      <c r="D27" s="224"/>
      <c r="E27" s="224" t="s">
        <v>1751</v>
      </c>
    </row>
    <row r="28" spans="1:5" x14ac:dyDescent="0.25">
      <c r="A28" s="224" t="s">
        <v>1754</v>
      </c>
    </row>
    <row r="29" spans="1:5" x14ac:dyDescent="0.25">
      <c r="A29" s="224" t="s">
        <v>1755</v>
      </c>
    </row>
    <row r="30" spans="1:5" x14ac:dyDescent="0.25">
      <c r="A30" s="225" t="s">
        <v>1769</v>
      </c>
      <c r="B30" s="225" t="s">
        <v>1770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7"/>
  <sheetViews>
    <sheetView topLeftCell="A45" zoomScale="70" zoomScaleNormal="70" workbookViewId="0">
      <selection activeCell="D134" sqref="D134"/>
    </sheetView>
  </sheetViews>
  <sheetFormatPr defaultRowHeight="15" x14ac:dyDescent="0.25"/>
  <cols>
    <col min="1" max="1" width="13.85546875" bestFit="1" customWidth="1"/>
    <col min="2" max="2" width="44" bestFit="1" customWidth="1"/>
    <col min="3" max="3" width="56.28515625" bestFit="1" customWidth="1"/>
    <col min="4" max="4" width="18.140625" bestFit="1" customWidth="1"/>
    <col min="5" max="5" width="13.85546875" bestFit="1" customWidth="1"/>
    <col min="6" max="6" width="11.28515625" bestFit="1" customWidth="1"/>
    <col min="7" max="7" width="14.85546875" bestFit="1" customWidth="1"/>
    <col min="8" max="8" width="18.42578125" bestFit="1" customWidth="1"/>
    <col min="9" max="9" width="10.7109375" bestFit="1" customWidth="1"/>
    <col min="10" max="10" width="17.42578125" bestFit="1" customWidth="1"/>
    <col min="11" max="11" width="38.28515625" customWidth="1"/>
    <col min="12" max="12" width="18.140625" customWidth="1"/>
    <col min="13" max="13" width="12.85546875" bestFit="1" customWidth="1"/>
    <col min="14" max="14" width="12" bestFit="1" customWidth="1"/>
    <col min="15" max="15" width="10.7109375" bestFit="1" customWidth="1"/>
    <col min="19" max="19" width="79.140625" customWidth="1"/>
    <col min="20" max="20" width="30" bestFit="1" customWidth="1"/>
    <col min="21" max="21" width="14.140625" bestFit="1" customWidth="1"/>
    <col min="23" max="23" width="14.42578125" bestFit="1" customWidth="1"/>
    <col min="24" max="24" width="5.7109375" bestFit="1" customWidth="1"/>
    <col min="25" max="25" width="15.5703125" bestFit="1" customWidth="1"/>
  </cols>
  <sheetData>
    <row r="1" spans="1:21" x14ac:dyDescent="0.25">
      <c r="K1" t="s">
        <v>187</v>
      </c>
    </row>
    <row r="2" spans="1:21" x14ac:dyDescent="0.25">
      <c r="K2" s="16">
        <f>SUM(I2,I6)</f>
        <v>0</v>
      </c>
      <c r="M2" t="s">
        <v>188</v>
      </c>
      <c r="N2" t="s">
        <v>189</v>
      </c>
      <c r="O2" t="s">
        <v>227</v>
      </c>
      <c r="P2">
        <v>2010</v>
      </c>
      <c r="S2" s="1" t="s">
        <v>1826</v>
      </c>
    </row>
    <row r="3" spans="1:21" x14ac:dyDescent="0.25">
      <c r="A3" t="s">
        <v>568</v>
      </c>
      <c r="B3" t="s">
        <v>643</v>
      </c>
      <c r="C3" t="s">
        <v>710</v>
      </c>
      <c r="D3" t="s">
        <v>645</v>
      </c>
      <c r="E3" t="s">
        <v>650</v>
      </c>
      <c r="K3" s="16"/>
      <c r="M3" t="s">
        <v>190</v>
      </c>
      <c r="N3" t="s">
        <v>189</v>
      </c>
      <c r="S3" s="5" t="s">
        <v>1166</v>
      </c>
      <c r="T3" s="5" t="s">
        <v>1167</v>
      </c>
      <c r="U3" s="5">
        <v>522024931</v>
      </c>
    </row>
    <row r="4" spans="1:21" ht="23.25" x14ac:dyDescent="0.35">
      <c r="A4" s="76" t="s">
        <v>640</v>
      </c>
      <c r="B4" s="76">
        <v>1</v>
      </c>
      <c r="C4" s="76">
        <v>1500</v>
      </c>
      <c r="D4" s="76" t="s">
        <v>358</v>
      </c>
      <c r="E4" s="76"/>
      <c r="K4" s="16" t="s">
        <v>421</v>
      </c>
      <c r="M4" t="s">
        <v>221</v>
      </c>
      <c r="N4" t="s">
        <v>229</v>
      </c>
      <c r="O4" t="s">
        <v>227</v>
      </c>
      <c r="S4" s="248" t="s">
        <v>1168</v>
      </c>
      <c r="T4" s="249" t="s">
        <v>1169</v>
      </c>
      <c r="U4" s="5">
        <v>523615931</v>
      </c>
    </row>
    <row r="5" spans="1:21" ht="23.25" x14ac:dyDescent="0.35">
      <c r="K5" s="16"/>
      <c r="S5" s="248" t="s">
        <v>1180</v>
      </c>
      <c r="T5" s="249" t="s">
        <v>1181</v>
      </c>
      <c r="U5" s="5">
        <v>849049287</v>
      </c>
    </row>
    <row r="6" spans="1:21" x14ac:dyDescent="0.25">
      <c r="A6" s="52" t="s">
        <v>419</v>
      </c>
      <c r="B6" s="73">
        <v>1</v>
      </c>
      <c r="C6" s="73">
        <v>100</v>
      </c>
      <c r="D6" s="73">
        <v>8610</v>
      </c>
      <c r="E6" s="73"/>
      <c r="K6" s="16">
        <f>SUM(H2:H6)</f>
        <v>0</v>
      </c>
      <c r="M6" t="s">
        <v>228</v>
      </c>
      <c r="N6" t="s">
        <v>229</v>
      </c>
      <c r="O6" t="s">
        <v>227</v>
      </c>
      <c r="S6" s="5" t="s">
        <v>1170</v>
      </c>
      <c r="T6" s="5"/>
      <c r="U6" s="5"/>
    </row>
    <row r="7" spans="1:21" x14ac:dyDescent="0.25">
      <c r="A7" s="75" t="s">
        <v>644</v>
      </c>
      <c r="B7" s="75">
        <v>1</v>
      </c>
      <c r="C7" s="75">
        <v>45</v>
      </c>
      <c r="D7" s="75">
        <v>9070</v>
      </c>
      <c r="E7" s="75"/>
      <c r="M7" t="s">
        <v>3</v>
      </c>
      <c r="N7">
        <v>5556183</v>
      </c>
      <c r="O7" t="s">
        <v>230</v>
      </c>
      <c r="S7" s="5" t="s">
        <v>1171</v>
      </c>
      <c r="T7" s="5"/>
      <c r="U7" s="5"/>
    </row>
    <row r="8" spans="1:21" x14ac:dyDescent="0.25">
      <c r="A8" t="s">
        <v>637</v>
      </c>
      <c r="B8">
        <v>5</v>
      </c>
      <c r="C8">
        <v>300</v>
      </c>
      <c r="H8" t="s">
        <v>779</v>
      </c>
      <c r="I8">
        <v>300</v>
      </c>
      <c r="J8">
        <f>SUM(I8:I12)</f>
        <v>2675</v>
      </c>
      <c r="M8" t="s">
        <v>231</v>
      </c>
      <c r="R8" s="2"/>
      <c r="S8" s="5" t="s">
        <v>1172</v>
      </c>
      <c r="T8" s="5"/>
      <c r="U8" s="5"/>
    </row>
    <row r="9" spans="1:21" x14ac:dyDescent="0.25">
      <c r="A9" t="s">
        <v>638</v>
      </c>
      <c r="B9">
        <v>5</v>
      </c>
      <c r="H9" t="s">
        <v>780</v>
      </c>
      <c r="M9" t="s">
        <v>232</v>
      </c>
      <c r="S9" s="5" t="s">
        <v>1173</v>
      </c>
      <c r="T9" s="5"/>
      <c r="U9" s="5"/>
    </row>
    <row r="10" spans="1:21" x14ac:dyDescent="0.25">
      <c r="A10" s="73" t="s">
        <v>8</v>
      </c>
      <c r="B10" s="73">
        <v>7</v>
      </c>
      <c r="C10" s="73"/>
      <c r="D10" s="73">
        <v>8610</v>
      </c>
      <c r="E10" s="73"/>
      <c r="H10" t="s">
        <v>781</v>
      </c>
      <c r="I10">
        <v>300</v>
      </c>
      <c r="L10" t="s">
        <v>238</v>
      </c>
      <c r="M10" t="s">
        <v>5</v>
      </c>
      <c r="N10" t="s">
        <v>237</v>
      </c>
      <c r="S10" s="5" t="s">
        <v>1174</v>
      </c>
      <c r="T10" s="5"/>
      <c r="U10" s="5"/>
    </row>
    <row r="11" spans="1:21" x14ac:dyDescent="0.25">
      <c r="A11" t="s">
        <v>4</v>
      </c>
      <c r="B11" s="16">
        <v>12</v>
      </c>
      <c r="C11" s="16"/>
      <c r="D11" s="16"/>
      <c r="E11" s="16"/>
      <c r="H11" t="s">
        <v>11</v>
      </c>
      <c r="I11">
        <v>2000</v>
      </c>
      <c r="M11" t="s">
        <v>6</v>
      </c>
      <c r="N11" t="s">
        <v>239</v>
      </c>
      <c r="S11" s="5"/>
      <c r="T11" s="5"/>
      <c r="U11" s="5"/>
    </row>
    <row r="12" spans="1:21" x14ac:dyDescent="0.25">
      <c r="A12" t="s">
        <v>0</v>
      </c>
      <c r="B12" s="16">
        <v>13</v>
      </c>
      <c r="C12" s="16"/>
      <c r="D12" s="16"/>
      <c r="E12" s="16"/>
      <c r="H12" t="s">
        <v>511</v>
      </c>
      <c r="I12">
        <f>(900/12)</f>
        <v>75</v>
      </c>
      <c r="L12" s="1" t="s">
        <v>3</v>
      </c>
      <c r="M12" t="s">
        <v>8</v>
      </c>
      <c r="N12" t="s">
        <v>235</v>
      </c>
      <c r="O12" s="24" t="s">
        <v>236</v>
      </c>
      <c r="S12" s="5" t="s">
        <v>1175</v>
      </c>
      <c r="T12" s="5"/>
      <c r="U12" s="5"/>
    </row>
    <row r="13" spans="1:21" x14ac:dyDescent="0.25">
      <c r="A13" t="s">
        <v>3</v>
      </c>
      <c r="B13" t="s">
        <v>1008</v>
      </c>
      <c r="K13">
        <v>60</v>
      </c>
      <c r="L13" s="1"/>
      <c r="O13" s="24"/>
      <c r="S13" s="5"/>
      <c r="T13" s="5"/>
      <c r="U13" s="5"/>
    </row>
    <row r="14" spans="1:21" x14ac:dyDescent="0.25">
      <c r="A14" t="s">
        <v>521</v>
      </c>
      <c r="B14" s="16">
        <v>15</v>
      </c>
      <c r="C14" s="16"/>
      <c r="D14" s="16" t="s">
        <v>649</v>
      </c>
      <c r="E14" s="16"/>
      <c r="H14" t="s">
        <v>640</v>
      </c>
      <c r="I14">
        <v>675</v>
      </c>
      <c r="J14">
        <f>SUM(I14:I20)</f>
        <v>-107</v>
      </c>
      <c r="K14">
        <v>280</v>
      </c>
      <c r="M14" t="s">
        <v>233</v>
      </c>
      <c r="N14" t="s">
        <v>386</v>
      </c>
      <c r="O14" t="s">
        <v>387</v>
      </c>
      <c r="S14" s="5"/>
      <c r="T14" s="5"/>
      <c r="U14" s="5"/>
    </row>
    <row r="15" spans="1:21" x14ac:dyDescent="0.25">
      <c r="A15" s="52" t="s">
        <v>565</v>
      </c>
      <c r="B15" s="76">
        <v>15</v>
      </c>
      <c r="C15" s="76">
        <v>150</v>
      </c>
      <c r="D15" s="76" t="s">
        <v>646</v>
      </c>
      <c r="E15" s="76">
        <v>80</v>
      </c>
      <c r="H15" t="s">
        <v>997</v>
      </c>
      <c r="I15">
        <v>-157</v>
      </c>
      <c r="M15" t="s">
        <v>234</v>
      </c>
      <c r="S15" s="5" t="s">
        <v>1176</v>
      </c>
      <c r="T15" s="5"/>
      <c r="U15" s="5"/>
    </row>
    <row r="16" spans="1:21" x14ac:dyDescent="0.25">
      <c r="A16" s="52" t="s">
        <v>641</v>
      </c>
      <c r="B16" s="73">
        <v>20</v>
      </c>
      <c r="C16" s="73">
        <v>100</v>
      </c>
      <c r="D16" s="73">
        <v>8610</v>
      </c>
      <c r="E16" s="73"/>
      <c r="H16" t="s">
        <v>9</v>
      </c>
      <c r="I16">
        <v>-80</v>
      </c>
      <c r="S16" s="5" t="s">
        <v>1177</v>
      </c>
      <c r="T16" s="5"/>
      <c r="U16" s="5"/>
    </row>
    <row r="17" spans="1:21" x14ac:dyDescent="0.25">
      <c r="A17" s="76" t="s">
        <v>7</v>
      </c>
      <c r="B17" s="76">
        <v>23</v>
      </c>
      <c r="C17" s="76">
        <v>150</v>
      </c>
      <c r="D17" s="76" t="s">
        <v>646</v>
      </c>
      <c r="E17" s="76">
        <v>117</v>
      </c>
      <c r="H17" t="s">
        <v>973</v>
      </c>
      <c r="I17">
        <v>-200</v>
      </c>
      <c r="R17" s="1"/>
      <c r="S17" s="5"/>
      <c r="T17" s="5"/>
      <c r="U17" s="5"/>
    </row>
    <row r="18" spans="1:21" x14ac:dyDescent="0.25">
      <c r="A18" t="s">
        <v>1</v>
      </c>
      <c r="B18">
        <v>25</v>
      </c>
      <c r="H18" t="s">
        <v>1005</v>
      </c>
      <c r="I18">
        <v>-345</v>
      </c>
      <c r="S18" s="5" t="s">
        <v>1178</v>
      </c>
      <c r="T18" s="5"/>
      <c r="U18" s="5"/>
    </row>
    <row r="19" spans="1:21" ht="18.75" customHeight="1" x14ac:dyDescent="0.25">
      <c r="A19" s="52" t="s">
        <v>567</v>
      </c>
      <c r="B19" s="52">
        <v>29</v>
      </c>
      <c r="C19" s="52"/>
      <c r="D19" s="52" t="s">
        <v>648</v>
      </c>
      <c r="E19" s="52">
        <v>315</v>
      </c>
      <c r="S19" s="5" t="s">
        <v>1179</v>
      </c>
      <c r="T19" s="5"/>
      <c r="U19" s="5"/>
    </row>
    <row r="20" spans="1:21" x14ac:dyDescent="0.25">
      <c r="A20" s="76" t="s">
        <v>639</v>
      </c>
      <c r="B20" s="76" t="s">
        <v>642</v>
      </c>
      <c r="C20" s="76">
        <v>150</v>
      </c>
      <c r="D20" s="76" t="s">
        <v>647</v>
      </c>
      <c r="E20" s="76">
        <v>100</v>
      </c>
      <c r="R20" s="1"/>
    </row>
    <row r="21" spans="1:21" x14ac:dyDescent="0.25">
      <c r="A21" s="52" t="s">
        <v>717</v>
      </c>
      <c r="B21" s="73"/>
      <c r="C21" s="73">
        <v>100</v>
      </c>
      <c r="D21" s="73">
        <v>8610</v>
      </c>
      <c r="E21" s="73"/>
    </row>
    <row r="22" spans="1:21" x14ac:dyDescent="0.25">
      <c r="A22" s="73" t="s">
        <v>718</v>
      </c>
      <c r="B22" s="73"/>
      <c r="C22" s="73"/>
      <c r="D22" s="73" t="s">
        <v>719</v>
      </c>
      <c r="E22" s="73"/>
      <c r="R22" s="1"/>
    </row>
    <row r="23" spans="1:21" x14ac:dyDescent="0.25">
      <c r="A23" s="75" t="s">
        <v>720</v>
      </c>
      <c r="B23" s="75"/>
      <c r="C23" s="75"/>
      <c r="D23" s="75">
        <v>9070</v>
      </c>
      <c r="E23" s="75"/>
      <c r="R23" s="1"/>
      <c r="S23" s="1" t="s">
        <v>1915</v>
      </c>
    </row>
    <row r="24" spans="1:21" x14ac:dyDescent="0.25">
      <c r="A24" s="97" t="s">
        <v>721</v>
      </c>
      <c r="B24" s="77"/>
      <c r="C24" s="77">
        <v>150</v>
      </c>
      <c r="D24" s="77">
        <v>8610</v>
      </c>
      <c r="E24" s="77"/>
      <c r="S24" t="s">
        <v>1855</v>
      </c>
    </row>
    <row r="25" spans="1:21" x14ac:dyDescent="0.25">
      <c r="I25" s="13"/>
      <c r="S25" t="s">
        <v>1919</v>
      </c>
    </row>
    <row r="26" spans="1:21" x14ac:dyDescent="0.25">
      <c r="S26" t="s">
        <v>1852</v>
      </c>
    </row>
    <row r="27" spans="1:21" x14ac:dyDescent="0.25">
      <c r="B27" t="s">
        <v>715</v>
      </c>
      <c r="D27" t="s">
        <v>1256</v>
      </c>
      <c r="H27" s="2"/>
      <c r="S27" t="s">
        <v>1853</v>
      </c>
    </row>
    <row r="28" spans="1:21" x14ac:dyDescent="0.25">
      <c r="A28" s="72" t="s">
        <v>640</v>
      </c>
      <c r="B28" s="72">
        <v>1</v>
      </c>
      <c r="C28" s="72">
        <v>1650</v>
      </c>
      <c r="D28" s="72">
        <v>1</v>
      </c>
      <c r="H28" s="17"/>
    </row>
    <row r="29" spans="1:21" x14ac:dyDescent="0.25">
      <c r="A29" s="72" t="s">
        <v>725</v>
      </c>
      <c r="B29" s="3">
        <v>1</v>
      </c>
      <c r="C29" s="72">
        <v>100</v>
      </c>
      <c r="D29" s="3">
        <v>1</v>
      </c>
      <c r="S29" s="1" t="s">
        <v>1920</v>
      </c>
    </row>
    <row r="30" spans="1:21" x14ac:dyDescent="0.25">
      <c r="A30" s="72" t="s">
        <v>1406</v>
      </c>
      <c r="B30" s="3">
        <v>1</v>
      </c>
      <c r="C30" s="72">
        <v>31</v>
      </c>
      <c r="D30" s="3"/>
      <c r="S30" t="s">
        <v>1916</v>
      </c>
    </row>
    <row r="31" spans="1:21" x14ac:dyDescent="0.25">
      <c r="A31" s="72" t="s">
        <v>1407</v>
      </c>
      <c r="B31" s="3">
        <v>1</v>
      </c>
      <c r="C31" s="72">
        <v>9</v>
      </c>
      <c r="D31" s="3"/>
      <c r="S31" t="s">
        <v>1917</v>
      </c>
    </row>
    <row r="32" spans="1:21" x14ac:dyDescent="0.25">
      <c r="A32" s="73" t="s">
        <v>724</v>
      </c>
      <c r="B32" s="3">
        <v>15</v>
      </c>
      <c r="C32" s="73">
        <v>200</v>
      </c>
      <c r="D32" s="3">
        <v>15</v>
      </c>
      <c r="S32" t="s">
        <v>1854</v>
      </c>
    </row>
    <row r="33" spans="1:19" x14ac:dyDescent="0.25">
      <c r="A33" s="73" t="s">
        <v>714</v>
      </c>
      <c r="B33" s="3">
        <v>15</v>
      </c>
      <c r="C33" s="73">
        <v>200</v>
      </c>
      <c r="D33" s="3">
        <v>15</v>
      </c>
      <c r="H33" s="16"/>
      <c r="S33" t="s">
        <v>1918</v>
      </c>
    </row>
    <row r="34" spans="1:19" x14ac:dyDescent="0.25">
      <c r="A34" s="73" t="s">
        <v>976</v>
      </c>
      <c r="B34" s="3">
        <v>15</v>
      </c>
      <c r="C34" s="73"/>
      <c r="D34" s="3">
        <v>15</v>
      </c>
      <c r="I34" t="s">
        <v>1000</v>
      </c>
      <c r="J34" t="s">
        <v>1001</v>
      </c>
      <c r="K34" t="s">
        <v>1002</v>
      </c>
    </row>
    <row r="35" spans="1:19" x14ac:dyDescent="0.25">
      <c r="A35" s="73" t="s">
        <v>972</v>
      </c>
      <c r="B35" s="3">
        <v>15</v>
      </c>
      <c r="C35" s="73">
        <v>2215</v>
      </c>
      <c r="D35" s="3">
        <v>17</v>
      </c>
      <c r="H35" s="1" t="s">
        <v>931</v>
      </c>
      <c r="I35" s="128">
        <f>SUM(I36:I49)</f>
        <v>824810</v>
      </c>
      <c r="J35" s="40">
        <f>SUM(-1000000,I35)</f>
        <v>-175190</v>
      </c>
      <c r="K35" s="129">
        <f>J35/67</f>
        <v>-2614.7761194029849</v>
      </c>
    </row>
    <row r="36" spans="1:19" x14ac:dyDescent="0.25">
      <c r="A36" s="73" t="s">
        <v>745</v>
      </c>
      <c r="B36" s="3">
        <v>15</v>
      </c>
      <c r="C36" s="73">
        <v>100</v>
      </c>
      <c r="D36" s="3">
        <v>15</v>
      </c>
      <c r="H36" t="s">
        <v>932</v>
      </c>
      <c r="I36">
        <v>81800</v>
      </c>
    </row>
    <row r="37" spans="1:19" x14ac:dyDescent="0.25">
      <c r="A37" s="73" t="s">
        <v>1411</v>
      </c>
      <c r="B37" s="79">
        <v>29</v>
      </c>
      <c r="C37" s="73">
        <v>313</v>
      </c>
      <c r="D37" s="74">
        <v>15</v>
      </c>
      <c r="F37">
        <v>313</v>
      </c>
      <c r="H37" t="s">
        <v>933</v>
      </c>
      <c r="I37">
        <v>67150</v>
      </c>
      <c r="J37" s="13"/>
    </row>
    <row r="38" spans="1:19" x14ac:dyDescent="0.25">
      <c r="A38" s="73" t="s">
        <v>1412</v>
      </c>
      <c r="B38" s="3">
        <v>15</v>
      </c>
      <c r="C38" s="73">
        <v>494</v>
      </c>
      <c r="D38" s="3">
        <v>15</v>
      </c>
      <c r="H38" t="s">
        <v>999</v>
      </c>
      <c r="I38">
        <v>50000</v>
      </c>
      <c r="J38" s="13"/>
    </row>
    <row r="39" spans="1:19" x14ac:dyDescent="0.25">
      <c r="A39" s="73" t="s">
        <v>521</v>
      </c>
      <c r="B39" s="3">
        <v>15</v>
      </c>
      <c r="C39" s="73">
        <v>340</v>
      </c>
      <c r="D39" s="3">
        <v>15</v>
      </c>
      <c r="H39" t="s">
        <v>998</v>
      </c>
      <c r="I39">
        <f>(4500+2000-2090)*66</f>
        <v>291060</v>
      </c>
      <c r="J39" s="13"/>
    </row>
    <row r="40" spans="1:19" x14ac:dyDescent="0.25">
      <c r="A40" s="73" t="s">
        <v>4</v>
      </c>
      <c r="B40" s="3">
        <v>15</v>
      </c>
      <c r="C40" s="75">
        <v>-480</v>
      </c>
      <c r="D40" s="3">
        <v>15</v>
      </c>
      <c r="H40" t="s">
        <v>934</v>
      </c>
      <c r="I40">
        <f>(2000+800)*66</f>
        <v>184800</v>
      </c>
      <c r="J40" s="13"/>
      <c r="N40" t="s">
        <v>508</v>
      </c>
      <c r="O40" t="s">
        <v>509</v>
      </c>
    </row>
    <row r="41" spans="1:19" x14ac:dyDescent="0.25">
      <c r="A41" s="74" t="s">
        <v>723</v>
      </c>
      <c r="B41" s="3">
        <v>15</v>
      </c>
      <c r="C41" s="73">
        <v>150</v>
      </c>
      <c r="D41" s="74">
        <v>15</v>
      </c>
      <c r="H41" t="s">
        <v>1003</v>
      </c>
      <c r="I41" s="18">
        <v>150000</v>
      </c>
      <c r="J41" s="13"/>
    </row>
    <row r="42" spans="1:19" x14ac:dyDescent="0.25">
      <c r="A42" s="73" t="s">
        <v>1260</v>
      </c>
      <c r="B42" s="79">
        <v>20</v>
      </c>
      <c r="C42" s="75">
        <v>-500</v>
      </c>
      <c r="D42" s="74">
        <v>15</v>
      </c>
      <c r="J42" s="13"/>
      <c r="L42">
        <v>3318.27</v>
      </c>
      <c r="M42">
        <v>80</v>
      </c>
      <c r="N42">
        <f>(L42/M42)</f>
        <v>41.478375</v>
      </c>
      <c r="O42">
        <f>(L45/M42)</f>
        <v>50.432749999999999</v>
      </c>
    </row>
    <row r="43" spans="1:19" x14ac:dyDescent="0.25">
      <c r="A43" s="73" t="s">
        <v>1372</v>
      </c>
      <c r="B43" s="79"/>
      <c r="C43" s="73">
        <v>60</v>
      </c>
      <c r="D43" s="74"/>
      <c r="J43" s="13"/>
    </row>
    <row r="44" spans="1:19" x14ac:dyDescent="0.25">
      <c r="A44" s="73" t="s">
        <v>1373</v>
      </c>
      <c r="B44" s="79"/>
      <c r="C44" s="73">
        <v>155</v>
      </c>
      <c r="D44" s="74"/>
      <c r="J44" s="13"/>
    </row>
    <row r="45" spans="1:19" x14ac:dyDescent="0.25">
      <c r="B45" t="s">
        <v>511</v>
      </c>
      <c r="C45">
        <v>6800</v>
      </c>
      <c r="D45">
        <f>SUM(C45:C47)</f>
        <v>1772</v>
      </c>
      <c r="L45">
        <v>4034.62</v>
      </c>
    </row>
    <row r="46" spans="1:19" x14ac:dyDescent="0.25">
      <c r="B46">
        <v>1</v>
      </c>
      <c r="C46">
        <f>-SUM(C28:C30)</f>
        <v>-1781</v>
      </c>
    </row>
    <row r="47" spans="1:19" x14ac:dyDescent="0.25">
      <c r="B47">
        <v>15</v>
      </c>
      <c r="C47">
        <f>-SUM(C32:C44)</f>
        <v>-3247</v>
      </c>
      <c r="D47">
        <f>3450+C47</f>
        <v>203</v>
      </c>
    </row>
    <row r="48" spans="1:19" x14ac:dyDescent="0.25">
      <c r="L48">
        <f>104900/12</f>
        <v>8741.6666666666661</v>
      </c>
      <c r="M48">
        <v>160</v>
      </c>
      <c r="N48">
        <f>(L48/M48)</f>
        <v>54.635416666666664</v>
      </c>
      <c r="O48">
        <f>(L49/M48)</f>
        <v>44.934895833333329</v>
      </c>
    </row>
    <row r="49" spans="1:15" x14ac:dyDescent="0.25">
      <c r="L49">
        <f>86275/12</f>
        <v>7189.583333333333</v>
      </c>
      <c r="N49">
        <v>2551.52</v>
      </c>
      <c r="O49">
        <v>3014.63</v>
      </c>
    </row>
    <row r="51" spans="1:15" x14ac:dyDescent="0.25">
      <c r="B51" s="1">
        <v>1600</v>
      </c>
      <c r="D51">
        <v>71424</v>
      </c>
    </row>
    <row r="52" spans="1:15" x14ac:dyDescent="0.25">
      <c r="B52">
        <v>2314</v>
      </c>
      <c r="C52" s="1">
        <f>SUM(B52:B58)</f>
        <v>4205</v>
      </c>
      <c r="D52">
        <f>(C52*66.34)</f>
        <v>278959.7</v>
      </c>
      <c r="E52">
        <f>SUM(D51:D52)</f>
        <v>350383.7</v>
      </c>
    </row>
    <row r="53" spans="1:15" x14ac:dyDescent="0.25">
      <c r="B53">
        <v>1941</v>
      </c>
      <c r="C53" s="85">
        <v>1600</v>
      </c>
    </row>
    <row r="54" spans="1:15" x14ac:dyDescent="0.25">
      <c r="A54" t="s">
        <v>228</v>
      </c>
      <c r="B54" s="1">
        <f>(B52-B51)</f>
        <v>714</v>
      </c>
    </row>
    <row r="55" spans="1:15" x14ac:dyDescent="0.25">
      <c r="A55" t="s">
        <v>3</v>
      </c>
      <c r="B55" s="1">
        <f>B53-C53</f>
        <v>341</v>
      </c>
      <c r="D55" t="s">
        <v>1268</v>
      </c>
      <c r="E55">
        <v>120000</v>
      </c>
      <c r="H55" t="s">
        <v>511</v>
      </c>
      <c r="I55">
        <v>6000</v>
      </c>
      <c r="J55">
        <f>SUM(I55:I71,I71)</f>
        <v>-170</v>
      </c>
    </row>
    <row r="56" spans="1:15" x14ac:dyDescent="0.25">
      <c r="A56" t="s">
        <v>1265</v>
      </c>
      <c r="B56">
        <v>-225</v>
      </c>
      <c r="D56" t="s">
        <v>1269</v>
      </c>
      <c r="E56">
        <v>150000</v>
      </c>
      <c r="H56" t="s">
        <v>510</v>
      </c>
      <c r="I56">
        <v>-1385</v>
      </c>
    </row>
    <row r="57" spans="1:15" x14ac:dyDescent="0.25">
      <c r="A57" t="s">
        <v>1266</v>
      </c>
      <c r="B57">
        <v>-30</v>
      </c>
      <c r="H57" s="49" t="s">
        <v>570</v>
      </c>
      <c r="I57" s="49">
        <v>-150</v>
      </c>
      <c r="J57" t="s">
        <v>564</v>
      </c>
    </row>
    <row r="58" spans="1:15" x14ac:dyDescent="0.25">
      <c r="A58" t="s">
        <v>1267</v>
      </c>
      <c r="B58">
        <v>-850</v>
      </c>
      <c r="E58">
        <f>SUM(E52-E55-E56)</f>
        <v>80383.700000000012</v>
      </c>
      <c r="F58">
        <f>(E58/66.34)</f>
        <v>1211.6927946940007</v>
      </c>
      <c r="H58" s="49" t="s">
        <v>565</v>
      </c>
      <c r="I58" s="49">
        <v>-100</v>
      </c>
      <c r="J58">
        <v>115816003</v>
      </c>
    </row>
    <row r="59" spans="1:15" x14ac:dyDescent="0.25">
      <c r="H59" s="50" t="s">
        <v>419</v>
      </c>
      <c r="I59" s="50">
        <v>-260</v>
      </c>
    </row>
    <row r="60" spans="1:15" x14ac:dyDescent="0.25">
      <c r="A60" t="s">
        <v>3</v>
      </c>
      <c r="C60">
        <v>1941</v>
      </c>
      <c r="H60" t="s">
        <v>707</v>
      </c>
      <c r="I60">
        <v>-314</v>
      </c>
    </row>
    <row r="61" spans="1:15" x14ac:dyDescent="0.25">
      <c r="C61">
        <v>-1600</v>
      </c>
      <c r="H61" t="s">
        <v>513</v>
      </c>
      <c r="I61">
        <v>-500</v>
      </c>
    </row>
    <row r="62" spans="1:15" x14ac:dyDescent="0.25">
      <c r="C62">
        <v>-225</v>
      </c>
      <c r="H62" t="s">
        <v>514</v>
      </c>
      <c r="I62">
        <v>0</v>
      </c>
    </row>
    <row r="63" spans="1:15" x14ac:dyDescent="0.25">
      <c r="C63">
        <v>-30</v>
      </c>
      <c r="H63" s="51" t="s">
        <v>8</v>
      </c>
      <c r="I63" s="51">
        <v>-121</v>
      </c>
    </row>
    <row r="64" spans="1:15" x14ac:dyDescent="0.25">
      <c r="B64" s="152"/>
      <c r="C64" s="152"/>
      <c r="H64" s="51" t="s">
        <v>6</v>
      </c>
      <c r="I64" s="51">
        <v>-35</v>
      </c>
    </row>
    <row r="65" spans="1:12" x14ac:dyDescent="0.25">
      <c r="B65" s="152"/>
      <c r="C65" s="152"/>
      <c r="H65" s="49" t="s">
        <v>571</v>
      </c>
      <c r="I65" s="49">
        <v>-60</v>
      </c>
    </row>
    <row r="66" spans="1:12" x14ac:dyDescent="0.25">
      <c r="B66" t="s">
        <v>228</v>
      </c>
      <c r="C66">
        <v>2400</v>
      </c>
      <c r="D66">
        <f>SUM(C66:C76)</f>
        <v>1370</v>
      </c>
      <c r="E66">
        <f>(64.44*D66)</f>
        <v>88282.8</v>
      </c>
      <c r="H66" t="s">
        <v>515</v>
      </c>
      <c r="I66">
        <v>-117</v>
      </c>
    </row>
    <row r="67" spans="1:12" x14ac:dyDescent="0.25">
      <c r="A67" s="183"/>
      <c r="B67" t="s">
        <v>3</v>
      </c>
      <c r="C67">
        <v>1300</v>
      </c>
      <c r="H67" s="50" t="s">
        <v>569</v>
      </c>
      <c r="I67" s="50">
        <v>-78</v>
      </c>
    </row>
    <row r="68" spans="1:12" x14ac:dyDescent="0.25">
      <c r="A68" s="184"/>
      <c r="B68" t="s">
        <v>1418</v>
      </c>
      <c r="C68">
        <v>-140</v>
      </c>
      <c r="H68" t="s">
        <v>566</v>
      </c>
      <c r="I68">
        <v>-50</v>
      </c>
      <c r="J68">
        <v>350</v>
      </c>
    </row>
    <row r="69" spans="1:12" x14ac:dyDescent="0.25">
      <c r="B69" t="s">
        <v>1415</v>
      </c>
      <c r="C69">
        <v>-50</v>
      </c>
      <c r="H69" t="s">
        <v>708</v>
      </c>
      <c r="I69">
        <v>-1000</v>
      </c>
    </row>
    <row r="70" spans="1:12" x14ac:dyDescent="0.25">
      <c r="B70" t="s">
        <v>1419</v>
      </c>
      <c r="C70">
        <v>-50</v>
      </c>
      <c r="H70" t="s">
        <v>222</v>
      </c>
      <c r="I70">
        <v>-1000</v>
      </c>
    </row>
    <row r="71" spans="1:12" x14ac:dyDescent="0.25">
      <c r="B71" t="s">
        <v>640</v>
      </c>
      <c r="C71">
        <v>-1640</v>
      </c>
      <c r="H71" t="s">
        <v>2</v>
      </c>
      <c r="I71">
        <v>-500</v>
      </c>
    </row>
    <row r="72" spans="1:12" x14ac:dyDescent="0.25">
      <c r="B72" t="s">
        <v>1420</v>
      </c>
      <c r="C72">
        <v>-150</v>
      </c>
    </row>
    <row r="73" spans="1:12" x14ac:dyDescent="0.25">
      <c r="B73" t="s">
        <v>1421</v>
      </c>
      <c r="C73">
        <v>-300</v>
      </c>
    </row>
    <row r="75" spans="1:12" x14ac:dyDescent="0.25">
      <c r="H75" s="1"/>
    </row>
    <row r="77" spans="1:12" x14ac:dyDescent="0.25">
      <c r="L77" s="13"/>
    </row>
    <row r="78" spans="1:12" x14ac:dyDescent="0.25">
      <c r="L78" s="13"/>
    </row>
    <row r="79" spans="1:12" x14ac:dyDescent="0.25">
      <c r="L79" s="13"/>
    </row>
    <row r="80" spans="1:12" x14ac:dyDescent="0.25">
      <c r="L80" s="13"/>
    </row>
    <row r="81" spans="12:12" x14ac:dyDescent="0.25">
      <c r="L81" s="13"/>
    </row>
    <row r="82" spans="12:12" x14ac:dyDescent="0.25">
      <c r="L82" s="13"/>
    </row>
    <row r="83" spans="12:12" x14ac:dyDescent="0.25">
      <c r="L83" s="13"/>
    </row>
    <row r="84" spans="12:12" x14ac:dyDescent="0.25">
      <c r="L84" s="13"/>
    </row>
    <row r="85" spans="12:12" x14ac:dyDescent="0.25">
      <c r="L85" s="13"/>
    </row>
    <row r="86" spans="12:12" x14ac:dyDescent="0.25">
      <c r="L86" s="13"/>
    </row>
    <row r="87" spans="12:12" x14ac:dyDescent="0.25">
      <c r="L87" s="13"/>
    </row>
    <row r="88" spans="12:12" x14ac:dyDescent="0.25">
      <c r="L88" s="13"/>
    </row>
    <row r="89" spans="12:12" x14ac:dyDescent="0.25">
      <c r="L89" s="13"/>
    </row>
    <row r="90" spans="12:12" x14ac:dyDescent="0.25">
      <c r="L90" s="13"/>
    </row>
    <row r="91" spans="12:12" x14ac:dyDescent="0.25">
      <c r="L91" s="13"/>
    </row>
    <row r="107" spans="9:9" x14ac:dyDescent="0.25">
      <c r="I107" s="1"/>
    </row>
    <row r="108" spans="9:9" x14ac:dyDescent="0.25">
      <c r="I108" s="1"/>
    </row>
    <row r="109" spans="9:9" x14ac:dyDescent="0.25">
      <c r="I109" s="1"/>
    </row>
    <row r="110" spans="9:9" x14ac:dyDescent="0.25">
      <c r="I110" s="1"/>
    </row>
    <row r="111" spans="9:9" x14ac:dyDescent="0.25">
      <c r="I111" s="1"/>
    </row>
    <row r="130" spans="2:12" x14ac:dyDescent="0.25">
      <c r="K130" s="55"/>
      <c r="L130" s="55"/>
    </row>
    <row r="131" spans="2:12" x14ac:dyDescent="0.25">
      <c r="K131" s="44"/>
      <c r="L131" s="46"/>
    </row>
    <row r="132" spans="2:12" x14ac:dyDescent="0.25">
      <c r="D132" t="s">
        <v>874</v>
      </c>
      <c r="F132" t="s">
        <v>875</v>
      </c>
    </row>
    <row r="133" spans="2:12" ht="18.75" x14ac:dyDescent="0.3">
      <c r="B133" s="5" t="s">
        <v>511</v>
      </c>
      <c r="C133" s="5"/>
      <c r="D133" s="142">
        <v>6800</v>
      </c>
      <c r="E133" s="5">
        <f>SUM(D133:D153)</f>
        <v>2863</v>
      </c>
      <c r="F133" s="142">
        <v>7000</v>
      </c>
      <c r="G133">
        <f>SUM(F133:F155)</f>
        <v>4052</v>
      </c>
    </row>
    <row r="134" spans="2:12" x14ac:dyDescent="0.25">
      <c r="B134" s="5" t="s">
        <v>510</v>
      </c>
      <c r="C134" s="5"/>
      <c r="D134" s="126">
        <v>-1400</v>
      </c>
      <c r="E134" s="5"/>
      <c r="F134" s="6">
        <v>-1650</v>
      </c>
    </row>
    <row r="135" spans="2:12" x14ac:dyDescent="0.25">
      <c r="B135" s="5" t="s">
        <v>953</v>
      </c>
      <c r="C135" s="5"/>
      <c r="D135" s="126">
        <v>-150</v>
      </c>
      <c r="E135" s="5"/>
      <c r="F135" s="6">
        <v>-180</v>
      </c>
    </row>
    <row r="136" spans="2:12" x14ac:dyDescent="0.25">
      <c r="B136" s="5" t="s">
        <v>952</v>
      </c>
      <c r="C136" s="5"/>
      <c r="D136" s="126">
        <v>-100</v>
      </c>
      <c r="E136" s="5"/>
      <c r="F136" s="6">
        <v>0</v>
      </c>
      <c r="J136" s="136" t="s">
        <v>957</v>
      </c>
      <c r="K136" s="136" t="s">
        <v>956</v>
      </c>
    </row>
    <row r="137" spans="2:12" x14ac:dyDescent="0.25">
      <c r="B137" s="5" t="s">
        <v>419</v>
      </c>
      <c r="C137" s="5"/>
      <c r="D137" s="126">
        <v>-260</v>
      </c>
      <c r="E137" s="5"/>
      <c r="F137" s="6">
        <v>0</v>
      </c>
      <c r="H137" s="126" t="s">
        <v>742</v>
      </c>
      <c r="I137" s="134">
        <v>-7400</v>
      </c>
      <c r="J137" s="5"/>
      <c r="K137" s="139">
        <v>-59674</v>
      </c>
    </row>
    <row r="138" spans="2:12" x14ac:dyDescent="0.25">
      <c r="B138" s="5" t="s">
        <v>707</v>
      </c>
      <c r="C138" s="5"/>
      <c r="D138" s="5">
        <v>-314</v>
      </c>
      <c r="E138" s="5"/>
      <c r="F138" s="5">
        <v>-314</v>
      </c>
      <c r="H138" s="132" t="s">
        <v>743</v>
      </c>
      <c r="I138" s="134">
        <v>-12988</v>
      </c>
      <c r="J138" s="137"/>
      <c r="K138" s="140">
        <v>-44263</v>
      </c>
    </row>
    <row r="139" spans="2:12" x14ac:dyDescent="0.25">
      <c r="B139" s="5" t="s">
        <v>513</v>
      </c>
      <c r="C139" s="5"/>
      <c r="D139" s="6">
        <v>-500</v>
      </c>
      <c r="E139" s="5"/>
      <c r="F139" s="126">
        <v>-800</v>
      </c>
      <c r="H139" s="133" t="s">
        <v>744</v>
      </c>
      <c r="I139" s="134">
        <v>-8597</v>
      </c>
      <c r="J139" s="5"/>
      <c r="K139" s="141">
        <v>-44805</v>
      </c>
    </row>
    <row r="140" spans="2:12" x14ac:dyDescent="0.25">
      <c r="B140" s="5" t="s">
        <v>514</v>
      </c>
      <c r="C140" s="5"/>
      <c r="D140" s="5">
        <v>-300</v>
      </c>
      <c r="E140" s="5"/>
      <c r="F140" s="5">
        <v>-300</v>
      </c>
      <c r="H140" s="5" t="s">
        <v>711</v>
      </c>
      <c r="I140" s="134">
        <v>-200</v>
      </c>
      <c r="J140" s="138">
        <v>42562</v>
      </c>
      <c r="K140" s="139">
        <v>-50765</v>
      </c>
    </row>
    <row r="141" spans="2:12" x14ac:dyDescent="0.25">
      <c r="B141" s="5" t="s">
        <v>8</v>
      </c>
      <c r="C141" s="5"/>
      <c r="D141" s="5">
        <v>-124</v>
      </c>
      <c r="E141" s="5"/>
      <c r="F141" s="5">
        <v>-140</v>
      </c>
      <c r="H141" s="5" t="s">
        <v>712</v>
      </c>
      <c r="I141" s="134">
        <v>0</v>
      </c>
      <c r="J141" s="138">
        <v>42566</v>
      </c>
      <c r="K141" s="140">
        <f>SUM(I137:I152)</f>
        <v>-48470</v>
      </c>
    </row>
    <row r="142" spans="2:12" x14ac:dyDescent="0.25">
      <c r="B142" s="5" t="s">
        <v>6</v>
      </c>
      <c r="C142" s="5"/>
      <c r="D142" s="6">
        <v>-35</v>
      </c>
      <c r="E142" s="5"/>
      <c r="F142" s="126">
        <v>-60</v>
      </c>
      <c r="H142" s="5" t="s">
        <v>713</v>
      </c>
      <c r="I142" s="134">
        <v>-12832</v>
      </c>
      <c r="J142" s="5"/>
      <c r="K142" s="114"/>
    </row>
    <row r="143" spans="2:12" x14ac:dyDescent="0.25">
      <c r="B143" s="5" t="s">
        <v>571</v>
      </c>
      <c r="C143" s="5"/>
      <c r="D143" s="126">
        <v>-60</v>
      </c>
      <c r="E143" s="5"/>
      <c r="F143" s="23">
        <v>-100</v>
      </c>
      <c r="H143" s="5" t="s">
        <v>977</v>
      </c>
      <c r="I143" s="134">
        <v>-6453</v>
      </c>
      <c r="J143" s="5"/>
      <c r="K143" s="114"/>
    </row>
    <row r="144" spans="2:12" x14ac:dyDescent="0.25">
      <c r="B144" s="5" t="s">
        <v>975</v>
      </c>
      <c r="C144" s="5"/>
      <c r="D144" s="6">
        <v>-68</v>
      </c>
      <c r="E144" s="5"/>
      <c r="F144" s="126">
        <v>-110</v>
      </c>
      <c r="H144" s="5" t="s">
        <v>705</v>
      </c>
      <c r="I144" s="134">
        <v>0</v>
      </c>
      <c r="J144" s="5"/>
      <c r="K144" s="114"/>
    </row>
    <row r="145" spans="2:11" x14ac:dyDescent="0.25">
      <c r="B145" s="5" t="s">
        <v>569</v>
      </c>
      <c r="C145" s="5"/>
      <c r="D145" s="6">
        <v>-82</v>
      </c>
      <c r="E145" s="5"/>
      <c r="F145" s="126">
        <v>0</v>
      </c>
      <c r="H145" s="22" t="s">
        <v>521</v>
      </c>
      <c r="I145" s="135"/>
      <c r="J145" s="4"/>
      <c r="K145" s="114"/>
    </row>
    <row r="146" spans="2:11" x14ac:dyDescent="0.25">
      <c r="B146" s="5" t="s">
        <v>951</v>
      </c>
      <c r="C146" s="5"/>
      <c r="D146" s="6">
        <v>-50</v>
      </c>
      <c r="E146" s="5"/>
      <c r="F146" s="126">
        <v>-100</v>
      </c>
      <c r="H146" s="22" t="s">
        <v>4</v>
      </c>
      <c r="I146" s="135"/>
      <c r="J146" s="5"/>
      <c r="K146" s="114"/>
    </row>
    <row r="147" spans="2:11" x14ac:dyDescent="0.25">
      <c r="B147" s="5" t="s">
        <v>708</v>
      </c>
      <c r="C147" s="5"/>
      <c r="D147" s="5">
        <v>-494</v>
      </c>
      <c r="E147" s="5"/>
      <c r="F147" s="5">
        <v>-494</v>
      </c>
      <c r="H147" s="22" t="s">
        <v>958</v>
      </c>
      <c r="I147" s="135"/>
      <c r="J147" s="5"/>
      <c r="K147" s="114"/>
    </row>
    <row r="148" spans="2:11" x14ac:dyDescent="0.25">
      <c r="B148" s="5" t="s">
        <v>742</v>
      </c>
      <c r="C148" s="5"/>
      <c r="D148" s="5"/>
      <c r="E148" s="5"/>
      <c r="F148" s="5"/>
      <c r="H148" s="22" t="s">
        <v>676</v>
      </c>
      <c r="I148" s="135"/>
      <c r="J148" s="5"/>
      <c r="K148" s="114"/>
    </row>
    <row r="149" spans="2:11" x14ac:dyDescent="0.25">
      <c r="B149" s="5" t="s">
        <v>2</v>
      </c>
      <c r="C149" s="5"/>
      <c r="D149" s="5"/>
      <c r="E149" s="5"/>
      <c r="F149" s="5"/>
      <c r="H149" s="22"/>
      <c r="I149" s="135"/>
      <c r="J149" s="5"/>
      <c r="K149" s="114"/>
    </row>
    <row r="150" spans="2:11" x14ac:dyDescent="0.25">
      <c r="B150" s="5" t="s">
        <v>709</v>
      </c>
      <c r="C150" s="5"/>
      <c r="D150" s="5"/>
      <c r="E150" s="5"/>
      <c r="F150" s="5"/>
      <c r="H150" s="22"/>
      <c r="I150" s="135"/>
      <c r="J150" s="5"/>
      <c r="K150" s="114"/>
    </row>
    <row r="151" spans="2:11" x14ac:dyDescent="0.25">
      <c r="B151" s="5" t="s">
        <v>1435</v>
      </c>
      <c r="C151" s="5"/>
      <c r="D151" s="5"/>
      <c r="E151" s="5"/>
      <c r="F151" s="5">
        <v>1300</v>
      </c>
      <c r="H151" s="22"/>
      <c r="I151" s="135"/>
      <c r="J151" s="5"/>
      <c r="K151" s="114"/>
    </row>
    <row r="152" spans="2:11" x14ac:dyDescent="0.25">
      <c r="B152" s="131" t="s">
        <v>745</v>
      </c>
      <c r="C152" s="5"/>
      <c r="D152" s="131"/>
      <c r="E152" s="5"/>
      <c r="F152" s="131"/>
      <c r="H152" s="22"/>
      <c r="I152" s="135"/>
      <c r="J152" s="5"/>
      <c r="K152" s="114"/>
    </row>
    <row r="153" spans="2:11" x14ac:dyDescent="0.25">
      <c r="B153" s="131" t="s">
        <v>743</v>
      </c>
      <c r="C153" s="5"/>
      <c r="D153" s="5"/>
      <c r="E153" s="5"/>
      <c r="F153" s="131"/>
      <c r="H153" s="22"/>
      <c r="I153" s="135"/>
      <c r="J153" s="5"/>
      <c r="K153" s="114"/>
    </row>
    <row r="154" spans="2:11" x14ac:dyDescent="0.25">
      <c r="B154" s="131" t="s">
        <v>744</v>
      </c>
      <c r="C154" s="5"/>
      <c r="D154" s="5"/>
      <c r="E154" s="5"/>
      <c r="F154" s="131"/>
      <c r="H154" s="22"/>
      <c r="I154" s="135"/>
      <c r="J154" s="5"/>
      <c r="K154" s="5"/>
    </row>
    <row r="155" spans="2:11" x14ac:dyDescent="0.25">
      <c r="B155" s="131" t="s">
        <v>521</v>
      </c>
      <c r="C155" s="5"/>
      <c r="D155" s="5"/>
      <c r="E155" s="5"/>
      <c r="F155" s="131"/>
    </row>
    <row r="159" spans="2:11" x14ac:dyDescent="0.25">
      <c r="H159" s="120" t="s">
        <v>876</v>
      </c>
      <c r="I159" s="120" t="s">
        <v>877</v>
      </c>
      <c r="J159" s="120" t="s">
        <v>878</v>
      </c>
    </row>
    <row r="160" spans="2:11" x14ac:dyDescent="0.25">
      <c r="H160" s="121">
        <v>480.84</v>
      </c>
      <c r="I160" s="121">
        <v>536.6</v>
      </c>
      <c r="J160" s="121">
        <v>55.760000000000048</v>
      </c>
    </row>
    <row r="161" spans="2:10" x14ac:dyDescent="0.25">
      <c r="B161" s="62"/>
      <c r="C161" s="81"/>
      <c r="D161" s="62"/>
      <c r="E161" s="82"/>
      <c r="H161" s="121">
        <v>270.57</v>
      </c>
      <c r="I161" s="121">
        <v>284.41000000000003</v>
      </c>
      <c r="J161" s="121">
        <v>13.840000000000032</v>
      </c>
    </row>
    <row r="162" spans="2:10" x14ac:dyDescent="0.25">
      <c r="B162" s="62" t="s">
        <v>706</v>
      </c>
      <c r="C162" s="62" t="s">
        <v>748</v>
      </c>
      <c r="D162" s="62">
        <v>62.62</v>
      </c>
      <c r="E162" s="62" t="s">
        <v>749</v>
      </c>
      <c r="F162" s="62" t="s">
        <v>753</v>
      </c>
      <c r="H162" s="121">
        <v>63.27</v>
      </c>
      <c r="I162" s="121">
        <v>66.52</v>
      </c>
      <c r="J162" s="121">
        <v>3.2499999999999929</v>
      </c>
    </row>
    <row r="163" spans="2:10" x14ac:dyDescent="0.25">
      <c r="B163" s="62" t="s">
        <v>750</v>
      </c>
      <c r="C163" s="62"/>
      <c r="D163" s="62">
        <v>88.75</v>
      </c>
      <c r="E163" s="62"/>
      <c r="H163" s="121">
        <v>117.83</v>
      </c>
      <c r="I163" s="121">
        <v>224.44</v>
      </c>
      <c r="J163" s="121">
        <v>106.61</v>
      </c>
    </row>
    <row r="164" spans="2:10" x14ac:dyDescent="0.25">
      <c r="B164" s="62" t="s">
        <v>751</v>
      </c>
      <c r="D164" s="62">
        <v>40</v>
      </c>
      <c r="E164" t="s">
        <v>752</v>
      </c>
      <c r="H164" s="121"/>
      <c r="I164" s="121"/>
      <c r="J164" s="121">
        <v>0</v>
      </c>
    </row>
    <row r="165" spans="2:10" x14ac:dyDescent="0.25">
      <c r="H165" s="121">
        <v>22</v>
      </c>
      <c r="I165" s="121">
        <v>35</v>
      </c>
      <c r="J165" s="121">
        <v>13</v>
      </c>
    </row>
    <row r="166" spans="2:10" x14ac:dyDescent="0.25">
      <c r="H166" s="121">
        <v>112.5</v>
      </c>
      <c r="I166" s="121">
        <v>200</v>
      </c>
      <c r="J166" s="121">
        <v>87.5</v>
      </c>
    </row>
    <row r="167" spans="2:10" x14ac:dyDescent="0.25">
      <c r="E167" s="13">
        <v>42644</v>
      </c>
      <c r="H167" s="121">
        <v>5.25</v>
      </c>
      <c r="I167" s="121">
        <v>10</v>
      </c>
      <c r="J167" s="121">
        <v>4.75</v>
      </c>
    </row>
    <row r="168" spans="2:10" x14ac:dyDescent="0.25">
      <c r="B168" s="5"/>
      <c r="C168" s="5"/>
      <c r="D168" s="5">
        <f>(D169*66.48)</f>
        <v>580702.80000000005</v>
      </c>
      <c r="E168">
        <f>(D168-300000)</f>
        <v>280702.80000000005</v>
      </c>
      <c r="H168" s="114">
        <v>1072.26</v>
      </c>
      <c r="I168" s="114">
        <v>1356.97</v>
      </c>
      <c r="J168" s="114">
        <v>284.71000000000009</v>
      </c>
    </row>
    <row r="169" spans="2:10" x14ac:dyDescent="0.25">
      <c r="B169" s="5" t="s">
        <v>1258</v>
      </c>
      <c r="C169" s="5">
        <v>641</v>
      </c>
      <c r="D169" s="22">
        <f>SUM(C169:C187)</f>
        <v>8735</v>
      </c>
    </row>
    <row r="170" spans="2:10" x14ac:dyDescent="0.25">
      <c r="B170" s="5" t="s">
        <v>11</v>
      </c>
      <c r="C170" s="5">
        <v>2000</v>
      </c>
      <c r="D170" s="5"/>
    </row>
    <row r="171" spans="2:10" x14ac:dyDescent="0.25">
      <c r="B171" s="5" t="s">
        <v>1257</v>
      </c>
      <c r="C171" s="5">
        <v>3183</v>
      </c>
      <c r="D171" s="5"/>
    </row>
    <row r="172" spans="2:10" x14ac:dyDescent="0.25">
      <c r="B172" s="5" t="s">
        <v>1259</v>
      </c>
      <c r="C172" s="5">
        <v>0</v>
      </c>
      <c r="D172" s="5"/>
    </row>
    <row r="173" spans="2:10" x14ac:dyDescent="0.25">
      <c r="B173" s="5" t="s">
        <v>1071</v>
      </c>
      <c r="C173" s="5">
        <v>1886</v>
      </c>
      <c r="D173" s="5"/>
    </row>
    <row r="174" spans="2:10" x14ac:dyDescent="0.25">
      <c r="B174" s="5" t="s">
        <v>1114</v>
      </c>
      <c r="C174" s="5"/>
      <c r="D174" s="5"/>
    </row>
    <row r="175" spans="2:10" x14ac:dyDescent="0.25">
      <c r="B175" s="5" t="s">
        <v>640</v>
      </c>
      <c r="C175" s="5">
        <v>-1500</v>
      </c>
      <c r="D175" s="5"/>
    </row>
    <row r="176" spans="2:10" x14ac:dyDescent="0.25">
      <c r="B176" s="5" t="s">
        <v>1120</v>
      </c>
      <c r="C176" s="5">
        <v>-500</v>
      </c>
      <c r="D176" s="5"/>
    </row>
    <row r="177" spans="2:4" x14ac:dyDescent="0.25">
      <c r="B177" s="5" t="s">
        <v>1024</v>
      </c>
      <c r="C177" s="5">
        <v>-225</v>
      </c>
      <c r="D177" s="5"/>
    </row>
    <row r="178" spans="2:4" x14ac:dyDescent="0.25">
      <c r="B178" s="5" t="s">
        <v>511</v>
      </c>
      <c r="C178" s="5">
        <v>3450</v>
      </c>
      <c r="D178" s="5"/>
    </row>
    <row r="179" spans="2:4" x14ac:dyDescent="0.25">
      <c r="B179" s="5" t="s">
        <v>707</v>
      </c>
      <c r="C179" s="5"/>
      <c r="D179" s="5"/>
    </row>
    <row r="180" spans="2:4" x14ac:dyDescent="0.25">
      <c r="B180" s="5" t="s">
        <v>1144</v>
      </c>
      <c r="C180" s="5">
        <v>-100</v>
      </c>
      <c r="D180" s="5"/>
    </row>
    <row r="181" spans="2:4" x14ac:dyDescent="0.25">
      <c r="B181" s="5" t="s">
        <v>1121</v>
      </c>
      <c r="C181" s="5"/>
      <c r="D181" s="5"/>
    </row>
    <row r="182" spans="2:4" x14ac:dyDescent="0.25">
      <c r="B182" s="5" t="s">
        <v>1122</v>
      </c>
      <c r="C182" s="5">
        <v>-100</v>
      </c>
      <c r="D182" s="5"/>
    </row>
    <row r="183" spans="2:4" x14ac:dyDescent="0.25">
      <c r="B183" s="131" t="s">
        <v>763</v>
      </c>
      <c r="C183" s="5"/>
      <c r="D183" s="5"/>
    </row>
    <row r="191" spans="2:4" x14ac:dyDescent="0.25">
      <c r="C191" s="16"/>
    </row>
    <row r="197" spans="2:9" x14ac:dyDescent="0.25">
      <c r="H197" t="s">
        <v>1588</v>
      </c>
      <c r="I197">
        <v>115000</v>
      </c>
    </row>
    <row r="198" spans="2:9" x14ac:dyDescent="0.25">
      <c r="B198" s="121" t="s">
        <v>991</v>
      </c>
      <c r="C198" s="121" t="s">
        <v>978</v>
      </c>
      <c r="D198" s="5"/>
      <c r="H198" t="s">
        <v>1589</v>
      </c>
      <c r="I198">
        <f>(I197/12)</f>
        <v>9583.3333333333339</v>
      </c>
    </row>
    <row r="199" spans="2:9" x14ac:dyDescent="0.25">
      <c r="B199" s="121" t="s">
        <v>979</v>
      </c>
      <c r="C199" s="121" t="s">
        <v>980</v>
      </c>
      <c r="D199" s="5"/>
      <c r="H199" t="s">
        <v>1590</v>
      </c>
      <c r="I199">
        <f>(I197/24)</f>
        <v>4791.666666666667</v>
      </c>
    </row>
    <row r="200" spans="2:9" x14ac:dyDescent="0.25">
      <c r="B200" s="121" t="s">
        <v>993</v>
      </c>
      <c r="C200" s="121" t="s">
        <v>981</v>
      </c>
      <c r="D200" s="5"/>
      <c r="H200" t="s">
        <v>1591</v>
      </c>
      <c r="I200">
        <f>(I197/26)</f>
        <v>4423.0769230769229</v>
      </c>
    </row>
    <row r="201" spans="2:9" x14ac:dyDescent="0.25">
      <c r="B201" s="121" t="s">
        <v>982</v>
      </c>
      <c r="C201" s="121" t="s">
        <v>992</v>
      </c>
      <c r="D201" s="5">
        <f>(1500+750)</f>
        <v>2250</v>
      </c>
      <c r="H201" t="s">
        <v>1592</v>
      </c>
      <c r="I201">
        <f>(I197/52)</f>
        <v>2211.5384615384614</v>
      </c>
    </row>
    <row r="202" spans="2:9" x14ac:dyDescent="0.25">
      <c r="B202" s="121" t="s">
        <v>994</v>
      </c>
      <c r="C202" s="121" t="s">
        <v>1021</v>
      </c>
      <c r="D202" s="5">
        <f>-(4*150)</f>
        <v>-600</v>
      </c>
      <c r="H202" t="s">
        <v>1593</v>
      </c>
      <c r="I202">
        <f>(I197/2000)*8</f>
        <v>460</v>
      </c>
    </row>
    <row r="203" spans="2:9" x14ac:dyDescent="0.25">
      <c r="B203" s="121" t="s">
        <v>983</v>
      </c>
      <c r="C203" s="147">
        <v>42597</v>
      </c>
      <c r="D203" s="5"/>
      <c r="H203" t="s">
        <v>1594</v>
      </c>
      <c r="I203">
        <f>(I197/2000)</f>
        <v>57.5</v>
      </c>
    </row>
    <row r="204" spans="2:9" x14ac:dyDescent="0.25">
      <c r="B204" s="121" t="s">
        <v>984</v>
      </c>
      <c r="C204" s="121">
        <f>1350/2</f>
        <v>675</v>
      </c>
      <c r="D204" s="5">
        <v>675</v>
      </c>
    </row>
    <row r="205" spans="2:9" x14ac:dyDescent="0.25">
      <c r="B205" s="121" t="s">
        <v>1004</v>
      </c>
      <c r="C205" s="121"/>
      <c r="D205" s="5">
        <v>30</v>
      </c>
    </row>
    <row r="206" spans="2:9" x14ac:dyDescent="0.25">
      <c r="B206" s="121" t="s">
        <v>996</v>
      </c>
      <c r="C206" s="5" t="s">
        <v>995</v>
      </c>
      <c r="D206" s="5">
        <v>-157</v>
      </c>
    </row>
    <row r="207" spans="2:9" x14ac:dyDescent="0.25">
      <c r="B207" s="121" t="s">
        <v>1006</v>
      </c>
      <c r="C207" s="5"/>
      <c r="D207" s="5">
        <v>30</v>
      </c>
    </row>
    <row r="208" spans="2:9" x14ac:dyDescent="0.25">
      <c r="B208" s="121" t="s">
        <v>1007</v>
      </c>
      <c r="C208" s="5"/>
      <c r="D208" s="5">
        <v>-1000</v>
      </c>
    </row>
    <row r="209" spans="2:4" ht="28.5" x14ac:dyDescent="0.45">
      <c r="B209" s="150" t="s">
        <v>985</v>
      </c>
      <c r="C209" s="150"/>
      <c r="D209" s="151">
        <f>SUM(D197:D208)</f>
        <v>1228</v>
      </c>
    </row>
    <row r="211" spans="2:4" x14ac:dyDescent="0.25">
      <c r="B211" s="149" t="s">
        <v>986</v>
      </c>
      <c r="C211" s="5"/>
    </row>
    <row r="212" spans="2:4" x14ac:dyDescent="0.25">
      <c r="B212" s="148" t="s">
        <v>987</v>
      </c>
      <c r="C212" s="5">
        <f>1350/2</f>
        <v>675</v>
      </c>
    </row>
    <row r="213" spans="2:4" x14ac:dyDescent="0.25">
      <c r="B213" s="148" t="s">
        <v>988</v>
      </c>
      <c r="C213" s="5">
        <f>C212/30</f>
        <v>22.5</v>
      </c>
    </row>
    <row r="214" spans="2:4" x14ac:dyDescent="0.25">
      <c r="B214" s="148" t="s">
        <v>989</v>
      </c>
      <c r="C214" s="5" t="s">
        <v>995</v>
      </c>
    </row>
    <row r="215" spans="2:4" x14ac:dyDescent="0.25">
      <c r="B215" s="148" t="s">
        <v>990</v>
      </c>
      <c r="C215" s="5">
        <f>(C213*7)</f>
        <v>157.5</v>
      </c>
    </row>
    <row r="221" spans="2:4" x14ac:dyDescent="0.25">
      <c r="B221" s="1"/>
    </row>
    <row r="267" spans="3:3" x14ac:dyDescent="0.25">
      <c r="C267" s="1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zoomScale="55" zoomScaleNormal="55" workbookViewId="0">
      <selection activeCell="G10" sqref="G10"/>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18</vt:i4>
      </vt:variant>
    </vt:vector>
  </HeadingPairs>
  <TitlesOfParts>
    <vt:vector size="73" baseType="lpstr">
      <vt:lpstr>Financial Advice</vt:lpstr>
      <vt:lpstr>Financial Advice -Bkp</vt:lpstr>
      <vt:lpstr>Angular</vt:lpstr>
      <vt:lpstr>My List</vt:lpstr>
      <vt:lpstr>Randstad Qs</vt:lpstr>
      <vt:lpstr>Apply History</vt:lpstr>
      <vt:lpstr>Credit Details</vt:lpstr>
      <vt:lpstr>Sheet4</vt:lpstr>
      <vt:lpstr>Sheet6</vt:lpstr>
      <vt:lpstr>Common Qs</vt:lpstr>
      <vt:lpstr>TODO</vt:lpstr>
      <vt:lpstr>Salary By State</vt:lpstr>
      <vt:lpstr>Jyothi</vt:lpstr>
      <vt:lpstr>Top Paying Firms</vt:lpstr>
      <vt:lpstr>Qs</vt:lpstr>
      <vt:lpstr>Job Search</vt:lpstr>
      <vt:lpstr>Booz Allen Hamilton</vt:lpstr>
      <vt:lpstr>Technologies</vt:lpstr>
      <vt:lpstr>FAQ</vt:lpstr>
      <vt:lpstr>Negotiation</vt:lpstr>
      <vt:lpstr>Statewise Avg. Salary</vt:lpstr>
      <vt:lpstr>Earnings</vt:lpstr>
      <vt:lpstr>Apartment Search</vt:lpstr>
      <vt:lpstr>TriZetto</vt:lpstr>
      <vt:lpstr>Basic Qs</vt:lpstr>
      <vt:lpstr>PLAN</vt:lpstr>
      <vt:lpstr>Sheet1</vt:lpstr>
      <vt:lpstr>Cost of Living</vt:lpstr>
      <vt:lpstr>Tax Calculator</vt:lpstr>
      <vt:lpstr>Salary Compare</vt:lpstr>
      <vt:lpstr>CTS details</vt:lpstr>
      <vt:lpstr>Amma VISA</vt:lpstr>
      <vt:lpstr>P.Loan Closure</vt:lpstr>
      <vt:lpstr>DCU P.Loan</vt:lpstr>
      <vt:lpstr>4715 TMS - Product Development</vt:lpstr>
      <vt:lpstr>Relocation</vt:lpstr>
      <vt:lpstr>TMS Initial Days</vt:lpstr>
      <vt:lpstr>Test Cases</vt:lpstr>
      <vt:lpstr>CommVault</vt:lpstr>
      <vt:lpstr>DS and Alg</vt:lpstr>
      <vt:lpstr>Sheet2</vt:lpstr>
      <vt:lpstr>Raja Bro.</vt:lpstr>
      <vt:lpstr>Health Insurance</vt:lpstr>
      <vt:lpstr>References</vt:lpstr>
      <vt:lpstr>CAREER GOAL</vt:lpstr>
      <vt:lpstr>Global Logic</vt:lpstr>
      <vt:lpstr>Sheet3</vt:lpstr>
      <vt:lpstr>P&amp;M</vt:lpstr>
      <vt:lpstr>Task ToDo</vt:lpstr>
      <vt:lpstr>CR</vt:lpstr>
      <vt:lpstr>Goat Business - Contacts</vt:lpstr>
      <vt:lpstr>Sheet10</vt:lpstr>
      <vt:lpstr>My Solution - Visa Transfer</vt:lpstr>
      <vt:lpstr>My Solution- Maligai Kadai</vt:lpstr>
      <vt:lpstr>Sheet5</vt:lpstr>
      <vt:lpstr>'Financial Advice'!Alerts_Tile</vt:lpstr>
      <vt:lpstr>'Financial Advice -Bkp'!Alerts_Tile</vt:lpstr>
      <vt:lpstr>'Financial Advice'!alertsW_deleteAlert</vt:lpstr>
      <vt:lpstr>'Financial Advice -Bkp'!alertsW_deleteAlert</vt:lpstr>
      <vt:lpstr>'Financial Advice'!alertsW_viewAlert</vt:lpstr>
      <vt:lpstr>'Financial Advice -Bkp'!alertsW_viewAlert</vt:lpstr>
      <vt:lpstr>'Financial Advice'!Bill_Pay_tile</vt:lpstr>
      <vt:lpstr>'Financial Advice -Bkp'!Bill_Pay_tile</vt:lpstr>
      <vt:lpstr>'Amma VISA'!expand_transaction_from_arrow_26</vt:lpstr>
      <vt:lpstr>'Amma VISA'!expand_transaction_from_description_26</vt:lpstr>
      <vt:lpstr>'Financial Advice'!Messages_tile</vt:lpstr>
      <vt:lpstr>'Financial Advice -Bkp'!Messages_tile</vt:lpstr>
      <vt:lpstr>'Financial Advice'!Open_Account_Tile</vt:lpstr>
      <vt:lpstr>'Financial Advice -Bkp'!Open_Account_Tile</vt:lpstr>
      <vt:lpstr>'Financial Advice'!Special_Offers_and_Deals_tile</vt:lpstr>
      <vt:lpstr>'Financial Advice -Bkp'!Special_Offers_and_Deals_tile</vt:lpstr>
      <vt:lpstr>'Financial Advice'!Transfer_Tile</vt:lpstr>
      <vt:lpstr>'Financial Advice -Bkp'!Transfer_Tile</vt:lpstr>
    </vt:vector>
  </TitlesOfParts>
  <Company>Early Warning Services,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subramaj</dc:creator>
  <cp:lastModifiedBy>Subramanian, Jawahar</cp:lastModifiedBy>
  <cp:lastPrinted>2016-07-06T04:19:28Z</cp:lastPrinted>
  <dcterms:created xsi:type="dcterms:W3CDTF">2015-01-06T18:01:39Z</dcterms:created>
  <dcterms:modified xsi:type="dcterms:W3CDTF">2018-07-13T17:18:24Z</dcterms:modified>
</cp:coreProperties>
</file>