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D:\work\AdvansysRevit\"/>
    </mc:Choice>
  </mc:AlternateContent>
  <xr:revisionPtr revIDLastSave="0" documentId="13_ncr:1_{74549FA8-2493-44E6-8520-DCBF45CF5C6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V-Belt" sheetId="17" r:id="rId1"/>
    <sheet name="Live Roller" sheetId="29" r:id="rId2"/>
    <sheet name="Belt" sheetId="31" r:id="rId3"/>
    <sheet name="AS30" sheetId="33" r:id="rId4"/>
  </sheets>
  <definedNames>
    <definedName name="LrCfRf" localSheetId="1">'Live Roller'!$V$11:$Z$16</definedName>
    <definedName name="LrCfRf_Header" localSheetId="1">'Live Roller'!$V$11:$V$16</definedName>
    <definedName name="LrCfRf_Speed" localSheetId="1">'Live Roller'!$V$11:$Z$11</definedName>
    <definedName name="LrDirectDriveDodge_Cd" localSheetId="1">'Live Roller'!$W$42:$W$80</definedName>
    <definedName name="LrDirectDriveDodge_CdHp" localSheetId="1">'Live Roller'!$V$42:$V$80</definedName>
    <definedName name="LrDirectDriveDodge_Ebp" localSheetId="1">'Live Roller'!$Z$42:$Z$80</definedName>
    <definedName name="LrDirectDriveDodge_Hp" localSheetId="1">'Live Roller'!$X$42:$X$80</definedName>
    <definedName name="LrDirectDriveDodge_MaxT" localSheetId="1">'Live Roller'!$AA$42:$AA$80</definedName>
    <definedName name="LrDirectDriveDodge_Speed" localSheetId="1">'Live Roller'!$Y$42:$Y$80</definedName>
    <definedName name="LrDirectDriveMotovario_Cd" localSheetId="1">'Live Roller'!$W$87:$W$140</definedName>
    <definedName name="LrDirectDriveMotovario_Ebp" localSheetId="1">'Live Roller'!$Z$87:$Z$140</definedName>
    <definedName name="LrDirectDriveMotovario_Hp" localSheetId="1">'Live Roller'!$X$87:$X$140</definedName>
    <definedName name="LrDirectDriveMotovario_MaxT" localSheetId="1">'Live Roller'!$AA$87:$AA$140</definedName>
    <definedName name="LrDirectDriveMotovario_Speed" localSheetId="1">'Live Roller'!$Y$87:$Y$140</definedName>
    <definedName name="LrDriveCap_Cd" localSheetId="1">'Live Roller'!$V$21:$V$36</definedName>
    <definedName name="LrDriveCap_Ebp" localSheetId="1">'Live Roller'!$W$21:$W$36</definedName>
    <definedName name="LrDriveCap_Hp" localSheetId="1">'Live Roller'!$X$21:$X$36</definedName>
    <definedName name="LrDriveCap_Length" localSheetId="1">'Live Roller'!$Z$21:$Z$36</definedName>
    <definedName name="LrDriveCap_Slave" localSheetId="1">'Live Roller'!$Y$21:$Y$36</definedName>
    <definedName name="_xlnm.Print_Area" localSheetId="1">'Live Roller'!$A$1:$U$329</definedName>
    <definedName name="_xlnm.Print_Area" localSheetId="0">'V-Belt'!$A$1:$V$389</definedName>
    <definedName name="VbDriveAb_Ebp" localSheetId="0">'V-Belt'!$Y$73:$Y$104</definedName>
    <definedName name="VbDriveAb_Hp" localSheetId="0">'V-Belt'!$X$73:$X$104</definedName>
    <definedName name="VbDriveAb_Speed" localSheetId="0">'V-Belt'!$W$73:$W$104</definedName>
    <definedName name="VbDriveC_Ebp" localSheetId="0">'V-Belt'!$Y$109:$Y$136</definedName>
    <definedName name="VbDriveC_Hp" localSheetId="0">'V-Belt'!$X$109:$X$136</definedName>
    <definedName name="VbDriveC_Speed" localSheetId="0">'V-Belt'!$W$109:$W$136</definedName>
    <definedName name="VbFigureConst_Const" localSheetId="0">'V-Belt'!$X$62:$X$68</definedName>
    <definedName name="VbFigureConst_Figure" localSheetId="0">'V-Belt'!$W$62:$W$68</definedName>
    <definedName name="VbModuleLength_Length" localSheetId="0">'V-Belt'!$X$13:$X$29</definedName>
    <definedName name="VbModuleLength_Module" localSheetId="0">'V-Belt'!$W$13:$W$29</definedName>
    <definedName name="VbSpeedConstA_Int" localSheetId="0">'V-Belt'!$Y$34:$Y$39</definedName>
    <definedName name="VbSpeedConstA_Rc" localSheetId="0">'V-Belt'!$X$34:$X$39</definedName>
    <definedName name="VbSpeedConstA_Slope" localSheetId="0">'V-Belt'!$Z$34:$Z$39</definedName>
    <definedName name="VbSpeedConstA_Type" localSheetId="0">'V-Belt'!$W$34:$W$39</definedName>
    <definedName name="VbSpeedConstB_Figure" localSheetId="0">'V-Belt'!$W$42:$W$50</definedName>
    <definedName name="VbSpeedConstB_Type" localSheetId="0">'V-Belt'!$X$42:$X$50</definedName>
    <definedName name="VbWidthFactor_Constant" localSheetId="0">'V-Belt'!$X$54:$X$58</definedName>
    <definedName name="VbWidthFactor_NW" localSheetId="0">'V-Belt'!$W$54:$W$58</definedName>
  </definedNames>
  <calcPr calcId="191028"/>
  <customWorkbookViews>
    <customWorkbookView name="Preferred Customer - Personal View" guid="{0B041810-553A-11D1-B2D8-006097C51D8B}" mergeInterval="0" personalView="1" maximized="1" windowWidth="1020" windowHeight="606" activeSheetId="1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3" l="1"/>
  <c r="B3" i="33"/>
  <c r="B5" i="33" s="1"/>
  <c r="C5" i="33" s="1"/>
  <c r="Y285" i="31" l="1"/>
  <c r="Y271" i="31"/>
  <c r="Y257" i="31"/>
  <c r="Y243" i="31"/>
  <c r="Y229" i="31"/>
  <c r="Y215" i="31"/>
  <c r="Y201" i="31"/>
  <c r="Y187" i="31"/>
  <c r="Y173" i="31"/>
  <c r="Y159" i="31"/>
  <c r="Y145" i="31"/>
  <c r="Y131" i="31"/>
  <c r="Y117" i="31"/>
  <c r="Y103" i="31"/>
  <c r="Y89" i="31"/>
  <c r="Y75" i="31"/>
  <c r="Y61" i="31"/>
  <c r="Y47" i="31"/>
  <c r="Y33" i="31"/>
  <c r="Y19" i="31"/>
  <c r="V285" i="31"/>
  <c r="Q284" i="31"/>
  <c r="O282" i="31"/>
  <c r="K282" i="31"/>
  <c r="Q278" i="31"/>
  <c r="O278" i="31"/>
  <c r="M278" i="31"/>
  <c r="K278" i="31"/>
  <c r="W276" i="31"/>
  <c r="U276" i="31"/>
  <c r="S276" i="31"/>
  <c r="Q276" i="31"/>
  <c r="O276" i="31"/>
  <c r="M276" i="31"/>
  <c r="O274" i="31"/>
  <c r="M274" i="31"/>
  <c r="K274" i="31"/>
  <c r="I274" i="31"/>
  <c r="I276" i="31" s="1"/>
  <c r="AA273" i="31"/>
  <c r="V284" i="31" s="1"/>
  <c r="Z273" i="31"/>
  <c r="Y273" i="31"/>
  <c r="V271" i="31"/>
  <c r="Q270" i="31"/>
  <c r="O268" i="31"/>
  <c r="K268" i="31"/>
  <c r="Q264" i="31"/>
  <c r="O264" i="31"/>
  <c r="M264" i="31"/>
  <c r="K264" i="31"/>
  <c r="W262" i="31"/>
  <c r="U262" i="31"/>
  <c r="S262" i="31"/>
  <c r="Q262" i="31"/>
  <c r="O262" i="31"/>
  <c r="M262" i="31"/>
  <c r="O260" i="31"/>
  <c r="M260" i="31"/>
  <c r="K260" i="31"/>
  <c r="K262" i="31" s="1"/>
  <c r="I260" i="31"/>
  <c r="AA259" i="31"/>
  <c r="V270" i="31" s="1"/>
  <c r="Z259" i="31"/>
  <c r="Y259" i="31"/>
  <c r="V257" i="31"/>
  <c r="Q256" i="31"/>
  <c r="O254" i="31"/>
  <c r="K254" i="31"/>
  <c r="Q250" i="31"/>
  <c r="O250" i="31"/>
  <c r="M250" i="31"/>
  <c r="K250" i="31"/>
  <c r="W248" i="31"/>
  <c r="U248" i="31"/>
  <c r="S248" i="31"/>
  <c r="Q248" i="31"/>
  <c r="O248" i="31"/>
  <c r="M248" i="31"/>
  <c r="O246" i="31"/>
  <c r="M246" i="31"/>
  <c r="K246" i="31"/>
  <c r="K248" i="31" s="1"/>
  <c r="I246" i="31"/>
  <c r="I250" i="31" s="1"/>
  <c r="S250" i="31" s="1"/>
  <c r="M252" i="31" s="1"/>
  <c r="AA245" i="31"/>
  <c r="V256" i="31" s="1"/>
  <c r="Z245" i="31"/>
  <c r="Y245" i="31"/>
  <c r="V243" i="31"/>
  <c r="Q242" i="31"/>
  <c r="O240" i="31"/>
  <c r="K240" i="31"/>
  <c r="Q236" i="31"/>
  <c r="O236" i="31"/>
  <c r="M236" i="31"/>
  <c r="K236" i="31"/>
  <c r="W234" i="31"/>
  <c r="U234" i="31"/>
  <c r="S234" i="31"/>
  <c r="Q234" i="31"/>
  <c r="O234" i="31"/>
  <c r="M234" i="31"/>
  <c r="O232" i="31"/>
  <c r="M232" i="31"/>
  <c r="K232" i="31"/>
  <c r="K234" i="31" s="1"/>
  <c r="I232" i="31"/>
  <c r="AA231" i="31"/>
  <c r="V242" i="31" s="1"/>
  <c r="Z231" i="31"/>
  <c r="Y231" i="31"/>
  <c r="V229" i="31"/>
  <c r="Q228" i="31"/>
  <c r="O226" i="31"/>
  <c r="K226" i="31"/>
  <c r="Q222" i="31"/>
  <c r="O222" i="31"/>
  <c r="M222" i="31"/>
  <c r="K222" i="31"/>
  <c r="W220" i="31"/>
  <c r="U220" i="31"/>
  <c r="S220" i="31"/>
  <c r="Q220" i="31"/>
  <c r="O220" i="31"/>
  <c r="M220" i="31"/>
  <c r="O218" i="31"/>
  <c r="M218" i="31"/>
  <c r="K218" i="31"/>
  <c r="K220" i="31" s="1"/>
  <c r="I218" i="31"/>
  <c r="AA217" i="31"/>
  <c r="V228" i="31" s="1"/>
  <c r="Z217" i="31"/>
  <c r="Y217" i="31"/>
  <c r="V215" i="31"/>
  <c r="Q214" i="31"/>
  <c r="O212" i="31"/>
  <c r="K212" i="31"/>
  <c r="Q208" i="31"/>
  <c r="O208" i="31"/>
  <c r="M208" i="31"/>
  <c r="K208" i="31"/>
  <c r="W206" i="31"/>
  <c r="U206" i="31"/>
  <c r="S206" i="31"/>
  <c r="Q206" i="31"/>
  <c r="O206" i="31"/>
  <c r="M206" i="31"/>
  <c r="O204" i="31"/>
  <c r="M204" i="31"/>
  <c r="K204" i="31"/>
  <c r="K206" i="31" s="1"/>
  <c r="I204" i="31"/>
  <c r="AA203" i="31"/>
  <c r="V214" i="31" s="1"/>
  <c r="Z203" i="31"/>
  <c r="Y203" i="31"/>
  <c r="V201" i="31"/>
  <c r="Q200" i="31"/>
  <c r="O198" i="31"/>
  <c r="K198" i="31"/>
  <c r="Q194" i="31"/>
  <c r="O194" i="31"/>
  <c r="M194" i="31"/>
  <c r="K194" i="31"/>
  <c r="W192" i="31"/>
  <c r="U192" i="31"/>
  <c r="S192" i="31"/>
  <c r="Q192" i="31"/>
  <c r="O192" i="31"/>
  <c r="M192" i="31"/>
  <c r="O190" i="31"/>
  <c r="M190" i="31"/>
  <c r="K190" i="31"/>
  <c r="K192" i="31" s="1"/>
  <c r="I190" i="31"/>
  <c r="AA189" i="31"/>
  <c r="V200" i="31" s="1"/>
  <c r="Z189" i="31"/>
  <c r="Y189" i="31"/>
  <c r="V187" i="31"/>
  <c r="Q186" i="31"/>
  <c r="O184" i="31"/>
  <c r="K184" i="31"/>
  <c r="Q180" i="31"/>
  <c r="O180" i="31"/>
  <c r="M180" i="31"/>
  <c r="K180" i="31"/>
  <c r="W178" i="31"/>
  <c r="U178" i="31"/>
  <c r="S178" i="31"/>
  <c r="Q178" i="31"/>
  <c r="O178" i="31"/>
  <c r="M178" i="31"/>
  <c r="O176" i="31"/>
  <c r="M176" i="31"/>
  <c r="K176" i="31"/>
  <c r="K178" i="31" s="1"/>
  <c r="I176" i="31"/>
  <c r="AA175" i="31"/>
  <c r="V186" i="31" s="1"/>
  <c r="Z175" i="31"/>
  <c r="Y175" i="31"/>
  <c r="V173" i="31"/>
  <c r="Q172" i="31"/>
  <c r="O170" i="31"/>
  <c r="K170" i="31"/>
  <c r="Q166" i="31"/>
  <c r="O166" i="31"/>
  <c r="M166" i="31"/>
  <c r="K166" i="31"/>
  <c r="W164" i="31"/>
  <c r="U164" i="31"/>
  <c r="S164" i="31"/>
  <c r="Q164" i="31"/>
  <c r="O164" i="31"/>
  <c r="M164" i="31"/>
  <c r="O162" i="31"/>
  <c r="M162" i="31"/>
  <c r="K162" i="31"/>
  <c r="K164" i="31" s="1"/>
  <c r="I162" i="31"/>
  <c r="AA161" i="31"/>
  <c r="V172" i="31" s="1"/>
  <c r="Z161" i="31"/>
  <c r="Y161" i="31"/>
  <c r="V159" i="31"/>
  <c r="Q158" i="31"/>
  <c r="O156" i="31"/>
  <c r="K156" i="31"/>
  <c r="Q152" i="31"/>
  <c r="O152" i="31"/>
  <c r="M152" i="31"/>
  <c r="K152" i="31"/>
  <c r="W150" i="31"/>
  <c r="U150" i="31"/>
  <c r="S150" i="31"/>
  <c r="Q150" i="31"/>
  <c r="O150" i="31"/>
  <c r="M150" i="31"/>
  <c r="O148" i="31"/>
  <c r="M148" i="31"/>
  <c r="K148" i="31"/>
  <c r="K150" i="31" s="1"/>
  <c r="I148" i="31"/>
  <c r="I152" i="31" s="1"/>
  <c r="AA147" i="31"/>
  <c r="V158" i="31" s="1"/>
  <c r="Z147" i="31"/>
  <c r="Y147" i="31"/>
  <c r="V145" i="31"/>
  <c r="Q144" i="31"/>
  <c r="O142" i="31"/>
  <c r="K142" i="31"/>
  <c r="Q138" i="31"/>
  <c r="O138" i="31"/>
  <c r="M138" i="31"/>
  <c r="K138" i="31"/>
  <c r="W136" i="31"/>
  <c r="U136" i="31"/>
  <c r="S136" i="31"/>
  <c r="Q136" i="31"/>
  <c r="O136" i="31"/>
  <c r="M136" i="31"/>
  <c r="O134" i="31"/>
  <c r="M134" i="31"/>
  <c r="K134" i="31"/>
  <c r="K136" i="31" s="1"/>
  <c r="I134" i="31"/>
  <c r="Q134" i="31" s="1"/>
  <c r="I140" i="31" s="1"/>
  <c r="AA133" i="31"/>
  <c r="V144" i="31" s="1"/>
  <c r="Z133" i="31"/>
  <c r="Y133" i="31"/>
  <c r="V131" i="31"/>
  <c r="Q130" i="31"/>
  <c r="O128" i="31"/>
  <c r="K128" i="31"/>
  <c r="Q124" i="31"/>
  <c r="O124" i="31"/>
  <c r="M124" i="31"/>
  <c r="K124" i="31"/>
  <c r="W122" i="31"/>
  <c r="U122" i="31"/>
  <c r="S122" i="31"/>
  <c r="Q122" i="31"/>
  <c r="O122" i="31"/>
  <c r="M122" i="31"/>
  <c r="O120" i="31"/>
  <c r="M120" i="31"/>
  <c r="K120" i="31"/>
  <c r="K122" i="31" s="1"/>
  <c r="I120" i="31"/>
  <c r="AA119" i="31"/>
  <c r="V130" i="31" s="1"/>
  <c r="Z119" i="31"/>
  <c r="Y119" i="31"/>
  <c r="V117" i="31"/>
  <c r="Q116" i="31"/>
  <c r="O114" i="31"/>
  <c r="K114" i="31"/>
  <c r="Q110" i="31"/>
  <c r="O110" i="31"/>
  <c r="M110" i="31"/>
  <c r="K110" i="31"/>
  <c r="W108" i="31"/>
  <c r="U108" i="31"/>
  <c r="S108" i="31"/>
  <c r="Q108" i="31"/>
  <c r="O108" i="31"/>
  <c r="M108" i="31"/>
  <c r="O106" i="31"/>
  <c r="M106" i="31"/>
  <c r="K106" i="31"/>
  <c r="K108" i="31" s="1"/>
  <c r="I106" i="31"/>
  <c r="AA105" i="31"/>
  <c r="V116" i="31" s="1"/>
  <c r="Z105" i="31"/>
  <c r="Y105" i="31"/>
  <c r="V103" i="31"/>
  <c r="Q102" i="31"/>
  <c r="O100" i="31"/>
  <c r="K100" i="31"/>
  <c r="Q96" i="31"/>
  <c r="O96" i="31"/>
  <c r="M96" i="31"/>
  <c r="K96" i="31"/>
  <c r="W94" i="31"/>
  <c r="U94" i="31"/>
  <c r="S94" i="31"/>
  <c r="Q94" i="31"/>
  <c r="O94" i="31"/>
  <c r="M94" i="31"/>
  <c r="O92" i="31"/>
  <c r="M92" i="31"/>
  <c r="K92" i="31"/>
  <c r="K94" i="31" s="1"/>
  <c r="I92" i="31"/>
  <c r="Q92" i="31" s="1"/>
  <c r="I98" i="31" s="1"/>
  <c r="AA91" i="31"/>
  <c r="V102" i="31" s="1"/>
  <c r="Z91" i="31"/>
  <c r="Y91" i="31"/>
  <c r="V89" i="31"/>
  <c r="Q88" i="31"/>
  <c r="O86" i="31"/>
  <c r="K86" i="31"/>
  <c r="Q82" i="31"/>
  <c r="O82" i="31"/>
  <c r="M82" i="31"/>
  <c r="K82" i="31"/>
  <c r="W80" i="31"/>
  <c r="U80" i="31"/>
  <c r="S80" i="31"/>
  <c r="Q80" i="31"/>
  <c r="O80" i="31"/>
  <c r="M80" i="31"/>
  <c r="O78" i="31"/>
  <c r="M78" i="31"/>
  <c r="K78" i="31"/>
  <c r="K80" i="31" s="1"/>
  <c r="I78" i="31"/>
  <c r="AA77" i="31"/>
  <c r="V88" i="31" s="1"/>
  <c r="Z77" i="31"/>
  <c r="Y77" i="31"/>
  <c r="V75" i="31"/>
  <c r="Q74" i="31"/>
  <c r="O72" i="31"/>
  <c r="K72" i="31"/>
  <c r="Q68" i="31"/>
  <c r="O68" i="31"/>
  <c r="M68" i="31"/>
  <c r="K68" i="31"/>
  <c r="W66" i="31"/>
  <c r="U66" i="31"/>
  <c r="S66" i="31"/>
  <c r="Q66" i="31"/>
  <c r="O66" i="31"/>
  <c r="M66" i="31"/>
  <c r="O64" i="31"/>
  <c r="M64" i="31"/>
  <c r="K64" i="31"/>
  <c r="K66" i="31" s="1"/>
  <c r="I64" i="31"/>
  <c r="Q64" i="31" s="1"/>
  <c r="I70" i="31" s="1"/>
  <c r="AA63" i="31"/>
  <c r="V74" i="31" s="1"/>
  <c r="Z63" i="31"/>
  <c r="Y63" i="31"/>
  <c r="V61" i="31"/>
  <c r="Q60" i="31"/>
  <c r="O58" i="31"/>
  <c r="K58" i="31"/>
  <c r="Q54" i="31"/>
  <c r="O54" i="31"/>
  <c r="M54" i="31"/>
  <c r="K54" i="31"/>
  <c r="W52" i="31"/>
  <c r="U52" i="31"/>
  <c r="S52" i="31"/>
  <c r="Q52" i="31"/>
  <c r="O52" i="31"/>
  <c r="M52" i="31"/>
  <c r="O50" i="31"/>
  <c r="M50" i="31"/>
  <c r="K50" i="31"/>
  <c r="K52" i="31" s="1"/>
  <c r="I50" i="31"/>
  <c r="AA49" i="31"/>
  <c r="V60" i="31" s="1"/>
  <c r="Z49" i="31"/>
  <c r="Y49" i="31"/>
  <c r="V47" i="31"/>
  <c r="O44" i="31"/>
  <c r="K44" i="31"/>
  <c r="Q40" i="31"/>
  <c r="O40" i="31"/>
  <c r="M40" i="31"/>
  <c r="K40" i="31"/>
  <c r="W38" i="31"/>
  <c r="U38" i="31"/>
  <c r="S38" i="31"/>
  <c r="Q38" i="31"/>
  <c r="O38" i="31"/>
  <c r="M38" i="31"/>
  <c r="O36" i="31"/>
  <c r="M36" i="31"/>
  <c r="K36" i="31"/>
  <c r="K38" i="31" s="1"/>
  <c r="I36" i="31"/>
  <c r="I38" i="31" s="1"/>
  <c r="AA35" i="31"/>
  <c r="V46" i="31" s="1"/>
  <c r="Z35" i="31"/>
  <c r="Y35" i="31"/>
  <c r="V33" i="31"/>
  <c r="Q32" i="31"/>
  <c r="O30" i="31"/>
  <c r="K30" i="31"/>
  <c r="Q26" i="31"/>
  <c r="O26" i="31"/>
  <c r="M26" i="31"/>
  <c r="K26" i="31"/>
  <c r="W24" i="31"/>
  <c r="U24" i="31"/>
  <c r="S24" i="31"/>
  <c r="Q24" i="31"/>
  <c r="O24" i="31"/>
  <c r="M24" i="31"/>
  <c r="O22" i="31"/>
  <c r="M22" i="31"/>
  <c r="K22" i="31"/>
  <c r="K24" i="31" s="1"/>
  <c r="I22" i="31"/>
  <c r="Q22" i="31" s="1"/>
  <c r="I28" i="31" s="1"/>
  <c r="AA21" i="31"/>
  <c r="V32" i="31" s="1"/>
  <c r="Z21" i="31"/>
  <c r="Y21" i="31"/>
  <c r="I54" i="31" l="1"/>
  <c r="S54" i="31" s="1"/>
  <c r="M56" i="31" s="1"/>
  <c r="I52" i="31"/>
  <c r="I124" i="31"/>
  <c r="S124" i="31" s="1"/>
  <c r="M126" i="31" s="1"/>
  <c r="I122" i="31"/>
  <c r="I192" i="31"/>
  <c r="I194" i="31"/>
  <c r="S194" i="31" s="1"/>
  <c r="M196" i="31" s="1"/>
  <c r="I208" i="31"/>
  <c r="S208" i="31" s="1"/>
  <c r="M210" i="31" s="1"/>
  <c r="I206" i="31"/>
  <c r="Q218" i="31"/>
  <c r="I224" i="31" s="1"/>
  <c r="I220" i="31"/>
  <c r="I236" i="31"/>
  <c r="I234" i="31"/>
  <c r="I40" i="31"/>
  <c r="S40" i="31" s="1"/>
  <c r="M42" i="31" s="1"/>
  <c r="Q260" i="31"/>
  <c r="I266" i="31" s="1"/>
  <c r="Q162" i="31"/>
  <c r="I168" i="31" s="1"/>
  <c r="Q232" i="31"/>
  <c r="I238" i="31" s="1"/>
  <c r="I278" i="31"/>
  <c r="S278" i="31" s="1"/>
  <c r="M280" i="31" s="1"/>
  <c r="Q204" i="31"/>
  <c r="I210" i="31" s="1"/>
  <c r="I262" i="31"/>
  <c r="AA262" i="31" s="1"/>
  <c r="K266" i="31" s="1"/>
  <c r="Q36" i="31"/>
  <c r="I42" i="31" s="1"/>
  <c r="Q106" i="31"/>
  <c r="I112" i="31" s="1"/>
  <c r="I222" i="31"/>
  <c r="S222" i="31" s="1"/>
  <c r="M224" i="31" s="1"/>
  <c r="I94" i="31"/>
  <c r="S152" i="31"/>
  <c r="M154" i="31" s="1"/>
  <c r="I66" i="31"/>
  <c r="I136" i="31"/>
  <c r="AA136" i="31" s="1"/>
  <c r="K140" i="31" s="1"/>
  <c r="Q176" i="31"/>
  <c r="I182" i="31" s="1"/>
  <c r="Q246" i="31"/>
  <c r="I252" i="31" s="1"/>
  <c r="Q274" i="31"/>
  <c r="I280" i="31" s="1"/>
  <c r="Q78" i="31"/>
  <c r="I84" i="31" s="1"/>
  <c r="I96" i="31"/>
  <c r="S96" i="31" s="1"/>
  <c r="M98" i="31" s="1"/>
  <c r="Q148" i="31"/>
  <c r="I154" i="31" s="1"/>
  <c r="Q50" i="31"/>
  <c r="I56" i="31" s="1"/>
  <c r="Q120" i="31"/>
  <c r="I126" i="31" s="1"/>
  <c r="I264" i="31"/>
  <c r="S264" i="31" s="1"/>
  <c r="M266" i="31" s="1"/>
  <c r="Q190" i="31"/>
  <c r="I196" i="31" s="1"/>
  <c r="S236" i="31"/>
  <c r="M238" i="31" s="1"/>
  <c r="I248" i="31"/>
  <c r="AA248" i="31" s="1"/>
  <c r="K252" i="31" s="1"/>
  <c r="Q252" i="31" s="1"/>
  <c r="I68" i="31"/>
  <c r="S68" i="31" s="1"/>
  <c r="M70" i="31" s="1"/>
  <c r="I138" i="31"/>
  <c r="S138" i="31" s="1"/>
  <c r="M140" i="31" s="1"/>
  <c r="I150" i="31"/>
  <c r="AA150" i="31" s="1"/>
  <c r="K154" i="31" s="1"/>
  <c r="K276" i="31"/>
  <c r="AA276" i="31" s="1"/>
  <c r="K280" i="31" s="1"/>
  <c r="AA234" i="31"/>
  <c r="K238" i="31" s="1"/>
  <c r="AA220" i="31"/>
  <c r="K224" i="31" s="1"/>
  <c r="Q224" i="31" s="1"/>
  <c r="AA206" i="31"/>
  <c r="K210" i="31" s="1"/>
  <c r="Q210" i="31" s="1"/>
  <c r="AA192" i="31"/>
  <c r="K196" i="31" s="1"/>
  <c r="Q196" i="31" s="1"/>
  <c r="I178" i="31"/>
  <c r="AA178" i="31" s="1"/>
  <c r="K182" i="31" s="1"/>
  <c r="I180" i="31"/>
  <c r="S180" i="31" s="1"/>
  <c r="M182" i="31" s="1"/>
  <c r="I166" i="31"/>
  <c r="S166" i="31" s="1"/>
  <c r="M168" i="31" s="1"/>
  <c r="I164" i="31"/>
  <c r="AA164" i="31" s="1"/>
  <c r="K168" i="31" s="1"/>
  <c r="Q168" i="31" s="1"/>
  <c r="AA122" i="31"/>
  <c r="K126" i="31" s="1"/>
  <c r="Q126" i="31" s="1"/>
  <c r="I108" i="31"/>
  <c r="AA108" i="31" s="1"/>
  <c r="K112" i="31" s="1"/>
  <c r="I110" i="31"/>
  <c r="S110" i="31" s="1"/>
  <c r="M112" i="31" s="1"/>
  <c r="AA94" i="31"/>
  <c r="K98" i="31" s="1"/>
  <c r="Q98" i="31" s="1"/>
  <c r="I80" i="31"/>
  <c r="AA80" i="31" s="1"/>
  <c r="K84" i="31" s="1"/>
  <c r="I82" i="31"/>
  <c r="S82" i="31" s="1"/>
  <c r="M84" i="31" s="1"/>
  <c r="AA66" i="31"/>
  <c r="K70" i="31" s="1"/>
  <c r="Q70" i="31" s="1"/>
  <c r="AA52" i="31"/>
  <c r="K56" i="31" s="1"/>
  <c r="Q56" i="31" s="1"/>
  <c r="AA38" i="31"/>
  <c r="K42" i="31" s="1"/>
  <c r="I24" i="31"/>
  <c r="AA24" i="31" s="1"/>
  <c r="K28" i="31" s="1"/>
  <c r="I26" i="31"/>
  <c r="S26" i="31" s="1"/>
  <c r="M28" i="31" s="1"/>
  <c r="AB284" i="31"/>
  <c r="AB280" i="31"/>
  <c r="AB282" i="31"/>
  <c r="AB270" i="31"/>
  <c r="AB266" i="31"/>
  <c r="AB268" i="31"/>
  <c r="AB256" i="31"/>
  <c r="AB252" i="31"/>
  <c r="AB254" i="31"/>
  <c r="AB242" i="31"/>
  <c r="AB238" i="31"/>
  <c r="AB240" i="31"/>
  <c r="AB228" i="31"/>
  <c r="AB224" i="31"/>
  <c r="AB226" i="31"/>
  <c r="AB214" i="31"/>
  <c r="AB210" i="31"/>
  <c r="AB212" i="31"/>
  <c r="AB200" i="31"/>
  <c r="AB196" i="31"/>
  <c r="AB198" i="31"/>
  <c r="AB186" i="31"/>
  <c r="AB182" i="31"/>
  <c r="AB184" i="31"/>
  <c r="AB172" i="31"/>
  <c r="AB168" i="31"/>
  <c r="AB170" i="31"/>
  <c r="AB158" i="31"/>
  <c r="AB154" i="31"/>
  <c r="AB156" i="31"/>
  <c r="AB144" i="31"/>
  <c r="AB140" i="31"/>
  <c r="AB142" i="31"/>
  <c r="AB130" i="31"/>
  <c r="AB126" i="31"/>
  <c r="AB128" i="31"/>
  <c r="AB116" i="31"/>
  <c r="AB112" i="31"/>
  <c r="AB114" i="31"/>
  <c r="AB102" i="31"/>
  <c r="AB100" i="31"/>
  <c r="AB98" i="31"/>
  <c r="AB88" i="31"/>
  <c r="AB84" i="31"/>
  <c r="AB86" i="31"/>
  <c r="AB74" i="31"/>
  <c r="AB70" i="31"/>
  <c r="AB72" i="31"/>
  <c r="AB60" i="31"/>
  <c r="AB56" i="31"/>
  <c r="AB58" i="31"/>
  <c r="AB46" i="31"/>
  <c r="AB42" i="31"/>
  <c r="AB44" i="31"/>
  <c r="AB32" i="31"/>
  <c r="AB28" i="31"/>
  <c r="AB30" i="31"/>
  <c r="O388" i="17"/>
  <c r="U387" i="17"/>
  <c r="O386" i="17"/>
  <c r="S385" i="17"/>
  <c r="U384" i="17"/>
  <c r="S384" i="17"/>
  <c r="O384" i="17"/>
  <c r="U383" i="17"/>
  <c r="S383" i="17"/>
  <c r="S382" i="17"/>
  <c r="M382" i="17"/>
  <c r="K382" i="17" s="1"/>
  <c r="S380" i="17"/>
  <c r="Q380" i="17"/>
  <c r="M380" i="17"/>
  <c r="S378" i="17"/>
  <c r="Q378" i="17"/>
  <c r="O378" i="17"/>
  <c r="S376" i="17"/>
  <c r="Q376" i="17"/>
  <c r="O376" i="17"/>
  <c r="S374" i="17"/>
  <c r="Q374" i="17"/>
  <c r="O374" i="17"/>
  <c r="Q372" i="17"/>
  <c r="O372" i="17"/>
  <c r="O380" i="17" s="1"/>
  <c r="M372" i="17"/>
  <c r="O369" i="17"/>
  <c r="U368" i="17"/>
  <c r="O367" i="17"/>
  <c r="S366" i="17"/>
  <c r="U365" i="17"/>
  <c r="S365" i="17"/>
  <c r="O365" i="17"/>
  <c r="U364" i="17"/>
  <c r="S364" i="17"/>
  <c r="S363" i="17"/>
  <c r="M363" i="17"/>
  <c r="K363" i="17" s="1"/>
  <c r="S361" i="17"/>
  <c r="Q361" i="17"/>
  <c r="M361" i="17"/>
  <c r="S359" i="17"/>
  <c r="Q359" i="17"/>
  <c r="O359" i="17"/>
  <c r="S357" i="17"/>
  <c r="Q357" i="17"/>
  <c r="O357" i="17"/>
  <c r="S355" i="17"/>
  <c r="Q355" i="17"/>
  <c r="O355" i="17"/>
  <c r="Q353" i="17"/>
  <c r="O353" i="17"/>
  <c r="O361" i="17" s="1"/>
  <c r="M353" i="17"/>
  <c r="O350" i="17"/>
  <c r="U349" i="17"/>
  <c r="O348" i="17"/>
  <c r="S347" i="17"/>
  <c r="U346" i="17"/>
  <c r="S346" i="17"/>
  <c r="O346" i="17"/>
  <c r="U345" i="17"/>
  <c r="S345" i="17"/>
  <c r="S344" i="17"/>
  <c r="M344" i="17"/>
  <c r="K344" i="17"/>
  <c r="S342" i="17"/>
  <c r="Q342" i="17"/>
  <c r="M342" i="17"/>
  <c r="S340" i="17"/>
  <c r="Q340" i="17"/>
  <c r="O340" i="17"/>
  <c r="M340" i="17" s="1"/>
  <c r="S338" i="17"/>
  <c r="Q338" i="17"/>
  <c r="O338" i="17"/>
  <c r="S336" i="17"/>
  <c r="Q336" i="17"/>
  <c r="O336" i="17"/>
  <c r="Q334" i="17"/>
  <c r="O334" i="17"/>
  <c r="O342" i="17" s="1"/>
  <c r="M334" i="17"/>
  <c r="O331" i="17"/>
  <c r="U330" i="17"/>
  <c r="O329" i="17"/>
  <c r="S328" i="17"/>
  <c r="U327" i="17"/>
  <c r="S327" i="17"/>
  <c r="O327" i="17"/>
  <c r="U326" i="17"/>
  <c r="S326" i="17"/>
  <c r="S325" i="17"/>
  <c r="M325" i="17"/>
  <c r="K325" i="17"/>
  <c r="S323" i="17"/>
  <c r="Q323" i="17"/>
  <c r="M323" i="17"/>
  <c r="S321" i="17"/>
  <c r="Q321" i="17"/>
  <c r="O321" i="17"/>
  <c r="S319" i="17"/>
  <c r="Q319" i="17"/>
  <c r="O319" i="17"/>
  <c r="S317" i="17"/>
  <c r="Q317" i="17"/>
  <c r="O317" i="17"/>
  <c r="Q315" i="17"/>
  <c r="O315" i="17"/>
  <c r="O323" i="17" s="1"/>
  <c r="M315" i="17"/>
  <c r="O312" i="17"/>
  <c r="U311" i="17"/>
  <c r="O310" i="17"/>
  <c r="S309" i="17"/>
  <c r="U308" i="17"/>
  <c r="S308" i="17"/>
  <c r="O308" i="17"/>
  <c r="U307" i="17"/>
  <c r="S307" i="17"/>
  <c r="S306" i="17"/>
  <c r="M306" i="17"/>
  <c r="K306" i="17"/>
  <c r="S304" i="17"/>
  <c r="Q304" i="17"/>
  <c r="M304" i="17"/>
  <c r="S302" i="17"/>
  <c r="Q302" i="17"/>
  <c r="O302" i="17"/>
  <c r="S300" i="17"/>
  <c r="Q300" i="17"/>
  <c r="O300" i="17"/>
  <c r="S298" i="17"/>
  <c r="Q298" i="17"/>
  <c r="O298" i="17"/>
  <c r="Q296" i="17"/>
  <c r="O296" i="17"/>
  <c r="O304" i="17" s="1"/>
  <c r="M296" i="17"/>
  <c r="O293" i="17"/>
  <c r="U292" i="17"/>
  <c r="O291" i="17"/>
  <c r="S290" i="17"/>
  <c r="U289" i="17"/>
  <c r="S289" i="17"/>
  <c r="O289" i="17"/>
  <c r="U288" i="17"/>
  <c r="S288" i="17"/>
  <c r="S287" i="17"/>
  <c r="M287" i="17"/>
  <c r="K287" i="17"/>
  <c r="S285" i="17"/>
  <c r="Q285" i="17"/>
  <c r="M285" i="17"/>
  <c r="S283" i="17"/>
  <c r="Q283" i="17"/>
  <c r="O283" i="17"/>
  <c r="S281" i="17"/>
  <c r="Q281" i="17"/>
  <c r="O281" i="17"/>
  <c r="S279" i="17"/>
  <c r="Q279" i="17"/>
  <c r="O279" i="17"/>
  <c r="Q277" i="17"/>
  <c r="O277" i="17"/>
  <c r="O285" i="17" s="1"/>
  <c r="M277" i="17"/>
  <c r="O274" i="17"/>
  <c r="U273" i="17"/>
  <c r="O272" i="17"/>
  <c r="S271" i="17"/>
  <c r="U270" i="17"/>
  <c r="S270" i="17"/>
  <c r="O270" i="17"/>
  <c r="U269" i="17"/>
  <c r="S269" i="17"/>
  <c r="S268" i="17"/>
  <c r="M268" i="17"/>
  <c r="K268" i="17"/>
  <c r="S266" i="17"/>
  <c r="Q266" i="17"/>
  <c r="M266" i="17"/>
  <c r="S264" i="17"/>
  <c r="Q264" i="17"/>
  <c r="O264" i="17"/>
  <c r="S262" i="17"/>
  <c r="Q262" i="17"/>
  <c r="O262" i="17"/>
  <c r="S260" i="17"/>
  <c r="Q260" i="17"/>
  <c r="O260" i="17"/>
  <c r="Q258" i="17"/>
  <c r="O258" i="17"/>
  <c r="O266" i="17" s="1"/>
  <c r="M258" i="17"/>
  <c r="O255" i="17"/>
  <c r="U254" i="17"/>
  <c r="O253" i="17"/>
  <c r="S252" i="17"/>
  <c r="U251" i="17"/>
  <c r="S251" i="17"/>
  <c r="O251" i="17"/>
  <c r="U250" i="17"/>
  <c r="S250" i="17"/>
  <c r="S249" i="17"/>
  <c r="M249" i="17"/>
  <c r="K249" i="17" s="1"/>
  <c r="S247" i="17"/>
  <c r="Q247" i="17"/>
  <c r="M247" i="17"/>
  <c r="S245" i="17"/>
  <c r="Q245" i="17"/>
  <c r="O245" i="17"/>
  <c r="S243" i="17"/>
  <c r="Q243" i="17"/>
  <c r="O243" i="17"/>
  <c r="S241" i="17"/>
  <c r="Q241" i="17"/>
  <c r="O241" i="17"/>
  <c r="Q239" i="17"/>
  <c r="O239" i="17"/>
  <c r="O247" i="17" s="1"/>
  <c r="M239" i="17"/>
  <c r="O236" i="17"/>
  <c r="U235" i="17"/>
  <c r="O234" i="17"/>
  <c r="S233" i="17"/>
  <c r="U232" i="17"/>
  <c r="S232" i="17"/>
  <c r="O232" i="17"/>
  <c r="U231" i="17"/>
  <c r="S231" i="17"/>
  <c r="S230" i="17"/>
  <c r="M230" i="17"/>
  <c r="K230" i="17" s="1"/>
  <c r="S228" i="17"/>
  <c r="Q228" i="17"/>
  <c r="M228" i="17"/>
  <c r="S226" i="17"/>
  <c r="Q226" i="17"/>
  <c r="O226" i="17"/>
  <c r="S224" i="17"/>
  <c r="Q224" i="17"/>
  <c r="O224" i="17"/>
  <c r="S222" i="17"/>
  <c r="Q222" i="17"/>
  <c r="O222" i="17"/>
  <c r="Q220" i="17"/>
  <c r="O220" i="17"/>
  <c r="O228" i="17" s="1"/>
  <c r="M220" i="17"/>
  <c r="O217" i="17"/>
  <c r="U216" i="17"/>
  <c r="O215" i="17"/>
  <c r="S214" i="17"/>
  <c r="U213" i="17"/>
  <c r="S213" i="17"/>
  <c r="O213" i="17"/>
  <c r="U212" i="17"/>
  <c r="S212" i="17"/>
  <c r="S211" i="17"/>
  <c r="M211" i="17"/>
  <c r="K211" i="17" s="1"/>
  <c r="S209" i="17"/>
  <c r="Q209" i="17"/>
  <c r="M209" i="17"/>
  <c r="S207" i="17"/>
  <c r="Q207" i="17"/>
  <c r="O207" i="17"/>
  <c r="S205" i="17"/>
  <c r="Q205" i="17"/>
  <c r="O205" i="17"/>
  <c r="S203" i="17"/>
  <c r="Q203" i="17"/>
  <c r="O203" i="17"/>
  <c r="Q201" i="17"/>
  <c r="O201" i="17"/>
  <c r="M201" i="17"/>
  <c r="O198" i="17"/>
  <c r="U197" i="17"/>
  <c r="O196" i="17"/>
  <c r="S195" i="17"/>
  <c r="U194" i="17"/>
  <c r="S194" i="17"/>
  <c r="O194" i="17"/>
  <c r="U193" i="17"/>
  <c r="S193" i="17"/>
  <c r="S192" i="17"/>
  <c r="M192" i="17"/>
  <c r="K192" i="17"/>
  <c r="S190" i="17"/>
  <c r="Q190" i="17"/>
  <c r="M190" i="17"/>
  <c r="S188" i="17"/>
  <c r="Q188" i="17"/>
  <c r="O188" i="17"/>
  <c r="S186" i="17"/>
  <c r="Q186" i="17"/>
  <c r="O186" i="17"/>
  <c r="M186" i="17" s="1"/>
  <c r="S184" i="17"/>
  <c r="Q184" i="17"/>
  <c r="O184" i="17"/>
  <c r="Q182" i="17"/>
  <c r="O182" i="17"/>
  <c r="O190" i="17" s="1"/>
  <c r="M182" i="17"/>
  <c r="O179" i="17"/>
  <c r="U178" i="17"/>
  <c r="O177" i="17"/>
  <c r="S176" i="17"/>
  <c r="U175" i="17"/>
  <c r="S175" i="17"/>
  <c r="O175" i="17"/>
  <c r="U174" i="17"/>
  <c r="S174" i="17"/>
  <c r="S173" i="17"/>
  <c r="M173" i="17"/>
  <c r="K173" i="17"/>
  <c r="S171" i="17"/>
  <c r="Q171" i="17"/>
  <c r="M171" i="17"/>
  <c r="S169" i="17"/>
  <c r="Q169" i="17"/>
  <c r="O169" i="17"/>
  <c r="S167" i="17"/>
  <c r="Q167" i="17"/>
  <c r="O167" i="17"/>
  <c r="S165" i="17"/>
  <c r="Q165" i="17"/>
  <c r="O165" i="17"/>
  <c r="Q163" i="17"/>
  <c r="O163" i="17"/>
  <c r="O171" i="17" s="1"/>
  <c r="M163" i="17"/>
  <c r="O160" i="17"/>
  <c r="U159" i="17"/>
  <c r="O158" i="17"/>
  <c r="S157" i="17"/>
  <c r="U156" i="17"/>
  <c r="S156" i="17"/>
  <c r="O156" i="17"/>
  <c r="U155" i="17"/>
  <c r="S155" i="17"/>
  <c r="S154" i="17"/>
  <c r="M154" i="17"/>
  <c r="K154" i="17" s="1"/>
  <c r="S152" i="17"/>
  <c r="Q152" i="17"/>
  <c r="M152" i="17"/>
  <c r="S150" i="17"/>
  <c r="Q150" i="17"/>
  <c r="O150" i="17"/>
  <c r="S148" i="17"/>
  <c r="Q148" i="17"/>
  <c r="O148" i="17"/>
  <c r="M148" i="17" s="1"/>
  <c r="S146" i="17"/>
  <c r="Q146" i="17"/>
  <c r="O146" i="17"/>
  <c r="Q144" i="17"/>
  <c r="O144" i="17"/>
  <c r="O152" i="17" s="1"/>
  <c r="M144" i="17"/>
  <c r="O141" i="17"/>
  <c r="U140" i="17"/>
  <c r="O139" i="17"/>
  <c r="S138" i="17"/>
  <c r="U137" i="17"/>
  <c r="S137" i="17"/>
  <c r="O137" i="17"/>
  <c r="U136" i="17"/>
  <c r="S136" i="17"/>
  <c r="S135" i="17"/>
  <c r="M135" i="17"/>
  <c r="K135" i="17" s="1"/>
  <c r="S133" i="17"/>
  <c r="Q133" i="17"/>
  <c r="M133" i="17"/>
  <c r="S131" i="17"/>
  <c r="Q131" i="17"/>
  <c r="O131" i="17"/>
  <c r="S129" i="17"/>
  <c r="Q129" i="17"/>
  <c r="O129" i="17"/>
  <c r="S127" i="17"/>
  <c r="Q127" i="17"/>
  <c r="O127" i="17"/>
  <c r="Q125" i="17"/>
  <c r="O125" i="17"/>
  <c r="O133" i="17" s="1"/>
  <c r="M125" i="17"/>
  <c r="O122" i="17"/>
  <c r="U121" i="17"/>
  <c r="O120" i="17"/>
  <c r="S119" i="17"/>
  <c r="U118" i="17"/>
  <c r="S118" i="17"/>
  <c r="O118" i="17"/>
  <c r="U117" i="17"/>
  <c r="S117" i="17"/>
  <c r="S116" i="17"/>
  <c r="M116" i="17"/>
  <c r="K116" i="17" s="1"/>
  <c r="S114" i="17"/>
  <c r="Q114" i="17"/>
  <c r="M114" i="17"/>
  <c r="S112" i="17"/>
  <c r="Q112" i="17"/>
  <c r="O112" i="17"/>
  <c r="S110" i="17"/>
  <c r="Q110" i="17"/>
  <c r="O110" i="17"/>
  <c r="S108" i="17"/>
  <c r="Q108" i="17"/>
  <c r="O108" i="17"/>
  <c r="Q106" i="17"/>
  <c r="O106" i="17"/>
  <c r="M106" i="17"/>
  <c r="O103" i="17"/>
  <c r="U102" i="17"/>
  <c r="O101" i="17"/>
  <c r="S100" i="17"/>
  <c r="U99" i="17"/>
  <c r="S99" i="17"/>
  <c r="O99" i="17"/>
  <c r="U98" i="17"/>
  <c r="S98" i="17"/>
  <c r="S97" i="17"/>
  <c r="M97" i="17"/>
  <c r="K97" i="17" s="1"/>
  <c r="S95" i="17"/>
  <c r="Q95" i="17"/>
  <c r="M95" i="17"/>
  <c r="S93" i="17"/>
  <c r="Q93" i="17"/>
  <c r="O93" i="17"/>
  <c r="S91" i="17"/>
  <c r="Q91" i="17"/>
  <c r="O91" i="17"/>
  <c r="S89" i="17"/>
  <c r="Q89" i="17"/>
  <c r="O89" i="17"/>
  <c r="Q87" i="17"/>
  <c r="O87" i="17"/>
  <c r="O95" i="17" s="1"/>
  <c r="M87" i="17"/>
  <c r="O84" i="17"/>
  <c r="U83" i="17"/>
  <c r="O82" i="17"/>
  <c r="S81" i="17"/>
  <c r="U80" i="17"/>
  <c r="S80" i="17"/>
  <c r="O80" i="17"/>
  <c r="U79" i="17"/>
  <c r="S79" i="17"/>
  <c r="S78" i="17"/>
  <c r="M78" i="17"/>
  <c r="K78" i="17" s="1"/>
  <c r="S76" i="17"/>
  <c r="Q76" i="17"/>
  <c r="M76" i="17"/>
  <c r="S74" i="17"/>
  <c r="Q74" i="17"/>
  <c r="O74" i="17"/>
  <c r="S72" i="17"/>
  <c r="Q72" i="17"/>
  <c r="O72" i="17"/>
  <c r="S70" i="17"/>
  <c r="Q70" i="17"/>
  <c r="O70" i="17"/>
  <c r="M70" i="17" s="1"/>
  <c r="Q68" i="17"/>
  <c r="O68" i="17"/>
  <c r="M68" i="17"/>
  <c r="O65" i="17"/>
  <c r="U64" i="17"/>
  <c r="O63" i="17"/>
  <c r="S62" i="17"/>
  <c r="U61" i="17"/>
  <c r="S61" i="17"/>
  <c r="O61" i="17"/>
  <c r="U60" i="17"/>
  <c r="S60" i="17"/>
  <c r="S59" i="17"/>
  <c r="M59" i="17"/>
  <c r="K59" i="17"/>
  <c r="S57" i="17"/>
  <c r="Q57" i="17"/>
  <c r="M57" i="17"/>
  <c r="S55" i="17"/>
  <c r="Q55" i="17"/>
  <c r="O55" i="17"/>
  <c r="M55" i="17"/>
  <c r="S53" i="17"/>
  <c r="Q53" i="17"/>
  <c r="O53" i="17"/>
  <c r="S51" i="17"/>
  <c r="Q51" i="17"/>
  <c r="O51" i="17"/>
  <c r="Q49" i="17"/>
  <c r="O49" i="17"/>
  <c r="O57" i="17" s="1"/>
  <c r="M49" i="17"/>
  <c r="O46" i="17"/>
  <c r="U45" i="17"/>
  <c r="O44" i="17"/>
  <c r="S43" i="17"/>
  <c r="U42" i="17"/>
  <c r="S42" i="17"/>
  <c r="O42" i="17"/>
  <c r="U41" i="17"/>
  <c r="S41" i="17"/>
  <c r="S40" i="17"/>
  <c r="M40" i="17"/>
  <c r="K40" i="17"/>
  <c r="S38" i="17"/>
  <c r="Q38" i="17"/>
  <c r="M38" i="17"/>
  <c r="S36" i="17"/>
  <c r="Q36" i="17"/>
  <c r="O36" i="17"/>
  <c r="S34" i="17"/>
  <c r="Q34" i="17"/>
  <c r="O34" i="17"/>
  <c r="S32" i="17"/>
  <c r="Q32" i="17"/>
  <c r="O32" i="17"/>
  <c r="M32" i="17" s="1"/>
  <c r="Q30" i="17"/>
  <c r="O30" i="17"/>
  <c r="M30" i="17"/>
  <c r="M34" i="17" l="1"/>
  <c r="M184" i="17"/>
  <c r="M203" i="17"/>
  <c r="M207" i="17"/>
  <c r="Q28" i="31"/>
  <c r="Q84" i="31"/>
  <c r="Q140" i="31"/>
  <c r="Q42" i="31"/>
  <c r="V42" i="31" s="1"/>
  <c r="M110" i="17"/>
  <c r="K171" i="17"/>
  <c r="M376" i="17"/>
  <c r="M91" i="17"/>
  <c r="M205" i="17"/>
  <c r="M241" i="17"/>
  <c r="M127" i="17"/>
  <c r="M321" i="17"/>
  <c r="M36" i="17"/>
  <c r="M129" i="17"/>
  <c r="M357" i="17"/>
  <c r="M165" i="17"/>
  <c r="M188" i="17"/>
  <c r="K182" i="17" s="1"/>
  <c r="M222" i="17"/>
  <c r="M245" i="17"/>
  <c r="M359" i="17"/>
  <c r="M226" i="17"/>
  <c r="M338" i="17"/>
  <c r="M89" i="17"/>
  <c r="M169" i="17"/>
  <c r="M112" i="17"/>
  <c r="M146" i="17"/>
  <c r="M224" i="17"/>
  <c r="M279" i="17"/>
  <c r="K380" i="17"/>
  <c r="M302" i="17"/>
  <c r="M336" i="17"/>
  <c r="Q280" i="31"/>
  <c r="Y283" i="31" s="1"/>
  <c r="K247" i="17"/>
  <c r="M281" i="17"/>
  <c r="M243" i="17"/>
  <c r="K304" i="17"/>
  <c r="Q182" i="31"/>
  <c r="M93" i="17"/>
  <c r="M150" i="17"/>
  <c r="M260" i="17"/>
  <c r="K361" i="17"/>
  <c r="K228" i="17"/>
  <c r="M283" i="17"/>
  <c r="M317" i="17"/>
  <c r="K144" i="17"/>
  <c r="M167" i="17"/>
  <c r="M72" i="17"/>
  <c r="K95" i="17"/>
  <c r="M51" i="17"/>
  <c r="M262" i="17"/>
  <c r="M374" i="17"/>
  <c r="Q112" i="31"/>
  <c r="I114" i="31" s="1"/>
  <c r="Q114" i="31" s="1"/>
  <c r="Q238" i="31"/>
  <c r="K285" i="17"/>
  <c r="M319" i="17"/>
  <c r="M74" i="17"/>
  <c r="M108" i="17"/>
  <c r="M131" i="17"/>
  <c r="M53" i="17"/>
  <c r="K342" i="17"/>
  <c r="M264" i="17"/>
  <c r="M298" i="17"/>
  <c r="M355" i="17"/>
  <c r="K353" i="17" s="1"/>
  <c r="M365" i="17" s="1"/>
  <c r="K365" i="17" s="1"/>
  <c r="Q154" i="31"/>
  <c r="K190" i="17"/>
  <c r="M300" i="17"/>
  <c r="K296" i="17" s="1"/>
  <c r="M308" i="17" s="1"/>
  <c r="K308" i="17" s="1"/>
  <c r="M378" i="17"/>
  <c r="Q266" i="31"/>
  <c r="Y255" i="31"/>
  <c r="I254" i="31"/>
  <c r="Q254" i="31" s="1"/>
  <c r="V253" i="31" s="1"/>
  <c r="Y253" i="31"/>
  <c r="Y254" i="31"/>
  <c r="Y252" i="31"/>
  <c r="L257" i="31" s="1"/>
  <c r="L256" i="31" s="1"/>
  <c r="Q257" i="31" s="1"/>
  <c r="V252" i="31"/>
  <c r="Y241" i="31"/>
  <c r="I240" i="31"/>
  <c r="Q240" i="31" s="1"/>
  <c r="V239" i="31" s="1"/>
  <c r="Y239" i="31"/>
  <c r="Y240" i="31"/>
  <c r="Y238" i="31"/>
  <c r="L243" i="31" s="1"/>
  <c r="L242" i="31" s="1"/>
  <c r="Q243" i="31" s="1"/>
  <c r="V238" i="31"/>
  <c r="Y227" i="31"/>
  <c r="I226" i="31"/>
  <c r="Q226" i="31" s="1"/>
  <c r="V225" i="31" s="1"/>
  <c r="Y225" i="31"/>
  <c r="Y226" i="31"/>
  <c r="Y224" i="31"/>
  <c r="L229" i="31" s="1"/>
  <c r="L228" i="31" s="1"/>
  <c r="Q229" i="31" s="1"/>
  <c r="V224" i="31"/>
  <c r="Y213" i="31"/>
  <c r="I212" i="31"/>
  <c r="Q212" i="31" s="1"/>
  <c r="V211" i="31" s="1"/>
  <c r="Y211" i="31"/>
  <c r="Y212" i="31"/>
  <c r="V210" i="31"/>
  <c r="Y199" i="31"/>
  <c r="I198" i="31"/>
  <c r="Q198" i="31" s="1"/>
  <c r="V197" i="31" s="1"/>
  <c r="Y197" i="31"/>
  <c r="Y198" i="31"/>
  <c r="Y196" i="31"/>
  <c r="L201" i="31" s="1"/>
  <c r="L200" i="31" s="1"/>
  <c r="Q201" i="31" s="1"/>
  <c r="V196" i="31"/>
  <c r="Y185" i="31"/>
  <c r="I184" i="31"/>
  <c r="Q184" i="31" s="1"/>
  <c r="V183" i="31" s="1"/>
  <c r="Y183" i="31"/>
  <c r="V182" i="31"/>
  <c r="Y184" i="31"/>
  <c r="Y182" i="31"/>
  <c r="L187" i="31" s="1"/>
  <c r="L186" i="31" s="1"/>
  <c r="Q187" i="31" s="1"/>
  <c r="Y171" i="31"/>
  <c r="I170" i="31"/>
  <c r="Q170" i="31" s="1"/>
  <c r="V169" i="31" s="1"/>
  <c r="Y170" i="31"/>
  <c r="V168" i="31"/>
  <c r="Y143" i="31"/>
  <c r="I142" i="31"/>
  <c r="Q142" i="31" s="1"/>
  <c r="V141" i="31" s="1"/>
  <c r="Y141" i="31"/>
  <c r="Y142" i="31"/>
  <c r="Y140" i="31"/>
  <c r="L145" i="31" s="1"/>
  <c r="L144" i="31" s="1"/>
  <c r="Q145" i="31" s="1"/>
  <c r="V140" i="31"/>
  <c r="Y129" i="31"/>
  <c r="I128" i="31"/>
  <c r="Q128" i="31" s="1"/>
  <c r="V127" i="31" s="1"/>
  <c r="Y128" i="31"/>
  <c r="V126" i="31"/>
  <c r="Y115" i="31"/>
  <c r="V112" i="31"/>
  <c r="Y114" i="31"/>
  <c r="Y101" i="31"/>
  <c r="I100" i="31"/>
  <c r="Q100" i="31" s="1"/>
  <c r="V99" i="31" s="1"/>
  <c r="Y99" i="31"/>
  <c r="Y100" i="31"/>
  <c r="Y98" i="31"/>
  <c r="L103" i="31" s="1"/>
  <c r="L102" i="31" s="1"/>
  <c r="Q103" i="31" s="1"/>
  <c r="V98" i="31"/>
  <c r="Y87" i="31"/>
  <c r="I86" i="31"/>
  <c r="Q86" i="31" s="1"/>
  <c r="V85" i="31" s="1"/>
  <c r="Y85" i="31"/>
  <c r="Y86" i="31"/>
  <c r="Y84" i="31"/>
  <c r="L89" i="31" s="1"/>
  <c r="L88" i="31" s="1"/>
  <c r="Q89" i="31" s="1"/>
  <c r="V84" i="31"/>
  <c r="Y73" i="31"/>
  <c r="I72" i="31"/>
  <c r="Q72" i="31" s="1"/>
  <c r="V71" i="31" s="1"/>
  <c r="Y71" i="31"/>
  <c r="Y72" i="31"/>
  <c r="Y70" i="31"/>
  <c r="L75" i="31" s="1"/>
  <c r="L74" i="31" s="1"/>
  <c r="Q75" i="31" s="1"/>
  <c r="V70" i="31"/>
  <c r="Y59" i="31"/>
  <c r="I58" i="31"/>
  <c r="Q58" i="31" s="1"/>
  <c r="V57" i="31" s="1"/>
  <c r="Y57" i="31"/>
  <c r="Y58" i="31"/>
  <c r="V56" i="31"/>
  <c r="Y31" i="31"/>
  <c r="I30" i="31"/>
  <c r="Q30" i="31" s="1"/>
  <c r="V29" i="31" s="1"/>
  <c r="Y29" i="31"/>
  <c r="Y30" i="31"/>
  <c r="Y28" i="31"/>
  <c r="L33" i="31" s="1"/>
  <c r="L32" i="31" s="1"/>
  <c r="Q33" i="31" s="1"/>
  <c r="V28" i="31"/>
  <c r="K334" i="17"/>
  <c r="M346" i="17" s="1"/>
  <c r="K346" i="17" s="1"/>
  <c r="K323" i="17"/>
  <c r="K266" i="17"/>
  <c r="K220" i="17"/>
  <c r="M232" i="17" s="1"/>
  <c r="K232" i="17" s="1"/>
  <c r="K201" i="17"/>
  <c r="O209" i="17"/>
  <c r="K209" i="17" s="1"/>
  <c r="K152" i="17"/>
  <c r="K133" i="17"/>
  <c r="K125" i="17"/>
  <c r="K106" i="17"/>
  <c r="O114" i="17"/>
  <c r="K114" i="17" s="1"/>
  <c r="K87" i="17"/>
  <c r="O76" i="17"/>
  <c r="K76" i="17" s="1"/>
  <c r="K57" i="17"/>
  <c r="K30" i="17"/>
  <c r="O38" i="17"/>
  <c r="K38" i="17" s="1"/>
  <c r="AB14" i="31"/>
  <c r="AO43" i="31"/>
  <c r="AP43" i="31" s="1"/>
  <c r="AO42" i="31"/>
  <c r="AP42" i="31" s="1"/>
  <c r="AO41" i="31"/>
  <c r="AP41" i="31" s="1"/>
  <c r="AO40" i="31"/>
  <c r="AP40" i="31" s="1"/>
  <c r="AO39" i="31"/>
  <c r="AP39" i="31" s="1"/>
  <c r="AO38" i="31"/>
  <c r="AP38" i="31" s="1"/>
  <c r="M213" i="17" l="1"/>
  <c r="K213" i="17" s="1"/>
  <c r="K372" i="17"/>
  <c r="M384" i="17" s="1"/>
  <c r="K384" i="17" s="1"/>
  <c r="K258" i="17"/>
  <c r="M270" i="17" s="1"/>
  <c r="K270" i="17" s="1"/>
  <c r="K49" i="17"/>
  <c r="M61" i="17" s="1"/>
  <c r="K61" i="17" s="1"/>
  <c r="K68" i="17"/>
  <c r="M80" i="17" s="1"/>
  <c r="K80" i="17" s="1"/>
  <c r="K315" i="17"/>
  <c r="K277" i="17"/>
  <c r="M289" i="17" s="1"/>
  <c r="K289" i="17" s="1"/>
  <c r="M194" i="17"/>
  <c r="K194" i="17" s="1"/>
  <c r="K163" i="17"/>
  <c r="M175" i="17" s="1"/>
  <c r="K175" i="17" s="1"/>
  <c r="Y44" i="31"/>
  <c r="Z44" i="31" s="1"/>
  <c r="Y45" i="31"/>
  <c r="Z45" i="31" s="1"/>
  <c r="I44" i="31"/>
  <c r="Q44" i="31" s="1"/>
  <c r="K239" i="17"/>
  <c r="M251" i="17" s="1"/>
  <c r="K251" i="17" s="1"/>
  <c r="M99" i="17"/>
  <c r="K99" i="17" s="1"/>
  <c r="M156" i="17"/>
  <c r="K156" i="17" s="1"/>
  <c r="M327" i="17"/>
  <c r="K327" i="17" s="1"/>
  <c r="V113" i="31"/>
  <c r="Y113" i="31"/>
  <c r="Y112" i="31"/>
  <c r="L117" i="31" s="1"/>
  <c r="L116" i="31" s="1"/>
  <c r="Q117" i="31" s="1"/>
  <c r="S255" i="17"/>
  <c r="M253" i="17"/>
  <c r="K253" i="17" s="1"/>
  <c r="U253" i="17" s="1"/>
  <c r="M255" i="17"/>
  <c r="K255" i="17" s="1"/>
  <c r="S254" i="17" s="1"/>
  <c r="Y268" i="31"/>
  <c r="V266" i="31"/>
  <c r="Y269" i="31"/>
  <c r="I268" i="31"/>
  <c r="Q268" i="31" s="1"/>
  <c r="V267" i="31" s="1"/>
  <c r="Y156" i="31"/>
  <c r="V154" i="31"/>
  <c r="Y157" i="31"/>
  <c r="I156" i="31"/>
  <c r="Q156" i="31" s="1"/>
  <c r="V280" i="31"/>
  <c r="Y282" i="31"/>
  <c r="Z282" i="31" s="1"/>
  <c r="Y126" i="31"/>
  <c r="L131" i="31" s="1"/>
  <c r="L130" i="31" s="1"/>
  <c r="Q131" i="31" s="1"/>
  <c r="Y168" i="31"/>
  <c r="L173" i="31" s="1"/>
  <c r="L172" i="31" s="1"/>
  <c r="Q173" i="31" s="1"/>
  <c r="M118" i="17"/>
  <c r="K118" i="17" s="1"/>
  <c r="I282" i="31"/>
  <c r="Q282" i="31" s="1"/>
  <c r="V281" i="31" s="1"/>
  <c r="M137" i="17"/>
  <c r="K137" i="17" s="1"/>
  <c r="S141" i="17" s="1"/>
  <c r="Y56" i="31"/>
  <c r="L61" i="31" s="1"/>
  <c r="L60" i="31" s="1"/>
  <c r="Q61" i="31" s="1"/>
  <c r="Y127" i="31"/>
  <c r="Y169" i="31"/>
  <c r="Y210" i="31"/>
  <c r="L215" i="31" s="1"/>
  <c r="L214" i="31" s="1"/>
  <c r="Q215" i="31" s="1"/>
  <c r="V283" i="31"/>
  <c r="Z283" i="31"/>
  <c r="Z254" i="31"/>
  <c r="V254" i="31"/>
  <c r="V255" i="31"/>
  <c r="Z255" i="31"/>
  <c r="Z240" i="31"/>
  <c r="V240" i="31"/>
  <c r="V241" i="31"/>
  <c r="Z241" i="31"/>
  <c r="Z226" i="31"/>
  <c r="V226" i="31"/>
  <c r="V227" i="31"/>
  <c r="Z227" i="31"/>
  <c r="Z212" i="31"/>
  <c r="V212" i="31"/>
  <c r="V213" i="31"/>
  <c r="Z213" i="31"/>
  <c r="Z198" i="31"/>
  <c r="V198" i="31"/>
  <c r="V199" i="31"/>
  <c r="Z199" i="31"/>
  <c r="V184" i="31"/>
  <c r="Z184" i="31"/>
  <c r="V185" i="31"/>
  <c r="Z185" i="31"/>
  <c r="Z170" i="31"/>
  <c r="V170" i="31"/>
  <c r="V171" i="31"/>
  <c r="Z171" i="31"/>
  <c r="Z142" i="31"/>
  <c r="V142" i="31"/>
  <c r="V143" i="31"/>
  <c r="Z143" i="31"/>
  <c r="Z128" i="31"/>
  <c r="V128" i="31"/>
  <c r="V129" i="31"/>
  <c r="Z129" i="31"/>
  <c r="V114" i="31"/>
  <c r="Z114" i="31"/>
  <c r="V115" i="31"/>
  <c r="Z115" i="31"/>
  <c r="Z100" i="31"/>
  <c r="V100" i="31"/>
  <c r="V101" i="31"/>
  <c r="Z101" i="31"/>
  <c r="Z86" i="31"/>
  <c r="V86" i="31"/>
  <c r="V87" i="31"/>
  <c r="Z87" i="31"/>
  <c r="Z72" i="31"/>
  <c r="V72" i="31"/>
  <c r="V73" i="31"/>
  <c r="Z73" i="31"/>
  <c r="Z58" i="31"/>
  <c r="V58" i="31"/>
  <c r="V59" i="31"/>
  <c r="Z59" i="31"/>
  <c r="Z30" i="31"/>
  <c r="V30" i="31"/>
  <c r="V31" i="31"/>
  <c r="Z31" i="31"/>
  <c r="S388" i="17"/>
  <c r="M386" i="17"/>
  <c r="K386" i="17" s="1"/>
  <c r="U386" i="17" s="1"/>
  <c r="M388" i="17"/>
  <c r="K388" i="17" s="1"/>
  <c r="S387" i="17" s="1"/>
  <c r="S369" i="17"/>
  <c r="M367" i="17"/>
  <c r="K367" i="17" s="1"/>
  <c r="U367" i="17" s="1"/>
  <c r="M369" i="17"/>
  <c r="K369" i="17" s="1"/>
  <c r="S368" i="17" s="1"/>
  <c r="S350" i="17"/>
  <c r="M348" i="17"/>
  <c r="K348" i="17" s="1"/>
  <c r="U348" i="17" s="1"/>
  <c r="M350" i="17"/>
  <c r="K350" i="17" s="1"/>
  <c r="S349" i="17" s="1"/>
  <c r="S331" i="17"/>
  <c r="M329" i="17"/>
  <c r="K329" i="17" s="1"/>
  <c r="U329" i="17" s="1"/>
  <c r="M331" i="17"/>
  <c r="K331" i="17" s="1"/>
  <c r="S330" i="17" s="1"/>
  <c r="S312" i="17"/>
  <c r="M310" i="17"/>
  <c r="K310" i="17" s="1"/>
  <c r="U310" i="17" s="1"/>
  <c r="M312" i="17"/>
  <c r="K312" i="17" s="1"/>
  <c r="S311" i="17" s="1"/>
  <c r="S293" i="17"/>
  <c r="M291" i="17"/>
  <c r="K291" i="17" s="1"/>
  <c r="U291" i="17" s="1"/>
  <c r="M293" i="17"/>
  <c r="K293" i="17" s="1"/>
  <c r="S292" i="17" s="1"/>
  <c r="S274" i="17"/>
  <c r="M272" i="17"/>
  <c r="K272" i="17" s="1"/>
  <c r="U272" i="17" s="1"/>
  <c r="M274" i="17"/>
  <c r="K274" i="17" s="1"/>
  <c r="S273" i="17" s="1"/>
  <c r="S236" i="17"/>
  <c r="M234" i="17"/>
  <c r="K234" i="17" s="1"/>
  <c r="U234" i="17" s="1"/>
  <c r="M236" i="17"/>
  <c r="K236" i="17" s="1"/>
  <c r="S235" i="17" s="1"/>
  <c r="S217" i="17"/>
  <c r="M215" i="17"/>
  <c r="K215" i="17" s="1"/>
  <c r="U215" i="17" s="1"/>
  <c r="M217" i="17"/>
  <c r="K217" i="17" s="1"/>
  <c r="S216" i="17" s="1"/>
  <c r="S198" i="17"/>
  <c r="M196" i="17"/>
  <c r="K196" i="17" s="1"/>
  <c r="U196" i="17" s="1"/>
  <c r="M198" i="17"/>
  <c r="K198" i="17" s="1"/>
  <c r="S197" i="17" s="1"/>
  <c r="S179" i="17"/>
  <c r="M177" i="17"/>
  <c r="K177" i="17" s="1"/>
  <c r="U177" i="17" s="1"/>
  <c r="M179" i="17"/>
  <c r="K179" i="17" s="1"/>
  <c r="S178" i="17" s="1"/>
  <c r="S160" i="17"/>
  <c r="M158" i="17"/>
  <c r="K158" i="17" s="1"/>
  <c r="U158" i="17" s="1"/>
  <c r="M160" i="17"/>
  <c r="K160" i="17" s="1"/>
  <c r="S159" i="17" s="1"/>
  <c r="S122" i="17"/>
  <c r="M120" i="17"/>
  <c r="K120" i="17" s="1"/>
  <c r="U120" i="17" s="1"/>
  <c r="M122" i="17"/>
  <c r="K122" i="17" s="1"/>
  <c r="S121" i="17" s="1"/>
  <c r="S103" i="17"/>
  <c r="M101" i="17"/>
  <c r="K101" i="17" s="1"/>
  <c r="U101" i="17" s="1"/>
  <c r="M103" i="17"/>
  <c r="K103" i="17" s="1"/>
  <c r="S102" i="17" s="1"/>
  <c r="S84" i="17"/>
  <c r="M82" i="17"/>
  <c r="K82" i="17" s="1"/>
  <c r="U82" i="17" s="1"/>
  <c r="M84" i="17"/>
  <c r="K84" i="17" s="1"/>
  <c r="S83" i="17" s="1"/>
  <c r="S65" i="17"/>
  <c r="M63" i="17"/>
  <c r="K63" i="17" s="1"/>
  <c r="U63" i="17" s="1"/>
  <c r="M65" i="17"/>
  <c r="K65" i="17" s="1"/>
  <c r="S64" i="17" s="1"/>
  <c r="M42" i="17"/>
  <c r="K42" i="17" s="1"/>
  <c r="AL39" i="31"/>
  <c r="U10" i="31"/>
  <c r="V155" i="31" l="1"/>
  <c r="Y155" i="31"/>
  <c r="Y154" i="31"/>
  <c r="L159" i="31" s="1"/>
  <c r="L158" i="31" s="1"/>
  <c r="Q159" i="31" s="1"/>
  <c r="Y42" i="31"/>
  <c r="L47" i="31" s="1"/>
  <c r="L46" i="31" s="1"/>
  <c r="Q46" i="31"/>
  <c r="V44" i="31"/>
  <c r="V45" i="31"/>
  <c r="V43" i="31"/>
  <c r="Y43" i="31"/>
  <c r="M141" i="17"/>
  <c r="K141" i="17" s="1"/>
  <c r="S140" i="17" s="1"/>
  <c r="M139" i="17"/>
  <c r="K139" i="17" s="1"/>
  <c r="U139" i="17" s="1"/>
  <c r="V269" i="31"/>
  <c r="Z269" i="31"/>
  <c r="AB10" i="31"/>
  <c r="AB108" i="31"/>
  <c r="AB150" i="31"/>
  <c r="AB192" i="31"/>
  <c r="AB234" i="31"/>
  <c r="AB276" i="31"/>
  <c r="AB52" i="31"/>
  <c r="AB136" i="31"/>
  <c r="AB94" i="31"/>
  <c r="AB178" i="31"/>
  <c r="AB220" i="31"/>
  <c r="AB262" i="31"/>
  <c r="AB38" i="31"/>
  <c r="AB80" i="31"/>
  <c r="AB122" i="31"/>
  <c r="AB164" i="31"/>
  <c r="AB206" i="31"/>
  <c r="AB248" i="31"/>
  <c r="AB24" i="31"/>
  <c r="AB66" i="31"/>
  <c r="Y281" i="31"/>
  <c r="Y266" i="31"/>
  <c r="L271" i="31" s="1"/>
  <c r="L270" i="31" s="1"/>
  <c r="Q271" i="31" s="1"/>
  <c r="Z268" i="31"/>
  <c r="V268" i="31"/>
  <c r="Y267" i="31"/>
  <c r="Z156" i="31"/>
  <c r="V156" i="31"/>
  <c r="Y280" i="31"/>
  <c r="L285" i="31" s="1"/>
  <c r="L284" i="31" s="1"/>
  <c r="Q285" i="31" s="1"/>
  <c r="V282" i="31"/>
  <c r="V157" i="31"/>
  <c r="Z157" i="31"/>
  <c r="S46" i="17"/>
  <c r="M44" i="17"/>
  <c r="K44" i="17" s="1"/>
  <c r="U44" i="17" s="1"/>
  <c r="M46" i="17"/>
  <c r="K46" i="17" s="1"/>
  <c r="S45" i="17" s="1"/>
  <c r="U26" i="17"/>
  <c r="Q47" i="31" l="1"/>
  <c r="AK40" i="31"/>
  <c r="AL40" i="31" s="1"/>
  <c r="P328" i="29" l="1"/>
  <c r="N327" i="29"/>
  <c r="P324" i="29"/>
  <c r="P323" i="29"/>
  <c r="L323" i="29"/>
  <c r="P322" i="29"/>
  <c r="P321" i="29"/>
  <c r="L321" i="29"/>
  <c r="J321" i="29"/>
  <c r="N319" i="29"/>
  <c r="L319" i="29"/>
  <c r="N317" i="29"/>
  <c r="L317" i="29"/>
  <c r="J317" i="29"/>
  <c r="R315" i="29"/>
  <c r="L315" i="29"/>
  <c r="J315" i="29"/>
  <c r="P315" i="29" s="1"/>
  <c r="P312" i="29"/>
  <c r="N311" i="29"/>
  <c r="P308" i="29"/>
  <c r="P307" i="29"/>
  <c r="L307" i="29"/>
  <c r="P306" i="29"/>
  <c r="P305" i="29"/>
  <c r="L305" i="29"/>
  <c r="J305" i="29"/>
  <c r="N303" i="29"/>
  <c r="L303" i="29"/>
  <c r="N301" i="29"/>
  <c r="L301" i="29"/>
  <c r="J301" i="29"/>
  <c r="H301" i="29" s="1"/>
  <c r="R299" i="29"/>
  <c r="L299" i="29"/>
  <c r="J299" i="29"/>
  <c r="P299" i="29" s="1"/>
  <c r="P296" i="29"/>
  <c r="N295" i="29"/>
  <c r="P292" i="29"/>
  <c r="P291" i="29"/>
  <c r="L291" i="29"/>
  <c r="P290" i="29"/>
  <c r="P289" i="29"/>
  <c r="L289" i="29"/>
  <c r="J289" i="29"/>
  <c r="H289" i="29" s="1"/>
  <c r="N287" i="29"/>
  <c r="L287" i="29"/>
  <c r="N285" i="29"/>
  <c r="L285" i="29"/>
  <c r="J285" i="29"/>
  <c r="R283" i="29"/>
  <c r="L283" i="29"/>
  <c r="J283" i="29"/>
  <c r="P283" i="29" s="1"/>
  <c r="H283" i="29" s="1"/>
  <c r="P280" i="29"/>
  <c r="N279" i="29"/>
  <c r="P276" i="29"/>
  <c r="P275" i="29"/>
  <c r="L275" i="29"/>
  <c r="P274" i="29"/>
  <c r="P273" i="29"/>
  <c r="L273" i="29"/>
  <c r="J273" i="29"/>
  <c r="N271" i="29"/>
  <c r="L271" i="29"/>
  <c r="N269" i="29"/>
  <c r="L269" i="29"/>
  <c r="J269" i="29"/>
  <c r="R267" i="29"/>
  <c r="L267" i="29"/>
  <c r="J267" i="29"/>
  <c r="P267" i="29" s="1"/>
  <c r="H267" i="29" s="1"/>
  <c r="P264" i="29"/>
  <c r="N263" i="29"/>
  <c r="P260" i="29"/>
  <c r="P259" i="29"/>
  <c r="L259" i="29"/>
  <c r="P258" i="29"/>
  <c r="P257" i="29"/>
  <c r="L257" i="29"/>
  <c r="J257" i="29"/>
  <c r="N255" i="29"/>
  <c r="L255" i="29"/>
  <c r="N253" i="29"/>
  <c r="L253" i="29"/>
  <c r="J253" i="29"/>
  <c r="R251" i="29"/>
  <c r="L251" i="29"/>
  <c r="J251" i="29"/>
  <c r="P251" i="29" s="1"/>
  <c r="P248" i="29"/>
  <c r="N247" i="29"/>
  <c r="P244" i="29"/>
  <c r="P243" i="29"/>
  <c r="L243" i="29"/>
  <c r="P242" i="29"/>
  <c r="P241" i="29"/>
  <c r="L241" i="29"/>
  <c r="J241" i="29"/>
  <c r="N239" i="29"/>
  <c r="L239" i="29"/>
  <c r="N237" i="29"/>
  <c r="L237" i="29"/>
  <c r="J237" i="29"/>
  <c r="R235" i="29"/>
  <c r="L235" i="29"/>
  <c r="J235" i="29"/>
  <c r="P235" i="29" s="1"/>
  <c r="P232" i="29"/>
  <c r="N231" i="29"/>
  <c r="P228" i="29"/>
  <c r="P227" i="29"/>
  <c r="L227" i="29"/>
  <c r="P226" i="29"/>
  <c r="P225" i="29"/>
  <c r="L225" i="29"/>
  <c r="J225" i="29"/>
  <c r="N223" i="29"/>
  <c r="L223" i="29"/>
  <c r="N221" i="29"/>
  <c r="L221" i="29"/>
  <c r="J221" i="29"/>
  <c r="R219" i="29"/>
  <c r="L219" i="29"/>
  <c r="J219" i="29"/>
  <c r="P219" i="29" s="1"/>
  <c r="P216" i="29"/>
  <c r="N215" i="29"/>
  <c r="P212" i="29"/>
  <c r="P211" i="29"/>
  <c r="L211" i="29"/>
  <c r="P210" i="29"/>
  <c r="P209" i="29"/>
  <c r="L209" i="29"/>
  <c r="J209" i="29"/>
  <c r="N207" i="29"/>
  <c r="L207" i="29"/>
  <c r="N205" i="29"/>
  <c r="L205" i="29"/>
  <c r="J205" i="29"/>
  <c r="R203" i="29"/>
  <c r="L203" i="29"/>
  <c r="J203" i="29"/>
  <c r="P203" i="29" s="1"/>
  <c r="H203" i="29" s="1"/>
  <c r="P200" i="29"/>
  <c r="N199" i="29"/>
  <c r="P196" i="29"/>
  <c r="P195" i="29"/>
  <c r="L195" i="29"/>
  <c r="P194" i="29"/>
  <c r="P193" i="29"/>
  <c r="L193" i="29"/>
  <c r="J193" i="29"/>
  <c r="N191" i="29"/>
  <c r="L191" i="29"/>
  <c r="N189" i="29"/>
  <c r="L189" i="29"/>
  <c r="J189" i="29"/>
  <c r="R187" i="29"/>
  <c r="L187" i="29"/>
  <c r="J187" i="29"/>
  <c r="P187" i="29" s="1"/>
  <c r="P184" i="29"/>
  <c r="N183" i="29"/>
  <c r="P180" i="29"/>
  <c r="P179" i="29"/>
  <c r="L179" i="29"/>
  <c r="P178" i="29"/>
  <c r="P177" i="29"/>
  <c r="L177" i="29"/>
  <c r="J177" i="29"/>
  <c r="H177" i="29" s="1"/>
  <c r="N175" i="29"/>
  <c r="L175" i="29"/>
  <c r="N173" i="29"/>
  <c r="L173" i="29"/>
  <c r="J173" i="29"/>
  <c r="R171" i="29"/>
  <c r="L171" i="29"/>
  <c r="J171" i="29"/>
  <c r="P171" i="29" s="1"/>
  <c r="H171" i="29" s="1"/>
  <c r="P168" i="29"/>
  <c r="N167" i="29"/>
  <c r="P164" i="29"/>
  <c r="P163" i="29"/>
  <c r="L163" i="29"/>
  <c r="P162" i="29"/>
  <c r="P161" i="29"/>
  <c r="L161" i="29"/>
  <c r="J161" i="29"/>
  <c r="N159" i="29"/>
  <c r="L159" i="29"/>
  <c r="N157" i="29"/>
  <c r="L157" i="29"/>
  <c r="J157" i="29"/>
  <c r="R155" i="29"/>
  <c r="L155" i="29"/>
  <c r="J155" i="29"/>
  <c r="P155" i="29" s="1"/>
  <c r="H155" i="29" s="1"/>
  <c r="P152" i="29"/>
  <c r="N151" i="29"/>
  <c r="P148" i="29"/>
  <c r="P147" i="29"/>
  <c r="L147" i="29"/>
  <c r="P146" i="29"/>
  <c r="P145" i="29"/>
  <c r="L145" i="29"/>
  <c r="J145" i="29"/>
  <c r="N143" i="29"/>
  <c r="L143" i="29"/>
  <c r="N141" i="29"/>
  <c r="L141" i="29"/>
  <c r="J141" i="29"/>
  <c r="R139" i="29"/>
  <c r="L139" i="29"/>
  <c r="J139" i="29"/>
  <c r="P139" i="29" s="1"/>
  <c r="H139" i="29" s="1"/>
  <c r="P136" i="29"/>
  <c r="N135" i="29"/>
  <c r="P132" i="29"/>
  <c r="P131" i="29"/>
  <c r="L131" i="29"/>
  <c r="P130" i="29"/>
  <c r="P129" i="29"/>
  <c r="L129" i="29"/>
  <c r="J129" i="29"/>
  <c r="N127" i="29"/>
  <c r="L127" i="29"/>
  <c r="N125" i="29"/>
  <c r="L125" i="29"/>
  <c r="J125" i="29"/>
  <c r="R123" i="29"/>
  <c r="L123" i="29"/>
  <c r="J123" i="29"/>
  <c r="P123" i="29" s="1"/>
  <c r="H123" i="29" s="1"/>
  <c r="P120" i="29"/>
  <c r="N119" i="29"/>
  <c r="P116" i="29"/>
  <c r="P115" i="29"/>
  <c r="L115" i="29"/>
  <c r="P114" i="29"/>
  <c r="P113" i="29"/>
  <c r="L113" i="29"/>
  <c r="J113" i="29"/>
  <c r="N111" i="29"/>
  <c r="L111" i="29"/>
  <c r="N109" i="29"/>
  <c r="L109" i="29"/>
  <c r="J109" i="29"/>
  <c r="R107" i="29"/>
  <c r="L107" i="29"/>
  <c r="J107" i="29"/>
  <c r="P107" i="29" s="1"/>
  <c r="P104" i="29"/>
  <c r="N103" i="29"/>
  <c r="P100" i="29"/>
  <c r="P99" i="29"/>
  <c r="L99" i="29"/>
  <c r="P98" i="29"/>
  <c r="P97" i="29"/>
  <c r="L97" i="29"/>
  <c r="J97" i="29"/>
  <c r="N95" i="29"/>
  <c r="L95" i="29"/>
  <c r="N93" i="29"/>
  <c r="L93" i="29"/>
  <c r="J93" i="29"/>
  <c r="R91" i="29"/>
  <c r="L91" i="29"/>
  <c r="J91" i="29"/>
  <c r="P91" i="29" s="1"/>
  <c r="P88" i="29"/>
  <c r="N87" i="29"/>
  <c r="P84" i="29"/>
  <c r="P83" i="29"/>
  <c r="L83" i="29"/>
  <c r="P82" i="29"/>
  <c r="P81" i="29"/>
  <c r="L81" i="29"/>
  <c r="J81" i="29"/>
  <c r="N79" i="29"/>
  <c r="L79" i="29"/>
  <c r="N77" i="29"/>
  <c r="L77" i="29"/>
  <c r="J77" i="29"/>
  <c r="R75" i="29"/>
  <c r="L75" i="29"/>
  <c r="J75" i="29"/>
  <c r="P75" i="29" s="1"/>
  <c r="H75" i="29" s="1"/>
  <c r="P72" i="29"/>
  <c r="N71" i="29"/>
  <c r="P68" i="29"/>
  <c r="P67" i="29"/>
  <c r="L67" i="29"/>
  <c r="P66" i="29"/>
  <c r="P65" i="29"/>
  <c r="L65" i="29"/>
  <c r="J65" i="29"/>
  <c r="N63" i="29"/>
  <c r="L63" i="29"/>
  <c r="N61" i="29"/>
  <c r="L61" i="29"/>
  <c r="J61" i="29"/>
  <c r="R59" i="29"/>
  <c r="L59" i="29"/>
  <c r="J59" i="29"/>
  <c r="P59" i="29" s="1"/>
  <c r="P56" i="29"/>
  <c r="N55" i="29"/>
  <c r="P52" i="29"/>
  <c r="P51" i="29"/>
  <c r="L51" i="29"/>
  <c r="P50" i="29"/>
  <c r="P49" i="29"/>
  <c r="L49" i="29"/>
  <c r="J49" i="29"/>
  <c r="N47" i="29"/>
  <c r="L47" i="29"/>
  <c r="N45" i="29"/>
  <c r="L45" i="29"/>
  <c r="J45" i="29"/>
  <c r="R43" i="29"/>
  <c r="L43" i="29"/>
  <c r="J43" i="29"/>
  <c r="P43" i="29" s="1"/>
  <c r="H43" i="29" s="1"/>
  <c r="P40" i="29"/>
  <c r="N39" i="29"/>
  <c r="P36" i="29"/>
  <c r="P35" i="29"/>
  <c r="L35" i="29"/>
  <c r="P34" i="29"/>
  <c r="P33" i="29"/>
  <c r="L33" i="29"/>
  <c r="J33" i="29"/>
  <c r="N31" i="29"/>
  <c r="L31" i="29"/>
  <c r="N29" i="29"/>
  <c r="L29" i="29"/>
  <c r="J29" i="29"/>
  <c r="R27" i="29"/>
  <c r="L27" i="29"/>
  <c r="J27" i="29"/>
  <c r="P27" i="29" s="1"/>
  <c r="H33" i="29" l="1"/>
  <c r="H113" i="29"/>
  <c r="H299" i="29"/>
  <c r="J303" i="29" s="1"/>
  <c r="H303" i="29" s="1"/>
  <c r="H187" i="29"/>
  <c r="H59" i="29"/>
  <c r="H77" i="29"/>
  <c r="H173" i="29"/>
  <c r="H129" i="29"/>
  <c r="H145" i="29"/>
  <c r="J175" i="29"/>
  <c r="H175" i="29" s="1"/>
  <c r="P182" i="29" s="1"/>
  <c r="H81" i="29"/>
  <c r="H193" i="29"/>
  <c r="H225" i="29"/>
  <c r="H273" i="29"/>
  <c r="H317" i="29"/>
  <c r="H161" i="29"/>
  <c r="H189" i="29"/>
  <c r="H29" i="29"/>
  <c r="H45" i="29"/>
  <c r="J47" i="29" s="1"/>
  <c r="H47" i="29" s="1"/>
  <c r="H219" i="29"/>
  <c r="J79" i="29"/>
  <c r="H79" i="29" s="1"/>
  <c r="P86" i="29" s="1"/>
  <c r="H205" i="29"/>
  <c r="J207" i="29" s="1"/>
  <c r="H207" i="29" s="1"/>
  <c r="H27" i="29"/>
  <c r="H91" i="29"/>
  <c r="H305" i="29"/>
  <c r="H61" i="29"/>
  <c r="H107" i="29"/>
  <c r="H221" i="29"/>
  <c r="H235" i="29"/>
  <c r="H251" i="29"/>
  <c r="H321" i="29"/>
  <c r="H49" i="29"/>
  <c r="H93" i="29"/>
  <c r="H237" i="29"/>
  <c r="H209" i="29"/>
  <c r="H253" i="29"/>
  <c r="J255" i="29" s="1"/>
  <c r="H255" i="29" s="1"/>
  <c r="H109" i="29"/>
  <c r="H125" i="29"/>
  <c r="J127" i="29" s="1"/>
  <c r="H127" i="29" s="1"/>
  <c r="H65" i="29"/>
  <c r="H141" i="29"/>
  <c r="J143" i="29" s="1"/>
  <c r="H143" i="29" s="1"/>
  <c r="H269" i="29"/>
  <c r="H97" i="29"/>
  <c r="H157" i="29"/>
  <c r="J159" i="29" s="1"/>
  <c r="H159" i="29" s="1"/>
  <c r="H241" i="29"/>
  <c r="H285" i="29"/>
  <c r="J287" i="29" s="1"/>
  <c r="H287" i="29" s="1"/>
  <c r="J291" i="29" s="1"/>
  <c r="H291" i="29" s="1"/>
  <c r="P293" i="29" s="1"/>
  <c r="H257" i="29"/>
  <c r="H315" i="29"/>
  <c r="J319" i="29" s="1"/>
  <c r="H319" i="29" s="1"/>
  <c r="J271" i="29"/>
  <c r="H271" i="29" s="1"/>
  <c r="J191" i="29"/>
  <c r="H191" i="29" s="1"/>
  <c r="I8" i="31"/>
  <c r="I10" i="31" s="1"/>
  <c r="J95" i="29" l="1"/>
  <c r="H95" i="29" s="1"/>
  <c r="J223" i="29"/>
  <c r="H223" i="29" s="1"/>
  <c r="P230" i="29" s="1"/>
  <c r="J63" i="29"/>
  <c r="H63" i="29" s="1"/>
  <c r="J111" i="29"/>
  <c r="H111" i="29" s="1"/>
  <c r="J179" i="29"/>
  <c r="H179" i="29" s="1"/>
  <c r="P181" i="29" s="1"/>
  <c r="J31" i="29"/>
  <c r="H31" i="29" s="1"/>
  <c r="P38" i="29" s="1"/>
  <c r="P166" i="29"/>
  <c r="J163" i="29"/>
  <c r="H163" i="29" s="1"/>
  <c r="P165" i="29" s="1"/>
  <c r="R168" i="29" s="1"/>
  <c r="P167" i="29" s="1"/>
  <c r="R164" i="29" s="1"/>
  <c r="J131" i="29"/>
  <c r="H131" i="29" s="1"/>
  <c r="P133" i="29" s="1"/>
  <c r="P134" i="29"/>
  <c r="J147" i="29"/>
  <c r="H147" i="29" s="1"/>
  <c r="P149" i="29" s="1"/>
  <c r="P150" i="29"/>
  <c r="P214" i="29"/>
  <c r="J211" i="29"/>
  <c r="H211" i="29" s="1"/>
  <c r="P213" i="29" s="1"/>
  <c r="P54" i="29"/>
  <c r="J51" i="29"/>
  <c r="H51" i="29" s="1"/>
  <c r="P53" i="29" s="1"/>
  <c r="R56" i="29" s="1"/>
  <c r="P55" i="29" s="1"/>
  <c r="P294" i="29"/>
  <c r="R296" i="29" s="1"/>
  <c r="P295" i="29" s="1"/>
  <c r="J227" i="29"/>
  <c r="H227" i="29" s="1"/>
  <c r="P229" i="29" s="1"/>
  <c r="R232" i="29" s="1"/>
  <c r="P231" i="29" s="1"/>
  <c r="R229" i="29" s="1"/>
  <c r="J239" i="29"/>
  <c r="H239" i="29" s="1"/>
  <c r="J83" i="29"/>
  <c r="H83" i="29" s="1"/>
  <c r="P85" i="29" s="1"/>
  <c r="P326" i="29"/>
  <c r="J323" i="29"/>
  <c r="H323" i="29" s="1"/>
  <c r="P325" i="29" s="1"/>
  <c r="P310" i="29"/>
  <c r="J307" i="29"/>
  <c r="H307" i="29" s="1"/>
  <c r="P309" i="29" s="1"/>
  <c r="P278" i="29"/>
  <c r="J275" i="29"/>
  <c r="H275" i="29" s="1"/>
  <c r="P277" i="29" s="1"/>
  <c r="P262" i="29"/>
  <c r="J259" i="29"/>
  <c r="H259" i="29" s="1"/>
  <c r="P261" i="29" s="1"/>
  <c r="P198" i="29"/>
  <c r="J195" i="29"/>
  <c r="H195" i="29" s="1"/>
  <c r="P197" i="29" s="1"/>
  <c r="R184" i="29"/>
  <c r="P183" i="29" s="1"/>
  <c r="R178" i="29" s="1"/>
  <c r="R136" i="29"/>
  <c r="P135" i="29" s="1"/>
  <c r="S131" i="29" s="1"/>
  <c r="P118" i="29"/>
  <c r="J115" i="29"/>
  <c r="H115" i="29" s="1"/>
  <c r="P117" i="29" s="1"/>
  <c r="P102" i="29"/>
  <c r="J99" i="29"/>
  <c r="H99" i="29" s="1"/>
  <c r="P101" i="29" s="1"/>
  <c r="P70" i="29"/>
  <c r="J67" i="29"/>
  <c r="H67" i="29" s="1"/>
  <c r="P69" i="29" s="1"/>
  <c r="AM105" i="31"/>
  <c r="AN105" i="31" s="1"/>
  <c r="AK43" i="31"/>
  <c r="AL43" i="31" s="1"/>
  <c r="AK42" i="31"/>
  <c r="AJ42" i="31"/>
  <c r="AL42" i="31" s="1"/>
  <c r="AK41" i="31"/>
  <c r="AL41" i="31" s="1"/>
  <c r="V19" i="31"/>
  <c r="AU17" i="31"/>
  <c r="AT17" i="31"/>
  <c r="AS17" i="31"/>
  <c r="AR17" i="31"/>
  <c r="AQ17" i="31"/>
  <c r="AP17" i="31"/>
  <c r="AU16" i="31"/>
  <c r="AT16" i="31"/>
  <c r="AS16" i="31"/>
  <c r="AR16" i="31"/>
  <c r="AQ16" i="31"/>
  <c r="AP16" i="31"/>
  <c r="O16" i="31"/>
  <c r="K16" i="31"/>
  <c r="AU15" i="31"/>
  <c r="AT15" i="31"/>
  <c r="AS15" i="31"/>
  <c r="AR15" i="31"/>
  <c r="AQ15" i="31"/>
  <c r="AP15" i="31"/>
  <c r="AU14" i="31"/>
  <c r="AT14" i="31"/>
  <c r="AS14" i="31"/>
  <c r="AR14" i="31"/>
  <c r="AQ14" i="31"/>
  <c r="AP14" i="31"/>
  <c r="AU13" i="31"/>
  <c r="AT13" i="31"/>
  <c r="AS13" i="31"/>
  <c r="AR13" i="31"/>
  <c r="AQ13" i="31"/>
  <c r="AP13" i="31"/>
  <c r="AU12" i="31"/>
  <c r="AT12" i="31"/>
  <c r="AS12" i="31"/>
  <c r="AR12" i="31"/>
  <c r="AQ12" i="31"/>
  <c r="AP12" i="31"/>
  <c r="Q12" i="31"/>
  <c r="O12" i="31"/>
  <c r="M12" i="31"/>
  <c r="K12" i="31"/>
  <c r="AU11" i="31"/>
  <c r="AT11" i="31"/>
  <c r="AS11" i="31"/>
  <c r="AR11" i="31"/>
  <c r="AQ11" i="31"/>
  <c r="K8" i="31" s="1"/>
  <c r="K10" i="31" s="1"/>
  <c r="AP11" i="31"/>
  <c r="AU10" i="31"/>
  <c r="AT10" i="31"/>
  <c r="AS10" i="31"/>
  <c r="AR10" i="31"/>
  <c r="AQ10" i="31"/>
  <c r="AP10" i="31"/>
  <c r="W10" i="31"/>
  <c r="S10" i="31"/>
  <c r="Q10" i="31"/>
  <c r="O10" i="31"/>
  <c r="M10" i="31"/>
  <c r="AU9" i="31"/>
  <c r="AT9" i="31"/>
  <c r="AS9" i="31"/>
  <c r="AR9" i="31"/>
  <c r="AQ9" i="31"/>
  <c r="AP9" i="31"/>
  <c r="O8" i="31"/>
  <c r="M8" i="31"/>
  <c r="I12" i="31"/>
  <c r="Z7" i="31"/>
  <c r="Y7" i="31"/>
  <c r="P24" i="29"/>
  <c r="P20" i="29"/>
  <c r="P19" i="29"/>
  <c r="L19" i="29"/>
  <c r="P18" i="29"/>
  <c r="P17" i="29"/>
  <c r="L17" i="29"/>
  <c r="J17" i="29"/>
  <c r="N15" i="29"/>
  <c r="L15" i="29"/>
  <c r="N13" i="29"/>
  <c r="L13" i="29"/>
  <c r="J13" i="29"/>
  <c r="R11" i="29"/>
  <c r="L11" i="29"/>
  <c r="J11" i="29"/>
  <c r="P11" i="29" s="1"/>
  <c r="AH51" i="17"/>
  <c r="AG51" i="17"/>
  <c r="AF51" i="17"/>
  <c r="AE51" i="17"/>
  <c r="AD51" i="17"/>
  <c r="AC51" i="17"/>
  <c r="AH50" i="17"/>
  <c r="AG50" i="17"/>
  <c r="Z38" i="17" s="1"/>
  <c r="AF50" i="17"/>
  <c r="AE50" i="17"/>
  <c r="Z36" i="17" s="1"/>
  <c r="AD50" i="17"/>
  <c r="Z35" i="17" s="1"/>
  <c r="AC50" i="17"/>
  <c r="Z34" i="17" s="1"/>
  <c r="AH49" i="17"/>
  <c r="Y39" i="17" s="1"/>
  <c r="AG49" i="17"/>
  <c r="Y38" i="17" s="1"/>
  <c r="AF49" i="17"/>
  <c r="AE49" i="17"/>
  <c r="Y36" i="17" s="1"/>
  <c r="AD49" i="17"/>
  <c r="Y35" i="17" s="1"/>
  <c r="AC49" i="17"/>
  <c r="Y34" i="17" s="1"/>
  <c r="Z39" i="17"/>
  <c r="Z37" i="17"/>
  <c r="Y37" i="17"/>
  <c r="O27" i="17"/>
  <c r="O25" i="17"/>
  <c r="S24" i="17"/>
  <c r="S23" i="17"/>
  <c r="O23" i="17"/>
  <c r="S22" i="17"/>
  <c r="S21" i="17"/>
  <c r="M21" i="17"/>
  <c r="K21" i="17" s="1"/>
  <c r="S19" i="17"/>
  <c r="Q19" i="17"/>
  <c r="M19" i="17"/>
  <c r="S17" i="17"/>
  <c r="Q17" i="17"/>
  <c r="O17" i="17"/>
  <c r="S15" i="17"/>
  <c r="Q15" i="17"/>
  <c r="O15" i="17"/>
  <c r="S13" i="17"/>
  <c r="Q13" i="17"/>
  <c r="O13" i="17"/>
  <c r="Q11" i="17"/>
  <c r="O11" i="17"/>
  <c r="M11" i="17"/>
  <c r="J35" i="29" l="1"/>
  <c r="H35" i="29" s="1"/>
  <c r="P37" i="29" s="1"/>
  <c r="R40" i="29" s="1"/>
  <c r="P39" i="29" s="1"/>
  <c r="S35" i="29" s="1"/>
  <c r="R216" i="29"/>
  <c r="P215" i="29" s="1"/>
  <c r="S211" i="29" s="1"/>
  <c r="R162" i="29"/>
  <c r="R163" i="29"/>
  <c r="R167" i="29"/>
  <c r="R152" i="29"/>
  <c r="P151" i="29" s="1"/>
  <c r="S148" i="29" s="1"/>
  <c r="H11" i="29"/>
  <c r="H17" i="29"/>
  <c r="H13" i="29"/>
  <c r="J15" i="29" s="1"/>
  <c r="H15" i="29" s="1"/>
  <c r="R149" i="29"/>
  <c r="R147" i="29"/>
  <c r="S163" i="29"/>
  <c r="R161" i="29"/>
  <c r="J168" i="29" s="1"/>
  <c r="J167" i="29" s="1"/>
  <c r="N168" i="29" s="1"/>
  <c r="R165" i="29"/>
  <c r="S164" i="29"/>
  <c r="R293" i="29"/>
  <c r="R290" i="29"/>
  <c r="R88" i="29"/>
  <c r="P87" i="29" s="1"/>
  <c r="J243" i="29"/>
  <c r="H243" i="29" s="1"/>
  <c r="P245" i="29" s="1"/>
  <c r="P246" i="29"/>
  <c r="S292" i="29"/>
  <c r="R291" i="29"/>
  <c r="S291" i="29"/>
  <c r="S179" i="29"/>
  <c r="R295" i="29"/>
  <c r="R180" i="29"/>
  <c r="R292" i="29"/>
  <c r="R146" i="29"/>
  <c r="R289" i="29"/>
  <c r="J296" i="29" s="1"/>
  <c r="J295" i="29" s="1"/>
  <c r="N296" i="29" s="1"/>
  <c r="R148" i="29"/>
  <c r="AB152" i="31"/>
  <c r="AB194" i="31"/>
  <c r="AB236" i="31"/>
  <c r="AB278" i="31"/>
  <c r="AB54" i="31"/>
  <c r="AB138" i="31"/>
  <c r="AB96" i="31"/>
  <c r="AB180" i="31"/>
  <c r="AB222" i="31"/>
  <c r="AB264" i="31"/>
  <c r="AB40" i="31"/>
  <c r="AB82" i="31"/>
  <c r="AB124" i="31"/>
  <c r="AB166" i="31"/>
  <c r="AB208" i="31"/>
  <c r="AB250" i="31"/>
  <c r="AB26" i="31"/>
  <c r="AB68" i="31"/>
  <c r="AB110" i="31"/>
  <c r="R145" i="29"/>
  <c r="J152" i="29" s="1"/>
  <c r="J151" i="29" s="1"/>
  <c r="N152" i="29" s="1"/>
  <c r="M17" i="17"/>
  <c r="M15" i="17"/>
  <c r="M13" i="17"/>
  <c r="O19" i="17"/>
  <c r="K19" i="17" s="1"/>
  <c r="R328" i="29"/>
  <c r="P327" i="29" s="1"/>
  <c r="R325" i="29" s="1"/>
  <c r="R312" i="29"/>
  <c r="P311" i="29" s="1"/>
  <c r="R307" i="29" s="1"/>
  <c r="R280" i="29"/>
  <c r="P279" i="29" s="1"/>
  <c r="R277" i="29" s="1"/>
  <c r="R264" i="29"/>
  <c r="P263" i="29" s="1"/>
  <c r="R259" i="29" s="1"/>
  <c r="R231" i="29"/>
  <c r="R228" i="29"/>
  <c r="R227" i="29"/>
  <c r="R225" i="29"/>
  <c r="J232" i="29" s="1"/>
  <c r="J231" i="29" s="1"/>
  <c r="N232" i="29" s="1"/>
  <c r="R226" i="29"/>
  <c r="S228" i="29"/>
  <c r="S227" i="29"/>
  <c r="R210" i="29"/>
  <c r="R213" i="29"/>
  <c r="R215" i="29"/>
  <c r="S212" i="29"/>
  <c r="R212" i="29"/>
  <c r="R209" i="29"/>
  <c r="J216" i="29" s="1"/>
  <c r="J215" i="29" s="1"/>
  <c r="N216" i="29" s="1"/>
  <c r="R211" i="29"/>
  <c r="R200" i="29"/>
  <c r="P199" i="29" s="1"/>
  <c r="R195" i="29" s="1"/>
  <c r="S180" i="29"/>
  <c r="R177" i="29"/>
  <c r="J184" i="29" s="1"/>
  <c r="J183" i="29" s="1"/>
  <c r="N184" i="29" s="1"/>
  <c r="R183" i="29"/>
  <c r="R179" i="29"/>
  <c r="R181" i="29"/>
  <c r="R132" i="29"/>
  <c r="R130" i="29"/>
  <c r="S132" i="29"/>
  <c r="R135" i="29"/>
  <c r="R129" i="29"/>
  <c r="J136" i="29" s="1"/>
  <c r="J135" i="29" s="1"/>
  <c r="N136" i="29" s="1"/>
  <c r="R133" i="29"/>
  <c r="R131" i="29"/>
  <c r="R120" i="29"/>
  <c r="P119" i="29" s="1"/>
  <c r="S115" i="29" s="1"/>
  <c r="R104" i="29"/>
  <c r="P103" i="29" s="1"/>
  <c r="R99" i="29" s="1"/>
  <c r="R72" i="29"/>
  <c r="P71" i="29" s="1"/>
  <c r="S68" i="29" s="1"/>
  <c r="R50" i="29"/>
  <c r="R52" i="29"/>
  <c r="S51" i="29"/>
  <c r="R51" i="29"/>
  <c r="R53" i="29"/>
  <c r="R49" i="29"/>
  <c r="J56" i="29" s="1"/>
  <c r="J55" i="29" s="1"/>
  <c r="N56" i="29" s="1"/>
  <c r="R55" i="29"/>
  <c r="S52" i="29"/>
  <c r="AB12" i="31"/>
  <c r="AB16" i="31"/>
  <c r="AB18" i="31"/>
  <c r="S12" i="31"/>
  <c r="M14" i="31" s="1"/>
  <c r="AA10" i="31"/>
  <c r="K14" i="31" s="1"/>
  <c r="Q8" i="31"/>
  <c r="I14" i="31" s="1"/>
  <c r="R37" i="29" l="1"/>
  <c r="R35" i="29"/>
  <c r="R39" i="29"/>
  <c r="S36" i="29"/>
  <c r="R33" i="29"/>
  <c r="J40" i="29" s="1"/>
  <c r="J39" i="29" s="1"/>
  <c r="N40" i="29" s="1"/>
  <c r="R34" i="29"/>
  <c r="R36" i="29"/>
  <c r="S147" i="29"/>
  <c r="R151" i="29"/>
  <c r="AA7" i="31"/>
  <c r="V18" i="31" s="1"/>
  <c r="R248" i="29"/>
  <c r="P247" i="29" s="1"/>
  <c r="R245" i="29" s="1"/>
  <c r="S116" i="29"/>
  <c r="R117" i="29"/>
  <c r="J19" i="29"/>
  <c r="H19" i="29" s="1"/>
  <c r="P22" i="29"/>
  <c r="R306" i="29"/>
  <c r="R309" i="29"/>
  <c r="S100" i="29"/>
  <c r="R100" i="29"/>
  <c r="S243" i="29"/>
  <c r="S308" i="29"/>
  <c r="R311" i="29"/>
  <c r="S307" i="29"/>
  <c r="R98" i="29"/>
  <c r="R305" i="29"/>
  <c r="J312" i="29" s="1"/>
  <c r="J311" i="29" s="1"/>
  <c r="N312" i="29" s="1"/>
  <c r="R194" i="29"/>
  <c r="R244" i="29"/>
  <c r="R324" i="29"/>
  <c r="R247" i="29"/>
  <c r="R242" i="29"/>
  <c r="R241" i="29"/>
  <c r="J248" i="29" s="1"/>
  <c r="J247" i="29" s="1"/>
  <c r="N248" i="29" s="1"/>
  <c r="R82" i="29"/>
  <c r="R81" i="29"/>
  <c r="J88" i="29" s="1"/>
  <c r="J87" i="29" s="1"/>
  <c r="N88" i="29" s="1"/>
  <c r="R83" i="29"/>
  <c r="R87" i="29"/>
  <c r="R84" i="29"/>
  <c r="S83" i="29"/>
  <c r="R103" i="29"/>
  <c r="R85" i="29"/>
  <c r="R97" i="29"/>
  <c r="J104" i="29" s="1"/>
  <c r="J103" i="29" s="1"/>
  <c r="N104" i="29" s="1"/>
  <c r="S84" i="29"/>
  <c r="R68" i="29"/>
  <c r="S196" i="29"/>
  <c r="R308" i="29"/>
  <c r="R119" i="29"/>
  <c r="R196" i="29"/>
  <c r="K11" i="17"/>
  <c r="M23" i="17" s="1"/>
  <c r="K23" i="17" s="1"/>
  <c r="M27" i="17" s="1"/>
  <c r="K27" i="17" s="1"/>
  <c r="S324" i="29"/>
  <c r="R322" i="29"/>
  <c r="R321" i="29"/>
  <c r="J328" i="29" s="1"/>
  <c r="J327" i="29" s="1"/>
  <c r="N328" i="29" s="1"/>
  <c r="R327" i="29"/>
  <c r="S323" i="29"/>
  <c r="R323" i="29"/>
  <c r="R274" i="29"/>
  <c r="S275" i="29"/>
  <c r="R279" i="29"/>
  <c r="S276" i="29"/>
  <c r="R276" i="29"/>
  <c r="R273" i="29"/>
  <c r="J280" i="29" s="1"/>
  <c r="J279" i="29" s="1"/>
  <c r="N280" i="29" s="1"/>
  <c r="R275" i="29"/>
  <c r="R261" i="29"/>
  <c r="R258" i="29"/>
  <c r="S259" i="29"/>
  <c r="R260" i="29"/>
  <c r="R257" i="29"/>
  <c r="J264" i="29" s="1"/>
  <c r="J263" i="29" s="1"/>
  <c r="N264" i="29" s="1"/>
  <c r="S260" i="29"/>
  <c r="R263" i="29"/>
  <c r="R197" i="29"/>
  <c r="S195" i="29"/>
  <c r="R193" i="29"/>
  <c r="J200" i="29" s="1"/>
  <c r="J199" i="29" s="1"/>
  <c r="N200" i="29" s="1"/>
  <c r="R199" i="29"/>
  <c r="R113" i="29"/>
  <c r="J120" i="29" s="1"/>
  <c r="J119" i="29" s="1"/>
  <c r="N120" i="29" s="1"/>
  <c r="R115" i="29"/>
  <c r="R114" i="29"/>
  <c r="R116" i="29"/>
  <c r="R101" i="29"/>
  <c r="S99" i="29"/>
  <c r="S67" i="29"/>
  <c r="R66" i="29"/>
  <c r="R71" i="29"/>
  <c r="R69" i="29"/>
  <c r="R67" i="29"/>
  <c r="R65" i="29"/>
  <c r="J72" i="29" s="1"/>
  <c r="J71" i="29" s="1"/>
  <c r="N72" i="29" s="1"/>
  <c r="Q14" i="31"/>
  <c r="P21" i="29" l="1"/>
  <c r="R24" i="29" s="1"/>
  <c r="P23" i="29" s="1"/>
  <c r="R20" i="29" s="1"/>
  <c r="N23" i="29"/>
  <c r="R243" i="29"/>
  <c r="S244" i="29"/>
  <c r="V14" i="31"/>
  <c r="S26" i="17"/>
  <c r="U23" i="17"/>
  <c r="U22" i="17"/>
  <c r="S27" i="17"/>
  <c r="M25" i="17"/>
  <c r="K25" i="17" s="1"/>
  <c r="U25" i="17" s="1"/>
  <c r="Y16" i="31"/>
  <c r="V16" i="31" s="1"/>
  <c r="Y17" i="31"/>
  <c r="V17" i="31" s="1"/>
  <c r="I16" i="31"/>
  <c r="Q16" i="31" s="1"/>
  <c r="Y14" i="31" s="1"/>
  <c r="R19" i="29" l="1"/>
  <c r="R17" i="29"/>
  <c r="J24" i="29" s="1"/>
  <c r="J23" i="29" s="1"/>
  <c r="N24" i="29" s="1"/>
  <c r="S19" i="29"/>
  <c r="R21" i="29"/>
  <c r="S20" i="29"/>
  <c r="R23" i="29"/>
  <c r="R18" i="29"/>
  <c r="V15" i="31"/>
  <c r="Z17" i="31"/>
  <c r="Z16" i="31"/>
  <c r="Q18" i="31"/>
  <c r="Y15" i="31"/>
  <c r="L19" i="31"/>
  <c r="L18" i="31" s="1"/>
  <c r="Q19" i="31" l="1"/>
</calcChain>
</file>

<file path=xl/sharedStrings.xml><?xml version="1.0" encoding="utf-8"?>
<sst xmlns="http://schemas.openxmlformats.org/spreadsheetml/2006/main" count="5504" uniqueCount="390">
  <si>
    <t>CUSTOMER</t>
  </si>
  <si>
    <t>LOCATION</t>
  </si>
  <si>
    <t>JOB NUMBER</t>
  </si>
  <si>
    <t>DATE</t>
  </si>
  <si>
    <t>DEFAULT LIVE LOAD</t>
  </si>
  <si>
    <t>PNUM</t>
  </si>
  <si>
    <t>FIG. #</t>
  </si>
  <si>
    <t>WIDTH</t>
  </si>
  <si>
    <t>SPEED</t>
  </si>
  <si>
    <t>BP1</t>
  </si>
  <si>
    <t>=</t>
  </si>
  <si>
    <t>(( LL*0.06)</t>
  </si>
  <si>
    <t>+</t>
  </si>
  <si>
    <t>SC)</t>
  </si>
  <si>
    <t>*</t>
  </si>
  <si>
    <t>(L/12)</t>
  </si>
  <si>
    <t>Chart A: Module Length</t>
  </si>
  <si>
    <t>(from OSM. Added type for drive results, error handling)</t>
  </si>
  <si>
    <t>↖</t>
  </si>
  <si>
    <t>BPA</t>
  </si>
  <si>
    <t>((LL*0.06)</t>
  </si>
  <si>
    <t>Module</t>
  </si>
  <si>
    <t>Length</t>
  </si>
  <si>
    <t>Type</t>
  </si>
  <si>
    <t>LIVE LOAD OVERRIDE</t>
  </si>
  <si>
    <t>C11</t>
  </si>
  <si>
    <t>slave</t>
  </si>
  <si>
    <t>OVERALL LENGTH (STRAIGHT ONLY)</t>
  </si>
  <si>
    <t>BPB</t>
  </si>
  <si>
    <t>C12</t>
  </si>
  <si>
    <t>A</t>
  </si>
  <si>
    <t>B</t>
  </si>
  <si>
    <t>C</t>
  </si>
  <si>
    <t>C13</t>
  </si>
  <si>
    <t>MODULE</t>
  </si>
  <si>
    <t>BPC</t>
  </si>
  <si>
    <t>C21</t>
  </si>
  <si>
    <t>vslave</t>
  </si>
  <si>
    <t>OVERALL TAN LENGTH</t>
  </si>
  <si>
    <t>C22</t>
  </si>
  <si>
    <t>STRAIGHT OR SKEWED TAN RLR?</t>
  </si>
  <si>
    <t>BP2</t>
  </si>
  <si>
    <t>((LL*.133)</t>
  </si>
  <si>
    <t>WF</t>
  </si>
  <si>
    <t>FC</t>
  </si>
  <si>
    <t>C23</t>
  </si>
  <si>
    <t>C24</t>
  </si>
  <si>
    <t>ROLLER CENTERS</t>
  </si>
  <si>
    <t>BP3</t>
  </si>
  <si>
    <t>(# MODS)</t>
  </si>
  <si>
    <t>ERRORS</t>
  </si>
  <si>
    <t>RESULTS</t>
  </si>
  <si>
    <t>C31</t>
  </si>
  <si>
    <t>VB DRIVE:</t>
  </si>
  <si>
    <t>C41</t>
  </si>
  <si>
    <t>te</t>
  </si>
  <si>
    <t>MASTER</t>
  </si>
  <si>
    <t>SLAVE</t>
  </si>
  <si>
    <t>EBP</t>
  </si>
  <si>
    <t>(SUM BP</t>
  </si>
  <si>
    <t>SLV)</t>
  </si>
  <si>
    <t>SF</t>
  </si>
  <si>
    <t>C42</t>
  </si>
  <si>
    <t>drivec</t>
  </si>
  <si>
    <t>MASTER/SLAVE SPEED RATIO (IF IS SLAVE ONLY)</t>
  </si>
  <si>
    <t>C43</t>
  </si>
  <si>
    <t>driveab</t>
  </si>
  <si>
    <t>EBPS</t>
  </si>
  <si>
    <t>RATIO</t>
  </si>
  <si>
    <t>EBP AS SLAVE:</t>
  </si>
  <si>
    <t>C51</t>
  </si>
  <si>
    <t>BELT PULL OF SLAVE CONVEYOR</t>
  </si>
  <si>
    <t>C52</t>
  </si>
  <si>
    <t>junction</t>
  </si>
  <si>
    <t>EHP</t>
  </si>
  <si>
    <t>/</t>
  </si>
  <si>
    <t>CONVERT</t>
  </si>
  <si>
    <t>C53</t>
  </si>
  <si>
    <t>NOTE:</t>
  </si>
  <si>
    <t>C54</t>
  </si>
  <si>
    <t>C55</t>
  </si>
  <si>
    <t>C56</t>
  </si>
  <si>
    <t>Chart 1: Speed Constant</t>
  </si>
  <si>
    <t>(simplified version of OSM chart, since the constant is directly related to speed (proven below right))</t>
  </si>
  <si>
    <t>type</t>
  </si>
  <si>
    <t>rc</t>
  </si>
  <si>
    <t>intercept</t>
  </si>
  <si>
    <t>slope</t>
  </si>
  <si>
    <t>speed</t>
  </si>
  <si>
    <t>straight 3</t>
  </si>
  <si>
    <t>straight 2</t>
  </si>
  <si>
    <t>skewed 3</t>
  </si>
  <si>
    <t>skewed 2</t>
  </si>
  <si>
    <t>curve 3</t>
  </si>
  <si>
    <t>curve 2</t>
  </si>
  <si>
    <t>straight</t>
  </si>
  <si>
    <t>skewed</t>
  </si>
  <si>
    <t>curve</t>
  </si>
  <si>
    <t>figure/module</t>
  </si>
  <si>
    <t>r^2</t>
  </si>
  <si>
    <t>Width Factor</t>
  </si>
  <si>
    <t>NW</t>
  </si>
  <si>
    <t>Constant</t>
  </si>
  <si>
    <t>Figure Constant</t>
  </si>
  <si>
    <t>Figure No.</t>
  </si>
  <si>
    <t>Chart 3A/B: Drive HP selection (for Module M43)</t>
  </si>
  <si>
    <t>(reorganized for easier lookup)</t>
  </si>
  <si>
    <t>Speed</t>
  </si>
  <si>
    <t>HP</t>
  </si>
  <si>
    <t>Chart 3C: Drive HP selection (for Module M42,55,56)</t>
  </si>
  <si>
    <t>( LL</t>
  </si>
  <si>
    <t>LENGTH</t>
  </si>
  <si>
    <t>FRICTION )</t>
  </si>
  <si>
    <t>SLUG LENGTH</t>
  </si>
  <si>
    <t>Factors</t>
  </si>
  <si>
    <t>COMP FAC</t>
  </si>
  <si>
    <t>RLR FAC</t>
  </si>
  <si>
    <t>CF</t>
  </si>
  <si>
    <t>RLR 2</t>
  </si>
  <si>
    <t>( A + B )</t>
  </si>
  <si>
    <t>RLR 3</t>
  </si>
  <si>
    <t>RLR 4</t>
  </si>
  <si>
    <t>HSBP</t>
  </si>
  <si>
    <t>HSBP FAC</t>
  </si>
  <si>
    <t>DIRECT DRIVE?</t>
  </si>
  <si>
    <t>ADJUSTABLE PRESSURE CONVEYOR?</t>
  </si>
  <si>
    <t>Drive Capacity</t>
  </si>
  <si>
    <t>(w/ APU47 max length considerations)</t>
  </si>
  <si>
    <t>CD</t>
  </si>
  <si>
    <t>Slave</t>
  </si>
  <si>
    <t>Max Length</t>
  </si>
  <si>
    <t>BELT PULL OF SLAVED CONVEYOR</t>
  </si>
  <si>
    <t>6CD</t>
  </si>
  <si>
    <t>Effective Reducer Safety Factor (Direct Drive only)</t>
  </si>
  <si>
    <t>Actual Torque</t>
  </si>
  <si>
    <t>Max Torque</t>
  </si>
  <si>
    <t>Diameter</t>
  </si>
  <si>
    <t>Effective SF</t>
  </si>
  <si>
    <t>8CD</t>
  </si>
  <si>
    <t>10CD</t>
  </si>
  <si>
    <t>LR Direct Drive - Dodge</t>
  </si>
  <si>
    <t>From drawings 969267-969269 as of 2017-03-29</t>
  </si>
  <si>
    <t>Max Torque from Baldor "Tigear-2 Family" catalog as of 2017-03-30 (http://www.baldor.com/mvc/DownloadCenter/Files/CA1604)</t>
  </si>
  <si>
    <t>CD&amp;HP</t>
  </si>
  <si>
    <t>FPM</t>
  </si>
  <si>
    <t>Max EBP</t>
  </si>
  <si>
    <t>Ratio</t>
  </si>
  <si>
    <t>Standard/Brake Assm</t>
  </si>
  <si>
    <t>Reducer Part #</t>
  </si>
  <si>
    <t>6CD 1HP</t>
  </si>
  <si>
    <t>969465-565010N/B</t>
  </si>
  <si>
    <t>26A50H56</t>
  </si>
  <si>
    <t>969465-564010N/B</t>
  </si>
  <si>
    <t>26A40H56</t>
  </si>
  <si>
    <t>969498-563010N/B</t>
  </si>
  <si>
    <t>23A30H56</t>
  </si>
  <si>
    <t>969498-562510N/B</t>
  </si>
  <si>
    <t>23A25H56</t>
  </si>
  <si>
    <t>969498-562010N/B</t>
  </si>
  <si>
    <t>23A20H56</t>
  </si>
  <si>
    <t>969498-561510N/B</t>
  </si>
  <si>
    <t>23A15H56</t>
  </si>
  <si>
    <t>969498-561010N/B</t>
  </si>
  <si>
    <t>23A10H56</t>
  </si>
  <si>
    <t>969498-567510N/B</t>
  </si>
  <si>
    <t>23A07H56</t>
  </si>
  <si>
    <t>6CD 1.5HP</t>
  </si>
  <si>
    <t>969465-143015N/B</t>
  </si>
  <si>
    <t>26A30H14</t>
  </si>
  <si>
    <t>969465-142515N/B</t>
  </si>
  <si>
    <t>26A25H14</t>
  </si>
  <si>
    <t>969498-142015N/B</t>
  </si>
  <si>
    <t>23A20H14</t>
  </si>
  <si>
    <t>969498-141515N/B</t>
  </si>
  <si>
    <t>23A15H14</t>
  </si>
  <si>
    <t>969498-141015N/B</t>
  </si>
  <si>
    <t>23A10H14</t>
  </si>
  <si>
    <t>969498-147515N/B</t>
  </si>
  <si>
    <t>23A07H14</t>
  </si>
  <si>
    <t>8CD 1.5HP</t>
  </si>
  <si>
    <t>969500-146015N/B</t>
  </si>
  <si>
    <t>35A60H14</t>
  </si>
  <si>
    <t>969497-144015N/B</t>
  </si>
  <si>
    <t>30A40H14</t>
  </si>
  <si>
    <t>969497-143015N/B</t>
  </si>
  <si>
    <t>30A30H14</t>
  </si>
  <si>
    <t>969497-142515N/B</t>
  </si>
  <si>
    <t>30A25H14</t>
  </si>
  <si>
    <t>8CD 2HP</t>
  </si>
  <si>
    <t>969500-145020N/B</t>
  </si>
  <si>
    <t>35A50H14</t>
  </si>
  <si>
    <t>969500-144020N/B</t>
  </si>
  <si>
    <t>35A40H14</t>
  </si>
  <si>
    <t>969497-143020N/B</t>
  </si>
  <si>
    <t>969497-142520N/B</t>
  </si>
  <si>
    <t>969497-142020N/B</t>
  </si>
  <si>
    <t>30A20H14</t>
  </si>
  <si>
    <t>969497-141520N/B</t>
  </si>
  <si>
    <t>30A15H14</t>
  </si>
  <si>
    <t>969497-141020N/B</t>
  </si>
  <si>
    <t>30A10H14</t>
  </si>
  <si>
    <t>8CD 3HP</t>
  </si>
  <si>
    <t>969500-183030N/B</t>
  </si>
  <si>
    <t>35A30H18</t>
  </si>
  <si>
    <t>969500-182530N/B</t>
  </si>
  <si>
    <t>35A25H18</t>
  </si>
  <si>
    <t>969497-182030N/B</t>
  </si>
  <si>
    <t>30A20H18</t>
  </si>
  <si>
    <t>969497-181530N/B</t>
  </si>
  <si>
    <t>30A15H18</t>
  </si>
  <si>
    <t>969497-181030N/B</t>
  </si>
  <si>
    <t>30A10H18</t>
  </si>
  <si>
    <t>10CD 2HP</t>
  </si>
  <si>
    <t>10CD 3HP</t>
  </si>
  <si>
    <t>10CD 5HP</t>
  </si>
  <si>
    <t>969500-181550N/B</t>
  </si>
  <si>
    <t>35A15H18</t>
  </si>
  <si>
    <t>969500-181050N/B</t>
  </si>
  <si>
    <t>35A10H18</t>
  </si>
  <si>
    <t>LR Direct Drive - Motovario</t>
  </si>
  <si>
    <t>(from Drawings 720763,720764,720765 as of 2015-01-11)</t>
  </si>
  <si>
    <t>(new max EBP from Drawings 720763,720764,720765 as of 2016-03-14)</t>
  </si>
  <si>
    <t>(max T from 2016 Motovario Technical Catalog, 1750RPM input speed worm gear reducer)</t>
  </si>
  <si>
    <t>Family</t>
  </si>
  <si>
    <t>720703/4/5-"R"</t>
  </si>
  <si>
    <t>NMRV-P075</t>
  </si>
  <si>
    <t>NMRV-P090</t>
  </si>
  <si>
    <t>NMRV-P110</t>
  </si>
  <si>
    <t>Hide</t>
  </si>
  <si>
    <t>OVERALL LENGTH OF CONVEYOR = DISTANCE FROM END TO END</t>
  </si>
  <si>
    <r>
      <t>L</t>
    </r>
    <r>
      <rPr>
        <sz val="6"/>
        <color theme="1"/>
        <rFont val="Arial"/>
        <family val="2"/>
      </rPr>
      <t>R</t>
    </r>
    <r>
      <rPr>
        <sz val="8"/>
        <color theme="1"/>
        <rFont val="Arial"/>
        <family val="2"/>
      </rPr>
      <t xml:space="preserve"> = THE TOTAL LENGTH OF ROLLER BED INTERMEDIATE BEDS LESS THE LENGTH OF SAFETY COVER KITS (ROLLER BED ONLY)</t>
    </r>
  </si>
  <si>
    <t>NOSEOVER WEIGHT AND SAFETY COVER KIT IS AUTOMATICALLY ADDED IF LIFT IS GREATER THAN ZERO</t>
  </si>
  <si>
    <t>NOMINAL WIDTH (IN)</t>
  </si>
  <si>
    <t>( ( LL</t>
  </si>
  <si>
    <t>DL_B )</t>
  </si>
  <si>
    <t>x</t>
  </si>
  <si>
    <r>
      <t>L</t>
    </r>
    <r>
      <rPr>
        <sz val="6"/>
        <color theme="1"/>
        <rFont val="Arial"/>
        <family val="2"/>
      </rPr>
      <t>S</t>
    </r>
    <r>
      <rPr>
        <sz val="8"/>
        <color theme="1"/>
        <rFont val="Arial"/>
        <family val="2"/>
      </rPr>
      <t xml:space="preserve"> )</t>
    </r>
  </si>
  <si>
    <t>CF_Belt</t>
  </si>
  <si>
    <t>A1</t>
  </si>
  <si>
    <r>
      <t>L</t>
    </r>
    <r>
      <rPr>
        <sz val="6"/>
        <color theme="1"/>
        <rFont val="Arial"/>
        <family val="2"/>
      </rPr>
      <t>R</t>
    </r>
    <r>
      <rPr>
        <sz val="8"/>
        <color theme="1"/>
        <rFont val="Arial"/>
        <family val="2"/>
      </rPr>
      <t xml:space="preserve"> deductions</t>
    </r>
  </si>
  <si>
    <t>Belt Data</t>
  </si>
  <si>
    <t>Belt dead load by nominal width (lb/ft), DL_B *</t>
  </si>
  <si>
    <t>CONVEYOR OAL (FT)</t>
  </si>
  <si>
    <t>Descriptor</t>
  </si>
  <si>
    <t>Common Name</t>
  </si>
  <si>
    <t>Application</t>
  </si>
  <si>
    <t>Thickness (in.)</t>
  </si>
  <si>
    <t>Mass (lb/sqft)</t>
  </si>
  <si>
    <t>Coef. Friction</t>
  </si>
  <si>
    <t>APN</t>
  </si>
  <si>
    <t>Max BP/in</t>
  </si>
  <si>
    <t>LENGTH OF ROLLER BEDS (FT)</t>
  </si>
  <si>
    <t>( ( ( LL</t>
  </si>
  <si>
    <t>DL_B</t>
  </si>
  <si>
    <t>DL_R )</t>
  </si>
  <si>
    <r>
      <t>L</t>
    </r>
    <r>
      <rPr>
        <sz val="6"/>
        <color theme="1"/>
        <rFont val="Arial"/>
        <family val="2"/>
      </rPr>
      <t>R</t>
    </r>
    <r>
      <rPr>
        <sz val="8"/>
        <color theme="1"/>
        <rFont val="Arial"/>
        <family val="2"/>
      </rPr>
      <t xml:space="preserve"> )</t>
    </r>
  </si>
  <si>
    <t>DTE</t>
  </si>
  <si>
    <t>PF</t>
  </si>
  <si>
    <t>NOS</t>
  </si>
  <si>
    <t>TPD )</t>
  </si>
  <si>
    <t>CF_Rol</t>
  </si>
  <si>
    <t>A2</t>
  </si>
  <si>
    <t>TE</t>
  </si>
  <si>
    <t>20A (1B)</t>
  </si>
  <si>
    <t>TM120FBS-B</t>
  </si>
  <si>
    <t>Friction Surface</t>
  </si>
  <si>
    <t>Level Conveyor</t>
  </si>
  <si>
    <t>SPEED (FPM)</t>
  </si>
  <si>
    <t>21A (3A)</t>
  </si>
  <si>
    <t>TMIPH135LR</t>
  </si>
  <si>
    <t>Longitudinal Groove</t>
  </si>
  <si>
    <t>Incline/Decline</t>
  </si>
  <si>
    <t>LIFT (FT)</t>
  </si>
  <si>
    <t>H )</t>
  </si>
  <si>
    <r>
      <t>L</t>
    </r>
    <r>
      <rPr>
        <sz val="6"/>
        <color theme="1"/>
        <rFont val="Arial"/>
        <family val="2"/>
      </rPr>
      <t>TPD</t>
    </r>
  </si>
  <si>
    <t>SLV</t>
  </si>
  <si>
    <t>#Def(x.3)</t>
  </si>
  <si>
    <t>CD/HTU</t>
  </si>
  <si>
    <t>22A</t>
  </si>
  <si>
    <t>TM120LR-B</t>
  </si>
  <si>
    <t>Incline/Decline, 2-5/8" TE</t>
  </si>
  <si>
    <t>LIVE LOAD (LB/FT)</t>
  </si>
  <si>
    <t>23B</t>
  </si>
  <si>
    <t>PVC Black Impregnated</t>
  </si>
  <si>
    <t>Trash Conveyor, Level</t>
  </si>
  <si>
    <t>BELT TYPE</t>
  </si>
  <si>
    <t>( A1</t>
  </si>
  <si>
    <t>B )</t>
  </si>
  <si>
    <t>24B</t>
  </si>
  <si>
    <t>TM120RT-B</t>
  </si>
  <si>
    <t>PVC Black Rough Top</t>
  </si>
  <si>
    <t>Trash Conveyor, Incline/Decline</t>
  </si>
  <si>
    <t>30A (1P)</t>
  </si>
  <si>
    <t>RPH3-135BXB-FR</t>
  </si>
  <si>
    <t>Slip top</t>
  </si>
  <si>
    <t>Sortation</t>
  </si>
  <si>
    <t>POWER FEEDER?</t>
  </si>
  <si>
    <t>( EBP</t>
  </si>
  <si>
    <t>Speed )</t>
  </si>
  <si>
    <t>( 33000</t>
  </si>
  <si>
    <t>DE )</t>
  </si>
  <si>
    <t>T1</t>
  </si>
  <si>
    <t>(deprecated, Habasit A120FBS-B)</t>
  </si>
  <si>
    <t>Smooth top</t>
  </si>
  <si>
    <t>Trash</t>
  </si>
  <si>
    <t>BELT PULL OF SLAVED CONVEYOR (LB)</t>
  </si>
  <si>
    <t>T3</t>
  </si>
  <si>
    <t>(deprecated, Habasit A120RT-B)</t>
  </si>
  <si>
    <t>Rough top</t>
  </si>
  <si>
    <t>2PD/3PTU DISTANCE FROM EXIT (FT)</t>
  </si>
  <si>
    <t>TPD</t>
  </si>
  <si>
    <t>PF (1R)</t>
  </si>
  <si>
    <t>NNT-10ESBU</t>
  </si>
  <si>
    <t>Power Feeder Belt</t>
  </si>
  <si>
    <t>Power feeder (pre-installed)</t>
  </si>
  <si>
    <t># OF DEFLECTORS</t>
  </si>
  <si>
    <t>(deprecated, Apache rough top)</t>
  </si>
  <si>
    <t>Rough Top</t>
  </si>
  <si>
    <t>BC</t>
  </si>
  <si>
    <t>Not found on Apache's website</t>
  </si>
  <si>
    <t>1N</t>
  </si>
  <si>
    <t>(deprecated, Apache slip top)</t>
  </si>
  <si>
    <t>Slip Top</t>
  </si>
  <si>
    <t>090108</t>
  </si>
  <si>
    <t>* Belt width assumed to be nominal width - 3"</t>
  </si>
  <si>
    <t>Weight of turning elements (lbs)</t>
  </si>
  <si>
    <t>DL_R *</t>
  </si>
  <si>
    <t>RB 6" RC</t>
  </si>
  <si>
    <t>RB 9" RC</t>
  </si>
  <si>
    <t>Max Springs</t>
  </si>
  <si>
    <t>ANSWER</t>
  </si>
  <si>
    <t>COMMENT</t>
  </si>
  <si>
    <t>NO</t>
  </si>
  <si>
    <t>CHAIN &amp; SPROCKETS</t>
  </si>
  <si>
    <t>DODGE</t>
  </si>
  <si>
    <t>STANDARD OPTION</t>
  </si>
  <si>
    <t>MOTOVARIO</t>
  </si>
  <si>
    <t>NOT WITHOUT PERMISSION</t>
  </si>
  <si>
    <t xml:space="preserve"> * DL_R = Roller bed rotating weight (lb/ft)</t>
  </si>
  <si>
    <t>Drive Efficiency by Speed</t>
  </si>
  <si>
    <t>Belt Speed</t>
  </si>
  <si>
    <t>&lt; 100 FPM</t>
  </si>
  <si>
    <t>100-199 FPM</t>
  </si>
  <si>
    <t>&gt;=200 FPM</t>
  </si>
  <si>
    <t>10" DD, EBP &gt; 500, 100 - 240 fpm)</t>
  </si>
  <si>
    <t>DE</t>
  </si>
  <si>
    <t>Drive Capacity (chain drive)</t>
  </si>
  <si>
    <t>Drive Size</t>
  </si>
  <si>
    <t>Subtract the following lenghts (ft) per module to determine max length of roller bed</t>
  </si>
  <si>
    <t>Ref dwg</t>
  </si>
  <si>
    <t>Standard</t>
  </si>
  <si>
    <t>Safety adder</t>
  </si>
  <si>
    <t>Total</t>
  </si>
  <si>
    <t>PF (in)</t>
  </si>
  <si>
    <t>PF (ft)</t>
  </si>
  <si>
    <t>(in)</t>
  </si>
  <si>
    <t>(ft)</t>
  </si>
  <si>
    <t>3PTU</t>
  </si>
  <si>
    <t>VTU</t>
  </si>
  <si>
    <t>Width dependant - see chart to right</t>
  </si>
  <si>
    <t>BC Direct Drive - Dodge</t>
  </si>
  <si>
    <t>From drawings 968823, 969283,969266 as of 2017-03-29; 970249,971564 as of 2017-04-24</t>
  </si>
  <si>
    <t>Max Torque from Baldor "Tigear-2 Family" catalog rev. 2016</t>
  </si>
  <si>
    <t>Max Torque from Baldor "Quantis Engineering" catalog rev. 2009</t>
  </si>
  <si>
    <t>CD &amp; HP</t>
  </si>
  <si>
    <t>971645-185030N/B</t>
  </si>
  <si>
    <t>BF683LN180TC / 51.96 ...</t>
  </si>
  <si>
    <t>971645-184030N/B</t>
  </si>
  <si>
    <t>BF683LN180TC / 39.39 …</t>
  </si>
  <si>
    <t>971645-184050N/B</t>
  </si>
  <si>
    <t>971645-183050N/B</t>
  </si>
  <si>
    <t>BF683LN180TC / 30.38 …</t>
  </si>
  <si>
    <t>971645-182550N/B</t>
  </si>
  <si>
    <t>BF683LN180TC / 25.42 …</t>
  </si>
  <si>
    <t>971645-182050N/B</t>
  </si>
  <si>
    <t>BF683LN180TC / 21.22 …</t>
  </si>
  <si>
    <t>10CD 7.5HP</t>
  </si>
  <si>
    <t>970146-211575N/B</t>
  </si>
  <si>
    <t>40A15H21</t>
  </si>
  <si>
    <t>970146-211075N/B</t>
  </si>
  <si>
    <t>40A10H21</t>
  </si>
  <si>
    <t>BC Direct Drive - Motovario</t>
  </si>
  <si>
    <t>(from Drawings 720767,720768,720769 as of 2015-01-06)</t>
  </si>
  <si>
    <t>(new max EBP from Drawings 720767,720768,720769 as of 2016-03-14)</t>
  </si>
  <si>
    <t>"R"</t>
  </si>
  <si>
    <t>Metric</t>
  </si>
  <si>
    <t>English</t>
  </si>
  <si>
    <t>N</t>
  </si>
  <si>
    <t>36Z-200</t>
  </si>
  <si>
    <t>Dodge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</si>
</sst>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0.0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8"/>
      <color theme="9" tint="-0.249977111117893"/>
      <name val="Arial"/>
      <family val="2"/>
    </font>
    <font>
      <sz val="8"/>
      <name val="Calibri"/>
      <family val="2"/>
    </font>
    <font>
      <b/>
      <u/>
      <sz val="8"/>
      <name val="Arial"/>
      <family val="2"/>
    </font>
    <font>
      <sz val="8"/>
      <color theme="9" tint="-0.249977111117893"/>
      <name val="Arial"/>
      <family val="2"/>
    </font>
    <font>
      <sz val="8"/>
      <color theme="4"/>
      <name val="Arial"/>
      <family val="2"/>
    </font>
    <font>
      <sz val="8"/>
      <color rgb="FF0070C0"/>
      <name val="Arial"/>
      <family val="2"/>
    </font>
    <font>
      <sz val="8"/>
      <color rgb="FF7030A0"/>
      <name val="Arial"/>
      <family val="2"/>
    </font>
    <font>
      <sz val="8"/>
      <color theme="1"/>
      <name val="Arial"/>
      <family val="2"/>
    </font>
    <font>
      <sz val="6"/>
      <color theme="1"/>
      <name val="Arial"/>
      <family val="2"/>
    </font>
    <font>
      <b/>
      <sz val="8"/>
      <color theme="1"/>
      <name val="Arial"/>
      <family val="2"/>
    </font>
    <font>
      <sz val="12"/>
      <color theme="1"/>
      <name val="Arial"/>
      <family val="2"/>
    </font>
    <font>
      <sz val="6.5"/>
      <name val="Arial"/>
      <family val="2"/>
    </font>
    <font>
      <b/>
      <sz val="7"/>
      <color rgb="FFFF0000"/>
      <name val="Arial"/>
      <family val="2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0" fontId="2" fillId="0" borderId="0"/>
    <xf numFmtId="0" fontId="3" fillId="0" borderId="0"/>
    <xf numFmtId="0" fontId="1" fillId="0" borderId="0"/>
  </cellStyleXfs>
  <cellXfs count="470">
    <xf numFmtId="0" fontId="0" fillId="0" borderId="0" xfId="0"/>
    <xf numFmtId="0" fontId="4" fillId="2" borderId="9" xfId="0" applyFont="1" applyFill="1" applyBorder="1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2" borderId="9" xfId="0" quotePrefix="1" applyFont="1" applyFill="1" applyBorder="1" applyAlignment="1" applyProtection="1">
      <alignment horizontal="center"/>
      <protection locked="0"/>
    </xf>
    <xf numFmtId="0" fontId="4" fillId="0" borderId="6" xfId="0" applyFont="1" applyBorder="1" applyAlignment="1">
      <alignment horizontal="center"/>
    </xf>
    <xf numFmtId="1" fontId="4" fillId="0" borderId="32" xfId="0" applyNumberFormat="1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5" fillId="0" borderId="8" xfId="0" quotePrefix="1" applyFont="1" applyBorder="1" applyAlignment="1">
      <alignment horizontal="center"/>
    </xf>
    <xf numFmtId="164" fontId="4" fillId="0" borderId="34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0" xfId="0" applyFont="1" applyAlignment="1">
      <alignment horizontal="center"/>
    </xf>
    <xf numFmtId="2" fontId="6" fillId="0" borderId="3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2" fontId="5" fillId="0" borderId="42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2" fontId="6" fillId="0" borderId="41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2" fontId="4" fillId="0" borderId="8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6" xfId="0" applyFont="1" applyBorder="1" applyAlignment="1">
      <alignment horizontal="right"/>
    </xf>
    <xf numFmtId="22" fontId="4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2" fontId="4" fillId="0" borderId="34" xfId="0" applyNumberFormat="1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6" fillId="0" borderId="0" xfId="0" applyFont="1"/>
    <xf numFmtId="0" fontId="12" fillId="0" borderId="14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15" fontId="4" fillId="0" borderId="0" xfId="0" applyNumberFormat="1" applyFont="1" applyAlignment="1">
      <alignment horizontal="center"/>
    </xf>
    <xf numFmtId="15" fontId="4" fillId="0" borderId="6" xfId="0" applyNumberFormat="1" applyFont="1" applyBorder="1" applyAlignment="1">
      <alignment horizontal="center"/>
    </xf>
    <xf numFmtId="0" fontId="4" fillId="0" borderId="8" xfId="0" applyFont="1" applyBorder="1" applyAlignment="1">
      <alignment horizontal="right"/>
    </xf>
    <xf numFmtId="0" fontId="4" fillId="0" borderId="0" xfId="0" applyFont="1" applyAlignment="1">
      <alignment horizontal="right"/>
    </xf>
    <xf numFmtId="1" fontId="6" fillId="0" borderId="14" xfId="0" applyNumberFormat="1" applyFont="1" applyBorder="1" applyAlignment="1">
      <alignment horizontal="center" shrinkToFit="1"/>
    </xf>
    <xf numFmtId="16" fontId="4" fillId="0" borderId="0" xfId="0" applyNumberFormat="1" applyFont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0" xfId="0" applyFont="1"/>
    <xf numFmtId="22" fontId="4" fillId="0" borderId="10" xfId="0" applyNumberFormat="1" applyFont="1" applyBorder="1" applyAlignment="1">
      <alignment horizontal="center"/>
    </xf>
    <xf numFmtId="22" fontId="4" fillId="0" borderId="4" xfId="0" applyNumberFormat="1" applyFont="1" applyBorder="1" applyAlignment="1">
      <alignment horizontal="center"/>
    </xf>
    <xf numFmtId="22" fontId="4" fillId="0" borderId="7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44" fontId="4" fillId="0" borderId="0" xfId="1" applyFont="1" applyBorder="1" applyAlignment="1" applyProtection="1">
      <alignment horizontal="center"/>
    </xf>
    <xf numFmtId="0" fontId="10" fillId="0" borderId="43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10" fillId="0" borderId="46" xfId="0" applyFont="1" applyBorder="1" applyAlignment="1">
      <alignment horizontal="center" shrinkToFit="1"/>
    </xf>
    <xf numFmtId="0" fontId="6" fillId="0" borderId="46" xfId="0" applyFont="1" applyBorder="1" applyAlignment="1">
      <alignment horizontal="center" shrinkToFit="1"/>
    </xf>
    <xf numFmtId="0" fontId="6" fillId="0" borderId="44" xfId="0" applyFont="1" applyBorder="1" applyAlignment="1">
      <alignment horizontal="center" shrinkToFit="1"/>
    </xf>
    <xf numFmtId="0" fontId="10" fillId="0" borderId="45" xfId="0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6" fillId="0" borderId="44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" fontId="4" fillId="0" borderId="31" xfId="0" applyNumberFormat="1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1" fontId="11" fillId="0" borderId="31" xfId="0" applyNumberFormat="1" applyFont="1" applyBorder="1" applyAlignment="1">
      <alignment horizontal="center"/>
    </xf>
    <xf numFmtId="1" fontId="11" fillId="0" borderId="14" xfId="0" applyNumberFormat="1" applyFont="1" applyBorder="1" applyAlignment="1">
      <alignment horizontal="center"/>
    </xf>
    <xf numFmtId="0" fontId="4" fillId="4" borderId="31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5" fillId="0" borderId="0" xfId="2" applyFont="1"/>
    <xf numFmtId="0" fontId="15" fillId="0" borderId="0" xfId="2" applyFont="1" applyAlignment="1">
      <alignment horizontal="center"/>
    </xf>
    <xf numFmtId="0" fontId="15" fillId="0" borderId="8" xfId="2" applyFont="1" applyBorder="1" applyAlignment="1">
      <alignment horizontal="center"/>
    </xf>
    <xf numFmtId="0" fontId="15" fillId="0" borderId="3" xfId="2" applyFont="1" applyBorder="1" applyAlignment="1">
      <alignment horizontal="center"/>
    </xf>
    <xf numFmtId="0" fontId="15" fillId="0" borderId="5" xfId="2" applyFont="1" applyBorder="1" applyAlignment="1">
      <alignment horizontal="center"/>
    </xf>
    <xf numFmtId="0" fontId="15" fillId="0" borderId="6" xfId="2" applyFont="1" applyBorder="1" applyAlignment="1">
      <alignment horizontal="center"/>
    </xf>
    <xf numFmtId="0" fontId="15" fillId="0" borderId="13" xfId="2" applyFont="1" applyBorder="1"/>
    <xf numFmtId="0" fontId="15" fillId="0" borderId="8" xfId="2" applyFont="1" applyBorder="1"/>
    <xf numFmtId="0" fontId="17" fillId="0" borderId="8" xfId="2" applyFont="1" applyBorder="1" applyAlignment="1">
      <alignment horizontal="center"/>
    </xf>
    <xf numFmtId="0" fontId="15" fillId="0" borderId="3" xfId="2" applyFont="1" applyBorder="1"/>
    <xf numFmtId="0" fontId="15" fillId="0" borderId="41" xfId="2" applyFont="1" applyBorder="1" applyAlignment="1">
      <alignment horizontal="center"/>
    </xf>
    <xf numFmtId="0" fontId="15" fillId="0" borderId="32" xfId="2" applyFont="1" applyBorder="1" applyAlignment="1">
      <alignment horizontal="center"/>
    </xf>
    <xf numFmtId="165" fontId="17" fillId="0" borderId="32" xfId="2" applyNumberFormat="1" applyFont="1" applyBorder="1" applyAlignment="1">
      <alignment horizontal="center"/>
    </xf>
    <xf numFmtId="0" fontId="15" fillId="0" borderId="34" xfId="2" applyFont="1" applyBorder="1" applyAlignment="1">
      <alignment horizontal="center"/>
    </xf>
    <xf numFmtId="49" fontId="4" fillId="0" borderId="58" xfId="0" applyNumberFormat="1" applyFont="1" applyBorder="1" applyAlignment="1">
      <alignment horizontal="center"/>
    </xf>
    <xf numFmtId="0" fontId="19" fillId="0" borderId="63" xfId="0" applyFont="1" applyBorder="1" applyAlignment="1">
      <alignment horizontal="center"/>
    </xf>
    <xf numFmtId="0" fontId="19" fillId="0" borderId="64" xfId="0" applyFont="1" applyBorder="1" applyAlignment="1">
      <alignment horizontal="center"/>
    </xf>
    <xf numFmtId="1" fontId="4" fillId="0" borderId="64" xfId="0" applyNumberFormat="1" applyFont="1" applyBorder="1" applyAlignment="1">
      <alignment horizontal="center"/>
    </xf>
    <xf numFmtId="1" fontId="4" fillId="0" borderId="65" xfId="0" applyNumberFormat="1" applyFont="1" applyBorder="1" applyAlignment="1">
      <alignment horizontal="center"/>
    </xf>
    <xf numFmtId="0" fontId="15" fillId="0" borderId="43" xfId="2" applyFont="1" applyBorder="1" applyAlignment="1">
      <alignment horizontal="center"/>
    </xf>
    <xf numFmtId="0" fontId="15" fillId="0" borderId="42" xfId="2" applyFont="1" applyBorder="1" applyAlignment="1">
      <alignment horizontal="center"/>
    </xf>
    <xf numFmtId="0" fontId="17" fillId="0" borderId="47" xfId="2" applyFont="1" applyBorder="1" applyAlignment="1">
      <alignment horizontal="center"/>
    </xf>
    <xf numFmtId="165" fontId="17" fillId="0" borderId="0" xfId="2" applyNumberFormat="1" applyFont="1" applyAlignment="1">
      <alignment horizontal="center"/>
    </xf>
    <xf numFmtId="0" fontId="17" fillId="0" borderId="0" xfId="2" applyFont="1" applyAlignment="1">
      <alignment horizontal="center"/>
    </xf>
    <xf numFmtId="49" fontId="4" fillId="0" borderId="67" xfId="0" applyNumberFormat="1" applyFont="1" applyBorder="1" applyAlignment="1">
      <alignment horizontal="center"/>
    </xf>
    <xf numFmtId="2" fontId="4" fillId="0" borderId="48" xfId="0" applyNumberFormat="1" applyFont="1" applyBorder="1" applyAlignment="1">
      <alignment horizontal="center"/>
    </xf>
    <xf numFmtId="164" fontId="4" fillId="0" borderId="31" xfId="0" applyNumberFormat="1" applyFont="1" applyBorder="1" applyAlignment="1">
      <alignment horizontal="center"/>
    </xf>
    <xf numFmtId="2" fontId="4" fillId="0" borderId="31" xfId="0" applyNumberFormat="1" applyFont="1" applyBorder="1" applyAlignment="1">
      <alignment horizontal="center"/>
    </xf>
    <xf numFmtId="2" fontId="4" fillId="0" borderId="44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0" fontId="15" fillId="0" borderId="0" xfId="2" applyFont="1" applyAlignment="1">
      <alignment horizontal="right" indent="1"/>
    </xf>
    <xf numFmtId="1" fontId="15" fillId="0" borderId="32" xfId="2" applyNumberFormat="1" applyFont="1" applyBorder="1" applyAlignment="1">
      <alignment horizontal="center"/>
    </xf>
    <xf numFmtId="165" fontId="17" fillId="0" borderId="34" xfId="2" applyNumberFormat="1" applyFont="1" applyBorder="1" applyAlignment="1">
      <alignment horizontal="center"/>
    </xf>
    <xf numFmtId="49" fontId="4" fillId="0" borderId="57" xfId="0" applyNumberFormat="1" applyFont="1" applyBorder="1" applyAlignment="1">
      <alignment horizontal="center"/>
    </xf>
    <xf numFmtId="2" fontId="4" fillId="0" borderId="29" xfId="0" applyNumberFormat="1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0" fontId="15" fillId="0" borderId="4" xfId="2" applyFont="1" applyBorder="1" applyAlignment="1">
      <alignment horizontal="center"/>
    </xf>
    <xf numFmtId="165" fontId="15" fillId="0" borderId="32" xfId="2" applyNumberFormat="1" applyFont="1" applyBorder="1" applyAlignment="1">
      <alignment horizontal="center"/>
    </xf>
    <xf numFmtId="2" fontId="15" fillId="0" borderId="32" xfId="2" applyNumberFormat="1" applyFont="1" applyBorder="1" applyAlignment="1">
      <alignment horizontal="center"/>
    </xf>
    <xf numFmtId="0" fontId="17" fillId="0" borderId="42" xfId="2" applyFont="1" applyBorder="1" applyAlignment="1">
      <alignment horizontal="center"/>
    </xf>
    <xf numFmtId="49" fontId="4" fillId="10" borderId="57" xfId="0" applyNumberFormat="1" applyFont="1" applyFill="1" applyBorder="1" applyAlignment="1">
      <alignment horizontal="center"/>
    </xf>
    <xf numFmtId="2" fontId="4" fillId="10" borderId="29" xfId="0" applyNumberFormat="1" applyFont="1" applyFill="1" applyBorder="1" applyAlignment="1">
      <alignment horizontal="center"/>
    </xf>
    <xf numFmtId="164" fontId="4" fillId="10" borderId="14" xfId="0" applyNumberFormat="1" applyFont="1" applyFill="1" applyBorder="1" applyAlignment="1">
      <alignment horizontal="center"/>
    </xf>
    <xf numFmtId="2" fontId="4" fillId="10" borderId="14" xfId="0" applyNumberFormat="1" applyFont="1" applyFill="1" applyBorder="1" applyAlignment="1">
      <alignment horizontal="center"/>
    </xf>
    <xf numFmtId="2" fontId="4" fillId="10" borderId="31" xfId="0" applyNumberFormat="1" applyFont="1" applyFill="1" applyBorder="1" applyAlignment="1">
      <alignment horizontal="center"/>
    </xf>
    <xf numFmtId="2" fontId="4" fillId="10" borderId="44" xfId="0" applyNumberFormat="1" applyFont="1" applyFill="1" applyBorder="1" applyAlignment="1">
      <alignment horizontal="center"/>
    </xf>
    <xf numFmtId="165" fontId="15" fillId="0" borderId="3" xfId="2" applyNumberFormat="1" applyFont="1" applyBorder="1" applyAlignment="1">
      <alignment horizontal="center"/>
    </xf>
    <xf numFmtId="2" fontId="17" fillId="0" borderId="0" xfId="2" applyNumberFormat="1" applyFont="1" applyAlignment="1">
      <alignment horizontal="center"/>
    </xf>
    <xf numFmtId="0" fontId="21" fillId="0" borderId="0" xfId="2" applyFont="1" applyAlignment="1">
      <alignment horizontal="right"/>
    </xf>
    <xf numFmtId="0" fontId="15" fillId="0" borderId="47" xfId="2" applyFont="1" applyBorder="1" applyAlignment="1">
      <alignment horizontal="center"/>
    </xf>
    <xf numFmtId="0" fontId="15" fillId="0" borderId="7" xfId="2" applyFont="1" applyBorder="1" applyAlignment="1">
      <alignment horizontal="center"/>
    </xf>
    <xf numFmtId="49" fontId="4" fillId="10" borderId="73" xfId="0" applyNumberFormat="1" applyFont="1" applyFill="1" applyBorder="1" applyAlignment="1">
      <alignment horizontal="center"/>
    </xf>
    <xf numFmtId="0" fontId="4" fillId="0" borderId="74" xfId="3" applyFont="1" applyBorder="1" applyAlignment="1">
      <alignment horizontal="center"/>
    </xf>
    <xf numFmtId="0" fontId="4" fillId="0" borderId="63" xfId="3" applyFont="1" applyBorder="1" applyAlignment="1">
      <alignment horizontal="center"/>
    </xf>
    <xf numFmtId="0" fontId="4" fillId="0" borderId="64" xfId="3" applyFont="1" applyBorder="1" applyAlignment="1">
      <alignment horizontal="center"/>
    </xf>
    <xf numFmtId="0" fontId="4" fillId="0" borderId="65" xfId="3" applyFont="1" applyBorder="1" applyAlignment="1">
      <alignment horizontal="center"/>
    </xf>
    <xf numFmtId="0" fontId="15" fillId="0" borderId="63" xfId="2" applyFont="1" applyBorder="1" applyAlignment="1">
      <alignment horizontal="center"/>
    </xf>
    <xf numFmtId="0" fontId="15" fillId="10" borderId="65" xfId="2" applyFont="1" applyFill="1" applyBorder="1" applyAlignment="1">
      <alignment horizontal="center"/>
    </xf>
    <xf numFmtId="0" fontId="15" fillId="0" borderId="62" xfId="2" applyFont="1" applyBorder="1"/>
    <xf numFmtId="0" fontId="4" fillId="0" borderId="41" xfId="3" applyFont="1" applyBorder="1" applyAlignment="1">
      <alignment horizontal="right" indent="1"/>
    </xf>
    <xf numFmtId="1" fontId="4" fillId="0" borderId="48" xfId="3" applyNumberFormat="1" applyFont="1" applyBorder="1" applyAlignment="1">
      <alignment horizontal="right" indent="1"/>
    </xf>
    <xf numFmtId="1" fontId="4" fillId="0" borderId="31" xfId="3" applyNumberFormat="1" applyFont="1" applyBorder="1" applyAlignment="1">
      <alignment horizontal="right" indent="1"/>
    </xf>
    <xf numFmtId="1" fontId="4" fillId="0" borderId="44" xfId="3" applyNumberFormat="1" applyFont="1" applyBorder="1" applyAlignment="1">
      <alignment horizontal="right" indent="1"/>
    </xf>
    <xf numFmtId="165" fontId="4" fillId="0" borderId="48" xfId="3" applyNumberFormat="1" applyFont="1" applyBorder="1" applyAlignment="1">
      <alignment horizontal="right" indent="1"/>
    </xf>
    <xf numFmtId="165" fontId="4" fillId="10" borderId="44" xfId="3" applyNumberFormat="1" applyFont="1" applyFill="1" applyBorder="1" applyAlignment="1">
      <alignment horizontal="right" indent="1"/>
    </xf>
    <xf numFmtId="1" fontId="4" fillId="0" borderId="34" xfId="3" applyNumberFormat="1" applyFont="1" applyBorder="1" applyAlignment="1">
      <alignment horizontal="right" indent="1"/>
    </xf>
    <xf numFmtId="0" fontId="4" fillId="0" borderId="25" xfId="3" applyFont="1" applyBorder="1" applyAlignment="1">
      <alignment horizontal="right" indent="1"/>
    </xf>
    <xf numFmtId="1" fontId="4" fillId="0" borderId="29" xfId="3" applyNumberFormat="1" applyFont="1" applyBorder="1" applyAlignment="1">
      <alignment horizontal="right" indent="1"/>
    </xf>
    <xf numFmtId="1" fontId="4" fillId="0" borderId="14" xfId="3" applyNumberFormat="1" applyFont="1" applyBorder="1" applyAlignment="1">
      <alignment horizontal="right" indent="1"/>
    </xf>
    <xf numFmtId="1" fontId="4" fillId="0" borderId="38" xfId="3" applyNumberFormat="1" applyFont="1" applyBorder="1" applyAlignment="1">
      <alignment horizontal="right" indent="1"/>
    </xf>
    <xf numFmtId="165" fontId="4" fillId="0" borderId="29" xfId="3" applyNumberFormat="1" applyFont="1" applyBorder="1" applyAlignment="1">
      <alignment horizontal="right" indent="1"/>
    </xf>
    <xf numFmtId="165" fontId="4" fillId="10" borderId="38" xfId="3" applyNumberFormat="1" applyFont="1" applyFill="1" applyBorder="1" applyAlignment="1">
      <alignment horizontal="right" indent="1"/>
    </xf>
    <xf numFmtId="1" fontId="4" fillId="0" borderId="35" xfId="3" applyNumberFormat="1" applyFont="1" applyBorder="1" applyAlignment="1">
      <alignment horizontal="right" indent="1"/>
    </xf>
    <xf numFmtId="0" fontId="4" fillId="0" borderId="26" xfId="3" applyFont="1" applyBorder="1" applyAlignment="1">
      <alignment horizontal="right" indent="1"/>
    </xf>
    <xf numFmtId="1" fontId="4" fillId="0" borderId="52" xfId="3" applyNumberFormat="1" applyFont="1" applyBorder="1" applyAlignment="1">
      <alignment horizontal="right" indent="1"/>
    </xf>
    <xf numFmtId="1" fontId="4" fillId="0" borderId="30" xfId="3" applyNumberFormat="1" applyFont="1" applyBorder="1" applyAlignment="1">
      <alignment horizontal="right" indent="1"/>
    </xf>
    <xf numFmtId="1" fontId="4" fillId="0" borderId="39" xfId="3" applyNumberFormat="1" applyFont="1" applyBorder="1" applyAlignment="1">
      <alignment horizontal="right" indent="1"/>
    </xf>
    <xf numFmtId="165" fontId="4" fillId="0" borderId="52" xfId="3" applyNumberFormat="1" applyFont="1" applyBorder="1" applyAlignment="1">
      <alignment horizontal="right" indent="1"/>
    </xf>
    <xf numFmtId="165" fontId="4" fillId="10" borderId="39" xfId="3" applyNumberFormat="1" applyFont="1" applyFill="1" applyBorder="1" applyAlignment="1">
      <alignment horizontal="right" indent="1"/>
    </xf>
    <xf numFmtId="1" fontId="4" fillId="0" borderId="36" xfId="3" applyNumberFormat="1" applyFont="1" applyBorder="1" applyAlignment="1">
      <alignment horizontal="right" indent="1"/>
    </xf>
    <xf numFmtId="0" fontId="15" fillId="0" borderId="14" xfId="2" applyFont="1" applyBorder="1" applyAlignment="1">
      <alignment horizontal="center"/>
    </xf>
    <xf numFmtId="0" fontId="22" fillId="0" borderId="14" xfId="2" applyFont="1" applyBorder="1" applyAlignment="1">
      <alignment horizontal="center"/>
    </xf>
    <xf numFmtId="0" fontId="15" fillId="0" borderId="14" xfId="2" applyFont="1" applyBorder="1" applyAlignment="1">
      <alignment horizontal="right" indent="1"/>
    </xf>
    <xf numFmtId="2" fontId="15" fillId="0" borderId="14" xfId="2" applyNumberFormat="1" applyFont="1" applyBorder="1" applyAlignment="1">
      <alignment horizontal="right" indent="1"/>
    </xf>
    <xf numFmtId="0" fontId="4" fillId="0" borderId="63" xfId="0" applyFont="1" applyBorder="1" applyAlignment="1">
      <alignment horizontal="center"/>
    </xf>
    <xf numFmtId="0" fontId="4" fillId="0" borderId="64" xfId="0" applyFont="1" applyBorder="1" applyAlignment="1">
      <alignment horizontal="center"/>
    </xf>
    <xf numFmtId="0" fontId="4" fillId="0" borderId="65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5" fillId="0" borderId="75" xfId="2" applyFont="1" applyBorder="1" applyAlignment="1">
      <alignment horizontal="center"/>
    </xf>
    <xf numFmtId="0" fontId="15" fillId="0" borderId="76" xfId="2" applyFont="1" applyBorder="1" applyAlignment="1">
      <alignment horizontal="center"/>
    </xf>
    <xf numFmtId="0" fontId="15" fillId="0" borderId="77" xfId="2" applyFont="1" applyBorder="1" applyAlignment="1">
      <alignment horizontal="center"/>
    </xf>
    <xf numFmtId="0" fontId="15" fillId="0" borderId="78" xfId="2" applyFont="1" applyBorder="1" applyAlignment="1">
      <alignment horizontal="center"/>
    </xf>
    <xf numFmtId="0" fontId="15" fillId="0" borderId="79" xfId="2" applyFont="1" applyBorder="1" applyAlignment="1">
      <alignment horizontal="center"/>
    </xf>
    <xf numFmtId="0" fontId="15" fillId="0" borderId="80" xfId="2" applyFont="1" applyBorder="1" applyAlignment="1">
      <alignment horizontal="center"/>
    </xf>
    <xf numFmtId="0" fontId="15" fillId="0" borderId="48" xfId="2" applyFont="1" applyBorder="1" applyAlignment="1">
      <alignment horizontal="center"/>
    </xf>
    <xf numFmtId="165" fontId="15" fillId="0" borderId="44" xfId="2" applyNumberFormat="1" applyFont="1" applyBorder="1" applyAlignment="1">
      <alignment horizontal="center"/>
    </xf>
    <xf numFmtId="0" fontId="15" fillId="0" borderId="29" xfId="2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15" fillId="0" borderId="52" xfId="2" applyFont="1" applyBorder="1" applyAlignment="1">
      <alignment horizontal="center"/>
    </xf>
    <xf numFmtId="0" fontId="15" fillId="3" borderId="53" xfId="2" applyFont="1" applyFill="1" applyBorder="1" applyAlignment="1" applyProtection="1">
      <alignment horizontal="right" indent="1"/>
      <protection locked="0"/>
    </xf>
    <xf numFmtId="0" fontId="15" fillId="3" borderId="57" xfId="2" applyFont="1" applyFill="1" applyBorder="1" applyAlignment="1" applyProtection="1">
      <alignment horizontal="right" indent="1"/>
      <protection locked="0"/>
    </xf>
    <xf numFmtId="0" fontId="15" fillId="3" borderId="57" xfId="2" applyFont="1" applyFill="1" applyBorder="1" applyAlignment="1" applyProtection="1">
      <alignment horizontal="center"/>
      <protection locked="0"/>
    </xf>
    <xf numFmtId="49" fontId="15" fillId="3" borderId="57" xfId="2" applyNumberFormat="1" applyFont="1" applyFill="1" applyBorder="1" applyAlignment="1" applyProtection="1">
      <alignment horizontal="center"/>
      <protection locked="0"/>
    </xf>
    <xf numFmtId="2" fontId="15" fillId="3" borderId="57" xfId="2" applyNumberFormat="1" applyFont="1" applyFill="1" applyBorder="1" applyAlignment="1" applyProtection="1">
      <alignment horizontal="right" indent="1"/>
      <protection locked="0"/>
    </xf>
    <xf numFmtId="165" fontId="15" fillId="3" borderId="57" xfId="2" applyNumberFormat="1" applyFont="1" applyFill="1" applyBorder="1" applyAlignment="1" applyProtection="1">
      <alignment horizontal="right" indent="1"/>
      <protection locked="0"/>
    </xf>
    <xf numFmtId="1" fontId="15" fillId="3" borderId="73" xfId="2" applyNumberFormat="1" applyFont="1" applyFill="1" applyBorder="1" applyAlignment="1" applyProtection="1">
      <alignment horizontal="right" indent="1"/>
      <protection locked="0"/>
    </xf>
    <xf numFmtId="165" fontId="15" fillId="0" borderId="55" xfId="2" applyNumberFormat="1" applyFont="1" applyBorder="1" applyAlignment="1">
      <alignment horizontal="center"/>
    </xf>
    <xf numFmtId="165" fontId="15" fillId="0" borderId="68" xfId="2" applyNumberFormat="1" applyFont="1" applyBorder="1" applyAlignment="1">
      <alignment horizontal="center"/>
    </xf>
    <xf numFmtId="0" fontId="15" fillId="0" borderId="55" xfId="2" applyFont="1" applyBorder="1" applyAlignment="1">
      <alignment horizontal="center"/>
    </xf>
    <xf numFmtId="165" fontId="22" fillId="0" borderId="55" xfId="2" applyNumberFormat="1" applyFont="1" applyBorder="1" applyAlignment="1">
      <alignment horizontal="center"/>
    </xf>
    <xf numFmtId="165" fontId="22" fillId="0" borderId="68" xfId="2" applyNumberFormat="1" applyFont="1" applyBorder="1" applyAlignment="1">
      <alignment horizontal="center"/>
    </xf>
    <xf numFmtId="0" fontId="4" fillId="0" borderId="8" xfId="0" applyFont="1" applyBorder="1"/>
    <xf numFmtId="0" fontId="4" fillId="2" borderId="12" xfId="0" applyFont="1" applyFill="1" applyBorder="1" applyAlignment="1" applyProtection="1">
      <alignment horizontal="center"/>
      <protection locked="0"/>
    </xf>
    <xf numFmtId="0" fontId="4" fillId="0" borderId="0" xfId="0" applyFont="1" applyAlignment="1">
      <alignment horizontal="right" indent="1"/>
    </xf>
    <xf numFmtId="0" fontId="15" fillId="3" borderId="57" xfId="2" applyFont="1" applyFill="1" applyBorder="1" applyAlignment="1" applyProtection="1">
      <alignment horizontal="center" shrinkToFit="1"/>
      <protection locked="0"/>
    </xf>
    <xf numFmtId="0" fontId="15" fillId="0" borderId="17" xfId="2" applyFont="1" applyBorder="1" applyAlignment="1">
      <alignment horizontal="right" indent="1"/>
    </xf>
    <xf numFmtId="0" fontId="15" fillId="0" borderId="68" xfId="2" applyFont="1" applyBorder="1" applyAlignment="1">
      <alignment horizontal="right" indent="1"/>
    </xf>
    <xf numFmtId="0" fontId="15" fillId="0" borderId="41" xfId="2" applyFont="1" applyBorder="1"/>
    <xf numFmtId="0" fontId="15" fillId="0" borderId="25" xfId="2" applyFont="1" applyBorder="1"/>
    <xf numFmtId="0" fontId="15" fillId="0" borderId="26" xfId="2" applyFont="1" applyBorder="1"/>
    <xf numFmtId="0" fontId="15" fillId="0" borderId="23" xfId="2" applyFont="1" applyBorder="1" applyAlignment="1">
      <alignment horizontal="right" indent="1"/>
    </xf>
    <xf numFmtId="0" fontId="17" fillId="0" borderId="14" xfId="2" applyFont="1" applyBorder="1" applyAlignment="1">
      <alignment horizontal="center"/>
    </xf>
    <xf numFmtId="0" fontId="15" fillId="0" borderId="13" xfId="2" applyFont="1" applyBorder="1" applyAlignment="1">
      <alignment horizontal="center"/>
    </xf>
    <xf numFmtId="0" fontId="15" fillId="0" borderId="30" xfId="2" applyFont="1" applyBorder="1" applyAlignment="1">
      <alignment horizontal="center"/>
    </xf>
    <xf numFmtId="0" fontId="15" fillId="0" borderId="64" xfId="2" applyFont="1" applyBorder="1" applyAlignment="1">
      <alignment horizontal="center"/>
    </xf>
    <xf numFmtId="0" fontId="15" fillId="0" borderId="31" xfId="2" applyFont="1" applyBorder="1" applyAlignment="1">
      <alignment horizontal="center"/>
    </xf>
    <xf numFmtId="0" fontId="15" fillId="0" borderId="65" xfId="2" applyFont="1" applyBorder="1" applyAlignment="1">
      <alignment horizontal="center"/>
    </xf>
    <xf numFmtId="165" fontId="15" fillId="0" borderId="38" xfId="2" applyNumberFormat="1" applyFont="1" applyBorder="1" applyAlignment="1">
      <alignment horizontal="center"/>
    </xf>
    <xf numFmtId="0" fontId="4" fillId="0" borderId="48" xfId="3" applyFont="1" applyBorder="1" applyAlignment="1">
      <alignment horizontal="center"/>
    </xf>
    <xf numFmtId="0" fontId="4" fillId="0" borderId="29" xfId="3" applyFont="1" applyBorder="1" applyAlignment="1">
      <alignment horizontal="center"/>
    </xf>
    <xf numFmtId="0" fontId="4" fillId="0" borderId="52" xfId="3" applyFont="1" applyBorder="1" applyAlignment="1">
      <alignment horizontal="center"/>
    </xf>
    <xf numFmtId="165" fontId="15" fillId="0" borderId="39" xfId="2" applyNumberFormat="1" applyFont="1" applyBorder="1" applyAlignment="1">
      <alignment horizontal="center"/>
    </xf>
    <xf numFmtId="0" fontId="11" fillId="0" borderId="8" xfId="2" applyFont="1" applyBorder="1" applyAlignment="1">
      <alignment horizontal="right"/>
    </xf>
    <xf numFmtId="0" fontId="11" fillId="0" borderId="8" xfId="2" applyFont="1" applyBorder="1" applyAlignment="1">
      <alignment horizontal="center"/>
    </xf>
    <xf numFmtId="165" fontId="11" fillId="0" borderId="10" xfId="2" applyNumberFormat="1" applyFont="1" applyBorder="1" applyAlignment="1">
      <alignment horizontal="center"/>
    </xf>
    <xf numFmtId="0" fontId="1" fillId="0" borderId="0" xfId="4"/>
    <xf numFmtId="0" fontId="1" fillId="11" borderId="0" xfId="4" applyFill="1" applyProtection="1">
      <protection locked="0"/>
    </xf>
    <xf numFmtId="0" fontId="4" fillId="3" borderId="18" xfId="0" applyFont="1" applyFill="1" applyBorder="1" applyAlignment="1" applyProtection="1">
      <alignment horizontal="left" indent="1"/>
      <protection locked="0"/>
    </xf>
    <xf numFmtId="0" fontId="4" fillId="3" borderId="19" xfId="0" applyFont="1" applyFill="1" applyBorder="1" applyAlignment="1" applyProtection="1">
      <alignment horizontal="left" indent="1"/>
      <protection locked="0"/>
    </xf>
    <xf numFmtId="0" fontId="4" fillId="3" borderId="40" xfId="0" applyFont="1" applyFill="1" applyBorder="1" applyAlignment="1" applyProtection="1">
      <alignment horizontal="left" indent="1"/>
      <protection locked="0"/>
    </xf>
    <xf numFmtId="0" fontId="4" fillId="3" borderId="15" xfId="0" applyFont="1" applyFill="1" applyBorder="1" applyAlignment="1" applyProtection="1">
      <alignment horizontal="left" indent="1"/>
      <protection locked="0"/>
    </xf>
    <xf numFmtId="0" fontId="4" fillId="3" borderId="16" xfId="0" applyFont="1" applyFill="1" applyBorder="1" applyAlignment="1" applyProtection="1">
      <alignment horizontal="left" indent="1"/>
      <protection locked="0"/>
    </xf>
    <xf numFmtId="0" fontId="4" fillId="3" borderId="35" xfId="0" applyFont="1" applyFill="1" applyBorder="1" applyAlignment="1" applyProtection="1">
      <alignment horizontal="left" indent="1"/>
      <protection locked="0"/>
    </xf>
    <xf numFmtId="22" fontId="4" fillId="3" borderId="21" xfId="0" applyNumberFormat="1" applyFont="1" applyFill="1" applyBorder="1" applyAlignment="1" applyProtection="1">
      <alignment horizontal="left" indent="1"/>
      <protection locked="0"/>
    </xf>
    <xf numFmtId="22" fontId="4" fillId="3" borderId="22" xfId="0" applyNumberFormat="1" applyFont="1" applyFill="1" applyBorder="1" applyAlignment="1" applyProtection="1">
      <alignment horizontal="left" indent="1"/>
      <protection locked="0"/>
    </xf>
    <xf numFmtId="22" fontId="4" fillId="3" borderId="36" xfId="0" applyNumberFormat="1" applyFont="1" applyFill="1" applyBorder="1" applyAlignment="1" applyProtection="1">
      <alignment horizontal="left" indent="1"/>
      <protection locked="0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 indent="1" shrinkToFit="1"/>
    </xf>
    <xf numFmtId="0" fontId="4" fillId="0" borderId="4" xfId="0" applyFont="1" applyBorder="1" applyAlignment="1">
      <alignment horizontal="right" indent="1" shrinkToFit="1"/>
    </xf>
    <xf numFmtId="0" fontId="4" fillId="0" borderId="0" xfId="0" applyFont="1" applyAlignment="1">
      <alignment horizontal="right" indent="1"/>
    </xf>
    <xf numFmtId="0" fontId="4" fillId="0" borderId="4" xfId="0" applyFont="1" applyBorder="1" applyAlignment="1">
      <alignment horizontal="right" indent="1"/>
    </xf>
    <xf numFmtId="0" fontId="4" fillId="0" borderId="0" xfId="0" applyFont="1" applyAlignment="1">
      <alignment horizontal="right"/>
    </xf>
    <xf numFmtId="0" fontId="4" fillId="0" borderId="24" xfId="0" applyFont="1" applyBorder="1" applyAlignment="1">
      <alignment horizontal="right" indent="1"/>
    </xf>
    <xf numFmtId="0" fontId="4" fillId="0" borderId="19" xfId="0" applyFont="1" applyBorder="1" applyAlignment="1">
      <alignment horizontal="right" indent="1"/>
    </xf>
    <xf numFmtId="0" fontId="4" fillId="0" borderId="20" xfId="0" applyFont="1" applyBorder="1" applyAlignment="1">
      <alignment horizontal="right" indent="1"/>
    </xf>
    <xf numFmtId="0" fontId="4" fillId="0" borderId="25" xfId="0" applyFont="1" applyBorder="1" applyAlignment="1">
      <alignment horizontal="right" indent="1"/>
    </xf>
    <xf numFmtId="0" fontId="4" fillId="0" borderId="16" xfId="0" applyFont="1" applyBorder="1" applyAlignment="1">
      <alignment horizontal="right" indent="1"/>
    </xf>
    <xf numFmtId="0" fontId="4" fillId="0" borderId="17" xfId="0" applyFont="1" applyBorder="1" applyAlignment="1">
      <alignment horizontal="right" indent="1"/>
    </xf>
    <xf numFmtId="0" fontId="4" fillId="0" borderId="26" xfId="0" applyFont="1" applyBorder="1" applyAlignment="1">
      <alignment horizontal="right" indent="1"/>
    </xf>
    <xf numFmtId="0" fontId="4" fillId="0" borderId="22" xfId="0" applyFont="1" applyBorder="1" applyAlignment="1">
      <alignment horizontal="right" indent="1"/>
    </xf>
    <xf numFmtId="0" fontId="4" fillId="0" borderId="23" xfId="0" applyFont="1" applyBorder="1" applyAlignment="1">
      <alignment horizontal="right" indent="1"/>
    </xf>
    <xf numFmtId="0" fontId="4" fillId="0" borderId="3" xfId="0" applyFont="1" applyBorder="1" applyAlignment="1">
      <alignment horizontal="right" indent="1" shrinkToFit="1"/>
    </xf>
    <xf numFmtId="0" fontId="4" fillId="0" borderId="13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22" fontId="4" fillId="0" borderId="2" xfId="0" applyNumberFormat="1" applyFont="1" applyBorder="1" applyAlignment="1">
      <alignment horizontal="left"/>
    </xf>
    <xf numFmtId="0" fontId="4" fillId="3" borderId="1" xfId="0" applyFont="1" applyFill="1" applyBorder="1" applyAlignment="1" applyProtection="1">
      <alignment horizontal="left" indent="1"/>
      <protection locked="0"/>
    </xf>
    <xf numFmtId="0" fontId="4" fillId="3" borderId="2" xfId="0" applyFont="1" applyFill="1" applyBorder="1" applyAlignment="1" applyProtection="1">
      <alignment horizontal="left" indent="1"/>
      <protection locked="0"/>
    </xf>
    <xf numFmtId="0" fontId="4" fillId="3" borderId="12" xfId="0" applyFont="1" applyFill="1" applyBorder="1" applyAlignment="1" applyProtection="1">
      <alignment horizontal="left" indent="1"/>
      <protection locked="0"/>
    </xf>
    <xf numFmtId="0" fontId="4" fillId="0" borderId="1" xfId="0" applyFont="1" applyBorder="1" applyProtection="1">
      <protection locked="0"/>
    </xf>
    <xf numFmtId="0" fontId="4" fillId="0" borderId="2" xfId="0" applyFont="1" applyBorder="1" applyProtection="1">
      <protection locked="0"/>
    </xf>
    <xf numFmtId="0" fontId="4" fillId="0" borderId="12" xfId="0" applyFont="1" applyBorder="1" applyProtection="1">
      <protection locked="0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7" fillId="0" borderId="48" xfId="0" applyFont="1" applyBorder="1" applyAlignment="1">
      <alignment horizontal="center" shrinkToFit="1"/>
    </xf>
    <xf numFmtId="0" fontId="7" fillId="0" borderId="31" xfId="0" applyFont="1" applyBorder="1" applyAlignment="1">
      <alignment horizontal="center" shrinkToFit="1"/>
    </xf>
    <xf numFmtId="0" fontId="4" fillId="0" borderId="5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0" fontId="23" fillId="2" borderId="56" xfId="0" applyFont="1" applyFill="1" applyBorder="1" applyAlignment="1" applyProtection="1">
      <alignment horizontal="center" vertical="center"/>
      <protection locked="0"/>
    </xf>
    <xf numFmtId="0" fontId="23" fillId="2" borderId="66" xfId="0" applyFont="1" applyFill="1" applyBorder="1" applyAlignment="1" applyProtection="1">
      <alignment horizontal="center" vertical="center"/>
      <protection locked="0"/>
    </xf>
    <xf numFmtId="0" fontId="7" fillId="0" borderId="26" xfId="0" applyFont="1" applyBorder="1" applyAlignment="1">
      <alignment horizontal="center" shrinkToFit="1"/>
    </xf>
    <xf numFmtId="0" fontId="7" fillId="0" borderId="23" xfId="0" applyFont="1" applyBorder="1" applyAlignment="1">
      <alignment horizontal="center" shrinkToFit="1"/>
    </xf>
    <xf numFmtId="0" fontId="7" fillId="0" borderId="29" xfId="0" applyFont="1" applyBorder="1" applyAlignment="1">
      <alignment horizontal="center" shrinkToFit="1"/>
    </xf>
    <xf numFmtId="0" fontId="7" fillId="0" borderId="14" xfId="0" applyFont="1" applyBorder="1" applyAlignment="1">
      <alignment horizontal="center" shrinkToFi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4" fillId="0" borderId="0" xfId="0" applyFont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/>
    <xf numFmtId="0" fontId="4" fillId="0" borderId="29" xfId="0" applyFont="1" applyBorder="1" applyAlignment="1">
      <alignment horizontal="center" shrinkToFit="1"/>
    </xf>
    <xf numFmtId="0" fontId="4" fillId="0" borderId="14" xfId="0" applyFont="1" applyBorder="1" applyAlignment="1">
      <alignment horizontal="center" shrinkToFit="1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1" xfId="0" applyFont="1" applyBorder="1" applyAlignment="1">
      <alignment horizontal="right" indent="1"/>
    </xf>
    <xf numFmtId="0" fontId="6" fillId="0" borderId="12" xfId="0" applyFont="1" applyBorder="1" applyAlignment="1">
      <alignment horizontal="right" indent="1"/>
    </xf>
    <xf numFmtId="0" fontId="4" fillId="4" borderId="14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7" fillId="0" borderId="24" xfId="0" applyFont="1" applyBorder="1" applyAlignment="1">
      <alignment horizontal="center" shrinkToFit="1"/>
    </xf>
    <xf numFmtId="0" fontId="7" fillId="0" borderId="20" xfId="0" applyFont="1" applyBorder="1" applyAlignment="1">
      <alignment horizontal="center" shrinkToFit="1"/>
    </xf>
    <xf numFmtId="0" fontId="6" fillId="0" borderId="18" xfId="0" applyFont="1" applyBorder="1" applyAlignment="1">
      <alignment horizontal="center" shrinkToFit="1"/>
    </xf>
    <xf numFmtId="0" fontId="6" fillId="0" borderId="19" xfId="0" applyFont="1" applyBorder="1" applyAlignment="1">
      <alignment horizontal="center" shrinkToFit="1"/>
    </xf>
    <xf numFmtId="0" fontId="6" fillId="0" borderId="40" xfId="0" applyFont="1" applyBorder="1" applyAlignment="1">
      <alignment horizontal="center" shrinkToFit="1"/>
    </xf>
    <xf numFmtId="0" fontId="4" fillId="2" borderId="1" xfId="0" quotePrefix="1" applyFont="1" applyFill="1" applyBorder="1" applyAlignment="1" applyProtection="1">
      <alignment horizontal="left" indent="1"/>
      <protection locked="0"/>
    </xf>
    <xf numFmtId="0" fontId="4" fillId="2" borderId="2" xfId="0" quotePrefix="1" applyFont="1" applyFill="1" applyBorder="1" applyAlignment="1" applyProtection="1">
      <alignment horizontal="left" indent="1"/>
      <protection locked="0"/>
    </xf>
    <xf numFmtId="0" fontId="4" fillId="2" borderId="12" xfId="0" quotePrefix="1" applyFont="1" applyFill="1" applyBorder="1" applyAlignment="1" applyProtection="1">
      <alignment horizontal="left" indent="1"/>
      <protection locked="0"/>
    </xf>
    <xf numFmtId="0" fontId="4" fillId="2" borderId="18" xfId="0" applyFont="1" applyFill="1" applyBorder="1" applyAlignment="1" applyProtection="1">
      <alignment horizontal="left" indent="1"/>
      <protection locked="0"/>
    </xf>
    <xf numFmtId="0" fontId="4" fillId="2" borderId="19" xfId="0" applyFont="1" applyFill="1" applyBorder="1" applyAlignment="1" applyProtection="1">
      <alignment horizontal="left" indent="1"/>
      <protection locked="0"/>
    </xf>
    <xf numFmtId="0" fontId="4" fillId="2" borderId="40" xfId="0" applyFont="1" applyFill="1" applyBorder="1" applyAlignment="1" applyProtection="1">
      <alignment horizontal="left" indent="1"/>
      <protection locked="0"/>
    </xf>
    <xf numFmtId="0" fontId="4" fillId="2" borderId="15" xfId="0" applyFont="1" applyFill="1" applyBorder="1" applyAlignment="1" applyProtection="1">
      <alignment horizontal="left" indent="1"/>
      <protection locked="0"/>
    </xf>
    <xf numFmtId="0" fontId="4" fillId="2" borderId="16" xfId="0" applyFont="1" applyFill="1" applyBorder="1" applyAlignment="1" applyProtection="1">
      <alignment horizontal="left" indent="1"/>
      <protection locked="0"/>
    </xf>
    <xf numFmtId="0" fontId="4" fillId="2" borderId="35" xfId="0" applyFont="1" applyFill="1" applyBorder="1" applyAlignment="1" applyProtection="1">
      <alignment horizontal="left" indent="1"/>
      <protection locked="0"/>
    </xf>
    <xf numFmtId="0" fontId="4" fillId="2" borderId="21" xfId="0" applyFont="1" applyFill="1" applyBorder="1" applyAlignment="1" applyProtection="1">
      <alignment horizontal="left" indent="1"/>
      <protection locked="0"/>
    </xf>
    <xf numFmtId="0" fontId="4" fillId="2" borderId="22" xfId="0" applyFont="1" applyFill="1" applyBorder="1" applyAlignment="1" applyProtection="1">
      <alignment horizontal="left" indent="1"/>
      <protection locked="0"/>
    </xf>
    <xf numFmtId="0" fontId="4" fillId="2" borderId="36" xfId="0" applyFont="1" applyFill="1" applyBorder="1" applyAlignment="1" applyProtection="1">
      <alignment horizontal="left" indent="1"/>
      <protection locked="0"/>
    </xf>
    <xf numFmtId="0" fontId="4" fillId="0" borderId="8" xfId="0" applyFont="1" applyBorder="1" applyAlignment="1">
      <alignment horizontal="center"/>
    </xf>
    <xf numFmtId="0" fontId="23" fillId="2" borderId="56" xfId="0" quotePrefix="1" applyFont="1" applyFill="1" applyBorder="1" applyAlignment="1" applyProtection="1">
      <alignment horizontal="center"/>
      <protection locked="0"/>
    </xf>
    <xf numFmtId="0" fontId="23" fillId="2" borderId="66" xfId="0" quotePrefix="1" applyFont="1" applyFill="1" applyBorder="1" applyAlignment="1" applyProtection="1">
      <alignment horizontal="center"/>
      <protection locked="0"/>
    </xf>
    <xf numFmtId="0" fontId="4" fillId="0" borderId="3" xfId="0" applyFont="1" applyBorder="1" applyAlignment="1">
      <alignment horizontal="right" indent="1"/>
    </xf>
    <xf numFmtId="0" fontId="6" fillId="0" borderId="15" xfId="0" applyFont="1" applyBorder="1" applyAlignment="1">
      <alignment horizontal="center" shrinkToFit="1"/>
    </xf>
    <xf numFmtId="0" fontId="6" fillId="0" borderId="16" xfId="0" applyFont="1" applyBorder="1" applyAlignment="1">
      <alignment horizontal="center" shrinkToFit="1"/>
    </xf>
    <xf numFmtId="0" fontId="6" fillId="0" borderId="35" xfId="0" applyFont="1" applyBorder="1" applyAlignment="1">
      <alignment horizontal="center" shrinkToFit="1"/>
    </xf>
    <xf numFmtId="0" fontId="7" fillId="0" borderId="25" xfId="0" applyFont="1" applyBorder="1" applyAlignment="1">
      <alignment horizontal="center" shrinkToFit="1"/>
    </xf>
    <xf numFmtId="0" fontId="7" fillId="0" borderId="17" xfId="0" applyFont="1" applyBorder="1" applyAlignment="1">
      <alignment horizontal="center" shrinkToFit="1"/>
    </xf>
    <xf numFmtId="0" fontId="11" fillId="0" borderId="0" xfId="0" applyFont="1" applyAlignment="1">
      <alignment horizontal="left"/>
    </xf>
    <xf numFmtId="0" fontId="6" fillId="0" borderId="21" xfId="0" applyFont="1" applyBorder="1" applyAlignment="1">
      <alignment horizontal="center" shrinkToFit="1"/>
    </xf>
    <xf numFmtId="0" fontId="6" fillId="0" borderId="22" xfId="0" applyFont="1" applyBorder="1" applyAlignment="1">
      <alignment horizontal="center" shrinkToFit="1"/>
    </xf>
    <xf numFmtId="0" fontId="6" fillId="0" borderId="36" xfId="0" applyFont="1" applyBorder="1" applyAlignment="1">
      <alignment horizontal="center" shrinkToFit="1"/>
    </xf>
    <xf numFmtId="0" fontId="12" fillId="0" borderId="0" xfId="0" applyFont="1" applyAlignment="1">
      <alignment horizontal="left"/>
    </xf>
    <xf numFmtId="0" fontId="4" fillId="0" borderId="30" xfId="0" applyFont="1" applyBorder="1" applyAlignment="1">
      <alignment horizontal="center"/>
    </xf>
    <xf numFmtId="0" fontId="4" fillId="4" borderId="31" xfId="0" applyFont="1" applyFill="1" applyBorder="1" applyAlignment="1">
      <alignment horizontal="center"/>
    </xf>
    <xf numFmtId="0" fontId="11" fillId="0" borderId="0" xfId="0" applyFont="1"/>
    <xf numFmtId="0" fontId="8" fillId="0" borderId="26" xfId="0" applyFont="1" applyBorder="1" applyAlignment="1">
      <alignment horizontal="center" shrinkToFit="1"/>
    </xf>
    <xf numFmtId="0" fontId="8" fillId="0" borderId="23" xfId="0" applyFont="1" applyBorder="1" applyAlignment="1">
      <alignment horizontal="center" shrinkToFit="1"/>
    </xf>
    <xf numFmtId="0" fontId="15" fillId="0" borderId="63" xfId="2" applyFont="1" applyBorder="1" applyAlignment="1">
      <alignment horizontal="center"/>
    </xf>
    <xf numFmtId="0" fontId="15" fillId="0" borderId="64" xfId="2" applyFont="1" applyBorder="1" applyAlignment="1">
      <alignment horizontal="center"/>
    </xf>
    <xf numFmtId="0" fontId="15" fillId="0" borderId="68" xfId="2" applyFont="1" applyBorder="1" applyAlignment="1">
      <alignment horizontal="center"/>
    </xf>
    <xf numFmtId="0" fontId="15" fillId="0" borderId="31" xfId="2" applyFont="1" applyBorder="1" applyAlignment="1">
      <alignment horizontal="center"/>
    </xf>
    <xf numFmtId="0" fontId="15" fillId="0" borderId="44" xfId="2" applyFont="1" applyBorder="1" applyAlignment="1">
      <alignment horizontal="center"/>
    </xf>
    <xf numFmtId="0" fontId="15" fillId="0" borderId="17" xfId="2" applyFont="1" applyBorder="1" applyAlignment="1">
      <alignment horizontal="center"/>
    </xf>
    <xf numFmtId="0" fontId="15" fillId="0" borderId="14" xfId="2" applyFont="1" applyBorder="1" applyAlignment="1">
      <alignment horizontal="center"/>
    </xf>
    <xf numFmtId="0" fontId="15" fillId="0" borderId="38" xfId="2" applyFont="1" applyBorder="1" applyAlignment="1">
      <alignment horizontal="center"/>
    </xf>
    <xf numFmtId="0" fontId="15" fillId="0" borderId="23" xfId="2" applyFont="1" applyBorder="1" applyAlignment="1">
      <alignment horizontal="center"/>
    </xf>
    <xf numFmtId="0" fontId="15" fillId="0" borderId="30" xfId="2" applyFont="1" applyBorder="1" applyAlignment="1">
      <alignment horizontal="center"/>
    </xf>
    <xf numFmtId="0" fontId="15" fillId="0" borderId="39" xfId="2" applyFont="1" applyBorder="1" applyAlignment="1">
      <alignment horizontal="center"/>
    </xf>
    <xf numFmtId="0" fontId="15" fillId="0" borderId="65" xfId="2" applyFont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13" fillId="0" borderId="0" xfId="0" applyFont="1"/>
    <xf numFmtId="0" fontId="4" fillId="5" borderId="15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2" fontId="4" fillId="10" borderId="15" xfId="3" applyNumberFormat="1" applyFont="1" applyFill="1" applyBorder="1" applyAlignment="1">
      <alignment horizontal="center"/>
    </xf>
    <xf numFmtId="2" fontId="4" fillId="10" borderId="16" xfId="3" applyNumberFormat="1" applyFont="1" applyFill="1" applyBorder="1" applyAlignment="1">
      <alignment horizontal="center"/>
    </xf>
    <xf numFmtId="2" fontId="4" fillId="10" borderId="35" xfId="3" applyNumberFormat="1" applyFont="1" applyFill="1" applyBorder="1" applyAlignment="1">
      <alignment horizontal="center"/>
    </xf>
    <xf numFmtId="165" fontId="4" fillId="10" borderId="15" xfId="3" applyNumberFormat="1" applyFont="1" applyFill="1" applyBorder="1" applyAlignment="1">
      <alignment horizontal="center"/>
    </xf>
    <xf numFmtId="165" fontId="4" fillId="10" borderId="16" xfId="3" applyNumberFormat="1" applyFont="1" applyFill="1" applyBorder="1" applyAlignment="1">
      <alignment horizontal="center"/>
    </xf>
    <xf numFmtId="165" fontId="4" fillId="10" borderId="35" xfId="3" applyNumberFormat="1" applyFont="1" applyFill="1" applyBorder="1" applyAlignment="1">
      <alignment horizontal="center"/>
    </xf>
    <xf numFmtId="0" fontId="14" fillId="0" borderId="0" xfId="0" applyFont="1"/>
    <xf numFmtId="0" fontId="4" fillId="0" borderId="21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2" fontId="4" fillId="10" borderId="26" xfId="0" applyNumberFormat="1" applyFont="1" applyFill="1" applyBorder="1" applyAlignment="1">
      <alignment horizontal="center"/>
    </xf>
    <xf numFmtId="2" fontId="4" fillId="10" borderId="22" xfId="0" applyNumberFormat="1" applyFont="1" applyFill="1" applyBorder="1" applyAlignment="1">
      <alignment horizontal="center"/>
    </xf>
    <xf numFmtId="2" fontId="4" fillId="10" borderId="36" xfId="0" applyNumberFormat="1" applyFont="1" applyFill="1" applyBorder="1" applyAlignment="1">
      <alignment horizontal="center"/>
    </xf>
    <xf numFmtId="0" fontId="4" fillId="0" borderId="21" xfId="3" applyFont="1" applyBorder="1" applyAlignment="1">
      <alignment horizontal="center"/>
    </xf>
    <xf numFmtId="0" fontId="4" fillId="0" borderId="22" xfId="3" applyFont="1" applyBorder="1" applyAlignment="1">
      <alignment horizontal="center"/>
    </xf>
    <xf numFmtId="0" fontId="4" fillId="0" borderId="23" xfId="3" applyFont="1" applyBorder="1" applyAlignment="1">
      <alignment horizontal="center"/>
    </xf>
    <xf numFmtId="0" fontId="15" fillId="0" borderId="21" xfId="2" applyFont="1" applyBorder="1" applyAlignment="1">
      <alignment horizontal="center"/>
    </xf>
    <xf numFmtId="0" fontId="4" fillId="10" borderId="15" xfId="0" applyFont="1" applyFill="1" applyBorder="1" applyAlignment="1">
      <alignment horizontal="center"/>
    </xf>
    <xf numFmtId="0" fontId="4" fillId="10" borderId="16" xfId="0" applyFont="1" applyFill="1" applyBorder="1" applyAlignment="1">
      <alignment horizontal="center"/>
    </xf>
    <xf numFmtId="0" fontId="4" fillId="10" borderId="35" xfId="0" applyFont="1" applyFill="1" applyBorder="1" applyAlignment="1">
      <alignment horizontal="center"/>
    </xf>
    <xf numFmtId="2" fontId="4" fillId="10" borderId="25" xfId="0" applyNumberFormat="1" applyFont="1" applyFill="1" applyBorder="1" applyAlignment="1">
      <alignment horizontal="center"/>
    </xf>
    <xf numFmtId="2" fontId="4" fillId="10" borderId="16" xfId="0" applyNumberFormat="1" applyFont="1" applyFill="1" applyBorder="1" applyAlignment="1">
      <alignment horizontal="center"/>
    </xf>
    <xf numFmtId="2" fontId="4" fillId="10" borderId="35" xfId="0" applyNumberFormat="1" applyFont="1" applyFill="1" applyBorder="1" applyAlignment="1">
      <alignment horizontal="center"/>
    </xf>
    <xf numFmtId="0" fontId="15" fillId="0" borderId="1" xfId="2" applyFont="1" applyBorder="1" applyAlignment="1">
      <alignment horizontal="right" indent="1"/>
    </xf>
    <xf numFmtId="0" fontId="15" fillId="0" borderId="12" xfId="2" applyFont="1" applyBorder="1" applyAlignment="1">
      <alignment horizontal="right" indent="1"/>
    </xf>
    <xf numFmtId="0" fontId="15" fillId="0" borderId="1" xfId="2" applyFont="1" applyBorder="1" applyAlignment="1" applyProtection="1">
      <alignment horizontal="left"/>
      <protection locked="0"/>
    </xf>
    <xf numFmtId="0" fontId="15" fillId="0" borderId="2" xfId="2" applyFont="1" applyBorder="1" applyAlignment="1" applyProtection="1">
      <alignment horizontal="left"/>
      <protection locked="0"/>
    </xf>
    <xf numFmtId="0" fontId="15" fillId="0" borderId="6" xfId="2" applyFont="1" applyBorder="1" applyAlignment="1" applyProtection="1">
      <alignment horizontal="left"/>
      <protection locked="0"/>
    </xf>
    <xf numFmtId="0" fontId="15" fillId="0" borderId="6" xfId="2" applyFont="1" applyBorder="1" applyAlignment="1">
      <alignment horizontal="right" shrinkToFit="1"/>
    </xf>
    <xf numFmtId="0" fontId="15" fillId="0" borderId="6" xfId="2" applyFont="1" applyBorder="1" applyAlignment="1">
      <alignment horizontal="left" indent="1"/>
    </xf>
    <xf numFmtId="0" fontId="17" fillId="0" borderId="6" xfId="2" applyFont="1" applyBorder="1" applyAlignment="1">
      <alignment horizontal="right" shrinkToFit="1"/>
    </xf>
    <xf numFmtId="2" fontId="17" fillId="0" borderId="6" xfId="2" applyNumberFormat="1" applyFont="1" applyBorder="1" applyAlignment="1">
      <alignment horizontal="left" indent="1"/>
    </xf>
    <xf numFmtId="0" fontId="8" fillId="0" borderId="23" xfId="2" applyFont="1" applyBorder="1" applyAlignment="1">
      <alignment horizontal="center" shrinkToFit="1"/>
    </xf>
    <xf numFmtId="0" fontId="8" fillId="0" borderId="30" xfId="2" applyFont="1" applyBorder="1" applyAlignment="1">
      <alignment horizontal="center" shrinkToFit="1"/>
    </xf>
    <xf numFmtId="0" fontId="4" fillId="10" borderId="22" xfId="0" applyFont="1" applyFill="1" applyBorder="1" applyAlignment="1">
      <alignment horizontal="center"/>
    </xf>
    <xf numFmtId="0" fontId="4" fillId="10" borderId="23" xfId="0" applyFont="1" applyFill="1" applyBorder="1" applyAlignment="1">
      <alignment horizontal="center"/>
    </xf>
    <xf numFmtId="0" fontId="4" fillId="10" borderId="21" xfId="0" applyFont="1" applyFill="1" applyBorder="1" applyAlignment="1">
      <alignment horizontal="center"/>
    </xf>
    <xf numFmtId="0" fontId="4" fillId="10" borderId="36" xfId="0" applyFont="1" applyFill="1" applyBorder="1" applyAlignment="1">
      <alignment horizontal="center"/>
    </xf>
    <xf numFmtId="0" fontId="15" fillId="0" borderId="8" xfId="2" applyFont="1" applyBorder="1" applyAlignment="1">
      <alignment horizontal="right" indent="1"/>
    </xf>
    <xf numFmtId="0" fontId="15" fillId="0" borderId="10" xfId="2" applyFont="1" applyBorder="1" applyAlignment="1">
      <alignment horizontal="right" indent="1"/>
    </xf>
    <xf numFmtId="49" fontId="18" fillId="3" borderId="56" xfId="2" applyNumberFormat="1" applyFont="1" applyFill="1" applyBorder="1" applyAlignment="1" applyProtection="1">
      <alignment horizontal="center" vertical="center"/>
      <protection locked="0"/>
    </xf>
    <xf numFmtId="49" fontId="18" fillId="3" borderId="66" xfId="2" applyNumberFormat="1" applyFont="1" applyFill="1" applyBorder="1" applyAlignment="1" applyProtection="1">
      <alignment horizontal="center" vertical="center"/>
      <protection locked="0"/>
    </xf>
    <xf numFmtId="0" fontId="15" fillId="0" borderId="3" xfId="2" applyFont="1" applyBorder="1" applyAlignment="1">
      <alignment horizontal="right" indent="1"/>
    </xf>
    <xf numFmtId="0" fontId="15" fillId="0" borderId="0" xfId="2" applyFont="1" applyAlignment="1">
      <alignment horizontal="right" indent="1"/>
    </xf>
    <xf numFmtId="0" fontId="15" fillId="0" borderId="4" xfId="2" applyFont="1" applyBorder="1" applyAlignment="1">
      <alignment horizontal="right" indent="1"/>
    </xf>
    <xf numFmtId="0" fontId="15" fillId="0" borderId="3" xfId="2" applyFont="1" applyBorder="1" applyAlignment="1">
      <alignment horizontal="right" indent="1" shrinkToFit="1"/>
    </xf>
    <xf numFmtId="0" fontId="15" fillId="0" borderId="0" xfId="2" applyFont="1" applyAlignment="1">
      <alignment horizontal="right" indent="1" shrinkToFit="1"/>
    </xf>
    <xf numFmtId="0" fontId="15" fillId="0" borderId="4" xfId="2" applyFont="1" applyBorder="1" applyAlignment="1">
      <alignment horizontal="right" indent="1" shrinkToFit="1"/>
    </xf>
    <xf numFmtId="0" fontId="15" fillId="0" borderId="0" xfId="2" applyFont="1" applyAlignment="1">
      <alignment horizontal="left"/>
    </xf>
    <xf numFmtId="0" fontId="15" fillId="0" borderId="5" xfId="2" applyFont="1" applyBorder="1" applyAlignment="1">
      <alignment horizontal="right" indent="1"/>
    </xf>
    <xf numFmtId="0" fontId="15" fillId="0" borderId="6" xfId="2" applyFont="1" applyBorder="1" applyAlignment="1">
      <alignment horizontal="right" indent="1"/>
    </xf>
    <xf numFmtId="0" fontId="15" fillId="0" borderId="7" xfId="2" applyFont="1" applyBorder="1" applyAlignment="1">
      <alignment horizontal="right" indent="1"/>
    </xf>
    <xf numFmtId="0" fontId="15" fillId="0" borderId="42" xfId="2" applyFont="1" applyBorder="1" applyAlignment="1">
      <alignment horizontal="right" shrinkToFit="1"/>
    </xf>
    <xf numFmtId="2" fontId="15" fillId="0" borderId="42" xfId="2" applyNumberFormat="1" applyFont="1" applyBorder="1" applyAlignment="1">
      <alignment horizontal="left" indent="1"/>
    </xf>
    <xf numFmtId="0" fontId="15" fillId="0" borderId="42" xfId="2" applyFont="1" applyBorder="1" applyAlignment="1">
      <alignment horizontal="left" indent="1"/>
    </xf>
    <xf numFmtId="0" fontId="20" fillId="0" borderId="17" xfId="2" applyFont="1" applyBorder="1" applyAlignment="1">
      <alignment horizontal="center" shrinkToFit="1"/>
    </xf>
    <xf numFmtId="0" fontId="20" fillId="0" borderId="14" xfId="2" applyFont="1" applyBorder="1" applyAlignment="1">
      <alignment horizontal="center" shrinkToFit="1"/>
    </xf>
    <xf numFmtId="0" fontId="4" fillId="10" borderId="17" xfId="0" applyFont="1" applyFill="1" applyBorder="1" applyAlignment="1">
      <alignment horizontal="center"/>
    </xf>
    <xf numFmtId="0" fontId="15" fillId="0" borderId="13" xfId="2" applyFont="1" applyBorder="1" applyAlignment="1">
      <alignment horizontal="center"/>
    </xf>
    <xf numFmtId="0" fontId="15" fillId="0" borderId="8" xfId="2" applyFont="1" applyBorder="1" applyAlignment="1">
      <alignment horizontal="center"/>
    </xf>
    <xf numFmtId="0" fontId="15" fillId="0" borderId="10" xfId="2" applyFont="1" applyBorder="1" applyAlignment="1">
      <alignment horizontal="center"/>
    </xf>
    <xf numFmtId="0" fontId="21" fillId="0" borderId="14" xfId="2" applyFont="1" applyBorder="1" applyAlignment="1">
      <alignment horizontal="center" shrinkToFit="1"/>
    </xf>
    <xf numFmtId="0" fontId="21" fillId="0" borderId="38" xfId="2" applyFont="1" applyBorder="1" applyAlignment="1">
      <alignment horizontal="center" shrinkToFit="1"/>
    </xf>
    <xf numFmtId="0" fontId="20" fillId="0" borderId="29" xfId="2" applyFont="1" applyBorder="1" applyAlignment="1">
      <alignment horizontal="center" shrinkToFit="1"/>
    </xf>
    <xf numFmtId="0" fontId="17" fillId="0" borderId="14" xfId="2" applyFont="1" applyBorder="1" applyAlignment="1">
      <alignment horizontal="center"/>
    </xf>
    <xf numFmtId="0" fontId="17" fillId="0" borderId="38" xfId="2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15" fillId="0" borderId="27" xfId="2" applyFont="1" applyBorder="1" applyAlignment="1">
      <alignment horizontal="center"/>
    </xf>
    <xf numFmtId="0" fontId="15" fillId="0" borderId="28" xfId="2" applyFont="1" applyBorder="1" applyAlignment="1">
      <alignment horizontal="center"/>
    </xf>
    <xf numFmtId="0" fontId="15" fillId="0" borderId="37" xfId="2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60" xfId="0" applyFont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4" fillId="0" borderId="72" xfId="0" applyFont="1" applyBorder="1" applyAlignment="1">
      <alignment horizontal="center"/>
    </xf>
    <xf numFmtId="0" fontId="15" fillId="0" borderId="13" xfId="2" applyFont="1" applyBorder="1" applyAlignment="1">
      <alignment horizontal="right" indent="1" shrinkToFit="1"/>
    </xf>
    <xf numFmtId="0" fontId="15" fillId="0" borderId="8" xfId="2" applyFont="1" applyBorder="1" applyAlignment="1">
      <alignment horizontal="right" indent="1" shrinkToFit="1"/>
    </xf>
    <xf numFmtId="0" fontId="15" fillId="0" borderId="10" xfId="2" applyFont="1" applyBorder="1" applyAlignment="1">
      <alignment horizontal="right" indent="1" shrinkToFit="1"/>
    </xf>
    <xf numFmtId="0" fontId="15" fillId="0" borderId="5" xfId="2" applyFont="1" applyBorder="1" applyAlignment="1">
      <alignment horizontal="right" indent="1" shrinkToFit="1"/>
    </xf>
    <xf numFmtId="0" fontId="15" fillId="0" borderId="6" xfId="2" applyFont="1" applyBorder="1" applyAlignment="1">
      <alignment horizontal="right" indent="1" shrinkToFit="1"/>
    </xf>
    <xf numFmtId="0" fontId="15" fillId="0" borderId="7" xfId="2" applyFont="1" applyBorder="1" applyAlignment="1">
      <alignment horizontal="right" indent="1" shrinkToFit="1"/>
    </xf>
    <xf numFmtId="0" fontId="15" fillId="0" borderId="27" xfId="2" applyFont="1" applyBorder="1" applyAlignment="1">
      <alignment horizontal="right" indent="1"/>
    </xf>
    <xf numFmtId="0" fontId="15" fillId="0" borderId="28" xfId="2" applyFont="1" applyBorder="1" applyAlignment="1">
      <alignment horizontal="right" indent="1"/>
    </xf>
    <xf numFmtId="0" fontId="15" fillId="3" borderId="28" xfId="2" applyFont="1" applyFill="1" applyBorder="1" applyAlignment="1" applyProtection="1">
      <alignment horizontal="left" indent="1"/>
      <protection locked="0"/>
    </xf>
    <xf numFmtId="0" fontId="15" fillId="3" borderId="18" xfId="2" applyFont="1" applyFill="1" applyBorder="1" applyAlignment="1" applyProtection="1">
      <alignment horizontal="left" indent="1"/>
      <protection locked="0"/>
    </xf>
    <xf numFmtId="0" fontId="15" fillId="0" borderId="29" xfId="2" applyFont="1" applyBorder="1" applyAlignment="1">
      <alignment horizontal="right" indent="1"/>
    </xf>
    <xf numFmtId="0" fontId="15" fillId="0" borderId="14" xfId="2" applyFont="1" applyBorder="1" applyAlignment="1">
      <alignment horizontal="right" indent="1"/>
    </xf>
    <xf numFmtId="0" fontId="15" fillId="3" borderId="14" xfId="2" applyFont="1" applyFill="1" applyBorder="1" applyAlignment="1" applyProtection="1">
      <alignment horizontal="left" indent="1"/>
      <protection locked="0"/>
    </xf>
    <xf numFmtId="0" fontId="15" fillId="3" borderId="15" xfId="2" applyFont="1" applyFill="1" applyBorder="1" applyAlignment="1" applyProtection="1">
      <alignment horizontal="left" indent="1"/>
      <protection locked="0"/>
    </xf>
    <xf numFmtId="0" fontId="15" fillId="0" borderId="52" xfId="2" applyFont="1" applyBorder="1" applyAlignment="1">
      <alignment horizontal="right" indent="1"/>
    </xf>
    <xf numFmtId="0" fontId="15" fillId="0" borderId="30" xfId="2" applyFont="1" applyBorder="1" applyAlignment="1">
      <alignment horizontal="right" indent="1"/>
    </xf>
    <xf numFmtId="14" fontId="15" fillId="3" borderId="30" xfId="2" applyNumberFormat="1" applyFont="1" applyFill="1" applyBorder="1" applyAlignment="1" applyProtection="1">
      <alignment horizontal="left" indent="1"/>
      <protection locked="0"/>
    </xf>
    <xf numFmtId="0" fontId="15" fillId="3" borderId="30" xfId="2" applyFont="1" applyFill="1" applyBorder="1" applyAlignment="1" applyProtection="1">
      <alignment horizontal="left" indent="1"/>
      <protection locked="0"/>
    </xf>
    <xf numFmtId="0" fontId="15" fillId="3" borderId="21" xfId="2" applyFont="1" applyFill="1" applyBorder="1" applyAlignment="1" applyProtection="1">
      <alignment horizontal="left" indent="1"/>
      <protection locked="0"/>
    </xf>
  </cellXfs>
  <cellStyles count="5">
    <cellStyle name="Currency" xfId="1" builtinId="4"/>
    <cellStyle name="Normal" xfId="0" builtinId="0"/>
    <cellStyle name="Normal 2" xfId="4" xr:uid="{781374C5-2D62-4295-AEB1-F1CF23FFC412}"/>
    <cellStyle name="Normal 3" xfId="3" xr:uid="{5CFC2B4D-3410-4032-BFE0-B70419FCD2D9}"/>
    <cellStyle name="Normal 4" xfId="2" xr:uid="{0FB151B7-ACFB-4576-A4A5-F1094E0B5F07}"/>
  </cellStyles>
  <dxfs count="14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2B2B2"/>
      <color rgb="FF7F7F7F"/>
      <color rgb="FFFF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10</xdr:col>
      <xdr:colOff>161143</xdr:colOff>
      <xdr:row>22</xdr:row>
      <xdr:rowOff>113929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48BD06-00C8-4C55-A4B3-B92124E17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33500"/>
          <a:ext cx="6257143" cy="2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autoPageBreaks="0" fitToPage="1"/>
  </sheetPr>
  <dimension ref="B1:BN388"/>
  <sheetViews>
    <sheetView zoomScaleNormal="100" workbookViewId="0">
      <selection activeCell="K23" sqref="K23"/>
    </sheetView>
  </sheetViews>
  <sheetFormatPr defaultColWidth="0" defaultRowHeight="13.5" customHeight="1" x14ac:dyDescent="0.2"/>
  <cols>
    <col min="1" max="2" width="1.6640625" style="2" customWidth="1"/>
    <col min="3" max="6" width="9" style="2" customWidth="1"/>
    <col min="7" max="9" width="6.5546875" style="2" customWidth="1"/>
    <col min="10" max="10" width="1.6640625" style="2" customWidth="1"/>
    <col min="11" max="11" width="8.33203125" style="2" customWidth="1"/>
    <col min="12" max="12" width="2" style="2" bestFit="1" customWidth="1"/>
    <col min="13" max="13" width="8.33203125" style="2" customWidth="1"/>
    <col min="14" max="14" width="1.6640625" style="2" bestFit="1" customWidth="1"/>
    <col min="15" max="15" width="8.33203125" style="2" customWidth="1"/>
    <col min="16" max="16" width="1.6640625" style="2" bestFit="1" customWidth="1"/>
    <col min="17" max="17" width="8.33203125" style="2" customWidth="1"/>
    <col min="18" max="18" width="1.33203125" style="2" bestFit="1" customWidth="1"/>
    <col min="19" max="19" width="4.44140625" style="2" bestFit="1" customWidth="1"/>
    <col min="20" max="20" width="11" style="2" customWidth="1"/>
    <col min="21" max="21" width="16" style="2" customWidth="1"/>
    <col min="22" max="22" width="1.6640625" style="2" customWidth="1"/>
    <col min="23" max="34" width="9.109375" style="2" customWidth="1"/>
    <col min="35" max="35" width="3.33203125" style="2" bestFit="1" customWidth="1"/>
    <col min="36" max="66" width="9.109375" style="2" hidden="1" customWidth="1"/>
    <col min="67" max="16384" width="0" style="2" hidden="1"/>
  </cols>
  <sheetData>
    <row r="1" spans="2:34" ht="13.5" customHeight="1" thickBot="1" x14ac:dyDescent="0.25"/>
    <row r="2" spans="2:34" ht="13.5" customHeight="1" x14ac:dyDescent="0.2">
      <c r="B2" s="246" t="s">
        <v>0</v>
      </c>
      <c r="C2" s="247"/>
      <c r="D2" s="248"/>
      <c r="E2" s="231"/>
      <c r="F2" s="232"/>
      <c r="G2" s="232"/>
      <c r="H2" s="233"/>
      <c r="I2" s="28"/>
      <c r="J2" s="28"/>
      <c r="K2" s="28"/>
      <c r="L2" s="28"/>
      <c r="M2" s="28"/>
      <c r="N2" s="28"/>
      <c r="O2" s="28"/>
      <c r="P2" s="28"/>
      <c r="Q2" s="28"/>
      <c r="R2" s="49"/>
      <c r="S2" s="28"/>
      <c r="T2" s="29"/>
      <c r="U2" s="60"/>
    </row>
    <row r="3" spans="2:34" ht="13.5" customHeight="1" x14ac:dyDescent="0.2">
      <c r="B3" s="249" t="s">
        <v>1</v>
      </c>
      <c r="C3" s="250"/>
      <c r="D3" s="251"/>
      <c r="E3" s="234"/>
      <c r="F3" s="235"/>
      <c r="G3" s="235"/>
      <c r="H3" s="236"/>
      <c r="R3" s="50"/>
      <c r="T3" s="31"/>
      <c r="U3" s="61"/>
    </row>
    <row r="4" spans="2:34" ht="13.5" customHeight="1" x14ac:dyDescent="0.2">
      <c r="B4" s="249" t="s">
        <v>2</v>
      </c>
      <c r="C4" s="250"/>
      <c r="D4" s="251"/>
      <c r="E4" s="234"/>
      <c r="F4" s="235"/>
      <c r="G4" s="235"/>
      <c r="H4" s="236"/>
      <c r="R4" s="50"/>
      <c r="T4" s="31"/>
      <c r="U4" s="61"/>
    </row>
    <row r="5" spans="2:34" ht="13.5" customHeight="1" thickBot="1" x14ac:dyDescent="0.25">
      <c r="B5" s="252" t="s">
        <v>3</v>
      </c>
      <c r="C5" s="253"/>
      <c r="D5" s="254"/>
      <c r="E5" s="237"/>
      <c r="F5" s="238"/>
      <c r="G5" s="238"/>
      <c r="H5" s="239"/>
      <c r="I5" s="7"/>
      <c r="J5" s="7"/>
      <c r="K5" s="7"/>
      <c r="L5" s="7"/>
      <c r="M5" s="7"/>
      <c r="N5" s="7"/>
      <c r="O5" s="7"/>
      <c r="P5" s="7"/>
      <c r="Q5" s="7"/>
      <c r="R5" s="51"/>
      <c r="S5" s="7"/>
      <c r="T5" s="36"/>
      <c r="U5" s="62"/>
    </row>
    <row r="6" spans="2:34" ht="13.5" customHeight="1" thickBot="1" x14ac:dyDescent="0.25">
      <c r="B6" s="256"/>
      <c r="C6" s="257"/>
      <c r="D6" s="257"/>
      <c r="E6" s="258"/>
      <c r="F6" s="258"/>
      <c r="G6" s="258"/>
      <c r="H6" s="258"/>
      <c r="I6" s="28"/>
      <c r="J6" s="28"/>
      <c r="K6" s="28"/>
      <c r="L6" s="28"/>
      <c r="M6" s="28"/>
      <c r="N6" s="28"/>
      <c r="O6" s="28"/>
      <c r="P6" s="28"/>
      <c r="Q6" s="28"/>
      <c r="R6" s="49"/>
      <c r="S6" s="28"/>
      <c r="T6" s="29"/>
      <c r="U6" s="60"/>
    </row>
    <row r="7" spans="2:34" ht="13.5" customHeight="1" thickBot="1" x14ac:dyDescent="0.25">
      <c r="B7" s="255" t="s">
        <v>4</v>
      </c>
      <c r="C7" s="241"/>
      <c r="D7" s="242"/>
      <c r="E7" s="259"/>
      <c r="F7" s="260"/>
      <c r="G7" s="260"/>
      <c r="H7" s="261"/>
      <c r="U7" s="32"/>
    </row>
    <row r="8" spans="2:34" ht="13.5" customHeight="1" thickBot="1" x14ac:dyDescent="0.25">
      <c r="B8" s="269"/>
      <c r="C8" s="270"/>
      <c r="D8" s="270"/>
      <c r="E8" s="271"/>
      <c r="F8" s="271"/>
      <c r="G8" s="271"/>
      <c r="H8" s="271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37"/>
    </row>
    <row r="9" spans="2:34" ht="13.5" customHeight="1" thickBot="1" x14ac:dyDescent="0.25"/>
    <row r="10" spans="2:34" ht="13.5" customHeight="1" thickBot="1" x14ac:dyDescent="0.25">
      <c r="B10" s="39"/>
      <c r="C10" s="28" t="s">
        <v>5</v>
      </c>
      <c r="D10" s="28" t="s">
        <v>6</v>
      </c>
      <c r="E10" s="28" t="s">
        <v>7</v>
      </c>
      <c r="F10" s="28" t="s">
        <v>8</v>
      </c>
      <c r="G10" s="28"/>
      <c r="H10" s="28"/>
      <c r="I10" s="28"/>
      <c r="J10" s="28"/>
      <c r="K10" s="23" t="s">
        <v>9</v>
      </c>
      <c r="L10" s="4" t="s">
        <v>10</v>
      </c>
      <c r="M10" s="4" t="s">
        <v>11</v>
      </c>
      <c r="N10" s="4" t="s">
        <v>12</v>
      </c>
      <c r="O10" s="4" t="s">
        <v>13</v>
      </c>
      <c r="P10" s="4" t="s">
        <v>14</v>
      </c>
      <c r="Q10" s="4" t="s">
        <v>15</v>
      </c>
      <c r="R10" s="4"/>
      <c r="S10" s="4"/>
      <c r="T10" s="4"/>
      <c r="U10" s="5"/>
      <c r="W10" s="281" t="s">
        <v>16</v>
      </c>
      <c r="X10" s="281"/>
      <c r="Y10" s="281"/>
      <c r="Z10" s="281"/>
      <c r="AA10" s="281"/>
      <c r="AB10" s="281"/>
      <c r="AC10" s="281"/>
      <c r="AD10" s="281"/>
      <c r="AE10" s="281"/>
      <c r="AF10" s="281"/>
      <c r="AG10" s="281"/>
      <c r="AH10" s="281"/>
    </row>
    <row r="11" spans="2:34" ht="13.5" customHeight="1" thickBot="1" x14ac:dyDescent="0.25">
      <c r="B11" s="16"/>
      <c r="C11" s="272"/>
      <c r="D11" s="206">
        <v>404</v>
      </c>
      <c r="E11" s="1">
        <v>24</v>
      </c>
      <c r="F11" s="1">
        <v>120</v>
      </c>
      <c r="K11" s="63">
        <f>(M11+O11)*Q11+M13+M15+IFERROR(M17,0)</f>
        <v>0</v>
      </c>
      <c r="L11" s="26"/>
      <c r="M11" s="26">
        <f>IF(G13=0,$E$7*0.06,G13*0.06)</f>
        <v>1.2</v>
      </c>
      <c r="N11" s="26"/>
      <c r="O11" s="26">
        <f>INDEX(VbSpeedConstA_Int,MATCH(1,INDEX((INDEX(VbSpeedConstB_Type,MATCH(D11,VbSpeedConstB_Figure))=VbSpeedConstA_Type)*(G20=VbSpeedConstA_Rc),,),0))+INDEX(VbSpeedConstA_Slope,MATCH(1,INDEX((INDEX(VbSpeedConstB_Type,MATCH(D11,VbSpeedConstB_Figure))=VbSpeedConstA_Type)*(G20=VbSpeedConstA_Rc),,),0))*IF(F11&lt;80,80,F11)</f>
        <v>1.3965804783451838</v>
      </c>
      <c r="P11" s="26"/>
      <c r="Q11" s="26">
        <f>IF("curve"&lt;&gt;INDEX(VbSpeedConstB_Type,MATCH(D11,VbSpeedConstB_Figure)),G14-IFERROR(INDEX(VbModuleLength_Length,MATCH(G16,VbModuleLength_Module,0)),)-IFERROR(INDEX(VbModuleLength_Length,MATCH(H16,VbModuleLength_Module,0)),),0)/12</f>
        <v>0</v>
      </c>
      <c r="R11" s="26"/>
      <c r="S11" s="26"/>
      <c r="T11" s="26"/>
      <c r="U11" s="22"/>
      <c r="W11" s="282" t="s">
        <v>17</v>
      </c>
      <c r="X11" s="282"/>
      <c r="Y11" s="282"/>
      <c r="Z11" s="282"/>
      <c r="AA11" s="282"/>
      <c r="AB11" s="282"/>
      <c r="AC11" s="282"/>
      <c r="AD11" s="282"/>
      <c r="AE11" s="282"/>
      <c r="AF11" s="282"/>
      <c r="AG11" s="282"/>
      <c r="AH11" s="282"/>
    </row>
    <row r="12" spans="2:34" ht="13.5" customHeight="1" thickBot="1" x14ac:dyDescent="0.25">
      <c r="B12" s="16"/>
      <c r="C12" s="273"/>
      <c r="D12" s="205"/>
      <c r="E12" s="205"/>
      <c r="F12" s="205"/>
      <c r="K12" s="24"/>
      <c r="L12" s="64" t="s">
        <v>18</v>
      </c>
      <c r="M12" s="3" t="s">
        <v>19</v>
      </c>
      <c r="N12" s="3" t="s">
        <v>10</v>
      </c>
      <c r="O12" s="3" t="s">
        <v>20</v>
      </c>
      <c r="P12" s="3" t="s">
        <v>12</v>
      </c>
      <c r="Q12" s="3" t="s">
        <v>13</v>
      </c>
      <c r="R12" s="3" t="s">
        <v>14</v>
      </c>
      <c r="S12" s="3" t="s">
        <v>15</v>
      </c>
      <c r="T12" s="3"/>
      <c r="U12" s="65"/>
      <c r="W12" s="38" t="s">
        <v>21</v>
      </c>
      <c r="X12" s="38" t="s">
        <v>22</v>
      </c>
      <c r="Y12" s="38" t="s">
        <v>23</v>
      </c>
    </row>
    <row r="13" spans="2:34" ht="13.5" customHeight="1" thickBot="1" x14ac:dyDescent="0.25">
      <c r="B13" s="16"/>
      <c r="C13" s="243" t="s">
        <v>24</v>
      </c>
      <c r="D13" s="243"/>
      <c r="E13" s="243"/>
      <c r="F13" s="244"/>
      <c r="G13" s="1">
        <v>20</v>
      </c>
      <c r="K13" s="63"/>
      <c r="L13" s="26" t="s">
        <v>12</v>
      </c>
      <c r="M13" s="26">
        <f>(O13+Q13)*S13</f>
        <v>0</v>
      </c>
      <c r="N13" s="26"/>
      <c r="O13" s="26">
        <f>IF(G13=0,$E$7*0.06,G13*0.06)</f>
        <v>1.2</v>
      </c>
      <c r="P13" s="26"/>
      <c r="Q13" s="26">
        <f>INDEX(VbSpeedConstA_Int,MATCH(1,INDEX((G18=VbSpeedConstA_Type)*(G20=VbSpeedConstA_Rc),,),0))+INDEX(VbSpeedConstA_Slope,MATCH(1,INDEX((G18=VbSpeedConstA_Type)*(G20=VbSpeedConstA_Rc),,),0))*IF(F11&lt;80,80,F11)</f>
        <v>0.84418228829993514</v>
      </c>
      <c r="R13" s="26"/>
      <c r="S13" s="26">
        <f>MAX(0,(G17-IFERROR(INDEX(VbModuleLength_Length,MATCH(G16,VbModuleLength_Module,0)),))/12)</f>
        <v>0</v>
      </c>
      <c r="T13" s="26"/>
      <c r="U13" s="22"/>
      <c r="W13" s="38" t="s">
        <v>25</v>
      </c>
      <c r="X13" s="38">
        <v>12</v>
      </c>
      <c r="Y13" s="38" t="s">
        <v>26</v>
      </c>
    </row>
    <row r="14" spans="2:34" ht="13.5" customHeight="1" thickBot="1" x14ac:dyDescent="0.25">
      <c r="B14" s="16"/>
      <c r="C14" s="243" t="s">
        <v>27</v>
      </c>
      <c r="D14" s="243"/>
      <c r="E14" s="243"/>
      <c r="F14" s="244"/>
      <c r="G14" s="1"/>
      <c r="K14" s="24"/>
      <c r="L14" s="3"/>
      <c r="M14" s="3" t="s">
        <v>28</v>
      </c>
      <c r="N14" s="3" t="s">
        <v>10</v>
      </c>
      <c r="O14" s="3" t="s">
        <v>20</v>
      </c>
      <c r="P14" s="3" t="s">
        <v>12</v>
      </c>
      <c r="Q14" s="3" t="s">
        <v>13</v>
      </c>
      <c r="R14" s="3" t="s">
        <v>14</v>
      </c>
      <c r="S14" s="3" t="s">
        <v>15</v>
      </c>
      <c r="T14" s="3"/>
      <c r="U14" s="65"/>
      <c r="W14" s="38" t="s">
        <v>29</v>
      </c>
      <c r="X14" s="38">
        <v>12</v>
      </c>
      <c r="Y14" s="38" t="s">
        <v>26</v>
      </c>
    </row>
    <row r="15" spans="2:34" ht="13.5" customHeight="1" thickBot="1" x14ac:dyDescent="0.25">
      <c r="B15" s="16"/>
      <c r="C15" s="245"/>
      <c r="D15" s="245"/>
      <c r="E15" s="245"/>
      <c r="F15" s="245"/>
      <c r="G15" s="2" t="s">
        <v>30</v>
      </c>
      <c r="H15" s="66" t="s">
        <v>31</v>
      </c>
      <c r="I15" s="2" t="s">
        <v>32</v>
      </c>
      <c r="K15" s="63"/>
      <c r="L15" s="26" t="s">
        <v>12</v>
      </c>
      <c r="M15" s="26">
        <f>(O15+Q15)*S15</f>
        <v>0</v>
      </c>
      <c r="N15" s="26"/>
      <c r="O15" s="26">
        <f>IF(G13=0,$E$7*0.06,G13*0.06)</f>
        <v>1.2</v>
      </c>
      <c r="P15" s="26"/>
      <c r="Q15" s="26">
        <f>INDEX(VbSpeedConstA_Int,MATCH(1,INDEX((H18=VbSpeedConstA_Type)*(G20=VbSpeedConstA_Rc),,),0))+INDEX(VbSpeedConstA_Slope,MATCH(1,INDEX((H18=VbSpeedConstA_Type)*(G20=VbSpeedConstA_Rc),,),0))*IF(F11&lt;80,80,F11)</f>
        <v>0.84418228829993514</v>
      </c>
      <c r="R15" s="26"/>
      <c r="S15" s="26">
        <f>MAX(0,(H17-IFERROR(INDEX(VbModuleLength_Length,MATCH(H16,VbModuleLength_Module,0)),))/12)</f>
        <v>0</v>
      </c>
      <c r="T15" s="26"/>
      <c r="U15" s="22"/>
      <c r="W15" s="38" t="s">
        <v>33</v>
      </c>
      <c r="X15" s="38">
        <v>9</v>
      </c>
      <c r="Y15" s="38" t="s">
        <v>26</v>
      </c>
    </row>
    <row r="16" spans="2:34" ht="13.5" customHeight="1" thickBot="1" x14ac:dyDescent="0.25">
      <c r="B16" s="16"/>
      <c r="C16" s="243" t="s">
        <v>34</v>
      </c>
      <c r="D16" s="243"/>
      <c r="E16" s="243"/>
      <c r="F16" s="244"/>
      <c r="G16" s="1" t="s">
        <v>29</v>
      </c>
      <c r="H16" s="1" t="s">
        <v>54</v>
      </c>
      <c r="I16" s="1"/>
      <c r="K16" s="24"/>
      <c r="L16" s="3"/>
      <c r="M16" s="3" t="s">
        <v>35</v>
      </c>
      <c r="N16" s="3" t="s">
        <v>10</v>
      </c>
      <c r="O16" s="3" t="s">
        <v>20</v>
      </c>
      <c r="P16" s="3" t="s">
        <v>12</v>
      </c>
      <c r="Q16" s="3" t="s">
        <v>13</v>
      </c>
      <c r="R16" s="3" t="s">
        <v>14</v>
      </c>
      <c r="S16" s="3" t="s">
        <v>15</v>
      </c>
      <c r="T16" s="3"/>
      <c r="U16" s="65"/>
      <c r="W16" s="38" t="s">
        <v>36</v>
      </c>
      <c r="X16" s="38">
        <v>12</v>
      </c>
      <c r="Y16" s="38" t="s">
        <v>37</v>
      </c>
    </row>
    <row r="17" spans="2:34" ht="13.5" customHeight="1" thickBot="1" x14ac:dyDescent="0.25">
      <c r="B17" s="16"/>
      <c r="C17" s="243" t="s">
        <v>38</v>
      </c>
      <c r="D17" s="243"/>
      <c r="E17" s="243"/>
      <c r="F17" s="244"/>
      <c r="G17" s="1">
        <v>12</v>
      </c>
      <c r="H17" s="1">
        <v>12</v>
      </c>
      <c r="I17" s="1"/>
      <c r="K17" s="25"/>
      <c r="L17" s="20" t="s">
        <v>12</v>
      </c>
      <c r="M17" s="20" t="e">
        <f>(O17+Q17)*S17</f>
        <v>#N/A</v>
      </c>
      <c r="N17" s="20"/>
      <c r="O17" s="20">
        <f>IF(G13=0,$E$7*0.06,G13*0.06)</f>
        <v>1.2</v>
      </c>
      <c r="P17" s="20"/>
      <c r="Q17" s="20" t="e">
        <f>INDEX(VbSpeedConstA_Int,MATCH(1,INDEX((I18=VbSpeedConstA_Type)*(G20=VbSpeedConstA_Rc),,),0))+INDEX(VbSpeedConstA_Slope,MATCH(1,INDEX((I18=VbSpeedConstA_Type)*(G20=VbSpeedConstA_Rc),,),0))*IF(F11&lt;80,80,F11)</f>
        <v>#N/A</v>
      </c>
      <c r="R17" s="20"/>
      <c r="S17" s="20">
        <f>MAX(0,(I17-IFERROR(INDEX(VbModuleLength_Length,MATCH(I16,VbModuleLength_Module,0)),))/12)</f>
        <v>0</v>
      </c>
      <c r="T17" s="20"/>
      <c r="U17" s="41"/>
      <c r="W17" s="38" t="s">
        <v>39</v>
      </c>
      <c r="X17" s="38">
        <v>12</v>
      </c>
      <c r="Y17" s="38" t="s">
        <v>37</v>
      </c>
    </row>
    <row r="18" spans="2:34" ht="13.5" customHeight="1" thickBot="1" x14ac:dyDescent="0.25">
      <c r="B18" s="16"/>
      <c r="C18" s="243" t="s">
        <v>40</v>
      </c>
      <c r="D18" s="243"/>
      <c r="E18" s="243"/>
      <c r="F18" s="244"/>
      <c r="G18" s="1" t="s">
        <v>95</v>
      </c>
      <c r="H18" s="1" t="s">
        <v>95</v>
      </c>
      <c r="I18" s="1"/>
      <c r="K18" s="67" t="s">
        <v>41</v>
      </c>
      <c r="L18" s="9" t="s">
        <v>10</v>
      </c>
      <c r="M18" s="9" t="s">
        <v>42</v>
      </c>
      <c r="N18" s="9" t="s">
        <v>12</v>
      </c>
      <c r="O18" s="9" t="s">
        <v>13</v>
      </c>
      <c r="P18" s="9" t="s">
        <v>14</v>
      </c>
      <c r="Q18" s="9" t="s">
        <v>43</v>
      </c>
      <c r="R18" s="9" t="s">
        <v>14</v>
      </c>
      <c r="S18" s="3" t="s">
        <v>44</v>
      </c>
      <c r="T18" s="3"/>
      <c r="U18" s="65"/>
      <c r="W18" s="38" t="s">
        <v>45</v>
      </c>
      <c r="X18" s="38">
        <v>12</v>
      </c>
      <c r="Y18" s="38" t="s">
        <v>37</v>
      </c>
    </row>
    <row r="19" spans="2:34" ht="13.5" customHeight="1" thickBot="1" x14ac:dyDescent="0.25">
      <c r="B19" s="16"/>
      <c r="C19" s="245"/>
      <c r="D19" s="245"/>
      <c r="E19" s="245"/>
      <c r="F19" s="245"/>
      <c r="K19" s="25">
        <f>(M19+O19)*Q19*S19</f>
        <v>18.254612152553328</v>
      </c>
      <c r="L19" s="20"/>
      <c r="M19" s="20">
        <f>IF(G13=0,$E$7*0.133,G13*0.133)</f>
        <v>2.66</v>
      </c>
      <c r="N19" s="20"/>
      <c r="O19" s="20">
        <f>O11</f>
        <v>1.3965804783451838</v>
      </c>
      <c r="P19" s="20"/>
      <c r="Q19" s="20">
        <f>IFERROR(INDEX(VbWidthFactor_Constant,MATCH(E11,VbWidthFactor_NW)),0)</f>
        <v>0.75</v>
      </c>
      <c r="R19" s="20"/>
      <c r="S19" s="26">
        <f>IFERROR(INDEX(VbFigureConst_Const,MATCH(D11,VbFigureConst_Figure,0)),)</f>
        <v>6</v>
      </c>
      <c r="T19" s="26"/>
      <c r="U19" s="22"/>
      <c r="W19" s="38" t="s">
        <v>46</v>
      </c>
      <c r="X19" s="38">
        <v>9</v>
      </c>
      <c r="Y19" s="38" t="s">
        <v>37</v>
      </c>
    </row>
    <row r="20" spans="2:34" ht="13.5" customHeight="1" thickBot="1" x14ac:dyDescent="0.25">
      <c r="B20" s="16"/>
      <c r="C20" s="243" t="s">
        <v>47</v>
      </c>
      <c r="D20" s="243"/>
      <c r="E20" s="243"/>
      <c r="F20" s="244"/>
      <c r="G20" s="1">
        <v>3</v>
      </c>
      <c r="K20" s="67" t="s">
        <v>48</v>
      </c>
      <c r="L20" s="9" t="s">
        <v>10</v>
      </c>
      <c r="M20" s="9" t="s">
        <v>49</v>
      </c>
      <c r="N20" s="9" t="s">
        <v>14</v>
      </c>
      <c r="O20" s="19">
        <v>5</v>
      </c>
      <c r="P20" s="21"/>
      <c r="Q20" s="21"/>
      <c r="R20" s="21"/>
      <c r="S20" s="265" t="s">
        <v>50</v>
      </c>
      <c r="T20" s="266"/>
      <c r="U20" s="68" t="s">
        <v>51</v>
      </c>
      <c r="W20" s="38" t="s">
        <v>52</v>
      </c>
      <c r="X20" s="38">
        <v>12</v>
      </c>
      <c r="Y20" s="38" t="s">
        <v>26</v>
      </c>
    </row>
    <row r="21" spans="2:34" ht="13.5" customHeight="1" x14ac:dyDescent="0.2">
      <c r="B21" s="16"/>
      <c r="C21" s="245"/>
      <c r="D21" s="245"/>
      <c r="E21" s="245"/>
      <c r="F21" s="245"/>
      <c r="K21" s="25">
        <f>M21*O21</f>
        <v>10</v>
      </c>
      <c r="L21" s="20"/>
      <c r="M21" s="8">
        <f>COUNTA(G16:I16)</f>
        <v>2</v>
      </c>
      <c r="N21" s="20"/>
      <c r="O21" s="20">
        <v>5</v>
      </c>
      <c r="P21" s="20"/>
      <c r="Q21" s="20"/>
      <c r="R21" s="20"/>
      <c r="S21" s="267" t="str">
        <f>IF(ISBLANK(D11),"NEED FIGURE",IF(AND(ISBLANK(E11),INDEX(VbSpeedConstB_Type,MATCH(D11,VbSpeedConstB_Figure))="curve"),"NEED WIDTH",IF(AND("curve"&lt;&gt;INDEX(VbSpeedConstB_Type,MATCH(D11,VbSpeedConstB_Figure)),ISBLANK(G14)),"NEED OVERALL LENGTH","")))</f>
        <v/>
      </c>
      <c r="T21" s="268"/>
      <c r="U21" s="69" t="s">
        <v>53</v>
      </c>
      <c r="W21" s="38" t="s">
        <v>54</v>
      </c>
      <c r="X21" s="38">
        <v>12</v>
      </c>
      <c r="Y21" s="38" t="s">
        <v>55</v>
      </c>
    </row>
    <row r="22" spans="2:34" ht="13.5" customHeight="1" thickBot="1" x14ac:dyDescent="0.25">
      <c r="B22" s="16"/>
      <c r="C22" s="240"/>
      <c r="D22" s="240"/>
      <c r="E22" s="240"/>
      <c r="F22" s="240"/>
      <c r="G22" s="2" t="s">
        <v>56</v>
      </c>
      <c r="H22" s="2" t="s">
        <v>57</v>
      </c>
      <c r="K22" s="67" t="s">
        <v>58</v>
      </c>
      <c r="L22" s="9" t="s">
        <v>10</v>
      </c>
      <c r="M22" s="9" t="s">
        <v>59</v>
      </c>
      <c r="N22" s="9" t="s">
        <v>12</v>
      </c>
      <c r="O22" s="9" t="s">
        <v>60</v>
      </c>
      <c r="P22" s="9" t="s">
        <v>14</v>
      </c>
      <c r="Q22" s="9" t="s">
        <v>61</v>
      </c>
      <c r="R22" s="9"/>
      <c r="S22" s="276" t="str">
        <f>IF(ISBLANK(F11),"NEED SPEED",IF(AND(ISBLANK($E$7),ISBLANK(G13)),"NEED LIVE LOAD",""))</f>
        <v/>
      </c>
      <c r="T22" s="277"/>
      <c r="U22" s="70" t="str">
        <f>IFERROR(IF(COUNTIF(G16:I16,"C43")=1,INDEX(VbDriveAb_Speed,MATCH(1,INDEX((F11&lt;=VbDriveAb_Speed)*(K27&lt;=VbDriveAb_Hp)*(K23&lt;=VbDriveAb_Ebp),,),0))&amp;" FPM",IF(SUM(COUNTIF(G16:I16,{"C42","C55","C56"}))=1,INDEX(VbDriveC_Speed,MATCH(1,INDEX((F11&lt;=VbDriveC_Speed)*(K27&lt;=VbDriveC_Hp)*(K23&lt;=VbDriveC_Ebp),,),0))&amp;" FPM","")),"")</f>
        <v/>
      </c>
      <c r="W22" s="38" t="s">
        <v>62</v>
      </c>
      <c r="X22" s="38">
        <v>12</v>
      </c>
      <c r="Y22" s="38" t="s">
        <v>63</v>
      </c>
    </row>
    <row r="23" spans="2:34" ht="13.5" customHeight="1" thickBot="1" x14ac:dyDescent="0.25">
      <c r="B23" s="16"/>
      <c r="C23" s="241" t="s">
        <v>64</v>
      </c>
      <c r="D23" s="241"/>
      <c r="E23" s="241"/>
      <c r="F23" s="242"/>
      <c r="G23" s="1"/>
      <c r="H23" s="1"/>
      <c r="K23" s="25">
        <f>(M23+O23)*Q23</f>
        <v>35.318265190691662</v>
      </c>
      <c r="L23" s="20"/>
      <c r="M23" s="20">
        <f>K11+K19+K21</f>
        <v>28.254612152553328</v>
      </c>
      <c r="N23" s="20"/>
      <c r="O23" s="20">
        <f>G25</f>
        <v>0</v>
      </c>
      <c r="P23" s="20"/>
      <c r="Q23" s="20">
        <v>1.25</v>
      </c>
      <c r="R23" s="20"/>
      <c r="S23" s="276" t="str">
        <f>IF(OR(ISBLANK(G16),ISBLANK(H16)),"NEED MODULE(S)",IF(OR(ISBLANK(G18),ISBLANK(H18)),"NEED STRAIGHT/SKEW",""))</f>
        <v/>
      </c>
      <c r="T23" s="277"/>
      <c r="U23" s="71" t="str">
        <f>IFERROR(IF(COUNTIF(G16:I16,"C43")=1,INDEX(VbDriveAb_Hp,MATCH(1,INDEX((F11&lt;=VbDriveAb_Speed)*(K27&lt;=VbDriveAb_Hp)*(K23&lt;=VbDriveAb_Ebp),,),0))&amp;" HP",IF(SUM(COUNTIF(G16:I16,{"C42","C55","C56"}))=1,INDEX(VbDriveC_Hp,MATCH(1,INDEX((F11&lt;=VbDriveC_Speed)*(K27&lt;=VbDriveC_Hp)*(K23&lt;=VbDriveC_Ebp),,),0))&amp;" HP","")),"")</f>
        <v/>
      </c>
      <c r="W23" s="38" t="s">
        <v>65</v>
      </c>
      <c r="X23" s="38">
        <v>24</v>
      </c>
      <c r="Y23" s="38" t="s">
        <v>66</v>
      </c>
    </row>
    <row r="24" spans="2:34" ht="13.5" customHeight="1" thickBot="1" x14ac:dyDescent="0.25">
      <c r="B24" s="16"/>
      <c r="C24" s="240"/>
      <c r="D24" s="240"/>
      <c r="E24" s="240"/>
      <c r="F24" s="240"/>
      <c r="K24" s="67" t="s">
        <v>67</v>
      </c>
      <c r="L24" s="9" t="s">
        <v>10</v>
      </c>
      <c r="M24" s="9" t="s">
        <v>58</v>
      </c>
      <c r="N24" s="9" t="s">
        <v>14</v>
      </c>
      <c r="O24" s="9" t="s">
        <v>68</v>
      </c>
      <c r="P24" s="9"/>
      <c r="Q24" s="9"/>
      <c r="R24" s="9"/>
      <c r="S24" s="276" t="str">
        <f>IF(ISBLANK(G20),"NEED ROLLER CENTERS","")</f>
        <v/>
      </c>
      <c r="T24" s="277"/>
      <c r="U24" s="72" t="s">
        <v>69</v>
      </c>
      <c r="W24" s="38" t="s">
        <v>70</v>
      </c>
      <c r="X24" s="38">
        <v>0</v>
      </c>
      <c r="Y24" s="38" t="s">
        <v>63</v>
      </c>
    </row>
    <row r="25" spans="2:34" ht="13.5" customHeight="1" thickBot="1" x14ac:dyDescent="0.25">
      <c r="B25" s="16"/>
      <c r="C25" s="243" t="s">
        <v>71</v>
      </c>
      <c r="D25" s="243"/>
      <c r="E25" s="243"/>
      <c r="F25" s="243"/>
      <c r="G25" s="1"/>
      <c r="K25" s="25">
        <f>M25*O25</f>
        <v>0</v>
      </c>
      <c r="L25" s="20"/>
      <c r="M25" s="20">
        <f>K23</f>
        <v>35.318265190691662</v>
      </c>
      <c r="N25" s="20"/>
      <c r="O25" s="20">
        <f>IF(AND(ISNUMBER(G23),ISNUMBER(H23)),H23/G23,0)</f>
        <v>0</v>
      </c>
      <c r="P25" s="20"/>
      <c r="Q25" s="20"/>
      <c r="R25" s="20"/>
      <c r="S25" s="284"/>
      <c r="T25" s="285"/>
      <c r="U25" s="74" t="str">
        <f>IFERROR(IF(K25&gt;0,K25,""),"")</f>
        <v/>
      </c>
      <c r="W25" s="38" t="s">
        <v>72</v>
      </c>
      <c r="X25" s="38">
        <v>0</v>
      </c>
      <c r="Y25" s="38" t="s">
        <v>73</v>
      </c>
    </row>
    <row r="26" spans="2:34" ht="13.5" customHeight="1" thickBot="1" x14ac:dyDescent="0.25">
      <c r="B26" s="16"/>
      <c r="C26" s="240"/>
      <c r="D26" s="240"/>
      <c r="E26" s="240"/>
      <c r="F26" s="240"/>
      <c r="K26" s="24" t="s">
        <v>74</v>
      </c>
      <c r="L26" s="3" t="s">
        <v>10</v>
      </c>
      <c r="M26" s="3" t="s">
        <v>58</v>
      </c>
      <c r="N26" s="3" t="s">
        <v>14</v>
      </c>
      <c r="O26" s="3" t="s">
        <v>8</v>
      </c>
      <c r="P26" s="3" t="s">
        <v>75</v>
      </c>
      <c r="Q26" s="3" t="s">
        <v>76</v>
      </c>
      <c r="S26" s="276" t="str">
        <f>IFERROR(IF(K27&gt;MAX(VbDriveAb_Hp,VbDriveC_Hp),"EXCEEDS MAX HP",""),"")</f>
        <v/>
      </c>
      <c r="T26" s="277"/>
      <c r="U26" s="278" t="str">
        <f>IF(NOT(OR(SUM(COUNTIF(G16:I16,{"C42","C43","C51","C55","C56"}))&gt;0,COUNTBLANK(G23:H23)&lt;1)),"NEED DRIVE MODULE OR SLAVE RATIO",IF(AND(SUM(COUNTIF(G16:I16,{"C42","C43","C51","C55","C56"}))&gt;0,COUNTBLANK(G23:H23)&lt;1),"CAN'T BE SLAVE AND HAVE DRIVE",""))</f>
        <v>NEED DRIVE MODULE OR SLAVE RATIO</v>
      </c>
      <c r="W26" s="38" t="s">
        <v>77</v>
      </c>
      <c r="X26" s="38">
        <v>0</v>
      </c>
      <c r="Y26" s="38" t="s">
        <v>73</v>
      </c>
    </row>
    <row r="27" spans="2:34" ht="13.5" customHeight="1" thickBot="1" x14ac:dyDescent="0.25">
      <c r="B27" s="286" t="s">
        <v>78</v>
      </c>
      <c r="C27" s="287"/>
      <c r="D27" s="262"/>
      <c r="E27" s="263"/>
      <c r="F27" s="263"/>
      <c r="G27" s="263"/>
      <c r="H27" s="263"/>
      <c r="I27" s="263"/>
      <c r="J27" s="264"/>
      <c r="K27" s="73">
        <f>M27*O27/Q27</f>
        <v>0.1351895318303987</v>
      </c>
      <c r="L27" s="27"/>
      <c r="M27" s="27">
        <f>K23</f>
        <v>35.318265190691662</v>
      </c>
      <c r="N27" s="27"/>
      <c r="O27" s="27">
        <f>F11</f>
        <v>120</v>
      </c>
      <c r="P27" s="27"/>
      <c r="Q27" s="27">
        <v>31350</v>
      </c>
      <c r="R27" s="27"/>
      <c r="S27" s="274" t="str">
        <f>IFERROR(IF(K23&gt;125,"EXCEEDS BELT STRENGTH",""),"")</f>
        <v/>
      </c>
      <c r="T27" s="275"/>
      <c r="U27" s="279"/>
      <c r="W27" s="38" t="s">
        <v>79</v>
      </c>
      <c r="X27" s="38">
        <v>0</v>
      </c>
      <c r="Y27" s="38" t="s">
        <v>73</v>
      </c>
    </row>
    <row r="28" spans="2:34" ht="13.5" customHeight="1" thickBot="1" x14ac:dyDescent="0.25">
      <c r="W28" s="38" t="s">
        <v>80</v>
      </c>
      <c r="X28" s="38">
        <v>0</v>
      </c>
      <c r="Y28" s="38" t="s">
        <v>63</v>
      </c>
    </row>
    <row r="29" spans="2:34" ht="13.5" customHeight="1" thickBot="1" x14ac:dyDescent="0.25">
      <c r="B29" s="39"/>
      <c r="C29" s="28" t="s">
        <v>5</v>
      </c>
      <c r="D29" s="28" t="s">
        <v>6</v>
      </c>
      <c r="E29" s="28" t="s">
        <v>7</v>
      </c>
      <c r="F29" s="28" t="s">
        <v>8</v>
      </c>
      <c r="G29" s="28"/>
      <c r="H29" s="28"/>
      <c r="I29" s="28"/>
      <c r="J29" s="28"/>
      <c r="K29" s="23" t="s">
        <v>9</v>
      </c>
      <c r="L29" s="4" t="s">
        <v>10</v>
      </c>
      <c r="M29" s="4" t="s">
        <v>11</v>
      </c>
      <c r="N29" s="4" t="s">
        <v>12</v>
      </c>
      <c r="O29" s="4" t="s">
        <v>13</v>
      </c>
      <c r="P29" s="4" t="s">
        <v>14</v>
      </c>
      <c r="Q29" s="4" t="s">
        <v>15</v>
      </c>
      <c r="R29" s="4"/>
      <c r="S29" s="4"/>
      <c r="T29" s="4"/>
      <c r="U29" s="5"/>
      <c r="W29" s="38" t="s">
        <v>81</v>
      </c>
      <c r="X29" s="38">
        <v>0</v>
      </c>
      <c r="Y29" s="38" t="s">
        <v>63</v>
      </c>
    </row>
    <row r="30" spans="2:34" ht="13.5" customHeight="1" thickBot="1" x14ac:dyDescent="0.25">
      <c r="B30" s="16"/>
      <c r="C30" s="272"/>
      <c r="D30" s="206"/>
      <c r="E30" s="1"/>
      <c r="F30" s="1"/>
      <c r="K30" s="63" t="e">
        <f>(M30+O30)*Q30+M32+M34+IFERROR(M36,0)</f>
        <v>#N/A</v>
      </c>
      <c r="L30" s="26"/>
      <c r="M30" s="26">
        <f>IF(G32=0,$E$7*0.06,G32*0.06)</f>
        <v>0</v>
      </c>
      <c r="N30" s="26"/>
      <c r="O30" s="26" t="e">
        <f>INDEX(VbSpeedConstA_Int,MATCH(1,INDEX((INDEX(VbSpeedConstB_Type,MATCH(D30,VbSpeedConstB_Figure))=VbSpeedConstA_Type)*(G39=VbSpeedConstA_Rc),,),0))+INDEX(VbSpeedConstA_Slope,MATCH(1,INDEX((INDEX(VbSpeedConstB_Type,MATCH(D30,VbSpeedConstB_Figure))=VbSpeedConstA_Type)*(G39=VbSpeedConstA_Rc),,),0))*IF(F30&lt;80,80,F30)</f>
        <v>#N/A</v>
      </c>
      <c r="P30" s="26"/>
      <c r="Q30" s="26" t="e">
        <f>IF("curve"&lt;&gt;INDEX(VbSpeedConstB_Type,MATCH(D30,VbSpeedConstB_Figure)),G33-IFERROR(INDEX(VbModuleLength_Length,MATCH(G35,VbModuleLength_Module,0)),)-IFERROR(INDEX(VbModuleLength_Length,MATCH(H35,VbModuleLength_Module,0)),),0)/12</f>
        <v>#N/A</v>
      </c>
      <c r="R30" s="26"/>
      <c r="S30" s="26"/>
      <c r="T30" s="26"/>
      <c r="U30" s="22"/>
    </row>
    <row r="31" spans="2:34" ht="13.5" customHeight="1" thickBot="1" x14ac:dyDescent="0.25">
      <c r="B31" s="16"/>
      <c r="C31" s="273"/>
      <c r="D31" s="205"/>
      <c r="E31" s="205"/>
      <c r="F31" s="205"/>
      <c r="K31" s="24"/>
      <c r="L31" s="64" t="s">
        <v>18</v>
      </c>
      <c r="M31" s="3" t="s">
        <v>19</v>
      </c>
      <c r="N31" s="3" t="s">
        <v>10</v>
      </c>
      <c r="O31" s="3" t="s">
        <v>20</v>
      </c>
      <c r="P31" s="3" t="s">
        <v>12</v>
      </c>
      <c r="Q31" s="3" t="s">
        <v>13</v>
      </c>
      <c r="R31" s="3" t="s">
        <v>14</v>
      </c>
      <c r="S31" s="3" t="s">
        <v>15</v>
      </c>
      <c r="T31" s="3"/>
      <c r="U31" s="65"/>
      <c r="W31" s="281" t="s">
        <v>82</v>
      </c>
      <c r="X31" s="281"/>
      <c r="Y31" s="281"/>
      <c r="Z31" s="281"/>
      <c r="AA31" s="281"/>
      <c r="AB31" s="281"/>
      <c r="AC31" s="281"/>
      <c r="AD31" s="281"/>
      <c r="AE31" s="281"/>
      <c r="AF31" s="281"/>
      <c r="AG31" s="281"/>
      <c r="AH31" s="281"/>
    </row>
    <row r="32" spans="2:34" ht="13.5" customHeight="1" thickBot="1" x14ac:dyDescent="0.25">
      <c r="B32" s="16"/>
      <c r="C32" s="243" t="s">
        <v>24</v>
      </c>
      <c r="D32" s="243"/>
      <c r="E32" s="243"/>
      <c r="F32" s="244"/>
      <c r="G32" s="1"/>
      <c r="K32" s="63"/>
      <c r="L32" s="26" t="s">
        <v>12</v>
      </c>
      <c r="M32" s="26" t="e">
        <f>(O32+Q32)*S32</f>
        <v>#N/A</v>
      </c>
      <c r="N32" s="26"/>
      <c r="O32" s="26">
        <f>IF(G32=0,$E$7*0.06,G32*0.06)</f>
        <v>0</v>
      </c>
      <c r="P32" s="26"/>
      <c r="Q32" s="26" t="e">
        <f>INDEX(VbSpeedConstA_Int,MATCH(1,INDEX((G37=VbSpeedConstA_Type)*(G39=VbSpeedConstA_Rc),,),0))+INDEX(VbSpeedConstA_Slope,MATCH(1,INDEX((G37=VbSpeedConstA_Type)*(G39=VbSpeedConstA_Rc),,),0))*IF(F30&lt;80,80,F30)</f>
        <v>#N/A</v>
      </c>
      <c r="R32" s="26"/>
      <c r="S32" s="26">
        <f>MAX(0,(G36-IFERROR(INDEX(VbModuleLength_Length,MATCH(G35,VbModuleLength_Module,0)),))/12)</f>
        <v>0</v>
      </c>
      <c r="T32" s="26"/>
      <c r="U32" s="22"/>
      <c r="W32" s="280" t="s">
        <v>83</v>
      </c>
      <c r="X32" s="280"/>
      <c r="Y32" s="280"/>
      <c r="Z32" s="280"/>
      <c r="AA32" s="280"/>
      <c r="AB32" s="280"/>
      <c r="AC32" s="280"/>
      <c r="AD32" s="280"/>
      <c r="AE32" s="280"/>
      <c r="AF32" s="280"/>
      <c r="AG32" s="280"/>
      <c r="AH32" s="280"/>
    </row>
    <row r="33" spans="2:34" ht="13.5" customHeight="1" thickBot="1" x14ac:dyDescent="0.25">
      <c r="B33" s="16"/>
      <c r="C33" s="243" t="s">
        <v>27</v>
      </c>
      <c r="D33" s="243"/>
      <c r="E33" s="243"/>
      <c r="F33" s="244"/>
      <c r="G33" s="1"/>
      <c r="K33" s="24"/>
      <c r="L33" s="3"/>
      <c r="M33" s="3" t="s">
        <v>28</v>
      </c>
      <c r="N33" s="3" t="s">
        <v>10</v>
      </c>
      <c r="O33" s="3" t="s">
        <v>20</v>
      </c>
      <c r="P33" s="3" t="s">
        <v>12</v>
      </c>
      <c r="Q33" s="3" t="s">
        <v>13</v>
      </c>
      <c r="R33" s="3" t="s">
        <v>14</v>
      </c>
      <c r="S33" s="3" t="s">
        <v>15</v>
      </c>
      <c r="T33" s="3"/>
      <c r="U33" s="65"/>
      <c r="W33" s="38" t="s">
        <v>84</v>
      </c>
      <c r="X33" s="38" t="s">
        <v>85</v>
      </c>
      <c r="Y33" s="38" t="s">
        <v>86</v>
      </c>
      <c r="Z33" s="38" t="s">
        <v>87</v>
      </c>
      <c r="AB33" s="38" t="s">
        <v>88</v>
      </c>
      <c r="AC33" s="38" t="s">
        <v>89</v>
      </c>
      <c r="AD33" s="38" t="s">
        <v>90</v>
      </c>
      <c r="AE33" s="38" t="s">
        <v>91</v>
      </c>
      <c r="AF33" s="38" t="s">
        <v>92</v>
      </c>
      <c r="AG33" s="38" t="s">
        <v>93</v>
      </c>
      <c r="AH33" s="38" t="s">
        <v>94</v>
      </c>
    </row>
    <row r="34" spans="2:34" ht="13.5" customHeight="1" thickBot="1" x14ac:dyDescent="0.25">
      <c r="B34" s="16"/>
      <c r="C34" s="245"/>
      <c r="D34" s="245"/>
      <c r="E34" s="245"/>
      <c r="F34" s="245"/>
      <c r="G34" s="2" t="s">
        <v>30</v>
      </c>
      <c r="H34" s="66" t="s">
        <v>31</v>
      </c>
      <c r="I34" s="2" t="s">
        <v>32</v>
      </c>
      <c r="K34" s="63"/>
      <c r="L34" s="26" t="s">
        <v>12</v>
      </c>
      <c r="M34" s="26" t="e">
        <f>(O34+Q34)*S34</f>
        <v>#N/A</v>
      </c>
      <c r="N34" s="26"/>
      <c r="O34" s="26">
        <f>IF(G32=0,$E$7*0.06,G32*0.06)</f>
        <v>0</v>
      </c>
      <c r="P34" s="26"/>
      <c r="Q34" s="26" t="e">
        <f>INDEX(VbSpeedConstA_Int,MATCH(1,INDEX((H37=VbSpeedConstA_Type)*(G39=VbSpeedConstA_Rc),,),0))+INDEX(VbSpeedConstA_Slope,MATCH(1,INDEX((H37=VbSpeedConstA_Type)*(G39=VbSpeedConstA_Rc),,),0))*IF(F30&lt;80,80,F30)</f>
        <v>#N/A</v>
      </c>
      <c r="R34" s="26"/>
      <c r="S34" s="26">
        <f>MAX(0,(H36-IFERROR(INDEX(VbModuleLength_Length,MATCH(H35,VbModuleLength_Module,0)),))/12)</f>
        <v>0</v>
      </c>
      <c r="T34" s="26"/>
      <c r="U34" s="22"/>
      <c r="W34" s="38" t="s">
        <v>95</v>
      </c>
      <c r="X34" s="38">
        <v>3</v>
      </c>
      <c r="Y34" s="38">
        <f>$AC$49</f>
        <v>-3.9431157078251289E-4</v>
      </c>
      <c r="Z34" s="38">
        <f>$AC$50</f>
        <v>7.0381383322559807E-3</v>
      </c>
      <c r="AB34" s="38">
        <v>80</v>
      </c>
      <c r="AC34" s="38">
        <v>0.56000000000000005</v>
      </c>
      <c r="AD34" s="38">
        <v>0.84</v>
      </c>
      <c r="AE34" s="38">
        <v>0.84</v>
      </c>
      <c r="AF34" s="38">
        <v>1.38</v>
      </c>
      <c r="AG34" s="38">
        <v>0.93</v>
      </c>
      <c r="AH34" s="38">
        <v>1.33</v>
      </c>
    </row>
    <row r="35" spans="2:34" ht="13.5" customHeight="1" thickBot="1" x14ac:dyDescent="0.25">
      <c r="B35" s="16"/>
      <c r="C35" s="243" t="s">
        <v>34</v>
      </c>
      <c r="D35" s="243"/>
      <c r="E35" s="243"/>
      <c r="F35" s="244"/>
      <c r="G35" s="1"/>
      <c r="H35" s="1"/>
      <c r="I35" s="1"/>
      <c r="K35" s="24"/>
      <c r="L35" s="3"/>
      <c r="M35" s="3" t="s">
        <v>35</v>
      </c>
      <c r="N35" s="3" t="s">
        <v>10</v>
      </c>
      <c r="O35" s="3" t="s">
        <v>20</v>
      </c>
      <c r="P35" s="3" t="s">
        <v>12</v>
      </c>
      <c r="Q35" s="3" t="s">
        <v>13</v>
      </c>
      <c r="R35" s="3" t="s">
        <v>14</v>
      </c>
      <c r="S35" s="3" t="s">
        <v>15</v>
      </c>
      <c r="T35" s="3"/>
      <c r="U35" s="65"/>
      <c r="W35" s="38" t="s">
        <v>95</v>
      </c>
      <c r="X35" s="38">
        <v>2</v>
      </c>
      <c r="Y35" s="38">
        <f>$AD$49</f>
        <v>5.8177117000601797E-4</v>
      </c>
      <c r="Z35" s="38">
        <f>$AD$50</f>
        <v>1.0458952811893988E-2</v>
      </c>
      <c r="AB35" s="38">
        <v>120</v>
      </c>
      <c r="AC35" s="38">
        <v>0.84</v>
      </c>
      <c r="AD35" s="38">
        <v>1.26</v>
      </c>
      <c r="AE35" s="38">
        <v>1.26</v>
      </c>
      <c r="AF35" s="38">
        <v>2.08</v>
      </c>
      <c r="AG35" s="38">
        <v>1.4</v>
      </c>
      <c r="AH35" s="38">
        <v>2</v>
      </c>
    </row>
    <row r="36" spans="2:34" ht="13.5" customHeight="1" thickBot="1" x14ac:dyDescent="0.25">
      <c r="B36" s="16"/>
      <c r="C36" s="243" t="s">
        <v>38</v>
      </c>
      <c r="D36" s="243"/>
      <c r="E36" s="243"/>
      <c r="F36" s="244"/>
      <c r="G36" s="1"/>
      <c r="H36" s="1"/>
      <c r="I36" s="1"/>
      <c r="K36" s="25"/>
      <c r="L36" s="20" t="s">
        <v>12</v>
      </c>
      <c r="M36" s="20" t="e">
        <f>(O36+Q36)*S36</f>
        <v>#N/A</v>
      </c>
      <c r="N36" s="20"/>
      <c r="O36" s="20">
        <f>IF(G32=0,$E$7*0.06,G32*0.06)</f>
        <v>0</v>
      </c>
      <c r="P36" s="20"/>
      <c r="Q36" s="20" t="e">
        <f>INDEX(VbSpeedConstA_Int,MATCH(1,INDEX((I37=VbSpeedConstA_Type)*(G39=VbSpeedConstA_Rc),,),0))+INDEX(VbSpeedConstA_Slope,MATCH(1,INDEX((I37=VbSpeedConstA_Type)*(G39=VbSpeedConstA_Rc),,),0))*IF(F30&lt;80,80,F30)</f>
        <v>#N/A</v>
      </c>
      <c r="R36" s="20"/>
      <c r="S36" s="20">
        <f>MAX(0,(I36-IFERROR(INDEX(VbModuleLength_Length,MATCH(I35,VbModuleLength_Module,0)),))/12)</f>
        <v>0</v>
      </c>
      <c r="T36" s="20"/>
      <c r="U36" s="41"/>
      <c r="W36" s="38" t="s">
        <v>96</v>
      </c>
      <c r="X36" s="38">
        <v>3</v>
      </c>
      <c r="Y36" s="38">
        <f>$AE$49</f>
        <v>-1.5552682611506441E-2</v>
      </c>
      <c r="Z36" s="38">
        <f>$AE$50</f>
        <v>1.0492566257272139E-2</v>
      </c>
      <c r="AB36" s="38">
        <v>160</v>
      </c>
      <c r="AC36" s="38">
        <v>1.1299999999999999</v>
      </c>
      <c r="AD36" s="38">
        <v>1.67</v>
      </c>
      <c r="AE36" s="38">
        <v>1.67</v>
      </c>
      <c r="AF36" s="38">
        <v>2.77</v>
      </c>
      <c r="AG36" s="38">
        <v>1.86</v>
      </c>
      <c r="AH36" s="38">
        <v>2.67</v>
      </c>
    </row>
    <row r="37" spans="2:34" ht="13.5" customHeight="1" thickBot="1" x14ac:dyDescent="0.25">
      <c r="B37" s="16"/>
      <c r="C37" s="243" t="s">
        <v>40</v>
      </c>
      <c r="D37" s="243"/>
      <c r="E37" s="243"/>
      <c r="F37" s="244"/>
      <c r="G37" s="1"/>
      <c r="H37" s="1"/>
      <c r="I37" s="1"/>
      <c r="K37" s="67" t="s">
        <v>41</v>
      </c>
      <c r="L37" s="9" t="s">
        <v>10</v>
      </c>
      <c r="M37" s="9" t="s">
        <v>42</v>
      </c>
      <c r="N37" s="9" t="s">
        <v>12</v>
      </c>
      <c r="O37" s="9" t="s">
        <v>13</v>
      </c>
      <c r="P37" s="9" t="s">
        <v>14</v>
      </c>
      <c r="Q37" s="9" t="s">
        <v>43</v>
      </c>
      <c r="R37" s="9" t="s">
        <v>14</v>
      </c>
      <c r="S37" s="3" t="s">
        <v>44</v>
      </c>
      <c r="T37" s="3"/>
      <c r="U37" s="65"/>
      <c r="W37" s="38" t="s">
        <v>96</v>
      </c>
      <c r="X37" s="38">
        <v>2</v>
      </c>
      <c r="Y37" s="38">
        <f>$AF$49</f>
        <v>-2.31415643180366E-3</v>
      </c>
      <c r="Z37" s="38">
        <f>$AF$50</f>
        <v>1.7309308338720103E-2</v>
      </c>
      <c r="AB37" s="38">
        <v>180</v>
      </c>
      <c r="AC37" s="38">
        <v>1.27</v>
      </c>
      <c r="AD37" s="38">
        <v>1.88</v>
      </c>
      <c r="AE37" s="38">
        <v>1.8</v>
      </c>
      <c r="AF37" s="38">
        <v>3.11</v>
      </c>
      <c r="AG37" s="38">
        <v>2.09</v>
      </c>
      <c r="AH37" s="38">
        <v>3</v>
      </c>
    </row>
    <row r="38" spans="2:34" ht="13.5" customHeight="1" thickBot="1" x14ac:dyDescent="0.25">
      <c r="B38" s="16"/>
      <c r="C38" s="245"/>
      <c r="D38" s="245"/>
      <c r="E38" s="245"/>
      <c r="F38" s="245"/>
      <c r="K38" s="25" t="e">
        <f>(M38+O38)*Q38*S38</f>
        <v>#N/A</v>
      </c>
      <c r="L38" s="20"/>
      <c r="M38" s="20">
        <f>IF(G32=0,$E$7*0.133,G32*0.133)</f>
        <v>0</v>
      </c>
      <c r="N38" s="20"/>
      <c r="O38" s="20" t="e">
        <f>O30</f>
        <v>#N/A</v>
      </c>
      <c r="P38" s="20"/>
      <c r="Q38" s="20">
        <f>IFERROR(INDEX(VbWidthFactor_Constant,MATCH(E30,VbWidthFactor_NW)),0)</f>
        <v>0</v>
      </c>
      <c r="R38" s="20"/>
      <c r="S38" s="26">
        <f>IFERROR(INDEX(VbFigureConst_Const,MATCH(D30,VbFigureConst_Figure,0)),)</f>
        <v>0</v>
      </c>
      <c r="T38" s="26"/>
      <c r="U38" s="22"/>
      <c r="W38" s="38" t="s">
        <v>97</v>
      </c>
      <c r="X38" s="38">
        <v>3</v>
      </c>
      <c r="Y38" s="38">
        <f>$AG$49</f>
        <v>1.3380736910146851E-3</v>
      </c>
      <c r="Z38" s="38">
        <f>$AG$50</f>
        <v>1.1627020038784743E-2</v>
      </c>
      <c r="AB38" s="38">
        <v>200</v>
      </c>
      <c r="AC38" s="38">
        <v>1.41</v>
      </c>
      <c r="AD38" s="38">
        <v>2.09</v>
      </c>
      <c r="AE38" s="38">
        <v>2.09</v>
      </c>
      <c r="AF38" s="38">
        <v>3.46</v>
      </c>
      <c r="AG38" s="38">
        <v>2.33</v>
      </c>
      <c r="AH38" s="38">
        <v>3.33</v>
      </c>
    </row>
    <row r="39" spans="2:34" ht="13.5" customHeight="1" thickBot="1" x14ac:dyDescent="0.25">
      <c r="B39" s="16"/>
      <c r="C39" s="243" t="s">
        <v>47</v>
      </c>
      <c r="D39" s="243"/>
      <c r="E39" s="243"/>
      <c r="F39" s="244"/>
      <c r="G39" s="1"/>
      <c r="K39" s="67" t="s">
        <v>48</v>
      </c>
      <c r="L39" s="9" t="s">
        <v>10</v>
      </c>
      <c r="M39" s="9" t="s">
        <v>49</v>
      </c>
      <c r="N39" s="9" t="s">
        <v>14</v>
      </c>
      <c r="O39" s="19">
        <v>5</v>
      </c>
      <c r="P39" s="21"/>
      <c r="Q39" s="21"/>
      <c r="R39" s="21"/>
      <c r="S39" s="265" t="s">
        <v>50</v>
      </c>
      <c r="T39" s="266"/>
      <c r="U39" s="68" t="s">
        <v>51</v>
      </c>
      <c r="W39" s="38" t="s">
        <v>97</v>
      </c>
      <c r="X39" s="38">
        <v>2</v>
      </c>
      <c r="Y39" s="38">
        <f>$AH$49</f>
        <v>-4.7188106011564201E-4</v>
      </c>
      <c r="Z39" s="38">
        <f>$AH$50</f>
        <v>1.6667420814479635E-2</v>
      </c>
      <c r="AB39" s="38">
        <v>240</v>
      </c>
      <c r="AC39" s="38">
        <v>1.69</v>
      </c>
      <c r="AD39" s="38">
        <v>2.5099999999999998</v>
      </c>
      <c r="AE39" s="38">
        <v>2.5099999999999998</v>
      </c>
      <c r="AF39" s="38">
        <v>4.1500000000000004</v>
      </c>
      <c r="AG39" s="38">
        <v>2.79</v>
      </c>
      <c r="AH39" s="38">
        <v>4</v>
      </c>
    </row>
    <row r="40" spans="2:34" ht="13.5" customHeight="1" x14ac:dyDescent="0.2">
      <c r="B40" s="16"/>
      <c r="C40" s="245"/>
      <c r="D40" s="245"/>
      <c r="E40" s="245"/>
      <c r="F40" s="245"/>
      <c r="K40" s="25">
        <f>M40*O40</f>
        <v>0</v>
      </c>
      <c r="L40" s="20"/>
      <c r="M40" s="8">
        <f>COUNTA(G35:I35)</f>
        <v>0</v>
      </c>
      <c r="N40" s="20"/>
      <c r="O40" s="20">
        <v>5</v>
      </c>
      <c r="P40" s="20"/>
      <c r="Q40" s="20"/>
      <c r="R40" s="20"/>
      <c r="S40" s="267" t="str">
        <f>IF(ISBLANK(D30),"NEED FIGURE",IF(AND(ISBLANK(E30),INDEX(VbSpeedConstB_Type,MATCH(D30,VbSpeedConstB_Figure))="curve"),"NEED WIDTH",IF(AND("curve"&lt;&gt;INDEX(VbSpeedConstB_Type,MATCH(D30,VbSpeedConstB_Figure)),ISBLANK(G33)),"NEED OVERALL LENGTH","")))</f>
        <v>NEED FIGURE</v>
      </c>
      <c r="T40" s="268"/>
      <c r="U40" s="69" t="s">
        <v>53</v>
      </c>
      <c r="AB40" s="38">
        <v>280</v>
      </c>
      <c r="AC40" s="38">
        <v>1.97</v>
      </c>
      <c r="AD40" s="38">
        <v>2.93</v>
      </c>
      <c r="AE40" s="38">
        <v>2.93</v>
      </c>
      <c r="AF40" s="38">
        <v>4.84</v>
      </c>
      <c r="AG40" s="38">
        <v>3.26</v>
      </c>
      <c r="AH40" s="38">
        <v>4.67</v>
      </c>
    </row>
    <row r="41" spans="2:34" ht="13.5" customHeight="1" thickBot="1" x14ac:dyDescent="0.25">
      <c r="B41" s="16"/>
      <c r="C41" s="240"/>
      <c r="D41" s="240"/>
      <c r="E41" s="240"/>
      <c r="F41" s="240"/>
      <c r="G41" s="2" t="s">
        <v>56</v>
      </c>
      <c r="H41" s="2" t="s">
        <v>57</v>
      </c>
      <c r="K41" s="67" t="s">
        <v>58</v>
      </c>
      <c r="L41" s="9" t="s">
        <v>10</v>
      </c>
      <c r="M41" s="9" t="s">
        <v>59</v>
      </c>
      <c r="N41" s="9" t="s">
        <v>12</v>
      </c>
      <c r="O41" s="9" t="s">
        <v>60</v>
      </c>
      <c r="P41" s="9" t="s">
        <v>14</v>
      </c>
      <c r="Q41" s="9" t="s">
        <v>61</v>
      </c>
      <c r="R41" s="9"/>
      <c r="S41" s="276" t="str">
        <f>IF(ISBLANK(F30),"NEED SPEED",IF(AND(ISBLANK($E$7),ISBLANK(G32)),"NEED LIVE LOAD",""))</f>
        <v>NEED SPEED</v>
      </c>
      <c r="T41" s="277"/>
      <c r="U41" s="70" t="str">
        <f>IFERROR(IF(COUNTIF(G35:I35,"C43")=1,INDEX(VbDriveAb_Speed,MATCH(1,INDEX((F30&lt;=VbDriveAb_Speed)*(K46&lt;=VbDriveAb_Hp)*(K42&lt;=VbDriveAb_Ebp),,),0))&amp;" FPM",IF(SUM(COUNTIF(G35:I35,{"C42","C55","C56"}))=1,INDEX(VbDriveC_Speed,MATCH(1,INDEX((F30&lt;=VbDriveC_Speed)*(K46&lt;=VbDriveC_Hp)*(K42&lt;=VbDriveC_Ebp),,),0))&amp;" FPM","")),"")</f>
        <v/>
      </c>
      <c r="W41" s="38" t="s">
        <v>98</v>
      </c>
      <c r="X41" s="38" t="s">
        <v>84</v>
      </c>
      <c r="AB41" s="38">
        <v>320</v>
      </c>
      <c r="AC41" s="38">
        <v>2.25</v>
      </c>
      <c r="AD41" s="38">
        <v>3.35</v>
      </c>
      <c r="AE41" s="38">
        <v>3.35</v>
      </c>
      <c r="AF41" s="38">
        <v>5.54</v>
      </c>
      <c r="AG41" s="38">
        <v>3.72</v>
      </c>
      <c r="AH41" s="38">
        <v>5.33</v>
      </c>
    </row>
    <row r="42" spans="2:34" ht="13.5" customHeight="1" thickBot="1" x14ac:dyDescent="0.25">
      <c r="B42" s="16"/>
      <c r="C42" s="241" t="s">
        <v>64</v>
      </c>
      <c r="D42" s="241"/>
      <c r="E42" s="241"/>
      <c r="F42" s="242"/>
      <c r="G42" s="1"/>
      <c r="H42" s="1"/>
      <c r="K42" s="25" t="e">
        <f>(M42+O42)*Q42</f>
        <v>#N/A</v>
      </c>
      <c r="L42" s="20"/>
      <c r="M42" s="20" t="e">
        <f>K30+K38+K40</f>
        <v>#N/A</v>
      </c>
      <c r="N42" s="20"/>
      <c r="O42" s="20">
        <f>G44</f>
        <v>0</v>
      </c>
      <c r="P42" s="20"/>
      <c r="Q42" s="20">
        <v>1.25</v>
      </c>
      <c r="R42" s="20"/>
      <c r="S42" s="276" t="str">
        <f>IF(OR(ISBLANK(G35),ISBLANK(H35)),"NEED MODULE(S)",IF(OR(ISBLANK(G37),ISBLANK(H37)),"NEED STRAIGHT/SKEW",""))</f>
        <v>NEED MODULE(S)</v>
      </c>
      <c r="T42" s="277"/>
      <c r="U42" s="71" t="str">
        <f>IFERROR(IF(COUNTIF(G35:I35,"C43")=1,INDEX(VbDriveAb_Hp,MATCH(1,INDEX((F30&lt;=VbDriveAb_Speed)*(K46&lt;=VbDriveAb_Hp)*(K42&lt;=VbDriveAb_Ebp),,),0))&amp;" HP",IF(SUM(COUNTIF(G35:I35,{"C42","C55","C56"}))=1,INDEX(VbDriveC_Hp,MATCH(1,INDEX((F30&lt;=VbDriveC_Speed)*(K46&lt;=VbDriveC_Hp)*(K42&lt;=VbDriveC_Ebp),,),0))&amp;" HP","")),"")</f>
        <v/>
      </c>
      <c r="W42" s="38">
        <v>401</v>
      </c>
      <c r="X42" s="38" t="s">
        <v>97</v>
      </c>
      <c r="AB42" s="38">
        <v>360</v>
      </c>
      <c r="AC42" s="38">
        <v>2.5299999999999998</v>
      </c>
      <c r="AD42" s="38">
        <v>3.77</v>
      </c>
      <c r="AE42" s="38">
        <v>3.77</v>
      </c>
      <c r="AF42" s="38">
        <v>6.23</v>
      </c>
      <c r="AG42" s="38">
        <v>4.1900000000000004</v>
      </c>
      <c r="AH42" s="38">
        <v>6</v>
      </c>
    </row>
    <row r="43" spans="2:34" ht="13.5" customHeight="1" thickBot="1" x14ac:dyDescent="0.25">
      <c r="B43" s="16"/>
      <c r="C43" s="240"/>
      <c r="D43" s="240"/>
      <c r="E43" s="240"/>
      <c r="F43" s="240"/>
      <c r="K43" s="67" t="s">
        <v>67</v>
      </c>
      <c r="L43" s="9" t="s">
        <v>10</v>
      </c>
      <c r="M43" s="9" t="s">
        <v>58</v>
      </c>
      <c r="N43" s="9" t="s">
        <v>14</v>
      </c>
      <c r="O43" s="9" t="s">
        <v>68</v>
      </c>
      <c r="P43" s="9"/>
      <c r="Q43" s="9"/>
      <c r="R43" s="9"/>
      <c r="S43" s="276" t="str">
        <f>IF(ISBLANK(G39),"NEED ROLLER CENTERS","")</f>
        <v>NEED ROLLER CENTERS</v>
      </c>
      <c r="T43" s="277"/>
      <c r="U43" s="72" t="s">
        <v>69</v>
      </c>
      <c r="W43" s="38">
        <v>402</v>
      </c>
      <c r="X43" s="38" t="s">
        <v>97</v>
      </c>
      <c r="AB43" s="38">
        <v>400</v>
      </c>
      <c r="AC43" s="38">
        <v>2.81</v>
      </c>
      <c r="AD43" s="38">
        <v>4.18</v>
      </c>
      <c r="AE43" s="38">
        <v>4.18</v>
      </c>
      <c r="AF43" s="38">
        <v>6.92</v>
      </c>
      <c r="AG43" s="38">
        <v>4.6500000000000004</v>
      </c>
      <c r="AH43" s="38">
        <v>6.67</v>
      </c>
    </row>
    <row r="44" spans="2:34" ht="13.5" customHeight="1" thickBot="1" x14ac:dyDescent="0.25">
      <c r="B44" s="16"/>
      <c r="C44" s="243" t="s">
        <v>71</v>
      </c>
      <c r="D44" s="243"/>
      <c r="E44" s="243"/>
      <c r="F44" s="243"/>
      <c r="G44" s="1"/>
      <c r="K44" s="25" t="e">
        <f>M44*O44</f>
        <v>#N/A</v>
      </c>
      <c r="L44" s="20"/>
      <c r="M44" s="20" t="e">
        <f>K42</f>
        <v>#N/A</v>
      </c>
      <c r="N44" s="20"/>
      <c r="O44" s="20">
        <f>IF(AND(ISNUMBER(G42),ISNUMBER(H42)),H42/G42,0)</f>
        <v>0</v>
      </c>
      <c r="P44" s="20"/>
      <c r="Q44" s="20"/>
      <c r="R44" s="20"/>
      <c r="S44" s="284"/>
      <c r="T44" s="285"/>
      <c r="U44" s="74" t="str">
        <f>IFERROR(IF(K44&gt;0,K44,""),"")</f>
        <v/>
      </c>
      <c r="W44" s="38">
        <v>403</v>
      </c>
      <c r="X44" s="38" t="s">
        <v>97</v>
      </c>
      <c r="AB44" s="38">
        <v>440</v>
      </c>
      <c r="AC44" s="38">
        <v>3.1</v>
      </c>
      <c r="AD44" s="38">
        <v>4.5999999999999996</v>
      </c>
      <c r="AE44" s="38">
        <v>4.5999999999999996</v>
      </c>
      <c r="AF44" s="38">
        <v>7.61</v>
      </c>
      <c r="AG44" s="38">
        <v>5.12</v>
      </c>
      <c r="AH44" s="38">
        <v>7.33</v>
      </c>
    </row>
    <row r="45" spans="2:34" ht="13.5" customHeight="1" thickBot="1" x14ac:dyDescent="0.25">
      <c r="B45" s="16"/>
      <c r="C45" s="240"/>
      <c r="D45" s="240"/>
      <c r="E45" s="240"/>
      <c r="F45" s="240"/>
      <c r="K45" s="24" t="s">
        <v>74</v>
      </c>
      <c r="L45" s="3" t="s">
        <v>10</v>
      </c>
      <c r="M45" s="3" t="s">
        <v>58</v>
      </c>
      <c r="N45" s="3" t="s">
        <v>14</v>
      </c>
      <c r="O45" s="3" t="s">
        <v>8</v>
      </c>
      <c r="P45" s="3" t="s">
        <v>75</v>
      </c>
      <c r="Q45" s="3" t="s">
        <v>76</v>
      </c>
      <c r="S45" s="276" t="str">
        <f>IFERROR(IF(K46&gt;MAX(VbDriveAb_Hp,VbDriveC_Hp),"EXCEEDS MAX HP",""),"")</f>
        <v/>
      </c>
      <c r="T45" s="277"/>
      <c r="U45" s="278" t="str">
        <f>IF(NOT(OR(SUM(COUNTIF(G35:I35,{"C42","C43","C51","C55","C56"}))&gt;0,COUNTBLANK(G42:H42)&lt;1)),"NEED DRIVE MODULE OR SLAVE RATIO",IF(AND(SUM(COUNTIF(G35:I35,{"C42","C43","C51","C55","C56"}))&gt;0,COUNTBLANK(G42:H42)&lt;1),"CAN'T BE SLAVE AND HAVE DRIVE",""))</f>
        <v>NEED DRIVE MODULE OR SLAVE RATIO</v>
      </c>
      <c r="W45" s="38">
        <v>404</v>
      </c>
      <c r="X45" s="38" t="s">
        <v>97</v>
      </c>
      <c r="AB45" s="38">
        <v>480</v>
      </c>
      <c r="AC45" s="38">
        <v>3.38</v>
      </c>
      <c r="AD45" s="38">
        <v>5.0199999999999996</v>
      </c>
      <c r="AE45" s="38">
        <v>5.0199999999999996</v>
      </c>
      <c r="AF45" s="38">
        <v>8.31</v>
      </c>
      <c r="AG45" s="38">
        <v>5.58</v>
      </c>
      <c r="AH45" s="38">
        <v>8</v>
      </c>
    </row>
    <row r="46" spans="2:34" ht="13.5" customHeight="1" thickBot="1" x14ac:dyDescent="0.25">
      <c r="B46" s="286" t="s">
        <v>78</v>
      </c>
      <c r="C46" s="287"/>
      <c r="D46" s="262"/>
      <c r="E46" s="263"/>
      <c r="F46" s="263"/>
      <c r="G46" s="263"/>
      <c r="H46" s="263"/>
      <c r="I46" s="263"/>
      <c r="J46" s="264"/>
      <c r="K46" s="73" t="e">
        <f>M46*O46/Q46</f>
        <v>#N/A</v>
      </c>
      <c r="L46" s="27"/>
      <c r="M46" s="27" t="e">
        <f>K42</f>
        <v>#N/A</v>
      </c>
      <c r="N46" s="27"/>
      <c r="O46" s="27">
        <f>F30</f>
        <v>0</v>
      </c>
      <c r="P46" s="27"/>
      <c r="Q46" s="27">
        <v>31350</v>
      </c>
      <c r="R46" s="27"/>
      <c r="S46" s="274" t="str">
        <f>IFERROR(IF(K42&gt;125,"EXCEEDS BELT STRENGTH",""),"")</f>
        <v/>
      </c>
      <c r="T46" s="275"/>
      <c r="U46" s="279"/>
      <c r="W46" s="38">
        <v>405</v>
      </c>
      <c r="X46" s="38" t="s">
        <v>97</v>
      </c>
      <c r="AB46" s="38">
        <v>520</v>
      </c>
      <c r="AC46" s="38">
        <v>3.66</v>
      </c>
      <c r="AD46" s="38">
        <v>5.44</v>
      </c>
      <c r="AE46" s="38">
        <v>5.44</v>
      </c>
      <c r="AF46" s="38">
        <v>9</v>
      </c>
      <c r="AG46" s="38">
        <v>6.05</v>
      </c>
      <c r="AH46" s="38">
        <v>8.67</v>
      </c>
    </row>
    <row r="47" spans="2:34" ht="13.5" customHeight="1" thickBot="1" x14ac:dyDescent="0.25">
      <c r="W47" s="38">
        <v>406</v>
      </c>
      <c r="X47" s="38" t="s">
        <v>97</v>
      </c>
      <c r="AB47" s="38">
        <v>560</v>
      </c>
      <c r="AC47" s="38">
        <v>3.94</v>
      </c>
      <c r="AD47" s="38">
        <v>5.86</v>
      </c>
      <c r="AE47" s="38">
        <v>5.86</v>
      </c>
      <c r="AF47" s="38">
        <v>9.69</v>
      </c>
      <c r="AG47" s="38">
        <v>6.51</v>
      </c>
      <c r="AH47" s="38">
        <v>9.33</v>
      </c>
    </row>
    <row r="48" spans="2:34" ht="13.5" customHeight="1" thickBot="1" x14ac:dyDescent="0.25">
      <c r="B48" s="39"/>
      <c r="C48" s="28" t="s">
        <v>5</v>
      </c>
      <c r="D48" s="28" t="s">
        <v>6</v>
      </c>
      <c r="E48" s="28" t="s">
        <v>7</v>
      </c>
      <c r="F48" s="28" t="s">
        <v>8</v>
      </c>
      <c r="G48" s="28"/>
      <c r="H48" s="28"/>
      <c r="I48" s="28"/>
      <c r="J48" s="28"/>
      <c r="K48" s="23" t="s">
        <v>9</v>
      </c>
      <c r="L48" s="4" t="s">
        <v>10</v>
      </c>
      <c r="M48" s="4" t="s">
        <v>11</v>
      </c>
      <c r="N48" s="4" t="s">
        <v>12</v>
      </c>
      <c r="O48" s="4" t="s">
        <v>13</v>
      </c>
      <c r="P48" s="4" t="s">
        <v>14</v>
      </c>
      <c r="Q48" s="4" t="s">
        <v>15</v>
      </c>
      <c r="R48" s="4"/>
      <c r="S48" s="4"/>
      <c r="T48" s="4"/>
      <c r="U48" s="5"/>
      <c r="W48" s="38">
        <v>407</v>
      </c>
      <c r="X48" s="38" t="s">
        <v>97</v>
      </c>
    </row>
    <row r="49" spans="2:34" ht="13.5" customHeight="1" thickBot="1" x14ac:dyDescent="0.25">
      <c r="B49" s="16"/>
      <c r="C49" s="272"/>
      <c r="D49" s="206"/>
      <c r="E49" s="1"/>
      <c r="F49" s="1"/>
      <c r="K49" s="63" t="e">
        <f>(M49+O49)*Q49+M51+M53+IFERROR(M55,0)</f>
        <v>#N/A</v>
      </c>
      <c r="L49" s="26"/>
      <c r="M49" s="26">
        <f>IF(G51=0,$E$7*0.06,G51*0.06)</f>
        <v>0</v>
      </c>
      <c r="N49" s="26"/>
      <c r="O49" s="26" t="e">
        <f>INDEX(VbSpeedConstA_Int,MATCH(1,INDEX((INDEX(VbSpeedConstB_Type,MATCH(D49,VbSpeedConstB_Figure))=VbSpeedConstA_Type)*(G58=VbSpeedConstA_Rc),,),0))+INDEX(VbSpeedConstA_Slope,MATCH(1,INDEX((INDEX(VbSpeedConstB_Type,MATCH(D49,VbSpeedConstB_Figure))=VbSpeedConstA_Type)*(G58=VbSpeedConstA_Rc),,),0))*IF(F49&lt;80,80,F49)</f>
        <v>#N/A</v>
      </c>
      <c r="P49" s="26"/>
      <c r="Q49" s="26" t="e">
        <f>IF("curve"&lt;&gt;INDEX(VbSpeedConstB_Type,MATCH(D49,VbSpeedConstB_Figure)),G52-IFERROR(INDEX(VbModuleLength_Length,MATCH(G54,VbModuleLength_Module,0)),)-IFERROR(INDEX(VbModuleLength_Length,MATCH(H54,VbModuleLength_Module,0)),),0)/12</f>
        <v>#N/A</v>
      </c>
      <c r="R49" s="26"/>
      <c r="S49" s="26"/>
      <c r="T49" s="26"/>
      <c r="U49" s="22"/>
      <c r="W49" s="38">
        <v>408</v>
      </c>
      <c r="X49" s="38" t="s">
        <v>95</v>
      </c>
      <c r="AB49" s="38" t="s">
        <v>86</v>
      </c>
      <c r="AC49" s="38">
        <f t="shared" ref="AC49:AH49" si="0">INTERCEPT(AC$34:AC$47,$AB$34:$AB$47)</f>
        <v>-3.9431157078251289E-4</v>
      </c>
      <c r="AD49" s="38">
        <f t="shared" si="0"/>
        <v>5.8177117000601797E-4</v>
      </c>
      <c r="AE49" s="38">
        <f t="shared" si="0"/>
        <v>-1.5552682611506441E-2</v>
      </c>
      <c r="AF49" s="38">
        <f t="shared" si="0"/>
        <v>-2.31415643180366E-3</v>
      </c>
      <c r="AG49" s="38">
        <f t="shared" si="0"/>
        <v>1.3380736910146851E-3</v>
      </c>
      <c r="AH49" s="38">
        <f t="shared" si="0"/>
        <v>-4.7188106011564201E-4</v>
      </c>
    </row>
    <row r="50" spans="2:34" ht="13.5" customHeight="1" thickBot="1" x14ac:dyDescent="0.25">
      <c r="B50" s="16"/>
      <c r="C50" s="273"/>
      <c r="D50" s="205"/>
      <c r="E50" s="205"/>
      <c r="F50" s="205"/>
      <c r="K50" s="24"/>
      <c r="L50" s="64" t="s">
        <v>18</v>
      </c>
      <c r="M50" s="3" t="s">
        <v>19</v>
      </c>
      <c r="N50" s="3" t="s">
        <v>10</v>
      </c>
      <c r="O50" s="3" t="s">
        <v>20</v>
      </c>
      <c r="P50" s="3" t="s">
        <v>12</v>
      </c>
      <c r="Q50" s="3" t="s">
        <v>13</v>
      </c>
      <c r="R50" s="3" t="s">
        <v>14</v>
      </c>
      <c r="S50" s="3" t="s">
        <v>15</v>
      </c>
      <c r="T50" s="3"/>
      <c r="U50" s="65"/>
      <c r="W50" s="38">
        <v>409</v>
      </c>
      <c r="X50" s="38" t="s">
        <v>96</v>
      </c>
      <c r="AB50" s="38" t="s">
        <v>87</v>
      </c>
      <c r="AC50" s="38">
        <f t="shared" ref="AC50:AH50" si="1">SLOPE(AC$34:AC$47,$AB$34:$AB$47)</f>
        <v>7.0381383322559807E-3</v>
      </c>
      <c r="AD50" s="38">
        <f t="shared" si="1"/>
        <v>1.0458952811893988E-2</v>
      </c>
      <c r="AE50" s="38">
        <f t="shared" si="1"/>
        <v>1.0492566257272139E-2</v>
      </c>
      <c r="AF50" s="38">
        <f t="shared" si="1"/>
        <v>1.7309308338720103E-2</v>
      </c>
      <c r="AG50" s="38">
        <f t="shared" si="1"/>
        <v>1.1627020038784743E-2</v>
      </c>
      <c r="AH50" s="38">
        <f t="shared" si="1"/>
        <v>1.6667420814479635E-2</v>
      </c>
    </row>
    <row r="51" spans="2:34" ht="13.5" customHeight="1" thickBot="1" x14ac:dyDescent="0.25">
      <c r="B51" s="16"/>
      <c r="C51" s="243" t="s">
        <v>24</v>
      </c>
      <c r="D51" s="243"/>
      <c r="E51" s="243"/>
      <c r="F51" s="244"/>
      <c r="G51" s="1"/>
      <c r="K51" s="63"/>
      <c r="L51" s="26" t="s">
        <v>12</v>
      </c>
      <c r="M51" s="26" t="e">
        <f>(O51+Q51)*S51</f>
        <v>#N/A</v>
      </c>
      <c r="N51" s="26"/>
      <c r="O51" s="26">
        <f>IF(G51=0,$E$7*0.06,G51*0.06)</f>
        <v>0</v>
      </c>
      <c r="P51" s="26"/>
      <c r="Q51" s="26" t="e">
        <f>INDEX(VbSpeedConstA_Int,MATCH(1,INDEX((G56=VbSpeedConstA_Type)*(G58=VbSpeedConstA_Rc),,),0))+INDEX(VbSpeedConstA_Slope,MATCH(1,INDEX((G56=VbSpeedConstA_Type)*(G58=VbSpeedConstA_Rc),,),0))*IF(F49&lt;80,80,F49)</f>
        <v>#N/A</v>
      </c>
      <c r="R51" s="26"/>
      <c r="S51" s="26">
        <f>MAX(0,(G55-IFERROR(INDEX(VbModuleLength_Length,MATCH(G54,VbModuleLength_Module,0)),))/12)</f>
        <v>0</v>
      </c>
      <c r="T51" s="26"/>
      <c r="U51" s="22"/>
      <c r="AB51" s="38" t="s">
        <v>99</v>
      </c>
      <c r="AC51" s="38">
        <f t="shared" ref="AC51:AH51" si="2">RSQ(AC$34:AC$47,$AB$34:$AB$47)</f>
        <v>0.99999207925689593</v>
      </c>
      <c r="AD51" s="38">
        <f t="shared" si="2"/>
        <v>0.99999661947020524</v>
      </c>
      <c r="AE51" s="38">
        <f t="shared" si="2"/>
        <v>0.99981747146888866</v>
      </c>
      <c r="AF51" s="38">
        <f t="shared" si="2"/>
        <v>0.99999869880908399</v>
      </c>
      <c r="AG51" s="38">
        <f t="shared" si="2"/>
        <v>0.99999758602639988</v>
      </c>
      <c r="AH51" s="38">
        <f t="shared" si="2"/>
        <v>0.99999884784518034</v>
      </c>
    </row>
    <row r="52" spans="2:34" ht="13.5" customHeight="1" thickBot="1" x14ac:dyDescent="0.25">
      <c r="B52" s="16"/>
      <c r="C52" s="243" t="s">
        <v>27</v>
      </c>
      <c r="D52" s="243"/>
      <c r="E52" s="243"/>
      <c r="F52" s="244"/>
      <c r="G52" s="1"/>
      <c r="K52" s="24"/>
      <c r="L52" s="3"/>
      <c r="M52" s="3" t="s">
        <v>28</v>
      </c>
      <c r="N52" s="3" t="s">
        <v>10</v>
      </c>
      <c r="O52" s="3" t="s">
        <v>20</v>
      </c>
      <c r="P52" s="3" t="s">
        <v>12</v>
      </c>
      <c r="Q52" s="3" t="s">
        <v>13</v>
      </c>
      <c r="R52" s="3" t="s">
        <v>14</v>
      </c>
      <c r="S52" s="3" t="s">
        <v>15</v>
      </c>
      <c r="T52" s="3"/>
      <c r="U52" s="65"/>
      <c r="W52" s="283" t="s">
        <v>100</v>
      </c>
      <c r="X52" s="283"/>
      <c r="Y52" s="283"/>
      <c r="Z52" s="283"/>
      <c r="AA52" s="283"/>
      <c r="AB52" s="283"/>
      <c r="AC52" s="283"/>
      <c r="AD52" s="283"/>
      <c r="AE52" s="283"/>
      <c r="AF52" s="283"/>
      <c r="AG52" s="283"/>
      <c r="AH52" s="283"/>
    </row>
    <row r="53" spans="2:34" ht="13.5" customHeight="1" thickBot="1" x14ac:dyDescent="0.25">
      <c r="B53" s="16"/>
      <c r="C53" s="245"/>
      <c r="D53" s="245"/>
      <c r="E53" s="245"/>
      <c r="F53" s="245"/>
      <c r="G53" s="2" t="s">
        <v>30</v>
      </c>
      <c r="H53" s="66" t="s">
        <v>31</v>
      </c>
      <c r="I53" s="2" t="s">
        <v>32</v>
      </c>
      <c r="K53" s="63"/>
      <c r="L53" s="26" t="s">
        <v>12</v>
      </c>
      <c r="M53" s="26" t="e">
        <f>(O53+Q53)*S53</f>
        <v>#N/A</v>
      </c>
      <c r="N53" s="26"/>
      <c r="O53" s="26">
        <f>IF(G51=0,$E$7*0.06,G51*0.06)</f>
        <v>0</v>
      </c>
      <c r="P53" s="26"/>
      <c r="Q53" s="26" t="e">
        <f>INDEX(VbSpeedConstA_Int,MATCH(1,INDEX((H56=VbSpeedConstA_Type)*(G58=VbSpeedConstA_Rc),,),0))+INDEX(VbSpeedConstA_Slope,MATCH(1,INDEX((H56=VbSpeedConstA_Type)*(G58=VbSpeedConstA_Rc),,),0))*IF(F49&lt;80,80,F49)</f>
        <v>#N/A</v>
      </c>
      <c r="R53" s="26"/>
      <c r="S53" s="26">
        <f>MAX(0,(H55-IFERROR(INDEX(VbModuleLength_Length,MATCH(H54,VbModuleLength_Module,0)),))/12)</f>
        <v>0</v>
      </c>
      <c r="T53" s="26"/>
      <c r="U53" s="22"/>
      <c r="W53" s="38" t="s">
        <v>101</v>
      </c>
      <c r="X53" s="38" t="s">
        <v>102</v>
      </c>
    </row>
    <row r="54" spans="2:34" ht="13.5" customHeight="1" thickBot="1" x14ac:dyDescent="0.25">
      <c r="B54" s="16"/>
      <c r="C54" s="243" t="s">
        <v>34</v>
      </c>
      <c r="D54" s="243"/>
      <c r="E54" s="243"/>
      <c r="F54" s="244"/>
      <c r="G54" s="1"/>
      <c r="H54" s="1"/>
      <c r="I54" s="1"/>
      <c r="K54" s="24"/>
      <c r="L54" s="3"/>
      <c r="M54" s="3" t="s">
        <v>35</v>
      </c>
      <c r="N54" s="3" t="s">
        <v>10</v>
      </c>
      <c r="O54" s="3" t="s">
        <v>20</v>
      </c>
      <c r="P54" s="3" t="s">
        <v>12</v>
      </c>
      <c r="Q54" s="3" t="s">
        <v>13</v>
      </c>
      <c r="R54" s="3" t="s">
        <v>14</v>
      </c>
      <c r="S54" s="3" t="s">
        <v>15</v>
      </c>
      <c r="T54" s="3"/>
      <c r="U54" s="65"/>
      <c r="W54" s="38">
        <v>18</v>
      </c>
      <c r="X54" s="38">
        <v>0.5</v>
      </c>
    </row>
    <row r="55" spans="2:34" ht="13.5" customHeight="1" thickBot="1" x14ac:dyDescent="0.25">
      <c r="B55" s="16"/>
      <c r="C55" s="243" t="s">
        <v>38</v>
      </c>
      <c r="D55" s="243"/>
      <c r="E55" s="243"/>
      <c r="F55" s="244"/>
      <c r="G55" s="1"/>
      <c r="H55" s="1"/>
      <c r="I55" s="1"/>
      <c r="K55" s="25"/>
      <c r="L55" s="20" t="s">
        <v>12</v>
      </c>
      <c r="M55" s="20" t="e">
        <f>(O55+Q55)*S55</f>
        <v>#N/A</v>
      </c>
      <c r="N55" s="20"/>
      <c r="O55" s="20">
        <f>IF(G51=0,$E$7*0.06,G51*0.06)</f>
        <v>0</v>
      </c>
      <c r="P55" s="20"/>
      <c r="Q55" s="20" t="e">
        <f>INDEX(VbSpeedConstA_Int,MATCH(1,INDEX((I56=VbSpeedConstA_Type)*(G58=VbSpeedConstA_Rc),,),0))+INDEX(VbSpeedConstA_Slope,MATCH(1,INDEX((I56=VbSpeedConstA_Type)*(G58=VbSpeedConstA_Rc),,),0))*IF(F49&lt;80,80,F49)</f>
        <v>#N/A</v>
      </c>
      <c r="R55" s="20"/>
      <c r="S55" s="20">
        <f>MAX(0,(I55-IFERROR(INDEX(VbModuleLength_Length,MATCH(I54,VbModuleLength_Module,0)),))/12)</f>
        <v>0</v>
      </c>
      <c r="T55" s="20"/>
      <c r="U55" s="41"/>
      <c r="W55" s="38">
        <v>24</v>
      </c>
      <c r="X55" s="38">
        <v>0.75</v>
      </c>
    </row>
    <row r="56" spans="2:34" ht="13.5" customHeight="1" thickBot="1" x14ac:dyDescent="0.25">
      <c r="B56" s="16"/>
      <c r="C56" s="243" t="s">
        <v>40</v>
      </c>
      <c r="D56" s="243"/>
      <c r="E56" s="243"/>
      <c r="F56" s="244"/>
      <c r="G56" s="1"/>
      <c r="H56" s="1"/>
      <c r="I56" s="1"/>
      <c r="K56" s="67" t="s">
        <v>41</v>
      </c>
      <c r="L56" s="9" t="s">
        <v>10</v>
      </c>
      <c r="M56" s="9" t="s">
        <v>42</v>
      </c>
      <c r="N56" s="9" t="s">
        <v>12</v>
      </c>
      <c r="O56" s="9" t="s">
        <v>13</v>
      </c>
      <c r="P56" s="9" t="s">
        <v>14</v>
      </c>
      <c r="Q56" s="9" t="s">
        <v>43</v>
      </c>
      <c r="R56" s="9" t="s">
        <v>14</v>
      </c>
      <c r="S56" s="3" t="s">
        <v>44</v>
      </c>
      <c r="T56" s="3"/>
      <c r="U56" s="65"/>
      <c r="W56" s="38">
        <v>30</v>
      </c>
      <c r="X56" s="38">
        <v>1</v>
      </c>
    </row>
    <row r="57" spans="2:34" ht="13.5" customHeight="1" thickBot="1" x14ac:dyDescent="0.25">
      <c r="B57" s="16"/>
      <c r="C57" s="245"/>
      <c r="D57" s="245"/>
      <c r="E57" s="245"/>
      <c r="F57" s="245"/>
      <c r="K57" s="25" t="e">
        <f>(M57+O57)*Q57*S57</f>
        <v>#N/A</v>
      </c>
      <c r="L57" s="20"/>
      <c r="M57" s="20">
        <f>IF(G51=0,$E$7*0.133,G51*0.133)</f>
        <v>0</v>
      </c>
      <c r="N57" s="20"/>
      <c r="O57" s="20" t="e">
        <f>O49</f>
        <v>#N/A</v>
      </c>
      <c r="P57" s="20"/>
      <c r="Q57" s="20">
        <f>IFERROR(INDEX(VbWidthFactor_Constant,MATCH(E49,VbWidthFactor_NW)),0)</f>
        <v>0</v>
      </c>
      <c r="R57" s="20"/>
      <c r="S57" s="26">
        <f>IFERROR(INDEX(VbFigureConst_Const,MATCH(D49,VbFigureConst_Figure,0)),)</f>
        <v>0</v>
      </c>
      <c r="T57" s="26"/>
      <c r="U57" s="22"/>
      <c r="W57" s="38">
        <v>36</v>
      </c>
      <c r="X57" s="38">
        <v>1.25</v>
      </c>
    </row>
    <row r="58" spans="2:34" ht="13.5" customHeight="1" thickBot="1" x14ac:dyDescent="0.25">
      <c r="B58" s="16"/>
      <c r="C58" s="243" t="s">
        <v>47</v>
      </c>
      <c r="D58" s="243"/>
      <c r="E58" s="243"/>
      <c r="F58" s="244"/>
      <c r="G58" s="1"/>
      <c r="K58" s="67" t="s">
        <v>48</v>
      </c>
      <c r="L58" s="9" t="s">
        <v>10</v>
      </c>
      <c r="M58" s="9" t="s">
        <v>49</v>
      </c>
      <c r="N58" s="9" t="s">
        <v>14</v>
      </c>
      <c r="O58" s="19">
        <v>5</v>
      </c>
      <c r="P58" s="21"/>
      <c r="Q58" s="21"/>
      <c r="R58" s="21"/>
      <c r="S58" s="265" t="s">
        <v>50</v>
      </c>
      <c r="T58" s="266"/>
      <c r="U58" s="68" t="s">
        <v>51</v>
      </c>
      <c r="W58" s="38">
        <v>42</v>
      </c>
      <c r="X58" s="38">
        <v>1.5</v>
      </c>
    </row>
    <row r="59" spans="2:34" ht="13.5" customHeight="1" x14ac:dyDescent="0.2">
      <c r="B59" s="16"/>
      <c r="C59" s="245"/>
      <c r="D59" s="245"/>
      <c r="E59" s="245"/>
      <c r="F59" s="245"/>
      <c r="K59" s="25">
        <f>M59*O59</f>
        <v>0</v>
      </c>
      <c r="L59" s="20"/>
      <c r="M59" s="8">
        <f>COUNTA(G54:I54)</f>
        <v>0</v>
      </c>
      <c r="N59" s="20"/>
      <c r="O59" s="20">
        <v>5</v>
      </c>
      <c r="P59" s="20"/>
      <c r="Q59" s="20"/>
      <c r="R59" s="20"/>
      <c r="S59" s="267" t="str">
        <f>IF(ISBLANK(D49),"NEED FIGURE",IF(AND(ISBLANK(E49),INDEX(VbSpeedConstB_Type,MATCH(D49,VbSpeedConstB_Figure))="curve"),"NEED WIDTH",IF(AND("curve"&lt;&gt;INDEX(VbSpeedConstB_Type,MATCH(D49,VbSpeedConstB_Figure)),ISBLANK(G52)),"NEED OVERALL LENGTH","")))</f>
        <v>NEED FIGURE</v>
      </c>
      <c r="T59" s="268"/>
      <c r="U59" s="69" t="s">
        <v>53</v>
      </c>
    </row>
    <row r="60" spans="2:34" ht="13.5" customHeight="1" thickBot="1" x14ac:dyDescent="0.25">
      <c r="B60" s="16"/>
      <c r="C60" s="240"/>
      <c r="D60" s="240"/>
      <c r="E60" s="240"/>
      <c r="F60" s="240"/>
      <c r="G60" s="2" t="s">
        <v>56</v>
      </c>
      <c r="H60" s="2" t="s">
        <v>57</v>
      </c>
      <c r="K60" s="67" t="s">
        <v>58</v>
      </c>
      <c r="L60" s="9" t="s">
        <v>10</v>
      </c>
      <c r="M60" s="9" t="s">
        <v>59</v>
      </c>
      <c r="N60" s="9" t="s">
        <v>12</v>
      </c>
      <c r="O60" s="9" t="s">
        <v>60</v>
      </c>
      <c r="P60" s="9" t="s">
        <v>14</v>
      </c>
      <c r="Q60" s="9" t="s">
        <v>61</v>
      </c>
      <c r="R60" s="9"/>
      <c r="S60" s="276" t="str">
        <f>IF(ISBLANK(F49),"NEED SPEED",IF(AND(ISBLANK($E$7),ISBLANK(G51)),"NEED LIVE LOAD",""))</f>
        <v>NEED SPEED</v>
      </c>
      <c r="T60" s="277"/>
      <c r="U60" s="70" t="str">
        <f>IFERROR(IF(COUNTIF(G54:I54,"C43")=1,INDEX(VbDriveAb_Speed,MATCH(1,INDEX((F49&lt;=VbDriveAb_Speed)*(K65&lt;=VbDriveAb_Hp)*(K61&lt;=VbDriveAb_Ebp),,),0))&amp;" FPM",IF(SUM(COUNTIF(G54:I54,{"C42","C55","C56"}))=1,INDEX(VbDriveC_Speed,MATCH(1,INDEX((F49&lt;=VbDriveC_Speed)*(K65&lt;=VbDriveC_Hp)*(K61&lt;=VbDriveC_Ebp),,),0))&amp;" FPM","")),"")</f>
        <v/>
      </c>
      <c r="W60" s="283" t="s">
        <v>103</v>
      </c>
      <c r="X60" s="283"/>
      <c r="Y60" s="283"/>
      <c r="Z60" s="283"/>
      <c r="AA60" s="283"/>
      <c r="AB60" s="283"/>
      <c r="AC60" s="283"/>
      <c r="AD60" s="283"/>
      <c r="AE60" s="283"/>
      <c r="AF60" s="283"/>
      <c r="AG60" s="283"/>
      <c r="AH60" s="283"/>
    </row>
    <row r="61" spans="2:34" ht="13.5" customHeight="1" thickBot="1" x14ac:dyDescent="0.25">
      <c r="B61" s="16"/>
      <c r="C61" s="241" t="s">
        <v>64</v>
      </c>
      <c r="D61" s="241"/>
      <c r="E61" s="241"/>
      <c r="F61" s="242"/>
      <c r="G61" s="1"/>
      <c r="H61" s="1"/>
      <c r="K61" s="25" t="e">
        <f>(M61+O61)*Q61</f>
        <v>#N/A</v>
      </c>
      <c r="L61" s="20"/>
      <c r="M61" s="20" t="e">
        <f>K49+K57+K59</f>
        <v>#N/A</v>
      </c>
      <c r="N61" s="20"/>
      <c r="O61" s="20">
        <f>G63</f>
        <v>0</v>
      </c>
      <c r="P61" s="20"/>
      <c r="Q61" s="20">
        <v>1.25</v>
      </c>
      <c r="R61" s="20"/>
      <c r="S61" s="276" t="str">
        <f>IF(OR(ISBLANK(G54),ISBLANK(H54)),"NEED MODULE(S)",IF(OR(ISBLANK(G56),ISBLANK(H56)),"NEED STRAIGHT/SKEW",""))</f>
        <v>NEED MODULE(S)</v>
      </c>
      <c r="T61" s="277"/>
      <c r="U61" s="71" t="str">
        <f>IFERROR(IF(COUNTIF(G54:I54,"C43")=1,INDEX(VbDriveAb_Hp,MATCH(1,INDEX((F49&lt;=VbDriveAb_Speed)*(K65&lt;=VbDriveAb_Hp)*(K61&lt;=VbDriveAb_Ebp),,),0))&amp;" HP",IF(SUM(COUNTIF(G54:I54,{"C42","C55","C56"}))=1,INDEX(VbDriveC_Hp,MATCH(1,INDEX((F49&lt;=VbDriveC_Speed)*(K65&lt;=VbDriveC_Hp)*(K61&lt;=VbDriveC_Ebp),,),0))&amp;" HP","")),"")</f>
        <v/>
      </c>
      <c r="W61" s="38" t="s">
        <v>104</v>
      </c>
      <c r="X61" s="38" t="s">
        <v>102</v>
      </c>
    </row>
    <row r="62" spans="2:34" ht="13.5" customHeight="1" thickBot="1" x14ac:dyDescent="0.25">
      <c r="B62" s="16"/>
      <c r="C62" s="240"/>
      <c r="D62" s="240"/>
      <c r="E62" s="240"/>
      <c r="F62" s="240"/>
      <c r="K62" s="67" t="s">
        <v>67</v>
      </c>
      <c r="L62" s="9" t="s">
        <v>10</v>
      </c>
      <c r="M62" s="9" t="s">
        <v>58</v>
      </c>
      <c r="N62" s="9" t="s">
        <v>14</v>
      </c>
      <c r="O62" s="9" t="s">
        <v>68</v>
      </c>
      <c r="P62" s="9"/>
      <c r="Q62" s="9"/>
      <c r="R62" s="9"/>
      <c r="S62" s="276" t="str">
        <f>IF(ISBLANK(G58),"NEED ROLLER CENTERS","")</f>
        <v>NEED ROLLER CENTERS</v>
      </c>
      <c r="T62" s="277"/>
      <c r="U62" s="72" t="s">
        <v>69</v>
      </c>
      <c r="W62" s="38">
        <v>401</v>
      </c>
      <c r="X62" s="38">
        <v>2</v>
      </c>
    </row>
    <row r="63" spans="2:34" ht="13.5" customHeight="1" thickBot="1" x14ac:dyDescent="0.25">
      <c r="B63" s="16"/>
      <c r="C63" s="243" t="s">
        <v>71</v>
      </c>
      <c r="D63" s="243"/>
      <c r="E63" s="243"/>
      <c r="F63" s="243"/>
      <c r="G63" s="1"/>
      <c r="K63" s="25" t="e">
        <f>M63*O63</f>
        <v>#N/A</v>
      </c>
      <c r="L63" s="20"/>
      <c r="M63" s="20" t="e">
        <f>K61</f>
        <v>#N/A</v>
      </c>
      <c r="N63" s="20"/>
      <c r="O63" s="20">
        <f>IF(AND(ISNUMBER(G61),ISNUMBER(H61)),H61/G61,0)</f>
        <v>0</v>
      </c>
      <c r="P63" s="20"/>
      <c r="Q63" s="20"/>
      <c r="R63" s="20"/>
      <c r="S63" s="284"/>
      <c r="T63" s="285"/>
      <c r="U63" s="74" t="str">
        <f>IFERROR(IF(K63&gt;0,K63,""),"")</f>
        <v/>
      </c>
      <c r="W63" s="38">
        <v>402</v>
      </c>
      <c r="X63" s="38">
        <v>3</v>
      </c>
    </row>
    <row r="64" spans="2:34" ht="13.5" customHeight="1" thickBot="1" x14ac:dyDescent="0.25">
      <c r="B64" s="16"/>
      <c r="C64" s="240"/>
      <c r="D64" s="240"/>
      <c r="E64" s="240"/>
      <c r="F64" s="240"/>
      <c r="K64" s="24" t="s">
        <v>74</v>
      </c>
      <c r="L64" s="3" t="s">
        <v>10</v>
      </c>
      <c r="M64" s="3" t="s">
        <v>58</v>
      </c>
      <c r="N64" s="3" t="s">
        <v>14</v>
      </c>
      <c r="O64" s="3" t="s">
        <v>8</v>
      </c>
      <c r="P64" s="3" t="s">
        <v>75</v>
      </c>
      <c r="Q64" s="3" t="s">
        <v>76</v>
      </c>
      <c r="S64" s="276" t="str">
        <f>IFERROR(IF(K65&gt;MAX(VbDriveAb_Hp,VbDriveC_Hp),"EXCEEDS MAX HP",""),"")</f>
        <v/>
      </c>
      <c r="T64" s="277"/>
      <c r="U64" s="278" t="str">
        <f>IF(NOT(OR(SUM(COUNTIF(G54:I54,{"C42","C43","C51","C55","C56"}))&gt;0,COUNTBLANK(G61:H61)&lt;1)),"NEED DRIVE MODULE OR SLAVE RATIO",IF(AND(SUM(COUNTIF(G54:I54,{"C42","C43","C51","C55","C56"}))&gt;0,COUNTBLANK(G61:H61)&lt;1),"CAN'T BE SLAVE AND HAVE DRIVE",""))</f>
        <v>NEED DRIVE MODULE OR SLAVE RATIO</v>
      </c>
      <c r="W64" s="38">
        <v>403</v>
      </c>
      <c r="X64" s="38">
        <v>4</v>
      </c>
    </row>
    <row r="65" spans="2:34" ht="13.5" customHeight="1" thickBot="1" x14ac:dyDescent="0.25">
      <c r="B65" s="286" t="s">
        <v>78</v>
      </c>
      <c r="C65" s="287"/>
      <c r="D65" s="262"/>
      <c r="E65" s="263"/>
      <c r="F65" s="263"/>
      <c r="G65" s="263"/>
      <c r="H65" s="263"/>
      <c r="I65" s="263"/>
      <c r="J65" s="264"/>
      <c r="K65" s="73" t="e">
        <f>M65*O65/Q65</f>
        <v>#N/A</v>
      </c>
      <c r="L65" s="27"/>
      <c r="M65" s="27" t="e">
        <f>K61</f>
        <v>#N/A</v>
      </c>
      <c r="N65" s="27"/>
      <c r="O65" s="27">
        <f>F49</f>
        <v>0</v>
      </c>
      <c r="P65" s="27"/>
      <c r="Q65" s="27">
        <v>31350</v>
      </c>
      <c r="R65" s="27"/>
      <c r="S65" s="274" t="str">
        <f>IFERROR(IF(K61&gt;125,"EXCEEDS BELT STRENGTH",""),"")</f>
        <v/>
      </c>
      <c r="T65" s="275"/>
      <c r="U65" s="279"/>
      <c r="W65" s="38">
        <v>404</v>
      </c>
      <c r="X65" s="38">
        <v>6</v>
      </c>
    </row>
    <row r="66" spans="2:34" ht="13.5" customHeight="1" thickBot="1" x14ac:dyDescent="0.25">
      <c r="W66" s="38">
        <v>405</v>
      </c>
      <c r="X66" s="38">
        <v>12</v>
      </c>
    </row>
    <row r="67" spans="2:34" ht="13.5" customHeight="1" thickBot="1" x14ac:dyDescent="0.25">
      <c r="B67" s="39"/>
      <c r="C67" s="28" t="s">
        <v>5</v>
      </c>
      <c r="D67" s="28" t="s">
        <v>6</v>
      </c>
      <c r="E67" s="28" t="s">
        <v>7</v>
      </c>
      <c r="F67" s="28" t="s">
        <v>8</v>
      </c>
      <c r="G67" s="28"/>
      <c r="H67" s="28"/>
      <c r="I67" s="28"/>
      <c r="J67" s="28"/>
      <c r="K67" s="23" t="s">
        <v>9</v>
      </c>
      <c r="L67" s="4" t="s">
        <v>10</v>
      </c>
      <c r="M67" s="4" t="s">
        <v>11</v>
      </c>
      <c r="N67" s="4" t="s">
        <v>12</v>
      </c>
      <c r="O67" s="4" t="s">
        <v>13</v>
      </c>
      <c r="P67" s="4" t="s">
        <v>14</v>
      </c>
      <c r="Q67" s="4" t="s">
        <v>15</v>
      </c>
      <c r="R67" s="4"/>
      <c r="S67" s="4"/>
      <c r="T67" s="4"/>
      <c r="U67" s="5"/>
      <c r="W67" s="38">
        <v>406</v>
      </c>
      <c r="X67" s="38">
        <v>6.6</v>
      </c>
    </row>
    <row r="68" spans="2:34" ht="13.5" customHeight="1" thickBot="1" x14ac:dyDescent="0.25">
      <c r="B68" s="16"/>
      <c r="C68" s="272"/>
      <c r="D68" s="206"/>
      <c r="E68" s="1"/>
      <c r="F68" s="1"/>
      <c r="K68" s="63" t="e">
        <f>(M68+O68)*Q68+M70+M72+IFERROR(M74,0)</f>
        <v>#N/A</v>
      </c>
      <c r="L68" s="26"/>
      <c r="M68" s="26">
        <f>IF(G70=0,$E$7*0.06,G70*0.06)</f>
        <v>0</v>
      </c>
      <c r="N68" s="26"/>
      <c r="O68" s="26" t="e">
        <f>INDEX(VbSpeedConstA_Int,MATCH(1,INDEX((INDEX(VbSpeedConstB_Type,MATCH(D68,VbSpeedConstB_Figure))=VbSpeedConstA_Type)*(G77=VbSpeedConstA_Rc),,),0))+INDEX(VbSpeedConstA_Slope,MATCH(1,INDEX((INDEX(VbSpeedConstB_Type,MATCH(D68,VbSpeedConstB_Figure))=VbSpeedConstA_Type)*(G77=VbSpeedConstA_Rc),,),0))*IF(F68&lt;80,80,F68)</f>
        <v>#N/A</v>
      </c>
      <c r="P68" s="26"/>
      <c r="Q68" s="26" t="e">
        <f>IF("curve"&lt;&gt;INDEX(VbSpeedConstB_Type,MATCH(D68,VbSpeedConstB_Figure)),G71-IFERROR(INDEX(VbModuleLength_Length,MATCH(G73,VbModuleLength_Module,0)),)-IFERROR(INDEX(VbModuleLength_Length,MATCH(H73,VbModuleLength_Module,0)),),0)/12</f>
        <v>#N/A</v>
      </c>
      <c r="R68" s="26"/>
      <c r="S68" s="26"/>
      <c r="T68" s="26"/>
      <c r="U68" s="22"/>
      <c r="W68" s="38">
        <v>407</v>
      </c>
      <c r="X68" s="38">
        <v>13.2</v>
      </c>
    </row>
    <row r="69" spans="2:34" ht="13.5" customHeight="1" thickBot="1" x14ac:dyDescent="0.25">
      <c r="B69" s="16"/>
      <c r="C69" s="273"/>
      <c r="D69" s="205"/>
      <c r="E69" s="205"/>
      <c r="F69" s="205"/>
      <c r="K69" s="24"/>
      <c r="L69" s="64" t="s">
        <v>18</v>
      </c>
      <c r="M69" s="3" t="s">
        <v>19</v>
      </c>
      <c r="N69" s="3" t="s">
        <v>10</v>
      </c>
      <c r="O69" s="3" t="s">
        <v>20</v>
      </c>
      <c r="P69" s="3" t="s">
        <v>12</v>
      </c>
      <c r="Q69" s="3" t="s">
        <v>13</v>
      </c>
      <c r="R69" s="3" t="s">
        <v>14</v>
      </c>
      <c r="S69" s="3" t="s">
        <v>15</v>
      </c>
      <c r="T69" s="3"/>
      <c r="U69" s="65"/>
    </row>
    <row r="70" spans="2:34" ht="13.5" customHeight="1" thickBot="1" x14ac:dyDescent="0.25">
      <c r="B70" s="16"/>
      <c r="C70" s="243" t="s">
        <v>24</v>
      </c>
      <c r="D70" s="243"/>
      <c r="E70" s="243"/>
      <c r="F70" s="244"/>
      <c r="G70" s="1"/>
      <c r="K70" s="63"/>
      <c r="L70" s="26" t="s">
        <v>12</v>
      </c>
      <c r="M70" s="26" t="e">
        <f>(O70+Q70)*S70</f>
        <v>#N/A</v>
      </c>
      <c r="N70" s="26"/>
      <c r="O70" s="26">
        <f>IF(G70=0,$E$7*0.06,G70*0.06)</f>
        <v>0</v>
      </c>
      <c r="P70" s="26"/>
      <c r="Q70" s="26" t="e">
        <f>INDEX(VbSpeedConstA_Int,MATCH(1,INDEX((G75=VbSpeedConstA_Type)*(G77=VbSpeedConstA_Rc),,),0))+INDEX(VbSpeedConstA_Slope,MATCH(1,INDEX((G75=VbSpeedConstA_Type)*(G77=VbSpeedConstA_Rc),,),0))*IF(F68&lt;80,80,F68)</f>
        <v>#N/A</v>
      </c>
      <c r="R70" s="26"/>
      <c r="S70" s="26">
        <f>MAX(0,(G74-IFERROR(INDEX(VbModuleLength_Length,MATCH(G73,VbModuleLength_Module,0)),))/12)</f>
        <v>0</v>
      </c>
      <c r="T70" s="26"/>
      <c r="U70" s="22"/>
      <c r="W70" s="281" t="s">
        <v>105</v>
      </c>
      <c r="X70" s="281"/>
      <c r="Y70" s="281"/>
      <c r="Z70" s="281"/>
      <c r="AA70" s="281"/>
      <c r="AB70" s="281"/>
      <c r="AC70" s="281"/>
      <c r="AD70" s="281"/>
      <c r="AE70" s="281"/>
      <c r="AF70" s="281"/>
      <c r="AG70" s="281"/>
      <c r="AH70" s="281"/>
    </row>
    <row r="71" spans="2:34" ht="13.5" customHeight="1" thickBot="1" x14ac:dyDescent="0.25">
      <c r="B71" s="16"/>
      <c r="C71" s="243" t="s">
        <v>27</v>
      </c>
      <c r="D71" s="243"/>
      <c r="E71" s="243"/>
      <c r="F71" s="244"/>
      <c r="G71" s="1"/>
      <c r="K71" s="24"/>
      <c r="L71" s="3"/>
      <c r="M71" s="3" t="s">
        <v>28</v>
      </c>
      <c r="N71" s="3" t="s">
        <v>10</v>
      </c>
      <c r="O71" s="3" t="s">
        <v>20</v>
      </c>
      <c r="P71" s="3" t="s">
        <v>12</v>
      </c>
      <c r="Q71" s="3" t="s">
        <v>13</v>
      </c>
      <c r="R71" s="3" t="s">
        <v>14</v>
      </c>
      <c r="S71" s="3" t="s">
        <v>15</v>
      </c>
      <c r="T71" s="3"/>
      <c r="U71" s="65"/>
      <c r="W71" s="280" t="s">
        <v>106</v>
      </c>
      <c r="X71" s="280"/>
      <c r="Y71" s="280"/>
      <c r="Z71" s="280"/>
      <c r="AA71" s="280"/>
      <c r="AB71" s="280"/>
      <c r="AC71" s="280"/>
      <c r="AD71" s="280"/>
      <c r="AE71" s="280"/>
      <c r="AF71" s="280"/>
      <c r="AG71" s="280"/>
      <c r="AH71" s="280"/>
    </row>
    <row r="72" spans="2:34" ht="13.5" customHeight="1" thickBot="1" x14ac:dyDescent="0.25">
      <c r="B72" s="16"/>
      <c r="C72" s="245"/>
      <c r="D72" s="245"/>
      <c r="E72" s="245"/>
      <c r="F72" s="245"/>
      <c r="G72" s="2" t="s">
        <v>30</v>
      </c>
      <c r="H72" s="66" t="s">
        <v>31</v>
      </c>
      <c r="I72" s="2" t="s">
        <v>32</v>
      </c>
      <c r="K72" s="63"/>
      <c r="L72" s="26" t="s">
        <v>12</v>
      </c>
      <c r="M72" s="26" t="e">
        <f>(O72+Q72)*S72</f>
        <v>#N/A</v>
      </c>
      <c r="N72" s="26"/>
      <c r="O72" s="26">
        <f>IF(G70=0,$E$7*0.06,G70*0.06)</f>
        <v>0</v>
      </c>
      <c r="P72" s="26"/>
      <c r="Q72" s="26" t="e">
        <f>INDEX(VbSpeedConstA_Int,MATCH(1,INDEX((H75=VbSpeedConstA_Type)*(G77=VbSpeedConstA_Rc),,),0))+INDEX(VbSpeedConstA_Slope,MATCH(1,INDEX((H75=VbSpeedConstA_Type)*(G77=VbSpeedConstA_Rc),,),0))*IF(F68&lt;80,80,F68)</f>
        <v>#N/A</v>
      </c>
      <c r="R72" s="26"/>
      <c r="S72" s="26">
        <f>MAX(0,(H74-IFERROR(INDEX(VbModuleLength_Length,MATCH(H73,VbModuleLength_Module,0)),))/12)</f>
        <v>0</v>
      </c>
      <c r="T72" s="26"/>
      <c r="U72" s="22"/>
      <c r="W72" s="38" t="s">
        <v>107</v>
      </c>
      <c r="X72" s="38" t="s">
        <v>108</v>
      </c>
      <c r="Y72" s="38" t="s">
        <v>58</v>
      </c>
    </row>
    <row r="73" spans="2:34" ht="13.5" customHeight="1" thickBot="1" x14ac:dyDescent="0.25">
      <c r="B73" s="16"/>
      <c r="C73" s="243" t="s">
        <v>34</v>
      </c>
      <c r="D73" s="243"/>
      <c r="E73" s="243"/>
      <c r="F73" s="244"/>
      <c r="G73" s="1"/>
      <c r="H73" s="1"/>
      <c r="I73" s="1"/>
      <c r="K73" s="24"/>
      <c r="L73" s="3"/>
      <c r="M73" s="3" t="s">
        <v>35</v>
      </c>
      <c r="N73" s="3" t="s">
        <v>10</v>
      </c>
      <c r="O73" s="3" t="s">
        <v>20</v>
      </c>
      <c r="P73" s="3" t="s">
        <v>12</v>
      </c>
      <c r="Q73" s="3" t="s">
        <v>13</v>
      </c>
      <c r="R73" s="3" t="s">
        <v>14</v>
      </c>
      <c r="S73" s="3" t="s">
        <v>15</v>
      </c>
      <c r="T73" s="3"/>
      <c r="U73" s="65"/>
      <c r="W73" s="38">
        <v>70</v>
      </c>
      <c r="X73" s="38">
        <v>1</v>
      </c>
      <c r="Y73" s="38">
        <v>125</v>
      </c>
    </row>
    <row r="74" spans="2:34" ht="13.5" customHeight="1" thickBot="1" x14ac:dyDescent="0.25">
      <c r="B74" s="16"/>
      <c r="C74" s="243" t="s">
        <v>38</v>
      </c>
      <c r="D74" s="243"/>
      <c r="E74" s="243"/>
      <c r="F74" s="244"/>
      <c r="G74" s="1"/>
      <c r="H74" s="1"/>
      <c r="I74" s="1"/>
      <c r="K74" s="25"/>
      <c r="L74" s="20" t="s">
        <v>12</v>
      </c>
      <c r="M74" s="20" t="e">
        <f>(O74+Q74)*S74</f>
        <v>#N/A</v>
      </c>
      <c r="N74" s="20"/>
      <c r="O74" s="20">
        <f>IF(G70=0,$E$7*0.06,G70*0.06)</f>
        <v>0</v>
      </c>
      <c r="P74" s="20"/>
      <c r="Q74" s="20" t="e">
        <f>INDEX(VbSpeedConstA_Int,MATCH(1,INDEX((I75=VbSpeedConstA_Type)*(G77=VbSpeedConstA_Rc),,),0))+INDEX(VbSpeedConstA_Slope,MATCH(1,INDEX((I75=VbSpeedConstA_Type)*(G77=VbSpeedConstA_Rc),,),0))*IF(F68&lt;80,80,F68)</f>
        <v>#N/A</v>
      </c>
      <c r="R74" s="20"/>
      <c r="S74" s="20">
        <f>MAX(0,(I74-IFERROR(INDEX(VbModuleLength_Length,MATCH(I73,VbModuleLength_Module,0)),))/12)</f>
        <v>0</v>
      </c>
      <c r="T74" s="20"/>
      <c r="U74" s="41"/>
      <c r="W74" s="38">
        <v>80</v>
      </c>
      <c r="X74" s="38">
        <v>1</v>
      </c>
      <c r="Y74" s="38">
        <v>125</v>
      </c>
    </row>
    <row r="75" spans="2:34" ht="13.5" customHeight="1" thickBot="1" x14ac:dyDescent="0.25">
      <c r="B75" s="16"/>
      <c r="C75" s="243" t="s">
        <v>40</v>
      </c>
      <c r="D75" s="243"/>
      <c r="E75" s="243"/>
      <c r="F75" s="244"/>
      <c r="G75" s="1"/>
      <c r="H75" s="1"/>
      <c r="I75" s="1"/>
      <c r="K75" s="67" t="s">
        <v>41</v>
      </c>
      <c r="L75" s="9" t="s">
        <v>10</v>
      </c>
      <c r="M75" s="9" t="s">
        <v>42</v>
      </c>
      <c r="N75" s="9" t="s">
        <v>12</v>
      </c>
      <c r="O75" s="9" t="s">
        <v>13</v>
      </c>
      <c r="P75" s="9" t="s">
        <v>14</v>
      </c>
      <c r="Q75" s="9" t="s">
        <v>43</v>
      </c>
      <c r="R75" s="9" t="s">
        <v>14</v>
      </c>
      <c r="S75" s="3" t="s">
        <v>44</v>
      </c>
      <c r="T75" s="3"/>
      <c r="U75" s="65"/>
      <c r="W75" s="38">
        <v>90</v>
      </c>
      <c r="X75" s="38">
        <v>1</v>
      </c>
      <c r="Y75" s="38">
        <v>125</v>
      </c>
    </row>
    <row r="76" spans="2:34" ht="13.5" customHeight="1" thickBot="1" x14ac:dyDescent="0.25">
      <c r="B76" s="16"/>
      <c r="C76" s="245"/>
      <c r="D76" s="245"/>
      <c r="E76" s="245"/>
      <c r="F76" s="245"/>
      <c r="K76" s="25" t="e">
        <f>(M76+O76)*Q76*S76</f>
        <v>#N/A</v>
      </c>
      <c r="L76" s="20"/>
      <c r="M76" s="20">
        <f>IF(G70=0,$E$7*0.133,G70*0.133)</f>
        <v>0</v>
      </c>
      <c r="N76" s="20"/>
      <c r="O76" s="20" t="e">
        <f>O68</f>
        <v>#N/A</v>
      </c>
      <c r="P76" s="20"/>
      <c r="Q76" s="20">
        <f>IFERROR(INDEX(VbWidthFactor_Constant,MATCH(E68,VbWidthFactor_NW)),0)</f>
        <v>0</v>
      </c>
      <c r="R76" s="20"/>
      <c r="S76" s="26">
        <f>IFERROR(INDEX(VbFigureConst_Const,MATCH(D68,VbFigureConst_Figure,0)),)</f>
        <v>0</v>
      </c>
      <c r="T76" s="26"/>
      <c r="U76" s="22"/>
      <c r="W76" s="38">
        <v>100</v>
      </c>
      <c r="X76" s="38">
        <v>1</v>
      </c>
      <c r="Y76" s="38">
        <v>125</v>
      </c>
    </row>
    <row r="77" spans="2:34" ht="13.5" customHeight="1" thickBot="1" x14ac:dyDescent="0.25">
      <c r="B77" s="16"/>
      <c r="C77" s="243" t="s">
        <v>47</v>
      </c>
      <c r="D77" s="243"/>
      <c r="E77" s="243"/>
      <c r="F77" s="244"/>
      <c r="G77" s="1"/>
      <c r="K77" s="67" t="s">
        <v>48</v>
      </c>
      <c r="L77" s="9" t="s">
        <v>10</v>
      </c>
      <c r="M77" s="9" t="s">
        <v>49</v>
      </c>
      <c r="N77" s="9" t="s">
        <v>14</v>
      </c>
      <c r="O77" s="19">
        <v>5</v>
      </c>
      <c r="P77" s="21"/>
      <c r="Q77" s="21"/>
      <c r="R77" s="21"/>
      <c r="S77" s="265" t="s">
        <v>50</v>
      </c>
      <c r="T77" s="266"/>
      <c r="U77" s="68" t="s">
        <v>51</v>
      </c>
      <c r="W77" s="38">
        <v>110</v>
      </c>
      <c r="X77" s="38">
        <v>1</v>
      </c>
      <c r="Y77" s="38">
        <v>125</v>
      </c>
    </row>
    <row r="78" spans="2:34" ht="13.5" customHeight="1" x14ac:dyDescent="0.2">
      <c r="B78" s="16"/>
      <c r="C78" s="245"/>
      <c r="D78" s="245"/>
      <c r="E78" s="245"/>
      <c r="F78" s="245"/>
      <c r="K78" s="25">
        <f>M78*O78</f>
        <v>0</v>
      </c>
      <c r="L78" s="20"/>
      <c r="M78" s="8">
        <f>COUNTA(G73:I73)</f>
        <v>0</v>
      </c>
      <c r="N78" s="20"/>
      <c r="O78" s="20">
        <v>5</v>
      </c>
      <c r="P78" s="20"/>
      <c r="Q78" s="20"/>
      <c r="R78" s="20"/>
      <c r="S78" s="267" t="str">
        <f>IF(ISBLANK(D68),"NEED FIGURE",IF(AND(ISBLANK(E68),INDEX(VbSpeedConstB_Type,MATCH(D68,VbSpeedConstB_Figure))="curve"),"NEED WIDTH",IF(AND("curve"&lt;&gt;INDEX(VbSpeedConstB_Type,MATCH(D68,VbSpeedConstB_Figure)),ISBLANK(G71)),"NEED OVERALL LENGTH","")))</f>
        <v>NEED FIGURE</v>
      </c>
      <c r="T78" s="268"/>
      <c r="U78" s="69" t="s">
        <v>53</v>
      </c>
      <c r="W78" s="38">
        <v>120</v>
      </c>
      <c r="X78" s="38">
        <v>1</v>
      </c>
      <c r="Y78" s="38">
        <v>125</v>
      </c>
    </row>
    <row r="79" spans="2:34" ht="13.5" customHeight="1" thickBot="1" x14ac:dyDescent="0.25">
      <c r="B79" s="16"/>
      <c r="C79" s="240"/>
      <c r="D79" s="240"/>
      <c r="E79" s="240"/>
      <c r="F79" s="240"/>
      <c r="G79" s="2" t="s">
        <v>56</v>
      </c>
      <c r="H79" s="2" t="s">
        <v>57</v>
      </c>
      <c r="K79" s="67" t="s">
        <v>58</v>
      </c>
      <c r="L79" s="9" t="s">
        <v>10</v>
      </c>
      <c r="M79" s="9" t="s">
        <v>59</v>
      </c>
      <c r="N79" s="9" t="s">
        <v>12</v>
      </c>
      <c r="O79" s="9" t="s">
        <v>60</v>
      </c>
      <c r="P79" s="9" t="s">
        <v>14</v>
      </c>
      <c r="Q79" s="9" t="s">
        <v>61</v>
      </c>
      <c r="R79" s="9"/>
      <c r="S79" s="276" t="str">
        <f>IF(ISBLANK(F68),"NEED SPEED",IF(AND(ISBLANK($E$7),ISBLANK(G70)),"NEED LIVE LOAD",""))</f>
        <v>NEED SPEED</v>
      </c>
      <c r="T79" s="277"/>
      <c r="U79" s="70" t="str">
        <f>IFERROR(IF(COUNTIF(G73:I73,"C43")=1,INDEX(VbDriveAb_Speed,MATCH(1,INDEX((F68&lt;=VbDriveAb_Speed)*(K84&lt;=VbDriveAb_Hp)*(K80&lt;=VbDriveAb_Ebp),,),0))&amp;" FPM",IF(SUM(COUNTIF(G73:I73,{"C42","C55","C56"}))=1,INDEX(VbDriveC_Speed,MATCH(1,INDEX((F68&lt;=VbDriveC_Speed)*(K84&lt;=VbDriveC_Hp)*(K80&lt;=VbDriveC_Ebp),,),0))&amp;" FPM","")),"")</f>
        <v/>
      </c>
      <c r="W79" s="38">
        <v>130</v>
      </c>
      <c r="X79" s="38">
        <v>1</v>
      </c>
      <c r="Y79" s="38">
        <v>125</v>
      </c>
    </row>
    <row r="80" spans="2:34" ht="13.5" customHeight="1" thickBot="1" x14ac:dyDescent="0.25">
      <c r="B80" s="16"/>
      <c r="C80" s="241" t="s">
        <v>64</v>
      </c>
      <c r="D80" s="241"/>
      <c r="E80" s="241"/>
      <c r="F80" s="242"/>
      <c r="G80" s="1"/>
      <c r="H80" s="1"/>
      <c r="K80" s="25" t="e">
        <f>(M80+O80)*Q80</f>
        <v>#N/A</v>
      </c>
      <c r="L80" s="20"/>
      <c r="M80" s="20" t="e">
        <f>K68+K76+K78</f>
        <v>#N/A</v>
      </c>
      <c r="N80" s="20"/>
      <c r="O80" s="20">
        <f>G82</f>
        <v>0</v>
      </c>
      <c r="P80" s="20"/>
      <c r="Q80" s="20">
        <v>1.25</v>
      </c>
      <c r="R80" s="20"/>
      <c r="S80" s="276" t="str">
        <f>IF(OR(ISBLANK(G73),ISBLANK(H73)),"NEED MODULE(S)",IF(OR(ISBLANK(G75),ISBLANK(H75)),"NEED STRAIGHT/SKEW",""))</f>
        <v>NEED MODULE(S)</v>
      </c>
      <c r="T80" s="277"/>
      <c r="U80" s="71" t="str">
        <f>IFERROR(IF(COUNTIF(G73:I73,"C43")=1,INDEX(VbDriveAb_Hp,MATCH(1,INDEX((F68&lt;=VbDriveAb_Speed)*(K84&lt;=VbDriveAb_Hp)*(K80&lt;=VbDriveAb_Ebp),,),0))&amp;" HP",IF(SUM(COUNTIF(G73:I73,{"C42","C55","C56"}))=1,INDEX(VbDriveC_Hp,MATCH(1,INDEX((F68&lt;=VbDriveC_Speed)*(K84&lt;=VbDriveC_Hp)*(K80&lt;=VbDriveC_Ebp),,),0))&amp;" HP","")),"")</f>
        <v/>
      </c>
      <c r="W80" s="38">
        <v>140</v>
      </c>
      <c r="X80" s="38">
        <v>1</v>
      </c>
      <c r="Y80" s="38">
        <v>125</v>
      </c>
    </row>
    <row r="81" spans="2:25" ht="13.5" customHeight="1" thickBot="1" x14ac:dyDescent="0.25">
      <c r="B81" s="16"/>
      <c r="C81" s="240"/>
      <c r="D81" s="240"/>
      <c r="E81" s="240"/>
      <c r="F81" s="240"/>
      <c r="K81" s="67" t="s">
        <v>67</v>
      </c>
      <c r="L81" s="9" t="s">
        <v>10</v>
      </c>
      <c r="M81" s="9" t="s">
        <v>58</v>
      </c>
      <c r="N81" s="9" t="s">
        <v>14</v>
      </c>
      <c r="O81" s="9" t="s">
        <v>68</v>
      </c>
      <c r="P81" s="9"/>
      <c r="Q81" s="9"/>
      <c r="R81" s="9"/>
      <c r="S81" s="276" t="str">
        <f>IF(ISBLANK(G77),"NEED ROLLER CENTERS","")</f>
        <v>NEED ROLLER CENTERS</v>
      </c>
      <c r="T81" s="277"/>
      <c r="U81" s="72" t="s">
        <v>69</v>
      </c>
      <c r="W81" s="38">
        <v>150</v>
      </c>
      <c r="X81" s="38">
        <v>1</v>
      </c>
      <c r="Y81" s="38">
        <v>125</v>
      </c>
    </row>
    <row r="82" spans="2:25" ht="13.5" customHeight="1" thickBot="1" x14ac:dyDescent="0.25">
      <c r="B82" s="16"/>
      <c r="C82" s="243" t="s">
        <v>71</v>
      </c>
      <c r="D82" s="243"/>
      <c r="E82" s="243"/>
      <c r="F82" s="243"/>
      <c r="G82" s="1"/>
      <c r="K82" s="25" t="e">
        <f>M82*O82</f>
        <v>#N/A</v>
      </c>
      <c r="L82" s="20"/>
      <c r="M82" s="20" t="e">
        <f>K80</f>
        <v>#N/A</v>
      </c>
      <c r="N82" s="20"/>
      <c r="O82" s="20">
        <f>IF(AND(ISNUMBER(G80),ISNUMBER(H80)),H80/G80,0)</f>
        <v>0</v>
      </c>
      <c r="P82" s="20"/>
      <c r="Q82" s="20"/>
      <c r="R82" s="20"/>
      <c r="S82" s="284"/>
      <c r="T82" s="285"/>
      <c r="U82" s="74" t="str">
        <f>IFERROR(IF(K82&gt;0,K82,""),"")</f>
        <v/>
      </c>
      <c r="W82" s="38">
        <v>160</v>
      </c>
      <c r="X82" s="38">
        <v>1</v>
      </c>
      <c r="Y82" s="38">
        <v>125</v>
      </c>
    </row>
    <row r="83" spans="2:25" ht="13.5" customHeight="1" thickBot="1" x14ac:dyDescent="0.25">
      <c r="B83" s="16"/>
      <c r="C83" s="240"/>
      <c r="D83" s="240"/>
      <c r="E83" s="240"/>
      <c r="F83" s="240"/>
      <c r="K83" s="24" t="s">
        <v>74</v>
      </c>
      <c r="L83" s="3" t="s">
        <v>10</v>
      </c>
      <c r="M83" s="3" t="s">
        <v>58</v>
      </c>
      <c r="N83" s="3" t="s">
        <v>14</v>
      </c>
      <c r="O83" s="3" t="s">
        <v>8</v>
      </c>
      <c r="P83" s="3" t="s">
        <v>75</v>
      </c>
      <c r="Q83" s="3" t="s">
        <v>76</v>
      </c>
      <c r="S83" s="276" t="str">
        <f>IFERROR(IF(K84&gt;MAX(VbDriveAb_Hp,VbDriveC_Hp),"EXCEEDS MAX HP",""),"")</f>
        <v/>
      </c>
      <c r="T83" s="277"/>
      <c r="U83" s="278" t="str">
        <f>IF(NOT(OR(SUM(COUNTIF(G73:I73,{"C42","C43","C51","C55","C56"}))&gt;0,COUNTBLANK(G80:H80)&lt;1)),"NEED DRIVE MODULE OR SLAVE RATIO",IF(AND(SUM(COUNTIF(G73:I73,{"C42","C43","C51","C55","C56"}))&gt;0,COUNTBLANK(G80:H80)&lt;1),"CAN'T BE SLAVE AND HAVE DRIVE",""))</f>
        <v>NEED DRIVE MODULE OR SLAVE RATIO</v>
      </c>
      <c r="W83" s="38">
        <v>170</v>
      </c>
      <c r="X83" s="38">
        <v>1</v>
      </c>
      <c r="Y83" s="38">
        <v>125</v>
      </c>
    </row>
    <row r="84" spans="2:25" ht="13.5" customHeight="1" thickBot="1" x14ac:dyDescent="0.25">
      <c r="B84" s="286" t="s">
        <v>78</v>
      </c>
      <c r="C84" s="287"/>
      <c r="D84" s="262"/>
      <c r="E84" s="263"/>
      <c r="F84" s="263"/>
      <c r="G84" s="263"/>
      <c r="H84" s="263"/>
      <c r="I84" s="263"/>
      <c r="J84" s="264"/>
      <c r="K84" s="73" t="e">
        <f>M84*O84/Q84</f>
        <v>#N/A</v>
      </c>
      <c r="L84" s="27"/>
      <c r="M84" s="27" t="e">
        <f>K80</f>
        <v>#N/A</v>
      </c>
      <c r="N84" s="27"/>
      <c r="O84" s="27">
        <f>F68</f>
        <v>0</v>
      </c>
      <c r="P84" s="27"/>
      <c r="Q84" s="27">
        <v>31350</v>
      </c>
      <c r="R84" s="27"/>
      <c r="S84" s="274" t="str">
        <f>IFERROR(IF(K80&gt;125,"EXCEEDS BELT STRENGTH",""),"")</f>
        <v/>
      </c>
      <c r="T84" s="275"/>
      <c r="U84" s="279"/>
      <c r="W84" s="38">
        <v>180</v>
      </c>
      <c r="X84" s="38">
        <v>1</v>
      </c>
      <c r="Y84" s="38">
        <v>125</v>
      </c>
    </row>
    <row r="85" spans="2:25" ht="13.5" customHeight="1" thickBot="1" x14ac:dyDescent="0.25">
      <c r="W85" s="38">
        <v>200</v>
      </c>
      <c r="X85" s="38">
        <v>1</v>
      </c>
      <c r="Y85" s="38">
        <v>125</v>
      </c>
    </row>
    <row r="86" spans="2:25" ht="13.5" customHeight="1" thickBot="1" x14ac:dyDescent="0.25">
      <c r="B86" s="39"/>
      <c r="C86" s="28" t="s">
        <v>5</v>
      </c>
      <c r="D86" s="28" t="s">
        <v>6</v>
      </c>
      <c r="E86" s="28" t="s">
        <v>7</v>
      </c>
      <c r="F86" s="28" t="s">
        <v>8</v>
      </c>
      <c r="G86" s="28"/>
      <c r="H86" s="28"/>
      <c r="I86" s="28"/>
      <c r="J86" s="28"/>
      <c r="K86" s="23" t="s">
        <v>9</v>
      </c>
      <c r="L86" s="4" t="s">
        <v>10</v>
      </c>
      <c r="M86" s="4" t="s">
        <v>11</v>
      </c>
      <c r="N86" s="4" t="s">
        <v>12</v>
      </c>
      <c r="O86" s="4" t="s">
        <v>13</v>
      </c>
      <c r="P86" s="4" t="s">
        <v>14</v>
      </c>
      <c r="Q86" s="4" t="s">
        <v>15</v>
      </c>
      <c r="R86" s="4"/>
      <c r="S86" s="4"/>
      <c r="T86" s="4"/>
      <c r="U86" s="5"/>
      <c r="W86" s="38">
        <v>220</v>
      </c>
      <c r="X86" s="38">
        <v>1</v>
      </c>
      <c r="Y86" s="38">
        <v>125</v>
      </c>
    </row>
    <row r="87" spans="2:25" ht="13.5" customHeight="1" thickBot="1" x14ac:dyDescent="0.25">
      <c r="B87" s="16"/>
      <c r="C87" s="272"/>
      <c r="D87" s="206"/>
      <c r="E87" s="1"/>
      <c r="F87" s="1"/>
      <c r="K87" s="63" t="e">
        <f>(M87+O87)*Q87+M89+M91+IFERROR(M93,0)</f>
        <v>#N/A</v>
      </c>
      <c r="L87" s="26"/>
      <c r="M87" s="26">
        <f>IF(G89=0,$E$7*0.06,G89*0.06)</f>
        <v>0</v>
      </c>
      <c r="N87" s="26"/>
      <c r="O87" s="26" t="e">
        <f>INDEX(VbSpeedConstA_Int,MATCH(1,INDEX((INDEX(VbSpeedConstB_Type,MATCH(D87,VbSpeedConstB_Figure))=VbSpeedConstA_Type)*(G96=VbSpeedConstA_Rc),,),0))+INDEX(VbSpeedConstA_Slope,MATCH(1,INDEX((INDEX(VbSpeedConstB_Type,MATCH(D87,VbSpeedConstB_Figure))=VbSpeedConstA_Type)*(G96=VbSpeedConstA_Rc),,),0))*IF(F87&lt;80,80,F87)</f>
        <v>#N/A</v>
      </c>
      <c r="P87" s="26"/>
      <c r="Q87" s="26" t="e">
        <f>IF("curve"&lt;&gt;INDEX(VbSpeedConstB_Type,MATCH(D87,VbSpeedConstB_Figure)),G90-IFERROR(INDEX(VbModuleLength_Length,MATCH(G92,VbModuleLength_Module,0)),)-IFERROR(INDEX(VbModuleLength_Length,MATCH(H92,VbModuleLength_Module,0)),),0)/12</f>
        <v>#N/A</v>
      </c>
      <c r="R87" s="26"/>
      <c r="S87" s="26"/>
      <c r="T87" s="26"/>
      <c r="U87" s="22"/>
      <c r="W87" s="38">
        <v>240</v>
      </c>
      <c r="X87" s="38">
        <v>1</v>
      </c>
      <c r="Y87" s="38">
        <v>125</v>
      </c>
    </row>
    <row r="88" spans="2:25" ht="13.5" customHeight="1" thickBot="1" x14ac:dyDescent="0.25">
      <c r="B88" s="16"/>
      <c r="C88" s="273"/>
      <c r="D88" s="205"/>
      <c r="E88" s="205"/>
      <c r="F88" s="205"/>
      <c r="K88" s="24"/>
      <c r="L88" s="64" t="s">
        <v>18</v>
      </c>
      <c r="M88" s="3" t="s">
        <v>19</v>
      </c>
      <c r="N88" s="3" t="s">
        <v>10</v>
      </c>
      <c r="O88" s="3" t="s">
        <v>20</v>
      </c>
      <c r="P88" s="3" t="s">
        <v>12</v>
      </c>
      <c r="Q88" s="3" t="s">
        <v>13</v>
      </c>
      <c r="R88" s="3" t="s">
        <v>14</v>
      </c>
      <c r="S88" s="3" t="s">
        <v>15</v>
      </c>
      <c r="T88" s="3"/>
      <c r="U88" s="65"/>
      <c r="W88" s="38">
        <v>260</v>
      </c>
      <c r="X88" s="38">
        <v>1</v>
      </c>
      <c r="Y88" s="38">
        <v>115.61</v>
      </c>
    </row>
    <row r="89" spans="2:25" ht="13.5" customHeight="1" thickBot="1" x14ac:dyDescent="0.25">
      <c r="B89" s="16"/>
      <c r="C89" s="243" t="s">
        <v>24</v>
      </c>
      <c r="D89" s="243"/>
      <c r="E89" s="243"/>
      <c r="F89" s="244"/>
      <c r="G89" s="1"/>
      <c r="K89" s="63"/>
      <c r="L89" s="26" t="s">
        <v>12</v>
      </c>
      <c r="M89" s="26" t="e">
        <f>(O89+Q89)*S89</f>
        <v>#N/A</v>
      </c>
      <c r="N89" s="26"/>
      <c r="O89" s="26">
        <f>IF(G89=0,$E$7*0.06,G89*0.06)</f>
        <v>0</v>
      </c>
      <c r="P89" s="26"/>
      <c r="Q89" s="26" t="e">
        <f>INDEX(VbSpeedConstA_Int,MATCH(1,INDEX((G94=VbSpeedConstA_Type)*(G96=VbSpeedConstA_Rc),,),0))+INDEX(VbSpeedConstA_Slope,MATCH(1,INDEX((G94=VbSpeedConstA_Type)*(G96=VbSpeedConstA_Rc),,),0))*IF(F87&lt;80,80,F87)</f>
        <v>#N/A</v>
      </c>
      <c r="R89" s="26"/>
      <c r="S89" s="26">
        <f>MAX(0,(G93-IFERROR(INDEX(VbModuleLength_Length,MATCH(G92,VbModuleLength_Module,0)),))/12)</f>
        <v>0</v>
      </c>
      <c r="T89" s="26"/>
      <c r="U89" s="22"/>
      <c r="W89" s="38">
        <v>280</v>
      </c>
      <c r="X89" s="38">
        <v>1</v>
      </c>
      <c r="Y89" s="38">
        <v>109.36</v>
      </c>
    </row>
    <row r="90" spans="2:25" ht="13.5" customHeight="1" thickBot="1" x14ac:dyDescent="0.25">
      <c r="B90" s="16"/>
      <c r="C90" s="243" t="s">
        <v>27</v>
      </c>
      <c r="D90" s="243"/>
      <c r="E90" s="243"/>
      <c r="F90" s="244"/>
      <c r="G90" s="1"/>
      <c r="K90" s="24"/>
      <c r="L90" s="3"/>
      <c r="M90" s="3" t="s">
        <v>28</v>
      </c>
      <c r="N90" s="3" t="s">
        <v>10</v>
      </c>
      <c r="O90" s="3" t="s">
        <v>20</v>
      </c>
      <c r="P90" s="3" t="s">
        <v>12</v>
      </c>
      <c r="Q90" s="3" t="s">
        <v>13</v>
      </c>
      <c r="R90" s="3" t="s">
        <v>14</v>
      </c>
      <c r="S90" s="3" t="s">
        <v>15</v>
      </c>
      <c r="T90" s="3"/>
      <c r="U90" s="65"/>
      <c r="W90" s="38">
        <v>300</v>
      </c>
      <c r="X90" s="38">
        <v>1</v>
      </c>
      <c r="Y90" s="38">
        <v>102.07</v>
      </c>
    </row>
    <row r="91" spans="2:25" ht="13.5" customHeight="1" thickBot="1" x14ac:dyDescent="0.25">
      <c r="B91" s="16"/>
      <c r="C91" s="245"/>
      <c r="D91" s="245"/>
      <c r="E91" s="245"/>
      <c r="F91" s="245"/>
      <c r="G91" s="2" t="s">
        <v>30</v>
      </c>
      <c r="H91" s="66" t="s">
        <v>31</v>
      </c>
      <c r="I91" s="2" t="s">
        <v>32</v>
      </c>
      <c r="K91" s="63"/>
      <c r="L91" s="26" t="s">
        <v>12</v>
      </c>
      <c r="M91" s="26" t="e">
        <f>(O91+Q91)*S91</f>
        <v>#N/A</v>
      </c>
      <c r="N91" s="26"/>
      <c r="O91" s="26">
        <f>IF(G89=0,$E$7*0.06,G89*0.06)</f>
        <v>0</v>
      </c>
      <c r="P91" s="26"/>
      <c r="Q91" s="26" t="e">
        <f>INDEX(VbSpeedConstA_Int,MATCH(1,INDEX((H94=VbSpeedConstA_Type)*(G96=VbSpeedConstA_Rc),,),0))+INDEX(VbSpeedConstA_Slope,MATCH(1,INDEX((H94=VbSpeedConstA_Type)*(G96=VbSpeedConstA_Rc),,),0))*IF(F87&lt;80,80,F87)</f>
        <v>#N/A</v>
      </c>
      <c r="R91" s="26"/>
      <c r="S91" s="26">
        <f>MAX(0,(H93-IFERROR(INDEX(VbModuleLength_Length,MATCH(H92,VbModuleLength_Module,0)),))/12)</f>
        <v>0</v>
      </c>
      <c r="T91" s="26"/>
      <c r="U91" s="22"/>
      <c r="W91" s="38">
        <v>320</v>
      </c>
      <c r="X91" s="38">
        <v>1</v>
      </c>
      <c r="Y91" s="38">
        <v>95.69</v>
      </c>
    </row>
    <row r="92" spans="2:25" ht="13.5" customHeight="1" thickBot="1" x14ac:dyDescent="0.25">
      <c r="B92" s="16"/>
      <c r="C92" s="243" t="s">
        <v>34</v>
      </c>
      <c r="D92" s="243"/>
      <c r="E92" s="243"/>
      <c r="F92" s="244"/>
      <c r="G92" s="1"/>
      <c r="H92" s="1"/>
      <c r="I92" s="1"/>
      <c r="K92" s="24"/>
      <c r="L92" s="3"/>
      <c r="M92" s="3" t="s">
        <v>35</v>
      </c>
      <c r="N92" s="3" t="s">
        <v>10</v>
      </c>
      <c r="O92" s="3" t="s">
        <v>20</v>
      </c>
      <c r="P92" s="3" t="s">
        <v>12</v>
      </c>
      <c r="Q92" s="3" t="s">
        <v>13</v>
      </c>
      <c r="R92" s="3" t="s">
        <v>14</v>
      </c>
      <c r="S92" s="3" t="s">
        <v>15</v>
      </c>
      <c r="T92" s="3"/>
      <c r="U92" s="65"/>
      <c r="W92" s="38">
        <v>220</v>
      </c>
      <c r="X92" s="38">
        <v>1.5</v>
      </c>
      <c r="Y92" s="38">
        <v>125</v>
      </c>
    </row>
    <row r="93" spans="2:25" ht="13.5" customHeight="1" thickBot="1" x14ac:dyDescent="0.25">
      <c r="B93" s="16"/>
      <c r="C93" s="243" t="s">
        <v>38</v>
      </c>
      <c r="D93" s="243"/>
      <c r="E93" s="243"/>
      <c r="F93" s="244"/>
      <c r="G93" s="1"/>
      <c r="H93" s="1"/>
      <c r="I93" s="1"/>
      <c r="K93" s="25"/>
      <c r="L93" s="20" t="s">
        <v>12</v>
      </c>
      <c r="M93" s="20" t="e">
        <f>(O93+Q93)*S93</f>
        <v>#N/A</v>
      </c>
      <c r="N93" s="20"/>
      <c r="O93" s="20">
        <f>IF(G89=0,$E$7*0.06,G89*0.06)</f>
        <v>0</v>
      </c>
      <c r="P93" s="20"/>
      <c r="Q93" s="20" t="e">
        <f>INDEX(VbSpeedConstA_Int,MATCH(1,INDEX((I94=VbSpeedConstA_Type)*(G96=VbSpeedConstA_Rc),,),0))+INDEX(VbSpeedConstA_Slope,MATCH(1,INDEX((I94=VbSpeedConstA_Type)*(G96=VbSpeedConstA_Rc),,),0))*IF(F87&lt;80,80,F87)</f>
        <v>#N/A</v>
      </c>
      <c r="R93" s="20"/>
      <c r="S93" s="20">
        <f>MAX(0,(I93-IFERROR(INDEX(VbModuleLength_Length,MATCH(I92,VbModuleLength_Module,0)),))/12)</f>
        <v>0</v>
      </c>
      <c r="T93" s="20"/>
      <c r="U93" s="41"/>
      <c r="W93" s="38">
        <v>240</v>
      </c>
      <c r="X93" s="38">
        <v>1.5</v>
      </c>
      <c r="Y93" s="38">
        <v>125</v>
      </c>
    </row>
    <row r="94" spans="2:25" ht="13.5" customHeight="1" thickBot="1" x14ac:dyDescent="0.25">
      <c r="B94" s="16"/>
      <c r="C94" s="243" t="s">
        <v>40</v>
      </c>
      <c r="D94" s="243"/>
      <c r="E94" s="243"/>
      <c r="F94" s="244"/>
      <c r="G94" s="1"/>
      <c r="H94" s="1"/>
      <c r="I94" s="1"/>
      <c r="K94" s="67" t="s">
        <v>41</v>
      </c>
      <c r="L94" s="9" t="s">
        <v>10</v>
      </c>
      <c r="M94" s="9" t="s">
        <v>42</v>
      </c>
      <c r="N94" s="9" t="s">
        <v>12</v>
      </c>
      <c r="O94" s="9" t="s">
        <v>13</v>
      </c>
      <c r="P94" s="9" t="s">
        <v>14</v>
      </c>
      <c r="Q94" s="9" t="s">
        <v>43</v>
      </c>
      <c r="R94" s="9" t="s">
        <v>14</v>
      </c>
      <c r="S94" s="3" t="s">
        <v>44</v>
      </c>
      <c r="T94" s="3"/>
      <c r="U94" s="65"/>
      <c r="W94" s="38">
        <v>260</v>
      </c>
      <c r="X94" s="38">
        <v>1.5</v>
      </c>
      <c r="Y94" s="38">
        <v>125</v>
      </c>
    </row>
    <row r="95" spans="2:25" ht="13.5" customHeight="1" thickBot="1" x14ac:dyDescent="0.25">
      <c r="B95" s="16"/>
      <c r="C95" s="245"/>
      <c r="D95" s="245"/>
      <c r="E95" s="245"/>
      <c r="F95" s="245"/>
      <c r="K95" s="25" t="e">
        <f>(M95+O95)*Q95*S95</f>
        <v>#N/A</v>
      </c>
      <c r="L95" s="20"/>
      <c r="M95" s="20">
        <f>IF(G89=0,$E$7*0.133,G89*0.133)</f>
        <v>0</v>
      </c>
      <c r="N95" s="20"/>
      <c r="O95" s="20" t="e">
        <f>O87</f>
        <v>#N/A</v>
      </c>
      <c r="P95" s="20"/>
      <c r="Q95" s="20">
        <f>IFERROR(INDEX(VbWidthFactor_Constant,MATCH(E87,VbWidthFactor_NW)),0)</f>
        <v>0</v>
      </c>
      <c r="R95" s="20"/>
      <c r="S95" s="26">
        <f>IFERROR(INDEX(VbFigureConst_Const,MATCH(D87,VbFigureConst_Figure,0)),)</f>
        <v>0</v>
      </c>
      <c r="T95" s="26"/>
      <c r="U95" s="22"/>
      <c r="W95" s="38">
        <v>280</v>
      </c>
      <c r="X95" s="38">
        <v>1.5</v>
      </c>
      <c r="Y95" s="38">
        <v>125</v>
      </c>
    </row>
    <row r="96" spans="2:25" ht="13.5" customHeight="1" thickBot="1" x14ac:dyDescent="0.25">
      <c r="B96" s="16"/>
      <c r="C96" s="243" t="s">
        <v>47</v>
      </c>
      <c r="D96" s="243"/>
      <c r="E96" s="243"/>
      <c r="F96" s="244"/>
      <c r="G96" s="1"/>
      <c r="K96" s="67" t="s">
        <v>48</v>
      </c>
      <c r="L96" s="9" t="s">
        <v>10</v>
      </c>
      <c r="M96" s="9" t="s">
        <v>49</v>
      </c>
      <c r="N96" s="9" t="s">
        <v>14</v>
      </c>
      <c r="O96" s="19">
        <v>5</v>
      </c>
      <c r="P96" s="21"/>
      <c r="Q96" s="21"/>
      <c r="R96" s="21"/>
      <c r="S96" s="265" t="s">
        <v>50</v>
      </c>
      <c r="T96" s="266"/>
      <c r="U96" s="68" t="s">
        <v>51</v>
      </c>
      <c r="W96" s="38">
        <v>300</v>
      </c>
      <c r="X96" s="38">
        <v>1.5</v>
      </c>
      <c r="Y96" s="38">
        <v>125</v>
      </c>
    </row>
    <row r="97" spans="2:34" ht="13.5" customHeight="1" x14ac:dyDescent="0.2">
      <c r="B97" s="16"/>
      <c r="C97" s="245"/>
      <c r="D97" s="245"/>
      <c r="E97" s="245"/>
      <c r="F97" s="245"/>
      <c r="K97" s="25">
        <f>M97*O97</f>
        <v>0</v>
      </c>
      <c r="L97" s="20"/>
      <c r="M97" s="8">
        <f>COUNTA(G92:I92)</f>
        <v>0</v>
      </c>
      <c r="N97" s="20"/>
      <c r="O97" s="20">
        <v>5</v>
      </c>
      <c r="P97" s="20"/>
      <c r="Q97" s="20"/>
      <c r="R97" s="20"/>
      <c r="S97" s="267" t="str">
        <f>IF(ISBLANK(D87),"NEED FIGURE",IF(AND(ISBLANK(E87),INDEX(VbSpeedConstB_Type,MATCH(D87,VbSpeedConstB_Figure))="curve"),"NEED WIDTH",IF(AND("curve"&lt;&gt;INDEX(VbSpeedConstB_Type,MATCH(D87,VbSpeedConstB_Figure)),ISBLANK(G90)),"NEED OVERALL LENGTH","")))</f>
        <v>NEED FIGURE</v>
      </c>
      <c r="T97" s="268"/>
      <c r="U97" s="69" t="s">
        <v>53</v>
      </c>
      <c r="W97" s="38">
        <v>320</v>
      </c>
      <c r="X97" s="38">
        <v>1.5</v>
      </c>
      <c r="Y97" s="38">
        <v>125</v>
      </c>
    </row>
    <row r="98" spans="2:34" ht="13.5" customHeight="1" thickBot="1" x14ac:dyDescent="0.25">
      <c r="B98" s="16"/>
      <c r="C98" s="240"/>
      <c r="D98" s="240"/>
      <c r="E98" s="240"/>
      <c r="F98" s="240"/>
      <c r="G98" s="2" t="s">
        <v>56</v>
      </c>
      <c r="H98" s="2" t="s">
        <v>57</v>
      </c>
      <c r="K98" s="67" t="s">
        <v>58</v>
      </c>
      <c r="L98" s="9" t="s">
        <v>10</v>
      </c>
      <c r="M98" s="9" t="s">
        <v>59</v>
      </c>
      <c r="N98" s="9" t="s">
        <v>12</v>
      </c>
      <c r="O98" s="9" t="s">
        <v>60</v>
      </c>
      <c r="P98" s="9" t="s">
        <v>14</v>
      </c>
      <c r="Q98" s="9" t="s">
        <v>61</v>
      </c>
      <c r="R98" s="9"/>
      <c r="S98" s="276" t="str">
        <f>IF(ISBLANK(F87),"NEED SPEED",IF(AND(ISBLANK($E$7),ISBLANK(G89)),"NEED LIVE LOAD",""))</f>
        <v>NEED SPEED</v>
      </c>
      <c r="T98" s="277"/>
      <c r="U98" s="70" t="str">
        <f>IFERROR(IF(COUNTIF(G92:I92,"C43")=1,INDEX(VbDriveAb_Speed,MATCH(1,INDEX((F87&lt;=VbDriveAb_Speed)*(K103&lt;=VbDriveAb_Hp)*(K99&lt;=VbDriveAb_Ebp),,),0))&amp;" FPM",IF(SUM(COUNTIF(G92:I92,{"C42","C55","C56"}))=1,INDEX(VbDriveC_Speed,MATCH(1,INDEX((F87&lt;=VbDriveC_Speed)*(K103&lt;=VbDriveC_Hp)*(K99&lt;=VbDriveC_Ebp),,),0))&amp;" FPM","")),"")</f>
        <v/>
      </c>
      <c r="W98" s="38">
        <v>360</v>
      </c>
      <c r="X98" s="38">
        <v>1.5</v>
      </c>
      <c r="Y98" s="38">
        <v>125</v>
      </c>
    </row>
    <row r="99" spans="2:34" ht="13.5" customHeight="1" thickBot="1" x14ac:dyDescent="0.25">
      <c r="B99" s="16"/>
      <c r="C99" s="241" t="s">
        <v>64</v>
      </c>
      <c r="D99" s="241"/>
      <c r="E99" s="241"/>
      <c r="F99" s="242"/>
      <c r="G99" s="1"/>
      <c r="H99" s="1"/>
      <c r="K99" s="25" t="e">
        <f>(M99+O99)*Q99</f>
        <v>#N/A</v>
      </c>
      <c r="L99" s="20"/>
      <c r="M99" s="20" t="e">
        <f>K87+K95+K97</f>
        <v>#N/A</v>
      </c>
      <c r="N99" s="20"/>
      <c r="O99" s="20">
        <f>G101</f>
        <v>0</v>
      </c>
      <c r="P99" s="20"/>
      <c r="Q99" s="20">
        <v>1.25</v>
      </c>
      <c r="R99" s="20"/>
      <c r="S99" s="276" t="str">
        <f>IF(OR(ISBLANK(G92),ISBLANK(H92)),"NEED MODULE(S)",IF(OR(ISBLANK(G94),ISBLANK(H94)),"NEED STRAIGHT/SKEW",""))</f>
        <v>NEED MODULE(S)</v>
      </c>
      <c r="T99" s="277"/>
      <c r="U99" s="71" t="str">
        <f>IFERROR(IF(COUNTIF(G92:I92,"C43")=1,INDEX(VbDriveAb_Hp,MATCH(1,INDEX((F87&lt;=VbDriveAb_Speed)*(K103&lt;=VbDriveAb_Hp)*(K99&lt;=VbDriveAb_Ebp),,),0))&amp;" HP",IF(SUM(COUNTIF(G92:I92,{"C42","C55","C56"}))=1,INDEX(VbDriveC_Hp,MATCH(1,INDEX((F87&lt;=VbDriveC_Speed)*(K103&lt;=VbDriveC_Hp)*(K99&lt;=VbDriveC_Ebp),,),0))&amp;" HP","")),"")</f>
        <v/>
      </c>
      <c r="W99" s="38">
        <v>400</v>
      </c>
      <c r="X99" s="38">
        <v>1.5</v>
      </c>
      <c r="Y99" s="38">
        <v>116.46</v>
      </c>
    </row>
    <row r="100" spans="2:34" ht="13.5" customHeight="1" thickBot="1" x14ac:dyDescent="0.25">
      <c r="B100" s="16"/>
      <c r="C100" s="240"/>
      <c r="D100" s="240"/>
      <c r="E100" s="240"/>
      <c r="F100" s="240"/>
      <c r="K100" s="67" t="s">
        <v>67</v>
      </c>
      <c r="L100" s="9" t="s">
        <v>10</v>
      </c>
      <c r="M100" s="9" t="s">
        <v>58</v>
      </c>
      <c r="N100" s="9" t="s">
        <v>14</v>
      </c>
      <c r="O100" s="9" t="s">
        <v>68</v>
      </c>
      <c r="P100" s="9"/>
      <c r="Q100" s="9"/>
      <c r="R100" s="9"/>
      <c r="S100" s="276" t="str">
        <f>IF(ISBLANK(G96),"NEED ROLLER CENTERS","")</f>
        <v>NEED ROLLER CENTERS</v>
      </c>
      <c r="T100" s="277"/>
      <c r="U100" s="72" t="s">
        <v>69</v>
      </c>
      <c r="W100" s="38">
        <v>440</v>
      </c>
      <c r="X100" s="38">
        <v>1.5</v>
      </c>
      <c r="Y100" s="38">
        <v>105.87</v>
      </c>
    </row>
    <row r="101" spans="2:34" ht="13.5" customHeight="1" thickBot="1" x14ac:dyDescent="0.25">
      <c r="B101" s="16"/>
      <c r="C101" s="243" t="s">
        <v>71</v>
      </c>
      <c r="D101" s="243"/>
      <c r="E101" s="243"/>
      <c r="F101" s="243"/>
      <c r="G101" s="1"/>
      <c r="K101" s="25" t="e">
        <f>M101*O101</f>
        <v>#N/A</v>
      </c>
      <c r="L101" s="20"/>
      <c r="M101" s="20" t="e">
        <f>K99</f>
        <v>#N/A</v>
      </c>
      <c r="N101" s="20"/>
      <c r="O101" s="20">
        <f>IF(AND(ISNUMBER(G99),ISNUMBER(H99)),H99/G99,0)</f>
        <v>0</v>
      </c>
      <c r="P101" s="20"/>
      <c r="Q101" s="20"/>
      <c r="R101" s="20"/>
      <c r="S101" s="284"/>
      <c r="T101" s="285"/>
      <c r="U101" s="74" t="str">
        <f>IFERROR(IF(K101&gt;0,K101,""),"")</f>
        <v/>
      </c>
      <c r="W101" s="38">
        <v>480</v>
      </c>
      <c r="X101" s="38">
        <v>1.5</v>
      </c>
      <c r="Y101" s="38">
        <v>97.05</v>
      </c>
    </row>
    <row r="102" spans="2:34" ht="13.5" customHeight="1" thickBot="1" x14ac:dyDescent="0.25">
      <c r="B102" s="16"/>
      <c r="C102" s="240"/>
      <c r="D102" s="240"/>
      <c r="E102" s="240"/>
      <c r="F102" s="240"/>
      <c r="K102" s="24" t="s">
        <v>74</v>
      </c>
      <c r="L102" s="3" t="s">
        <v>10</v>
      </c>
      <c r="M102" s="3" t="s">
        <v>58</v>
      </c>
      <c r="N102" s="3" t="s">
        <v>14</v>
      </c>
      <c r="O102" s="3" t="s">
        <v>8</v>
      </c>
      <c r="P102" s="3" t="s">
        <v>75</v>
      </c>
      <c r="Q102" s="3" t="s">
        <v>76</v>
      </c>
      <c r="S102" s="276" t="str">
        <f>IFERROR(IF(K103&gt;MAX(VbDriveAb_Hp,VbDriveC_Hp),"EXCEEDS MAX HP",""),"")</f>
        <v/>
      </c>
      <c r="T102" s="277"/>
      <c r="U102" s="278" t="str">
        <f>IF(NOT(OR(SUM(COUNTIF(G92:I92,{"C42","C43","C51","C55","C56"}))&gt;0,COUNTBLANK(G99:H99)&lt;1)),"NEED DRIVE MODULE OR SLAVE RATIO",IF(AND(SUM(COUNTIF(G92:I92,{"C42","C43","C51","C55","C56"}))&gt;0,COUNTBLANK(G99:H99)&lt;1),"CAN'T BE SLAVE AND HAVE DRIVE",""))</f>
        <v>NEED DRIVE MODULE OR SLAVE RATIO</v>
      </c>
      <c r="W102" s="38">
        <v>520</v>
      </c>
      <c r="X102" s="38">
        <v>1.5</v>
      </c>
      <c r="Y102" s="38">
        <v>89.58</v>
      </c>
    </row>
    <row r="103" spans="2:34" ht="13.5" customHeight="1" thickBot="1" x14ac:dyDescent="0.25">
      <c r="B103" s="286" t="s">
        <v>78</v>
      </c>
      <c r="C103" s="287"/>
      <c r="D103" s="262"/>
      <c r="E103" s="263"/>
      <c r="F103" s="263"/>
      <c r="G103" s="263"/>
      <c r="H103" s="263"/>
      <c r="I103" s="263"/>
      <c r="J103" s="264"/>
      <c r="K103" s="73" t="e">
        <f>M103*O103/Q103</f>
        <v>#N/A</v>
      </c>
      <c r="L103" s="27"/>
      <c r="M103" s="27" t="e">
        <f>K99</f>
        <v>#N/A</v>
      </c>
      <c r="N103" s="27"/>
      <c r="O103" s="27">
        <f>F87</f>
        <v>0</v>
      </c>
      <c r="P103" s="27"/>
      <c r="Q103" s="27">
        <v>31350</v>
      </c>
      <c r="R103" s="27"/>
      <c r="S103" s="274" t="str">
        <f>IFERROR(IF(K99&gt;125,"EXCEEDS BELT STRENGTH",""),"")</f>
        <v/>
      </c>
      <c r="T103" s="275"/>
      <c r="U103" s="279"/>
      <c r="W103" s="38">
        <v>560</v>
      </c>
      <c r="X103" s="38">
        <v>1.5</v>
      </c>
      <c r="Y103" s="38">
        <v>83.18</v>
      </c>
    </row>
    <row r="104" spans="2:34" ht="13.5" customHeight="1" thickBot="1" x14ac:dyDescent="0.25">
      <c r="W104" s="38">
        <v>600</v>
      </c>
      <c r="X104" s="38">
        <v>1.5</v>
      </c>
      <c r="Y104" s="38">
        <v>77.64</v>
      </c>
    </row>
    <row r="105" spans="2:34" ht="13.5" customHeight="1" thickBot="1" x14ac:dyDescent="0.25">
      <c r="B105" s="39"/>
      <c r="C105" s="28" t="s">
        <v>5</v>
      </c>
      <c r="D105" s="28" t="s">
        <v>6</v>
      </c>
      <c r="E105" s="28" t="s">
        <v>7</v>
      </c>
      <c r="F105" s="28" t="s">
        <v>8</v>
      </c>
      <c r="G105" s="28"/>
      <c r="H105" s="28"/>
      <c r="I105" s="28"/>
      <c r="J105" s="28"/>
      <c r="K105" s="23" t="s">
        <v>9</v>
      </c>
      <c r="L105" s="4" t="s">
        <v>10</v>
      </c>
      <c r="M105" s="4" t="s">
        <v>11</v>
      </c>
      <c r="N105" s="4" t="s">
        <v>12</v>
      </c>
      <c r="O105" s="4" t="s">
        <v>13</v>
      </c>
      <c r="P105" s="4" t="s">
        <v>14</v>
      </c>
      <c r="Q105" s="4" t="s">
        <v>15</v>
      </c>
      <c r="R105" s="4"/>
      <c r="S105" s="4"/>
      <c r="T105" s="4"/>
      <c r="U105" s="5"/>
    </row>
    <row r="106" spans="2:34" ht="13.5" customHeight="1" thickBot="1" x14ac:dyDescent="0.25">
      <c r="B106" s="16"/>
      <c r="C106" s="272"/>
      <c r="D106" s="206"/>
      <c r="E106" s="1"/>
      <c r="F106" s="1"/>
      <c r="K106" s="63" t="e">
        <f>(M106+O106)*Q106+M108+M110+IFERROR(M112,0)</f>
        <v>#N/A</v>
      </c>
      <c r="L106" s="26"/>
      <c r="M106" s="26">
        <f>IF(G108=0,$E$7*0.06,G108*0.06)</f>
        <v>0</v>
      </c>
      <c r="N106" s="26"/>
      <c r="O106" s="26" t="e">
        <f>INDEX(VbSpeedConstA_Int,MATCH(1,INDEX((INDEX(VbSpeedConstB_Type,MATCH(D106,VbSpeedConstB_Figure))=VbSpeedConstA_Type)*(G115=VbSpeedConstA_Rc),,),0))+INDEX(VbSpeedConstA_Slope,MATCH(1,INDEX((INDEX(VbSpeedConstB_Type,MATCH(D106,VbSpeedConstB_Figure))=VbSpeedConstA_Type)*(G115=VbSpeedConstA_Rc),,),0))*IF(F106&lt;80,80,F106)</f>
        <v>#N/A</v>
      </c>
      <c r="P106" s="26"/>
      <c r="Q106" s="26" t="e">
        <f>IF("curve"&lt;&gt;INDEX(VbSpeedConstB_Type,MATCH(D106,VbSpeedConstB_Figure)),G109-IFERROR(INDEX(VbModuleLength_Length,MATCH(G111,VbModuleLength_Module,0)),)-IFERROR(INDEX(VbModuleLength_Length,MATCH(H111,VbModuleLength_Module,0)),),0)/12</f>
        <v>#N/A</v>
      </c>
      <c r="R106" s="26"/>
      <c r="S106" s="26"/>
      <c r="T106" s="26"/>
      <c r="U106" s="22"/>
      <c r="W106" s="281" t="s">
        <v>109</v>
      </c>
      <c r="X106" s="281"/>
      <c r="Y106" s="281"/>
      <c r="Z106" s="281"/>
      <c r="AA106" s="281"/>
      <c r="AB106" s="281"/>
      <c r="AC106" s="281"/>
      <c r="AD106" s="281"/>
      <c r="AE106" s="281"/>
      <c r="AF106" s="281"/>
      <c r="AG106" s="281"/>
      <c r="AH106" s="281"/>
    </row>
    <row r="107" spans="2:34" ht="13.5" customHeight="1" thickBot="1" x14ac:dyDescent="0.25">
      <c r="B107" s="16"/>
      <c r="C107" s="273"/>
      <c r="D107" s="205"/>
      <c r="E107" s="205"/>
      <c r="F107" s="205"/>
      <c r="K107" s="24"/>
      <c r="L107" s="64" t="s">
        <v>18</v>
      </c>
      <c r="M107" s="3" t="s">
        <v>19</v>
      </c>
      <c r="N107" s="3" t="s">
        <v>10</v>
      </c>
      <c r="O107" s="3" t="s">
        <v>20</v>
      </c>
      <c r="P107" s="3" t="s">
        <v>12</v>
      </c>
      <c r="Q107" s="3" t="s">
        <v>13</v>
      </c>
      <c r="R107" s="3" t="s">
        <v>14</v>
      </c>
      <c r="S107" s="3" t="s">
        <v>15</v>
      </c>
      <c r="T107" s="3"/>
      <c r="U107" s="65"/>
      <c r="W107" s="280" t="s">
        <v>106</v>
      </c>
      <c r="X107" s="280"/>
      <c r="Y107" s="280"/>
      <c r="Z107" s="280"/>
      <c r="AA107" s="280"/>
      <c r="AB107" s="280"/>
      <c r="AC107" s="280"/>
      <c r="AD107" s="280"/>
      <c r="AE107" s="280"/>
      <c r="AF107" s="280"/>
      <c r="AG107" s="280"/>
      <c r="AH107" s="280"/>
    </row>
    <row r="108" spans="2:34" ht="13.5" customHeight="1" thickBot="1" x14ac:dyDescent="0.25">
      <c r="B108" s="16"/>
      <c r="C108" s="243" t="s">
        <v>24</v>
      </c>
      <c r="D108" s="243"/>
      <c r="E108" s="243"/>
      <c r="F108" s="244"/>
      <c r="G108" s="1"/>
      <c r="K108" s="63"/>
      <c r="L108" s="26" t="s">
        <v>12</v>
      </c>
      <c r="M108" s="26" t="e">
        <f>(O108+Q108)*S108</f>
        <v>#N/A</v>
      </c>
      <c r="N108" s="26"/>
      <c r="O108" s="26">
        <f>IF(G108=0,$E$7*0.06,G108*0.06)</f>
        <v>0</v>
      </c>
      <c r="P108" s="26"/>
      <c r="Q108" s="26" t="e">
        <f>INDEX(VbSpeedConstA_Int,MATCH(1,INDEX((G113=VbSpeedConstA_Type)*(G115=VbSpeedConstA_Rc),,),0))+INDEX(VbSpeedConstA_Slope,MATCH(1,INDEX((G113=VbSpeedConstA_Type)*(G115=VbSpeedConstA_Rc),,),0))*IF(F106&lt;80,80,F106)</f>
        <v>#N/A</v>
      </c>
      <c r="R108" s="26"/>
      <c r="S108" s="26">
        <f>MAX(0,(G112-IFERROR(INDEX(VbModuleLength_Length,MATCH(G111,VbModuleLength_Module,0)),))/12)</f>
        <v>0</v>
      </c>
      <c r="T108" s="26"/>
      <c r="U108" s="22"/>
      <c r="W108" s="38" t="s">
        <v>107</v>
      </c>
      <c r="X108" s="38" t="s">
        <v>108</v>
      </c>
      <c r="Y108" s="38" t="s">
        <v>58</v>
      </c>
    </row>
    <row r="109" spans="2:34" ht="13.5" customHeight="1" thickBot="1" x14ac:dyDescent="0.25">
      <c r="B109" s="16"/>
      <c r="C109" s="243" t="s">
        <v>27</v>
      </c>
      <c r="D109" s="243"/>
      <c r="E109" s="243"/>
      <c r="F109" s="244"/>
      <c r="G109" s="1"/>
      <c r="K109" s="24"/>
      <c r="L109" s="3"/>
      <c r="M109" s="3" t="s">
        <v>28</v>
      </c>
      <c r="N109" s="3" t="s">
        <v>10</v>
      </c>
      <c r="O109" s="3" t="s">
        <v>20</v>
      </c>
      <c r="P109" s="3" t="s">
        <v>12</v>
      </c>
      <c r="Q109" s="3" t="s">
        <v>13</v>
      </c>
      <c r="R109" s="3" t="s">
        <v>14</v>
      </c>
      <c r="S109" s="3" t="s">
        <v>15</v>
      </c>
      <c r="T109" s="3"/>
      <c r="U109" s="65"/>
      <c r="W109" s="38">
        <v>70</v>
      </c>
      <c r="X109" s="38">
        <v>1</v>
      </c>
      <c r="Y109" s="38">
        <v>125</v>
      </c>
    </row>
    <row r="110" spans="2:34" ht="13.5" customHeight="1" thickBot="1" x14ac:dyDescent="0.25">
      <c r="B110" s="16"/>
      <c r="C110" s="245"/>
      <c r="D110" s="245"/>
      <c r="E110" s="245"/>
      <c r="F110" s="245"/>
      <c r="G110" s="2" t="s">
        <v>30</v>
      </c>
      <c r="H110" s="66" t="s">
        <v>31</v>
      </c>
      <c r="I110" s="2" t="s">
        <v>32</v>
      </c>
      <c r="K110" s="63"/>
      <c r="L110" s="26" t="s">
        <v>12</v>
      </c>
      <c r="M110" s="26" t="e">
        <f>(O110+Q110)*S110</f>
        <v>#N/A</v>
      </c>
      <c r="N110" s="26"/>
      <c r="O110" s="26">
        <f>IF(G108=0,$E$7*0.06,G108*0.06)</f>
        <v>0</v>
      </c>
      <c r="P110" s="26"/>
      <c r="Q110" s="26" t="e">
        <f>INDEX(VbSpeedConstA_Int,MATCH(1,INDEX((H113=VbSpeedConstA_Type)*(G115=VbSpeedConstA_Rc),,),0))+INDEX(VbSpeedConstA_Slope,MATCH(1,INDEX((H113=VbSpeedConstA_Type)*(G115=VbSpeedConstA_Rc),,),0))*IF(F106&lt;80,80,F106)</f>
        <v>#N/A</v>
      </c>
      <c r="R110" s="26"/>
      <c r="S110" s="26">
        <f>MAX(0,(H112-IFERROR(INDEX(VbModuleLength_Length,MATCH(H111,VbModuleLength_Module,0)),))/12)</f>
        <v>0</v>
      </c>
      <c r="T110" s="26"/>
      <c r="U110" s="22"/>
      <c r="W110" s="38">
        <v>80</v>
      </c>
      <c r="X110" s="38">
        <v>1</v>
      </c>
      <c r="Y110" s="38">
        <v>125</v>
      </c>
    </row>
    <row r="111" spans="2:34" ht="13.5" customHeight="1" thickBot="1" x14ac:dyDescent="0.25">
      <c r="B111" s="16"/>
      <c r="C111" s="243" t="s">
        <v>34</v>
      </c>
      <c r="D111" s="243"/>
      <c r="E111" s="243"/>
      <c r="F111" s="244"/>
      <c r="G111" s="1"/>
      <c r="H111" s="1"/>
      <c r="I111" s="1"/>
      <c r="K111" s="24"/>
      <c r="L111" s="3"/>
      <c r="M111" s="3" t="s">
        <v>35</v>
      </c>
      <c r="N111" s="3" t="s">
        <v>10</v>
      </c>
      <c r="O111" s="3" t="s">
        <v>20</v>
      </c>
      <c r="P111" s="3" t="s">
        <v>12</v>
      </c>
      <c r="Q111" s="3" t="s">
        <v>13</v>
      </c>
      <c r="R111" s="3" t="s">
        <v>14</v>
      </c>
      <c r="S111" s="3" t="s">
        <v>15</v>
      </c>
      <c r="T111" s="3"/>
      <c r="U111" s="65"/>
      <c r="W111" s="38">
        <v>90</v>
      </c>
      <c r="X111" s="38">
        <v>1</v>
      </c>
      <c r="Y111" s="38">
        <v>125</v>
      </c>
    </row>
    <row r="112" spans="2:34" ht="13.5" customHeight="1" thickBot="1" x14ac:dyDescent="0.25">
      <c r="B112" s="16"/>
      <c r="C112" s="243" t="s">
        <v>38</v>
      </c>
      <c r="D112" s="243"/>
      <c r="E112" s="243"/>
      <c r="F112" s="244"/>
      <c r="G112" s="1"/>
      <c r="H112" s="1"/>
      <c r="I112" s="1"/>
      <c r="K112" s="25"/>
      <c r="L112" s="20" t="s">
        <v>12</v>
      </c>
      <c r="M112" s="20" t="e">
        <f>(O112+Q112)*S112</f>
        <v>#N/A</v>
      </c>
      <c r="N112" s="20"/>
      <c r="O112" s="20">
        <f>IF(G108=0,$E$7*0.06,G108*0.06)</f>
        <v>0</v>
      </c>
      <c r="P112" s="20"/>
      <c r="Q112" s="20" t="e">
        <f>INDEX(VbSpeedConstA_Int,MATCH(1,INDEX((I113=VbSpeedConstA_Type)*(G115=VbSpeedConstA_Rc),,),0))+INDEX(VbSpeedConstA_Slope,MATCH(1,INDEX((I113=VbSpeedConstA_Type)*(G115=VbSpeedConstA_Rc),,),0))*IF(F106&lt;80,80,F106)</f>
        <v>#N/A</v>
      </c>
      <c r="R112" s="20"/>
      <c r="S112" s="20">
        <f>MAX(0,(I112-IFERROR(INDEX(VbModuleLength_Length,MATCH(I111,VbModuleLength_Module,0)),))/12)</f>
        <v>0</v>
      </c>
      <c r="T112" s="20"/>
      <c r="U112" s="41"/>
      <c r="W112" s="38">
        <v>100</v>
      </c>
      <c r="X112" s="38">
        <v>1</v>
      </c>
      <c r="Y112" s="38">
        <v>125</v>
      </c>
    </row>
    <row r="113" spans="2:25" ht="13.5" customHeight="1" thickBot="1" x14ac:dyDescent="0.25">
      <c r="B113" s="16"/>
      <c r="C113" s="243" t="s">
        <v>40</v>
      </c>
      <c r="D113" s="243"/>
      <c r="E113" s="243"/>
      <c r="F113" s="244"/>
      <c r="G113" s="1"/>
      <c r="H113" s="1"/>
      <c r="I113" s="1"/>
      <c r="K113" s="67" t="s">
        <v>41</v>
      </c>
      <c r="L113" s="9" t="s">
        <v>10</v>
      </c>
      <c r="M113" s="9" t="s">
        <v>42</v>
      </c>
      <c r="N113" s="9" t="s">
        <v>12</v>
      </c>
      <c r="O113" s="9" t="s">
        <v>13</v>
      </c>
      <c r="P113" s="9" t="s">
        <v>14</v>
      </c>
      <c r="Q113" s="9" t="s">
        <v>43</v>
      </c>
      <c r="R113" s="9" t="s">
        <v>14</v>
      </c>
      <c r="S113" s="3" t="s">
        <v>44</v>
      </c>
      <c r="T113" s="3"/>
      <c r="U113" s="65"/>
      <c r="W113" s="38">
        <v>110</v>
      </c>
      <c r="X113" s="38">
        <v>1</v>
      </c>
      <c r="Y113" s="38">
        <v>125</v>
      </c>
    </row>
    <row r="114" spans="2:25" ht="13.5" customHeight="1" thickBot="1" x14ac:dyDescent="0.25">
      <c r="B114" s="16"/>
      <c r="C114" s="245"/>
      <c r="D114" s="245"/>
      <c r="E114" s="245"/>
      <c r="F114" s="245"/>
      <c r="K114" s="25" t="e">
        <f>(M114+O114)*Q114*S114</f>
        <v>#N/A</v>
      </c>
      <c r="L114" s="20"/>
      <c r="M114" s="20">
        <f>IF(G108=0,$E$7*0.133,G108*0.133)</f>
        <v>0</v>
      </c>
      <c r="N114" s="20"/>
      <c r="O114" s="20" t="e">
        <f>O106</f>
        <v>#N/A</v>
      </c>
      <c r="P114" s="20"/>
      <c r="Q114" s="20">
        <f>IFERROR(INDEX(VbWidthFactor_Constant,MATCH(E106,VbWidthFactor_NW)),0)</f>
        <v>0</v>
      </c>
      <c r="R114" s="20"/>
      <c r="S114" s="26">
        <f>IFERROR(INDEX(VbFigureConst_Const,MATCH(D106,VbFigureConst_Figure,0)),)</f>
        <v>0</v>
      </c>
      <c r="T114" s="26"/>
      <c r="U114" s="22"/>
      <c r="W114" s="38">
        <v>130</v>
      </c>
      <c r="X114" s="38">
        <v>1</v>
      </c>
      <c r="Y114" s="38">
        <v>125</v>
      </c>
    </row>
    <row r="115" spans="2:25" ht="13.5" customHeight="1" thickBot="1" x14ac:dyDescent="0.25">
      <c r="B115" s="16"/>
      <c r="C115" s="243" t="s">
        <v>47</v>
      </c>
      <c r="D115" s="243"/>
      <c r="E115" s="243"/>
      <c r="F115" s="244"/>
      <c r="G115" s="1"/>
      <c r="K115" s="67" t="s">
        <v>48</v>
      </c>
      <c r="L115" s="9" t="s">
        <v>10</v>
      </c>
      <c r="M115" s="9" t="s">
        <v>49</v>
      </c>
      <c r="N115" s="9" t="s">
        <v>14</v>
      </c>
      <c r="O115" s="19">
        <v>5</v>
      </c>
      <c r="P115" s="21"/>
      <c r="Q115" s="21"/>
      <c r="R115" s="21"/>
      <c r="S115" s="265" t="s">
        <v>50</v>
      </c>
      <c r="T115" s="266"/>
      <c r="U115" s="68" t="s">
        <v>51</v>
      </c>
      <c r="W115" s="38">
        <v>140</v>
      </c>
      <c r="X115" s="38">
        <v>1</v>
      </c>
      <c r="Y115" s="38">
        <v>125</v>
      </c>
    </row>
    <row r="116" spans="2:25" ht="13.5" customHeight="1" x14ac:dyDescent="0.2">
      <c r="B116" s="16"/>
      <c r="C116" s="245"/>
      <c r="D116" s="245"/>
      <c r="E116" s="245"/>
      <c r="F116" s="245"/>
      <c r="K116" s="25">
        <f>M116*O116</f>
        <v>0</v>
      </c>
      <c r="L116" s="20"/>
      <c r="M116" s="8">
        <f>COUNTA(G111:I111)</f>
        <v>0</v>
      </c>
      <c r="N116" s="20"/>
      <c r="O116" s="20">
        <v>5</v>
      </c>
      <c r="P116" s="20"/>
      <c r="Q116" s="20"/>
      <c r="R116" s="20"/>
      <c r="S116" s="267" t="str">
        <f>IF(ISBLANK(D106),"NEED FIGURE",IF(AND(ISBLANK(E106),INDEX(VbSpeedConstB_Type,MATCH(D106,VbSpeedConstB_Figure))="curve"),"NEED WIDTH",IF(AND("curve"&lt;&gt;INDEX(VbSpeedConstB_Type,MATCH(D106,VbSpeedConstB_Figure)),ISBLANK(G109)),"NEED OVERALL LENGTH","")))</f>
        <v>NEED FIGURE</v>
      </c>
      <c r="T116" s="268"/>
      <c r="U116" s="69" t="s">
        <v>53</v>
      </c>
      <c r="W116" s="38">
        <v>150</v>
      </c>
      <c r="X116" s="38">
        <v>1</v>
      </c>
      <c r="Y116" s="38">
        <v>125</v>
      </c>
    </row>
    <row r="117" spans="2:25" ht="13.5" customHeight="1" thickBot="1" x14ac:dyDescent="0.25">
      <c r="B117" s="16"/>
      <c r="C117" s="240"/>
      <c r="D117" s="240"/>
      <c r="E117" s="240"/>
      <c r="F117" s="240"/>
      <c r="G117" s="2" t="s">
        <v>56</v>
      </c>
      <c r="H117" s="2" t="s">
        <v>57</v>
      </c>
      <c r="K117" s="67" t="s">
        <v>58</v>
      </c>
      <c r="L117" s="9" t="s">
        <v>10</v>
      </c>
      <c r="M117" s="9" t="s">
        <v>59</v>
      </c>
      <c r="N117" s="9" t="s">
        <v>12</v>
      </c>
      <c r="O117" s="9" t="s">
        <v>60</v>
      </c>
      <c r="P117" s="9" t="s">
        <v>14</v>
      </c>
      <c r="Q117" s="9" t="s">
        <v>61</v>
      </c>
      <c r="R117" s="9"/>
      <c r="S117" s="276" t="str">
        <f>IF(ISBLANK(F106),"NEED SPEED",IF(AND(ISBLANK($E$7),ISBLANK(G108)),"NEED LIVE LOAD",""))</f>
        <v>NEED SPEED</v>
      </c>
      <c r="T117" s="277"/>
      <c r="U117" s="70" t="str">
        <f>IFERROR(IF(COUNTIF(G111:I111,"C43")=1,INDEX(VbDriveAb_Speed,MATCH(1,INDEX((F106&lt;=VbDriveAb_Speed)*(K122&lt;=VbDriveAb_Hp)*(K118&lt;=VbDriveAb_Ebp),,),0))&amp;" FPM",IF(SUM(COUNTIF(G111:I111,{"C42","C55","C56"}))=1,INDEX(VbDriveC_Speed,MATCH(1,INDEX((F106&lt;=VbDriveC_Speed)*(K122&lt;=VbDriveC_Hp)*(K118&lt;=VbDriveC_Ebp),,),0))&amp;" FPM","")),"")</f>
        <v/>
      </c>
      <c r="W117" s="38">
        <v>160</v>
      </c>
      <c r="X117" s="38">
        <v>1</v>
      </c>
      <c r="Y117" s="38">
        <v>125</v>
      </c>
    </row>
    <row r="118" spans="2:25" ht="13.5" customHeight="1" thickBot="1" x14ac:dyDescent="0.25">
      <c r="B118" s="16"/>
      <c r="C118" s="241" t="s">
        <v>64</v>
      </c>
      <c r="D118" s="241"/>
      <c r="E118" s="241"/>
      <c r="F118" s="242"/>
      <c r="G118" s="1"/>
      <c r="H118" s="1"/>
      <c r="K118" s="25" t="e">
        <f>(M118+O118)*Q118</f>
        <v>#N/A</v>
      </c>
      <c r="L118" s="20"/>
      <c r="M118" s="20" t="e">
        <f>K106+K114+K116</f>
        <v>#N/A</v>
      </c>
      <c r="N118" s="20"/>
      <c r="O118" s="20">
        <f>G120</f>
        <v>0</v>
      </c>
      <c r="P118" s="20"/>
      <c r="Q118" s="20">
        <v>1.25</v>
      </c>
      <c r="R118" s="20"/>
      <c r="S118" s="276" t="str">
        <f>IF(OR(ISBLANK(G111),ISBLANK(H111)),"NEED MODULE(S)",IF(OR(ISBLANK(G113),ISBLANK(H113)),"NEED STRAIGHT/SKEW",""))</f>
        <v>NEED MODULE(S)</v>
      </c>
      <c r="T118" s="277"/>
      <c r="U118" s="71" t="str">
        <f>IFERROR(IF(COUNTIF(G111:I111,"C43")=1,INDEX(VbDriveAb_Hp,MATCH(1,INDEX((F106&lt;=VbDriveAb_Speed)*(K122&lt;=VbDriveAb_Hp)*(K118&lt;=VbDriveAb_Ebp),,),0))&amp;" HP",IF(SUM(COUNTIF(G111:I111,{"C42","C55","C56"}))=1,INDEX(VbDriveC_Hp,MATCH(1,INDEX((F106&lt;=VbDriveC_Speed)*(K122&lt;=VbDriveC_Hp)*(K118&lt;=VbDriveC_Ebp),,),0))&amp;" HP","")),"")</f>
        <v/>
      </c>
      <c r="W118" s="38">
        <v>170</v>
      </c>
      <c r="X118" s="38">
        <v>1</v>
      </c>
      <c r="Y118" s="38">
        <v>125</v>
      </c>
    </row>
    <row r="119" spans="2:25" ht="13.5" customHeight="1" thickBot="1" x14ac:dyDescent="0.25">
      <c r="B119" s="16"/>
      <c r="C119" s="240"/>
      <c r="D119" s="240"/>
      <c r="E119" s="240"/>
      <c r="F119" s="240"/>
      <c r="K119" s="67" t="s">
        <v>67</v>
      </c>
      <c r="L119" s="9" t="s">
        <v>10</v>
      </c>
      <c r="M119" s="9" t="s">
        <v>58</v>
      </c>
      <c r="N119" s="9" t="s">
        <v>14</v>
      </c>
      <c r="O119" s="9" t="s">
        <v>68</v>
      </c>
      <c r="P119" s="9"/>
      <c r="Q119" s="9"/>
      <c r="R119" s="9"/>
      <c r="S119" s="276" t="str">
        <f>IF(ISBLANK(G115),"NEED ROLLER CENTERS","")</f>
        <v>NEED ROLLER CENTERS</v>
      </c>
      <c r="T119" s="277"/>
      <c r="U119" s="72" t="s">
        <v>69</v>
      </c>
      <c r="W119" s="38">
        <v>180</v>
      </c>
      <c r="X119" s="38">
        <v>1</v>
      </c>
      <c r="Y119" s="38">
        <v>125</v>
      </c>
    </row>
    <row r="120" spans="2:25" ht="13.5" customHeight="1" thickBot="1" x14ac:dyDescent="0.25">
      <c r="B120" s="16"/>
      <c r="C120" s="243" t="s">
        <v>71</v>
      </c>
      <c r="D120" s="243"/>
      <c r="E120" s="243"/>
      <c r="F120" s="243"/>
      <c r="G120" s="1"/>
      <c r="K120" s="25" t="e">
        <f>M120*O120</f>
        <v>#N/A</v>
      </c>
      <c r="L120" s="20"/>
      <c r="M120" s="20" t="e">
        <f>K118</f>
        <v>#N/A</v>
      </c>
      <c r="N120" s="20"/>
      <c r="O120" s="20">
        <f>IF(AND(ISNUMBER(G118),ISNUMBER(H118)),H118/G118,0)</f>
        <v>0</v>
      </c>
      <c r="P120" s="20"/>
      <c r="Q120" s="20"/>
      <c r="R120" s="20"/>
      <c r="S120" s="284"/>
      <c r="T120" s="285"/>
      <c r="U120" s="74" t="str">
        <f>IFERROR(IF(K120&gt;0,K120,""),"")</f>
        <v/>
      </c>
      <c r="W120" s="38">
        <v>200</v>
      </c>
      <c r="X120" s="38">
        <v>1</v>
      </c>
      <c r="Y120" s="38">
        <v>125</v>
      </c>
    </row>
    <row r="121" spans="2:25" ht="13.5" customHeight="1" thickBot="1" x14ac:dyDescent="0.25">
      <c r="B121" s="16"/>
      <c r="C121" s="240"/>
      <c r="D121" s="240"/>
      <c r="E121" s="240"/>
      <c r="F121" s="240"/>
      <c r="K121" s="24" t="s">
        <v>74</v>
      </c>
      <c r="L121" s="3" t="s">
        <v>10</v>
      </c>
      <c r="M121" s="3" t="s">
        <v>58</v>
      </c>
      <c r="N121" s="3" t="s">
        <v>14</v>
      </c>
      <c r="O121" s="3" t="s">
        <v>8</v>
      </c>
      <c r="P121" s="3" t="s">
        <v>75</v>
      </c>
      <c r="Q121" s="3" t="s">
        <v>76</v>
      </c>
      <c r="S121" s="276" t="str">
        <f>IFERROR(IF(K122&gt;MAX(VbDriveAb_Hp,VbDriveC_Hp),"EXCEEDS MAX HP",""),"")</f>
        <v/>
      </c>
      <c r="T121" s="277"/>
      <c r="U121" s="278" t="str">
        <f>IF(NOT(OR(SUM(COUNTIF(G111:I111,{"C42","C43","C51","C55","C56"}))&gt;0,COUNTBLANK(G118:H118)&lt;1)),"NEED DRIVE MODULE OR SLAVE RATIO",IF(AND(SUM(COUNTIF(G111:I111,{"C42","C43","C51","C55","C56"}))&gt;0,COUNTBLANK(G118:H118)&lt;1),"CAN'T BE SLAVE AND HAVE DRIVE",""))</f>
        <v>NEED DRIVE MODULE OR SLAVE RATIO</v>
      </c>
      <c r="W121" s="38">
        <v>220</v>
      </c>
      <c r="X121" s="38">
        <v>1</v>
      </c>
      <c r="Y121" s="38">
        <v>125</v>
      </c>
    </row>
    <row r="122" spans="2:25" ht="13.5" customHeight="1" thickBot="1" x14ac:dyDescent="0.25">
      <c r="B122" s="286" t="s">
        <v>78</v>
      </c>
      <c r="C122" s="287"/>
      <c r="D122" s="262"/>
      <c r="E122" s="263"/>
      <c r="F122" s="263"/>
      <c r="G122" s="263"/>
      <c r="H122" s="263"/>
      <c r="I122" s="263"/>
      <c r="J122" s="264"/>
      <c r="K122" s="73" t="e">
        <f>M122*O122/Q122</f>
        <v>#N/A</v>
      </c>
      <c r="L122" s="27"/>
      <c r="M122" s="27" t="e">
        <f>K118</f>
        <v>#N/A</v>
      </c>
      <c r="N122" s="27"/>
      <c r="O122" s="27">
        <f>F106</f>
        <v>0</v>
      </c>
      <c r="P122" s="27"/>
      <c r="Q122" s="27">
        <v>31350</v>
      </c>
      <c r="R122" s="27"/>
      <c r="S122" s="274" t="str">
        <f>IFERROR(IF(K118&gt;125,"EXCEEDS BELT STRENGTH",""),"")</f>
        <v/>
      </c>
      <c r="T122" s="275"/>
      <c r="U122" s="279"/>
      <c r="W122" s="38">
        <v>260</v>
      </c>
      <c r="X122" s="38">
        <v>1</v>
      </c>
      <c r="Y122" s="38">
        <v>112.75</v>
      </c>
    </row>
    <row r="123" spans="2:25" ht="13.5" customHeight="1" thickBot="1" x14ac:dyDescent="0.25">
      <c r="W123" s="38">
        <v>280</v>
      </c>
      <c r="X123" s="38">
        <v>1</v>
      </c>
      <c r="Y123" s="38">
        <v>104.7</v>
      </c>
    </row>
    <row r="124" spans="2:25" ht="13.5" customHeight="1" thickBot="1" x14ac:dyDescent="0.25">
      <c r="B124" s="39"/>
      <c r="C124" s="28" t="s">
        <v>5</v>
      </c>
      <c r="D124" s="28" t="s">
        <v>6</v>
      </c>
      <c r="E124" s="28" t="s">
        <v>7</v>
      </c>
      <c r="F124" s="28" t="s">
        <v>8</v>
      </c>
      <c r="G124" s="28"/>
      <c r="H124" s="28"/>
      <c r="I124" s="28"/>
      <c r="J124" s="28"/>
      <c r="K124" s="23" t="s">
        <v>9</v>
      </c>
      <c r="L124" s="4" t="s">
        <v>10</v>
      </c>
      <c r="M124" s="4" t="s">
        <v>11</v>
      </c>
      <c r="N124" s="4" t="s">
        <v>12</v>
      </c>
      <c r="O124" s="4" t="s">
        <v>13</v>
      </c>
      <c r="P124" s="4" t="s">
        <v>14</v>
      </c>
      <c r="Q124" s="4" t="s">
        <v>15</v>
      </c>
      <c r="R124" s="4"/>
      <c r="S124" s="4"/>
      <c r="T124" s="4"/>
      <c r="U124" s="5"/>
      <c r="W124" s="38">
        <v>300</v>
      </c>
      <c r="X124" s="38">
        <v>1</v>
      </c>
      <c r="Y124" s="38">
        <v>97.72</v>
      </c>
    </row>
    <row r="125" spans="2:25" ht="13.5" customHeight="1" thickBot="1" x14ac:dyDescent="0.25">
      <c r="B125" s="16"/>
      <c r="C125" s="272"/>
      <c r="D125" s="206"/>
      <c r="E125" s="1"/>
      <c r="F125" s="1"/>
      <c r="K125" s="63" t="e">
        <f>(M125+O125)*Q125+M127+M129+IFERROR(M131,0)</f>
        <v>#N/A</v>
      </c>
      <c r="L125" s="26"/>
      <c r="M125" s="26">
        <f>IF(G127=0,$E$7*0.06,G127*0.06)</f>
        <v>0</v>
      </c>
      <c r="N125" s="26"/>
      <c r="O125" s="26" t="e">
        <f>INDEX(VbSpeedConstA_Int,MATCH(1,INDEX((INDEX(VbSpeedConstB_Type,MATCH(D125,VbSpeedConstB_Figure))=VbSpeedConstA_Type)*(G134=VbSpeedConstA_Rc),,),0))+INDEX(VbSpeedConstA_Slope,MATCH(1,INDEX((INDEX(VbSpeedConstB_Type,MATCH(D125,VbSpeedConstB_Figure))=VbSpeedConstA_Type)*(G134=VbSpeedConstA_Rc),,),0))*IF(F125&lt;80,80,F125)</f>
        <v>#N/A</v>
      </c>
      <c r="P125" s="26"/>
      <c r="Q125" s="26" t="e">
        <f>IF("curve"&lt;&gt;INDEX(VbSpeedConstB_Type,MATCH(D125,VbSpeedConstB_Figure)),G128-IFERROR(INDEX(VbModuleLength_Length,MATCH(G130,VbModuleLength_Module,0)),)-IFERROR(INDEX(VbModuleLength_Length,MATCH(H130,VbModuleLength_Module,0)),),0)/12</f>
        <v>#N/A</v>
      </c>
      <c r="R125" s="26"/>
      <c r="S125" s="26"/>
      <c r="T125" s="26"/>
      <c r="U125" s="22"/>
      <c r="W125" s="38">
        <v>320</v>
      </c>
      <c r="X125" s="38">
        <v>1</v>
      </c>
      <c r="Y125" s="38">
        <v>91.61</v>
      </c>
    </row>
    <row r="126" spans="2:25" ht="13.5" customHeight="1" thickBot="1" x14ac:dyDescent="0.25">
      <c r="B126" s="16"/>
      <c r="C126" s="273"/>
      <c r="D126" s="205"/>
      <c r="E126" s="205"/>
      <c r="F126" s="205"/>
      <c r="K126" s="24"/>
      <c r="L126" s="64" t="s">
        <v>18</v>
      </c>
      <c r="M126" s="3" t="s">
        <v>19</v>
      </c>
      <c r="N126" s="3" t="s">
        <v>10</v>
      </c>
      <c r="O126" s="3" t="s">
        <v>20</v>
      </c>
      <c r="P126" s="3" t="s">
        <v>12</v>
      </c>
      <c r="Q126" s="3" t="s">
        <v>13</v>
      </c>
      <c r="R126" s="3" t="s">
        <v>14</v>
      </c>
      <c r="S126" s="3" t="s">
        <v>15</v>
      </c>
      <c r="T126" s="3"/>
      <c r="U126" s="65"/>
      <c r="W126" s="38">
        <v>220</v>
      </c>
      <c r="X126" s="38">
        <v>1.5</v>
      </c>
      <c r="Y126" s="38">
        <v>125</v>
      </c>
    </row>
    <row r="127" spans="2:25" ht="13.5" customHeight="1" thickBot="1" x14ac:dyDescent="0.25">
      <c r="B127" s="16"/>
      <c r="C127" s="243" t="s">
        <v>24</v>
      </c>
      <c r="D127" s="243"/>
      <c r="E127" s="243"/>
      <c r="F127" s="244"/>
      <c r="G127" s="1"/>
      <c r="K127" s="63"/>
      <c r="L127" s="26" t="s">
        <v>12</v>
      </c>
      <c r="M127" s="26" t="e">
        <f>(O127+Q127)*S127</f>
        <v>#N/A</v>
      </c>
      <c r="N127" s="26"/>
      <c r="O127" s="26">
        <f>IF(G127=0,$E$7*0.06,G127*0.06)</f>
        <v>0</v>
      </c>
      <c r="P127" s="26"/>
      <c r="Q127" s="26" t="e">
        <f>INDEX(VbSpeedConstA_Int,MATCH(1,INDEX((G132=VbSpeedConstA_Type)*(G134=VbSpeedConstA_Rc),,),0))+INDEX(VbSpeedConstA_Slope,MATCH(1,INDEX((G132=VbSpeedConstA_Type)*(G134=VbSpeedConstA_Rc),,),0))*IF(F125&lt;80,80,F125)</f>
        <v>#N/A</v>
      </c>
      <c r="R127" s="26"/>
      <c r="S127" s="26">
        <f>MAX(0,(G131-IFERROR(INDEX(VbModuleLength_Length,MATCH(G130,VbModuleLength_Module,0)),))/12)</f>
        <v>0</v>
      </c>
      <c r="T127" s="26"/>
      <c r="U127" s="22"/>
      <c r="W127" s="38">
        <v>260</v>
      </c>
      <c r="X127" s="38">
        <v>1.5</v>
      </c>
      <c r="Y127" s="38">
        <v>125</v>
      </c>
    </row>
    <row r="128" spans="2:25" ht="13.5" customHeight="1" thickBot="1" x14ac:dyDescent="0.25">
      <c r="B128" s="16"/>
      <c r="C128" s="243" t="s">
        <v>27</v>
      </c>
      <c r="D128" s="243"/>
      <c r="E128" s="243"/>
      <c r="F128" s="244"/>
      <c r="G128" s="1"/>
      <c r="K128" s="24"/>
      <c r="L128" s="3"/>
      <c r="M128" s="3" t="s">
        <v>28</v>
      </c>
      <c r="N128" s="3" t="s">
        <v>10</v>
      </c>
      <c r="O128" s="3" t="s">
        <v>20</v>
      </c>
      <c r="P128" s="3" t="s">
        <v>12</v>
      </c>
      <c r="Q128" s="3" t="s">
        <v>13</v>
      </c>
      <c r="R128" s="3" t="s">
        <v>14</v>
      </c>
      <c r="S128" s="3" t="s">
        <v>15</v>
      </c>
      <c r="T128" s="3"/>
      <c r="U128" s="65"/>
      <c r="W128" s="38">
        <v>280</v>
      </c>
      <c r="X128" s="38">
        <v>1.5</v>
      </c>
      <c r="Y128" s="38">
        <v>125</v>
      </c>
    </row>
    <row r="129" spans="2:25" ht="13.5" customHeight="1" thickBot="1" x14ac:dyDescent="0.25">
      <c r="B129" s="16"/>
      <c r="C129" s="245"/>
      <c r="D129" s="245"/>
      <c r="E129" s="245"/>
      <c r="F129" s="245"/>
      <c r="G129" s="2" t="s">
        <v>30</v>
      </c>
      <c r="H129" s="66" t="s">
        <v>31</v>
      </c>
      <c r="I129" s="2" t="s">
        <v>32</v>
      </c>
      <c r="K129" s="63"/>
      <c r="L129" s="26" t="s">
        <v>12</v>
      </c>
      <c r="M129" s="26" t="e">
        <f>(O129+Q129)*S129</f>
        <v>#N/A</v>
      </c>
      <c r="N129" s="26"/>
      <c r="O129" s="26">
        <f>IF(G127=0,$E$7*0.06,G127*0.06)</f>
        <v>0</v>
      </c>
      <c r="P129" s="26"/>
      <c r="Q129" s="26" t="e">
        <f>INDEX(VbSpeedConstA_Int,MATCH(1,INDEX((H132=VbSpeedConstA_Type)*(G134=VbSpeedConstA_Rc),,),0))+INDEX(VbSpeedConstA_Slope,MATCH(1,INDEX((H132=VbSpeedConstA_Type)*(G134=VbSpeedConstA_Rc),,),0))*IF(F125&lt;80,80,F125)</f>
        <v>#N/A</v>
      </c>
      <c r="R129" s="26"/>
      <c r="S129" s="26">
        <f>MAX(0,(H131-IFERROR(INDEX(VbModuleLength_Length,MATCH(H130,VbModuleLength_Module,0)),))/12)</f>
        <v>0</v>
      </c>
      <c r="T129" s="26"/>
      <c r="U129" s="22"/>
      <c r="W129" s="38">
        <v>300</v>
      </c>
      <c r="X129" s="38">
        <v>1.5</v>
      </c>
      <c r="Y129" s="38">
        <v>125</v>
      </c>
    </row>
    <row r="130" spans="2:25" ht="13.5" customHeight="1" thickBot="1" x14ac:dyDescent="0.25">
      <c r="B130" s="16"/>
      <c r="C130" s="243" t="s">
        <v>34</v>
      </c>
      <c r="D130" s="243"/>
      <c r="E130" s="243"/>
      <c r="F130" s="244"/>
      <c r="G130" s="1"/>
      <c r="H130" s="1"/>
      <c r="I130" s="1"/>
      <c r="K130" s="24"/>
      <c r="L130" s="3"/>
      <c r="M130" s="3" t="s">
        <v>35</v>
      </c>
      <c r="N130" s="3" t="s">
        <v>10</v>
      </c>
      <c r="O130" s="3" t="s">
        <v>20</v>
      </c>
      <c r="P130" s="3" t="s">
        <v>12</v>
      </c>
      <c r="Q130" s="3" t="s">
        <v>13</v>
      </c>
      <c r="R130" s="3" t="s">
        <v>14</v>
      </c>
      <c r="S130" s="3" t="s">
        <v>15</v>
      </c>
      <c r="T130" s="3"/>
      <c r="U130" s="65"/>
      <c r="W130" s="38">
        <v>320</v>
      </c>
      <c r="X130" s="38">
        <v>1.5</v>
      </c>
      <c r="Y130" s="38">
        <v>125</v>
      </c>
    </row>
    <row r="131" spans="2:25" ht="13.5" customHeight="1" thickBot="1" x14ac:dyDescent="0.25">
      <c r="B131" s="16"/>
      <c r="C131" s="243" t="s">
        <v>38</v>
      </c>
      <c r="D131" s="243"/>
      <c r="E131" s="243"/>
      <c r="F131" s="244"/>
      <c r="G131" s="1"/>
      <c r="H131" s="1"/>
      <c r="I131" s="1"/>
      <c r="K131" s="25"/>
      <c r="L131" s="20" t="s">
        <v>12</v>
      </c>
      <c r="M131" s="20" t="e">
        <f>(O131+Q131)*S131</f>
        <v>#N/A</v>
      </c>
      <c r="N131" s="20"/>
      <c r="O131" s="20">
        <f>IF(G127=0,$E$7*0.06,G127*0.06)</f>
        <v>0</v>
      </c>
      <c r="P131" s="20"/>
      <c r="Q131" s="20" t="e">
        <f>INDEX(VbSpeedConstA_Int,MATCH(1,INDEX((I132=VbSpeedConstA_Type)*(G134=VbSpeedConstA_Rc),,),0))+INDEX(VbSpeedConstA_Slope,MATCH(1,INDEX((I132=VbSpeedConstA_Type)*(G134=VbSpeedConstA_Rc),,),0))*IF(F125&lt;80,80,F125)</f>
        <v>#N/A</v>
      </c>
      <c r="R131" s="20"/>
      <c r="S131" s="20">
        <f>MAX(0,(I131-IFERROR(INDEX(VbModuleLength_Length,MATCH(I130,VbModuleLength_Module,0)),))/12)</f>
        <v>0</v>
      </c>
      <c r="T131" s="20"/>
      <c r="U131" s="41"/>
      <c r="W131" s="38">
        <v>360</v>
      </c>
      <c r="X131" s="38">
        <v>1.5</v>
      </c>
      <c r="Y131" s="38">
        <v>125</v>
      </c>
    </row>
    <row r="132" spans="2:25" ht="13.5" customHeight="1" thickBot="1" x14ac:dyDescent="0.25">
      <c r="B132" s="16"/>
      <c r="C132" s="243" t="s">
        <v>40</v>
      </c>
      <c r="D132" s="243"/>
      <c r="E132" s="243"/>
      <c r="F132" s="244"/>
      <c r="G132" s="1"/>
      <c r="H132" s="1"/>
      <c r="I132" s="1"/>
      <c r="K132" s="67" t="s">
        <v>41</v>
      </c>
      <c r="L132" s="9" t="s">
        <v>10</v>
      </c>
      <c r="M132" s="9" t="s">
        <v>42</v>
      </c>
      <c r="N132" s="9" t="s">
        <v>12</v>
      </c>
      <c r="O132" s="9" t="s">
        <v>13</v>
      </c>
      <c r="P132" s="9" t="s">
        <v>14</v>
      </c>
      <c r="Q132" s="9" t="s">
        <v>43</v>
      </c>
      <c r="R132" s="9" t="s">
        <v>14</v>
      </c>
      <c r="S132" s="3" t="s">
        <v>44</v>
      </c>
      <c r="T132" s="3"/>
      <c r="U132" s="65"/>
      <c r="W132" s="38">
        <v>400</v>
      </c>
      <c r="X132" s="38">
        <v>1.5</v>
      </c>
      <c r="Y132" s="38">
        <v>114.02</v>
      </c>
    </row>
    <row r="133" spans="2:25" ht="13.5" customHeight="1" thickBot="1" x14ac:dyDescent="0.25">
      <c r="B133" s="16"/>
      <c r="C133" s="245"/>
      <c r="D133" s="245"/>
      <c r="E133" s="245"/>
      <c r="F133" s="245"/>
      <c r="K133" s="25" t="e">
        <f>(M133+O133)*Q133*S133</f>
        <v>#N/A</v>
      </c>
      <c r="L133" s="20"/>
      <c r="M133" s="20">
        <f>IF(G127=0,$E$7*0.133,G127*0.133)</f>
        <v>0</v>
      </c>
      <c r="N133" s="20"/>
      <c r="O133" s="20" t="e">
        <f>O125</f>
        <v>#N/A</v>
      </c>
      <c r="P133" s="20"/>
      <c r="Q133" s="20">
        <f>IFERROR(INDEX(VbWidthFactor_Constant,MATCH(E125,VbWidthFactor_NW)),0)</f>
        <v>0</v>
      </c>
      <c r="R133" s="20"/>
      <c r="S133" s="26">
        <f>IFERROR(INDEX(VbFigureConst_Const,MATCH(D125,VbFigureConst_Figure,0)),)</f>
        <v>0</v>
      </c>
      <c r="T133" s="26"/>
      <c r="U133" s="22"/>
      <c r="W133" s="38">
        <v>440</v>
      </c>
      <c r="X133" s="38">
        <v>1.5</v>
      </c>
      <c r="Y133" s="38">
        <v>103.66</v>
      </c>
    </row>
    <row r="134" spans="2:25" ht="13.5" customHeight="1" thickBot="1" x14ac:dyDescent="0.25">
      <c r="B134" s="16"/>
      <c r="C134" s="243" t="s">
        <v>47</v>
      </c>
      <c r="D134" s="243"/>
      <c r="E134" s="243"/>
      <c r="F134" s="244"/>
      <c r="G134" s="1"/>
      <c r="K134" s="67" t="s">
        <v>48</v>
      </c>
      <c r="L134" s="9" t="s">
        <v>10</v>
      </c>
      <c r="M134" s="9" t="s">
        <v>49</v>
      </c>
      <c r="N134" s="9" t="s">
        <v>14</v>
      </c>
      <c r="O134" s="19">
        <v>5</v>
      </c>
      <c r="P134" s="21"/>
      <c r="Q134" s="21"/>
      <c r="R134" s="21"/>
      <c r="S134" s="265" t="s">
        <v>50</v>
      </c>
      <c r="T134" s="266"/>
      <c r="U134" s="68" t="s">
        <v>51</v>
      </c>
      <c r="W134" s="38">
        <v>520</v>
      </c>
      <c r="X134" s="38">
        <v>1.5</v>
      </c>
      <c r="Y134" s="38">
        <v>88.83</v>
      </c>
    </row>
    <row r="135" spans="2:25" ht="13.5" customHeight="1" x14ac:dyDescent="0.2">
      <c r="B135" s="16"/>
      <c r="C135" s="245"/>
      <c r="D135" s="245"/>
      <c r="E135" s="245"/>
      <c r="F135" s="245"/>
      <c r="K135" s="25">
        <f>M135*O135</f>
        <v>0</v>
      </c>
      <c r="L135" s="20"/>
      <c r="M135" s="8">
        <f>COUNTA(G130:I130)</f>
        <v>0</v>
      </c>
      <c r="N135" s="20"/>
      <c r="O135" s="20">
        <v>5</v>
      </c>
      <c r="P135" s="20"/>
      <c r="Q135" s="20"/>
      <c r="R135" s="20"/>
      <c r="S135" s="267" t="str">
        <f>IF(ISBLANK(D125),"NEED FIGURE",IF(AND(ISBLANK(E125),INDEX(VbSpeedConstB_Type,MATCH(D125,VbSpeedConstB_Figure))="curve"),"NEED WIDTH",IF(AND("curve"&lt;&gt;INDEX(VbSpeedConstB_Type,MATCH(D125,VbSpeedConstB_Figure)),ISBLANK(G128)),"NEED OVERALL LENGTH","")))</f>
        <v>NEED FIGURE</v>
      </c>
      <c r="T135" s="268"/>
      <c r="U135" s="69" t="s">
        <v>53</v>
      </c>
      <c r="W135" s="38">
        <v>560</v>
      </c>
      <c r="X135" s="38">
        <v>1.5</v>
      </c>
      <c r="Y135" s="38">
        <v>82.48</v>
      </c>
    </row>
    <row r="136" spans="2:25" ht="13.5" customHeight="1" thickBot="1" x14ac:dyDescent="0.25">
      <c r="B136" s="16"/>
      <c r="C136" s="240"/>
      <c r="D136" s="240"/>
      <c r="E136" s="240"/>
      <c r="F136" s="240"/>
      <c r="G136" s="2" t="s">
        <v>56</v>
      </c>
      <c r="H136" s="2" t="s">
        <v>57</v>
      </c>
      <c r="K136" s="67" t="s">
        <v>58</v>
      </c>
      <c r="L136" s="9" t="s">
        <v>10</v>
      </c>
      <c r="M136" s="9" t="s">
        <v>59</v>
      </c>
      <c r="N136" s="9" t="s">
        <v>12</v>
      </c>
      <c r="O136" s="9" t="s">
        <v>60</v>
      </c>
      <c r="P136" s="9" t="s">
        <v>14</v>
      </c>
      <c r="Q136" s="9" t="s">
        <v>61</v>
      </c>
      <c r="R136" s="9"/>
      <c r="S136" s="276" t="str">
        <f>IF(ISBLANK(F125),"NEED SPEED",IF(AND(ISBLANK($E$7),ISBLANK(G127)),"NEED LIVE LOAD",""))</f>
        <v>NEED SPEED</v>
      </c>
      <c r="T136" s="277"/>
      <c r="U136" s="70" t="str">
        <f>IFERROR(IF(COUNTIF(G130:I130,"C43")=1,INDEX(VbDriveAb_Speed,MATCH(1,INDEX((F125&lt;=VbDriveAb_Speed)*(K141&lt;=VbDriveAb_Hp)*(K137&lt;=VbDriveAb_Ebp),,),0))&amp;" FPM",IF(SUM(COUNTIF(G130:I130,{"C42","C55","C56"}))=1,INDEX(VbDriveC_Speed,MATCH(1,INDEX((F125&lt;=VbDriveC_Speed)*(K141&lt;=VbDriveC_Hp)*(K137&lt;=VbDriveC_Ebp),,),0))&amp;" FPM","")),"")</f>
        <v/>
      </c>
      <c r="W136" s="38">
        <v>600</v>
      </c>
      <c r="X136" s="38">
        <v>1.5</v>
      </c>
      <c r="Y136" s="38">
        <v>76.98</v>
      </c>
    </row>
    <row r="137" spans="2:25" ht="13.5" customHeight="1" thickBot="1" x14ac:dyDescent="0.25">
      <c r="B137" s="16"/>
      <c r="C137" s="241" t="s">
        <v>64</v>
      </c>
      <c r="D137" s="241"/>
      <c r="E137" s="241"/>
      <c r="F137" s="242"/>
      <c r="G137" s="1"/>
      <c r="H137" s="1"/>
      <c r="K137" s="25" t="e">
        <f>(M137+O137)*Q137</f>
        <v>#N/A</v>
      </c>
      <c r="L137" s="20"/>
      <c r="M137" s="20" t="e">
        <f>K125+K133+K135</f>
        <v>#N/A</v>
      </c>
      <c r="N137" s="20"/>
      <c r="O137" s="20">
        <f>G139</f>
        <v>0</v>
      </c>
      <c r="P137" s="20"/>
      <c r="Q137" s="20">
        <v>1.25</v>
      </c>
      <c r="R137" s="20"/>
      <c r="S137" s="276" t="str">
        <f>IF(OR(ISBLANK(G130),ISBLANK(H130)),"NEED MODULE(S)",IF(OR(ISBLANK(G132),ISBLANK(H132)),"NEED STRAIGHT/SKEW",""))</f>
        <v>NEED MODULE(S)</v>
      </c>
      <c r="T137" s="277"/>
      <c r="U137" s="71" t="str">
        <f>IFERROR(IF(COUNTIF(G130:I130,"C43")=1,INDEX(VbDriveAb_Hp,MATCH(1,INDEX((F125&lt;=VbDriveAb_Speed)*(K141&lt;=VbDriveAb_Hp)*(K137&lt;=VbDriveAb_Ebp),,),0))&amp;" HP",IF(SUM(COUNTIF(G130:I130,{"C42","C55","C56"}))=1,INDEX(VbDriveC_Hp,MATCH(1,INDEX((F125&lt;=VbDriveC_Speed)*(K141&lt;=VbDriveC_Hp)*(K137&lt;=VbDriveC_Ebp),,),0))&amp;" HP","")),"")</f>
        <v/>
      </c>
    </row>
    <row r="138" spans="2:25" ht="13.5" customHeight="1" thickBot="1" x14ac:dyDescent="0.25">
      <c r="B138" s="16"/>
      <c r="C138" s="240"/>
      <c r="D138" s="240"/>
      <c r="E138" s="240"/>
      <c r="F138" s="240"/>
      <c r="K138" s="67" t="s">
        <v>67</v>
      </c>
      <c r="L138" s="9" t="s">
        <v>10</v>
      </c>
      <c r="M138" s="9" t="s">
        <v>58</v>
      </c>
      <c r="N138" s="9" t="s">
        <v>14</v>
      </c>
      <c r="O138" s="9" t="s">
        <v>68</v>
      </c>
      <c r="P138" s="9"/>
      <c r="Q138" s="9"/>
      <c r="R138" s="9"/>
      <c r="S138" s="276" t="str">
        <f>IF(ISBLANK(G134),"NEED ROLLER CENTERS","")</f>
        <v>NEED ROLLER CENTERS</v>
      </c>
      <c r="T138" s="277"/>
      <c r="U138" s="72" t="s">
        <v>69</v>
      </c>
    </row>
    <row r="139" spans="2:25" ht="13.5" customHeight="1" thickBot="1" x14ac:dyDescent="0.25">
      <c r="B139" s="16"/>
      <c r="C139" s="243" t="s">
        <v>71</v>
      </c>
      <c r="D139" s="243"/>
      <c r="E139" s="243"/>
      <c r="F139" s="243"/>
      <c r="G139" s="1"/>
      <c r="K139" s="25" t="e">
        <f>M139*O139</f>
        <v>#N/A</v>
      </c>
      <c r="L139" s="20"/>
      <c r="M139" s="20" t="e">
        <f>K137</f>
        <v>#N/A</v>
      </c>
      <c r="N139" s="20"/>
      <c r="O139" s="20">
        <f>IF(AND(ISNUMBER(G137),ISNUMBER(H137)),H137/G137,0)</f>
        <v>0</v>
      </c>
      <c r="P139" s="20"/>
      <c r="Q139" s="20"/>
      <c r="R139" s="20"/>
      <c r="S139" s="284"/>
      <c r="T139" s="285"/>
      <c r="U139" s="74" t="str">
        <f>IFERROR(IF(K139&gt;0,K139,""),"")</f>
        <v/>
      </c>
    </row>
    <row r="140" spans="2:25" ht="13.5" customHeight="1" thickBot="1" x14ac:dyDescent="0.25">
      <c r="B140" s="16"/>
      <c r="C140" s="240"/>
      <c r="D140" s="240"/>
      <c r="E140" s="240"/>
      <c r="F140" s="240"/>
      <c r="K140" s="24" t="s">
        <v>74</v>
      </c>
      <c r="L140" s="3" t="s">
        <v>10</v>
      </c>
      <c r="M140" s="3" t="s">
        <v>58</v>
      </c>
      <c r="N140" s="3" t="s">
        <v>14</v>
      </c>
      <c r="O140" s="3" t="s">
        <v>8</v>
      </c>
      <c r="P140" s="3" t="s">
        <v>75</v>
      </c>
      <c r="Q140" s="3" t="s">
        <v>76</v>
      </c>
      <c r="S140" s="276" t="str">
        <f>IFERROR(IF(K141&gt;MAX(VbDriveAb_Hp,VbDriveC_Hp),"EXCEEDS MAX HP",""),"")</f>
        <v/>
      </c>
      <c r="T140" s="277"/>
      <c r="U140" s="278" t="str">
        <f>IF(NOT(OR(SUM(COUNTIF(G130:I130,{"C42","C43","C51","C55","C56"}))&gt;0,COUNTBLANK(G137:H137)&lt;1)),"NEED DRIVE MODULE OR SLAVE RATIO",IF(AND(SUM(COUNTIF(G130:I130,{"C42","C43","C51","C55","C56"}))&gt;0,COUNTBLANK(G137:H137)&lt;1),"CAN'T BE SLAVE AND HAVE DRIVE",""))</f>
        <v>NEED DRIVE MODULE OR SLAVE RATIO</v>
      </c>
    </row>
    <row r="141" spans="2:25" ht="13.5" customHeight="1" thickBot="1" x14ac:dyDescent="0.25">
      <c r="B141" s="286" t="s">
        <v>78</v>
      </c>
      <c r="C141" s="287"/>
      <c r="D141" s="262"/>
      <c r="E141" s="263"/>
      <c r="F141" s="263"/>
      <c r="G141" s="263"/>
      <c r="H141" s="263"/>
      <c r="I141" s="263"/>
      <c r="J141" s="264"/>
      <c r="K141" s="73" t="e">
        <f>M141*O141/Q141</f>
        <v>#N/A</v>
      </c>
      <c r="L141" s="27"/>
      <c r="M141" s="27" t="e">
        <f>K137</f>
        <v>#N/A</v>
      </c>
      <c r="N141" s="27"/>
      <c r="O141" s="27">
        <f>F125</f>
        <v>0</v>
      </c>
      <c r="P141" s="27"/>
      <c r="Q141" s="27">
        <v>31350</v>
      </c>
      <c r="R141" s="27"/>
      <c r="S141" s="274" t="str">
        <f>IFERROR(IF(K137&gt;125,"EXCEEDS BELT STRENGTH",""),"")</f>
        <v/>
      </c>
      <c r="T141" s="275"/>
      <c r="U141" s="279"/>
    </row>
    <row r="142" spans="2:25" ht="13.5" customHeight="1" thickBot="1" x14ac:dyDescent="0.25"/>
    <row r="143" spans="2:25" ht="13.5" customHeight="1" thickBot="1" x14ac:dyDescent="0.25">
      <c r="B143" s="39"/>
      <c r="C143" s="28" t="s">
        <v>5</v>
      </c>
      <c r="D143" s="28" t="s">
        <v>6</v>
      </c>
      <c r="E143" s="28" t="s">
        <v>7</v>
      </c>
      <c r="F143" s="28" t="s">
        <v>8</v>
      </c>
      <c r="G143" s="28"/>
      <c r="H143" s="28"/>
      <c r="I143" s="28"/>
      <c r="J143" s="28"/>
      <c r="K143" s="23" t="s">
        <v>9</v>
      </c>
      <c r="L143" s="4" t="s">
        <v>10</v>
      </c>
      <c r="M143" s="4" t="s">
        <v>11</v>
      </c>
      <c r="N143" s="4" t="s">
        <v>12</v>
      </c>
      <c r="O143" s="4" t="s">
        <v>13</v>
      </c>
      <c r="P143" s="4" t="s">
        <v>14</v>
      </c>
      <c r="Q143" s="4" t="s">
        <v>15</v>
      </c>
      <c r="R143" s="4"/>
      <c r="S143" s="4"/>
      <c r="T143" s="4"/>
      <c r="U143" s="5"/>
    </row>
    <row r="144" spans="2:25" ht="13.5" customHeight="1" thickBot="1" x14ac:dyDescent="0.25">
      <c r="B144" s="16"/>
      <c r="C144" s="272"/>
      <c r="D144" s="206"/>
      <c r="E144" s="1"/>
      <c r="F144" s="1"/>
      <c r="K144" s="63" t="e">
        <f>(M144+O144)*Q144+M146+M148+IFERROR(M150,0)</f>
        <v>#N/A</v>
      </c>
      <c r="L144" s="26"/>
      <c r="M144" s="26">
        <f>IF(G146=0,$E$7*0.06,G146*0.06)</f>
        <v>0</v>
      </c>
      <c r="N144" s="26"/>
      <c r="O144" s="26" t="e">
        <f>INDEX(VbSpeedConstA_Int,MATCH(1,INDEX((INDEX(VbSpeedConstB_Type,MATCH(D144,VbSpeedConstB_Figure))=VbSpeedConstA_Type)*(G153=VbSpeedConstA_Rc),,),0))+INDEX(VbSpeedConstA_Slope,MATCH(1,INDEX((INDEX(VbSpeedConstB_Type,MATCH(D144,VbSpeedConstB_Figure))=VbSpeedConstA_Type)*(G153=VbSpeedConstA_Rc),,),0))*IF(F144&lt;80,80,F144)</f>
        <v>#N/A</v>
      </c>
      <c r="P144" s="26"/>
      <c r="Q144" s="26" t="e">
        <f>IF("curve"&lt;&gt;INDEX(VbSpeedConstB_Type,MATCH(D144,VbSpeedConstB_Figure)),G147-IFERROR(INDEX(VbModuleLength_Length,MATCH(G149,VbModuleLength_Module,0)),)-IFERROR(INDEX(VbModuleLength_Length,MATCH(H149,VbModuleLength_Module,0)),),0)/12</f>
        <v>#N/A</v>
      </c>
      <c r="R144" s="26"/>
      <c r="S144" s="26"/>
      <c r="T144" s="26"/>
      <c r="U144" s="22"/>
    </row>
    <row r="145" spans="2:21" ht="13.5" customHeight="1" thickBot="1" x14ac:dyDescent="0.25">
      <c r="B145" s="16"/>
      <c r="C145" s="273"/>
      <c r="D145" s="205"/>
      <c r="E145" s="205"/>
      <c r="F145" s="205"/>
      <c r="K145" s="24"/>
      <c r="L145" s="64" t="s">
        <v>18</v>
      </c>
      <c r="M145" s="3" t="s">
        <v>19</v>
      </c>
      <c r="N145" s="3" t="s">
        <v>10</v>
      </c>
      <c r="O145" s="3" t="s">
        <v>20</v>
      </c>
      <c r="P145" s="3" t="s">
        <v>12</v>
      </c>
      <c r="Q145" s="3" t="s">
        <v>13</v>
      </c>
      <c r="R145" s="3" t="s">
        <v>14</v>
      </c>
      <c r="S145" s="3" t="s">
        <v>15</v>
      </c>
      <c r="T145" s="3"/>
      <c r="U145" s="65"/>
    </row>
    <row r="146" spans="2:21" ht="13.5" customHeight="1" thickBot="1" x14ac:dyDescent="0.25">
      <c r="B146" s="16"/>
      <c r="C146" s="243" t="s">
        <v>24</v>
      </c>
      <c r="D146" s="243"/>
      <c r="E146" s="243"/>
      <c r="F146" s="244"/>
      <c r="G146" s="1"/>
      <c r="K146" s="63"/>
      <c r="L146" s="26" t="s">
        <v>12</v>
      </c>
      <c r="M146" s="26" t="e">
        <f>(O146+Q146)*S146</f>
        <v>#N/A</v>
      </c>
      <c r="N146" s="26"/>
      <c r="O146" s="26">
        <f>IF(G146=0,$E$7*0.06,G146*0.06)</f>
        <v>0</v>
      </c>
      <c r="P146" s="26"/>
      <c r="Q146" s="26" t="e">
        <f>INDEX(VbSpeedConstA_Int,MATCH(1,INDEX((G151=VbSpeedConstA_Type)*(G153=VbSpeedConstA_Rc),,),0))+INDEX(VbSpeedConstA_Slope,MATCH(1,INDEX((G151=VbSpeedConstA_Type)*(G153=VbSpeedConstA_Rc),,),0))*IF(F144&lt;80,80,F144)</f>
        <v>#N/A</v>
      </c>
      <c r="R146" s="26"/>
      <c r="S146" s="26">
        <f>MAX(0,(G150-IFERROR(INDEX(VbModuleLength_Length,MATCH(G149,VbModuleLength_Module,0)),))/12)</f>
        <v>0</v>
      </c>
      <c r="T146" s="26"/>
      <c r="U146" s="22"/>
    </row>
    <row r="147" spans="2:21" ht="13.5" customHeight="1" thickBot="1" x14ac:dyDescent="0.25">
      <c r="B147" s="16"/>
      <c r="C147" s="243" t="s">
        <v>27</v>
      </c>
      <c r="D147" s="243"/>
      <c r="E147" s="243"/>
      <c r="F147" s="244"/>
      <c r="G147" s="1"/>
      <c r="K147" s="24"/>
      <c r="L147" s="3"/>
      <c r="M147" s="3" t="s">
        <v>28</v>
      </c>
      <c r="N147" s="3" t="s">
        <v>10</v>
      </c>
      <c r="O147" s="3" t="s">
        <v>20</v>
      </c>
      <c r="P147" s="3" t="s">
        <v>12</v>
      </c>
      <c r="Q147" s="3" t="s">
        <v>13</v>
      </c>
      <c r="R147" s="3" t="s">
        <v>14</v>
      </c>
      <c r="S147" s="3" t="s">
        <v>15</v>
      </c>
      <c r="T147" s="3"/>
      <c r="U147" s="65"/>
    </row>
    <row r="148" spans="2:21" ht="13.5" customHeight="1" thickBot="1" x14ac:dyDescent="0.25">
      <c r="B148" s="16"/>
      <c r="C148" s="245"/>
      <c r="D148" s="245"/>
      <c r="E148" s="245"/>
      <c r="F148" s="245"/>
      <c r="G148" s="2" t="s">
        <v>30</v>
      </c>
      <c r="H148" s="66" t="s">
        <v>31</v>
      </c>
      <c r="I148" s="2" t="s">
        <v>32</v>
      </c>
      <c r="K148" s="63"/>
      <c r="L148" s="26" t="s">
        <v>12</v>
      </c>
      <c r="M148" s="26" t="e">
        <f>(O148+Q148)*S148</f>
        <v>#N/A</v>
      </c>
      <c r="N148" s="26"/>
      <c r="O148" s="26">
        <f>IF(G146=0,$E$7*0.06,G146*0.06)</f>
        <v>0</v>
      </c>
      <c r="P148" s="26"/>
      <c r="Q148" s="26" t="e">
        <f>INDEX(VbSpeedConstA_Int,MATCH(1,INDEX((H151=VbSpeedConstA_Type)*(G153=VbSpeedConstA_Rc),,),0))+INDEX(VbSpeedConstA_Slope,MATCH(1,INDEX((H151=VbSpeedConstA_Type)*(G153=VbSpeedConstA_Rc),,),0))*IF(F144&lt;80,80,F144)</f>
        <v>#N/A</v>
      </c>
      <c r="R148" s="26"/>
      <c r="S148" s="26">
        <f>MAX(0,(H150-IFERROR(INDEX(VbModuleLength_Length,MATCH(H149,VbModuleLength_Module,0)),))/12)</f>
        <v>0</v>
      </c>
      <c r="T148" s="26"/>
      <c r="U148" s="22"/>
    </row>
    <row r="149" spans="2:21" ht="13.5" customHeight="1" thickBot="1" x14ac:dyDescent="0.25">
      <c r="B149" s="16"/>
      <c r="C149" s="243" t="s">
        <v>34</v>
      </c>
      <c r="D149" s="243"/>
      <c r="E149" s="243"/>
      <c r="F149" s="244"/>
      <c r="G149" s="1"/>
      <c r="H149" s="1"/>
      <c r="I149" s="1"/>
      <c r="K149" s="24"/>
      <c r="L149" s="3"/>
      <c r="M149" s="3" t="s">
        <v>35</v>
      </c>
      <c r="N149" s="3" t="s">
        <v>10</v>
      </c>
      <c r="O149" s="3" t="s">
        <v>20</v>
      </c>
      <c r="P149" s="3" t="s">
        <v>12</v>
      </c>
      <c r="Q149" s="3" t="s">
        <v>13</v>
      </c>
      <c r="R149" s="3" t="s">
        <v>14</v>
      </c>
      <c r="S149" s="3" t="s">
        <v>15</v>
      </c>
      <c r="T149" s="3"/>
      <c r="U149" s="65"/>
    </row>
    <row r="150" spans="2:21" ht="13.5" customHeight="1" thickBot="1" x14ac:dyDescent="0.25">
      <c r="B150" s="16"/>
      <c r="C150" s="243" t="s">
        <v>38</v>
      </c>
      <c r="D150" s="243"/>
      <c r="E150" s="243"/>
      <c r="F150" s="244"/>
      <c r="G150" s="1"/>
      <c r="H150" s="1"/>
      <c r="I150" s="1"/>
      <c r="K150" s="25"/>
      <c r="L150" s="20" t="s">
        <v>12</v>
      </c>
      <c r="M150" s="20" t="e">
        <f>(O150+Q150)*S150</f>
        <v>#N/A</v>
      </c>
      <c r="N150" s="20"/>
      <c r="O150" s="20">
        <f>IF(G146=0,$E$7*0.06,G146*0.06)</f>
        <v>0</v>
      </c>
      <c r="P150" s="20"/>
      <c r="Q150" s="20" t="e">
        <f>INDEX(VbSpeedConstA_Int,MATCH(1,INDEX((I151=VbSpeedConstA_Type)*(G153=VbSpeedConstA_Rc),,),0))+INDEX(VbSpeedConstA_Slope,MATCH(1,INDEX((I151=VbSpeedConstA_Type)*(G153=VbSpeedConstA_Rc),,),0))*IF(F144&lt;80,80,F144)</f>
        <v>#N/A</v>
      </c>
      <c r="R150" s="20"/>
      <c r="S150" s="20">
        <f>MAX(0,(I150-IFERROR(INDEX(VbModuleLength_Length,MATCH(I149,VbModuleLength_Module,0)),))/12)</f>
        <v>0</v>
      </c>
      <c r="T150" s="20"/>
      <c r="U150" s="41"/>
    </row>
    <row r="151" spans="2:21" ht="13.5" customHeight="1" thickBot="1" x14ac:dyDescent="0.25">
      <c r="B151" s="16"/>
      <c r="C151" s="243" t="s">
        <v>40</v>
      </c>
      <c r="D151" s="243"/>
      <c r="E151" s="243"/>
      <c r="F151" s="244"/>
      <c r="G151" s="1"/>
      <c r="H151" s="1"/>
      <c r="I151" s="1"/>
      <c r="K151" s="67" t="s">
        <v>41</v>
      </c>
      <c r="L151" s="9" t="s">
        <v>10</v>
      </c>
      <c r="M151" s="9" t="s">
        <v>42</v>
      </c>
      <c r="N151" s="9" t="s">
        <v>12</v>
      </c>
      <c r="O151" s="9" t="s">
        <v>13</v>
      </c>
      <c r="P151" s="9" t="s">
        <v>14</v>
      </c>
      <c r="Q151" s="9" t="s">
        <v>43</v>
      </c>
      <c r="R151" s="9" t="s">
        <v>14</v>
      </c>
      <c r="S151" s="3" t="s">
        <v>44</v>
      </c>
      <c r="T151" s="3"/>
      <c r="U151" s="65"/>
    </row>
    <row r="152" spans="2:21" ht="13.5" customHeight="1" thickBot="1" x14ac:dyDescent="0.25">
      <c r="B152" s="16"/>
      <c r="C152" s="245"/>
      <c r="D152" s="245"/>
      <c r="E152" s="245"/>
      <c r="F152" s="245"/>
      <c r="K152" s="25" t="e">
        <f>(M152+O152)*Q152*S152</f>
        <v>#N/A</v>
      </c>
      <c r="L152" s="20"/>
      <c r="M152" s="20">
        <f>IF(G146=0,$E$7*0.133,G146*0.133)</f>
        <v>0</v>
      </c>
      <c r="N152" s="20"/>
      <c r="O152" s="20" t="e">
        <f>O144</f>
        <v>#N/A</v>
      </c>
      <c r="P152" s="20"/>
      <c r="Q152" s="20">
        <f>IFERROR(INDEX(VbWidthFactor_Constant,MATCH(E144,VbWidthFactor_NW)),0)</f>
        <v>0</v>
      </c>
      <c r="R152" s="20"/>
      <c r="S152" s="26">
        <f>IFERROR(INDEX(VbFigureConst_Const,MATCH(D144,VbFigureConst_Figure,0)),)</f>
        <v>0</v>
      </c>
      <c r="T152" s="26"/>
      <c r="U152" s="22"/>
    </row>
    <row r="153" spans="2:21" ht="13.5" customHeight="1" thickBot="1" x14ac:dyDescent="0.25">
      <c r="B153" s="16"/>
      <c r="C153" s="243" t="s">
        <v>47</v>
      </c>
      <c r="D153" s="243"/>
      <c r="E153" s="243"/>
      <c r="F153" s="244"/>
      <c r="G153" s="1"/>
      <c r="K153" s="67" t="s">
        <v>48</v>
      </c>
      <c r="L153" s="9" t="s">
        <v>10</v>
      </c>
      <c r="M153" s="9" t="s">
        <v>49</v>
      </c>
      <c r="N153" s="9" t="s">
        <v>14</v>
      </c>
      <c r="O153" s="19">
        <v>5</v>
      </c>
      <c r="P153" s="21"/>
      <c r="Q153" s="21"/>
      <c r="R153" s="21"/>
      <c r="S153" s="265" t="s">
        <v>50</v>
      </c>
      <c r="T153" s="266"/>
      <c r="U153" s="68" t="s">
        <v>51</v>
      </c>
    </row>
    <row r="154" spans="2:21" ht="13.5" customHeight="1" x14ac:dyDescent="0.2">
      <c r="B154" s="16"/>
      <c r="C154" s="245"/>
      <c r="D154" s="245"/>
      <c r="E154" s="245"/>
      <c r="F154" s="245"/>
      <c r="K154" s="25">
        <f>M154*O154</f>
        <v>0</v>
      </c>
      <c r="L154" s="20"/>
      <c r="M154" s="8">
        <f>COUNTA(G149:I149)</f>
        <v>0</v>
      </c>
      <c r="N154" s="20"/>
      <c r="O154" s="20">
        <v>5</v>
      </c>
      <c r="P154" s="20"/>
      <c r="Q154" s="20"/>
      <c r="R154" s="20"/>
      <c r="S154" s="267" t="str">
        <f>IF(ISBLANK(D144),"NEED FIGURE",IF(AND(ISBLANK(E144),INDEX(VbSpeedConstB_Type,MATCH(D144,VbSpeedConstB_Figure))="curve"),"NEED WIDTH",IF(AND("curve"&lt;&gt;INDEX(VbSpeedConstB_Type,MATCH(D144,VbSpeedConstB_Figure)),ISBLANK(G147)),"NEED OVERALL LENGTH","")))</f>
        <v>NEED FIGURE</v>
      </c>
      <c r="T154" s="268"/>
      <c r="U154" s="69" t="s">
        <v>53</v>
      </c>
    </row>
    <row r="155" spans="2:21" ht="13.5" customHeight="1" thickBot="1" x14ac:dyDescent="0.25">
      <c r="B155" s="16"/>
      <c r="C155" s="240"/>
      <c r="D155" s="240"/>
      <c r="E155" s="240"/>
      <c r="F155" s="240"/>
      <c r="G155" s="2" t="s">
        <v>56</v>
      </c>
      <c r="H155" s="2" t="s">
        <v>57</v>
      </c>
      <c r="K155" s="67" t="s">
        <v>58</v>
      </c>
      <c r="L155" s="9" t="s">
        <v>10</v>
      </c>
      <c r="M155" s="9" t="s">
        <v>59</v>
      </c>
      <c r="N155" s="9" t="s">
        <v>12</v>
      </c>
      <c r="O155" s="9" t="s">
        <v>60</v>
      </c>
      <c r="P155" s="9" t="s">
        <v>14</v>
      </c>
      <c r="Q155" s="9" t="s">
        <v>61</v>
      </c>
      <c r="R155" s="9"/>
      <c r="S155" s="276" t="str">
        <f>IF(ISBLANK(F144),"NEED SPEED",IF(AND(ISBLANK($E$7),ISBLANK(G146)),"NEED LIVE LOAD",""))</f>
        <v>NEED SPEED</v>
      </c>
      <c r="T155" s="277"/>
      <c r="U155" s="70" t="str">
        <f>IFERROR(IF(COUNTIF(G149:I149,"C43")=1,INDEX(VbDriveAb_Speed,MATCH(1,INDEX((F144&lt;=VbDriveAb_Speed)*(K160&lt;=VbDriveAb_Hp)*(K156&lt;=VbDriveAb_Ebp),,),0))&amp;" FPM",IF(SUM(COUNTIF(G149:I149,{"C42","C55","C56"}))=1,INDEX(VbDriveC_Speed,MATCH(1,INDEX((F144&lt;=VbDriveC_Speed)*(K160&lt;=VbDriveC_Hp)*(K156&lt;=VbDriveC_Ebp),,),0))&amp;" FPM","")),"")</f>
        <v/>
      </c>
    </row>
    <row r="156" spans="2:21" ht="13.5" customHeight="1" thickBot="1" x14ac:dyDescent="0.25">
      <c r="B156" s="16"/>
      <c r="C156" s="241" t="s">
        <v>64</v>
      </c>
      <c r="D156" s="241"/>
      <c r="E156" s="241"/>
      <c r="F156" s="242"/>
      <c r="G156" s="1"/>
      <c r="H156" s="1"/>
      <c r="K156" s="25" t="e">
        <f>(M156+O156)*Q156</f>
        <v>#N/A</v>
      </c>
      <c r="L156" s="20"/>
      <c r="M156" s="20" t="e">
        <f>K144+K152+K154</f>
        <v>#N/A</v>
      </c>
      <c r="N156" s="20"/>
      <c r="O156" s="20">
        <f>G158</f>
        <v>0</v>
      </c>
      <c r="P156" s="20"/>
      <c r="Q156" s="20">
        <v>1.25</v>
      </c>
      <c r="R156" s="20"/>
      <c r="S156" s="276" t="str">
        <f>IF(OR(ISBLANK(G149),ISBLANK(H149)),"NEED MODULE(S)",IF(OR(ISBLANK(G151),ISBLANK(H151)),"NEED STRAIGHT/SKEW",""))</f>
        <v>NEED MODULE(S)</v>
      </c>
      <c r="T156" s="277"/>
      <c r="U156" s="71" t="str">
        <f>IFERROR(IF(COUNTIF(G149:I149,"C43")=1,INDEX(VbDriveAb_Hp,MATCH(1,INDEX((F144&lt;=VbDriveAb_Speed)*(K160&lt;=VbDriveAb_Hp)*(K156&lt;=VbDriveAb_Ebp),,),0))&amp;" HP",IF(SUM(COUNTIF(G149:I149,{"C42","C55","C56"}))=1,INDEX(VbDriveC_Hp,MATCH(1,INDEX((F144&lt;=VbDriveC_Speed)*(K160&lt;=VbDriveC_Hp)*(K156&lt;=VbDriveC_Ebp),,),0))&amp;" HP","")),"")</f>
        <v/>
      </c>
    </row>
    <row r="157" spans="2:21" ht="13.5" customHeight="1" thickBot="1" x14ac:dyDescent="0.25">
      <c r="B157" s="16"/>
      <c r="C157" s="240"/>
      <c r="D157" s="240"/>
      <c r="E157" s="240"/>
      <c r="F157" s="240"/>
      <c r="K157" s="67" t="s">
        <v>67</v>
      </c>
      <c r="L157" s="9" t="s">
        <v>10</v>
      </c>
      <c r="M157" s="9" t="s">
        <v>58</v>
      </c>
      <c r="N157" s="9" t="s">
        <v>14</v>
      </c>
      <c r="O157" s="9" t="s">
        <v>68</v>
      </c>
      <c r="P157" s="9"/>
      <c r="Q157" s="9"/>
      <c r="R157" s="9"/>
      <c r="S157" s="276" t="str">
        <f>IF(ISBLANK(G153),"NEED ROLLER CENTERS","")</f>
        <v>NEED ROLLER CENTERS</v>
      </c>
      <c r="T157" s="277"/>
      <c r="U157" s="72" t="s">
        <v>69</v>
      </c>
    </row>
    <row r="158" spans="2:21" ht="13.5" customHeight="1" thickBot="1" x14ac:dyDescent="0.25">
      <c r="B158" s="16"/>
      <c r="C158" s="243" t="s">
        <v>71</v>
      </c>
      <c r="D158" s="243"/>
      <c r="E158" s="243"/>
      <c r="F158" s="243"/>
      <c r="G158" s="1"/>
      <c r="K158" s="25" t="e">
        <f>M158*O158</f>
        <v>#N/A</v>
      </c>
      <c r="L158" s="20"/>
      <c r="M158" s="20" t="e">
        <f>K156</f>
        <v>#N/A</v>
      </c>
      <c r="N158" s="20"/>
      <c r="O158" s="20">
        <f>IF(AND(ISNUMBER(G156),ISNUMBER(H156)),H156/G156,0)</f>
        <v>0</v>
      </c>
      <c r="P158" s="20"/>
      <c r="Q158" s="20"/>
      <c r="R158" s="20"/>
      <c r="S158" s="284"/>
      <c r="T158" s="285"/>
      <c r="U158" s="74" t="str">
        <f>IFERROR(IF(K158&gt;0,K158,""),"")</f>
        <v/>
      </c>
    </row>
    <row r="159" spans="2:21" ht="13.5" customHeight="1" thickBot="1" x14ac:dyDescent="0.25">
      <c r="B159" s="16"/>
      <c r="C159" s="240"/>
      <c r="D159" s="240"/>
      <c r="E159" s="240"/>
      <c r="F159" s="240"/>
      <c r="K159" s="24" t="s">
        <v>74</v>
      </c>
      <c r="L159" s="3" t="s">
        <v>10</v>
      </c>
      <c r="M159" s="3" t="s">
        <v>58</v>
      </c>
      <c r="N159" s="3" t="s">
        <v>14</v>
      </c>
      <c r="O159" s="3" t="s">
        <v>8</v>
      </c>
      <c r="P159" s="3" t="s">
        <v>75</v>
      </c>
      <c r="Q159" s="3" t="s">
        <v>76</v>
      </c>
      <c r="S159" s="276" t="str">
        <f>IFERROR(IF(K160&gt;MAX(VbDriveAb_Hp,VbDriveC_Hp),"EXCEEDS MAX HP",""),"")</f>
        <v/>
      </c>
      <c r="T159" s="277"/>
      <c r="U159" s="278" t="str">
        <f>IF(NOT(OR(SUM(COUNTIF(G149:I149,{"C42","C43","C51","C55","C56"}))&gt;0,COUNTBLANK(G156:H156)&lt;1)),"NEED DRIVE MODULE OR SLAVE RATIO",IF(AND(SUM(COUNTIF(G149:I149,{"C42","C43","C51","C55","C56"}))&gt;0,COUNTBLANK(G156:H156)&lt;1),"CAN'T BE SLAVE AND HAVE DRIVE",""))</f>
        <v>NEED DRIVE MODULE OR SLAVE RATIO</v>
      </c>
    </row>
    <row r="160" spans="2:21" ht="13.5" customHeight="1" thickBot="1" x14ac:dyDescent="0.25">
      <c r="B160" s="286" t="s">
        <v>78</v>
      </c>
      <c r="C160" s="287"/>
      <c r="D160" s="262"/>
      <c r="E160" s="263"/>
      <c r="F160" s="263"/>
      <c r="G160" s="263"/>
      <c r="H160" s="263"/>
      <c r="I160" s="263"/>
      <c r="J160" s="264"/>
      <c r="K160" s="73" t="e">
        <f>M160*O160/Q160</f>
        <v>#N/A</v>
      </c>
      <c r="L160" s="27"/>
      <c r="M160" s="27" t="e">
        <f>K156</f>
        <v>#N/A</v>
      </c>
      <c r="N160" s="27"/>
      <c r="O160" s="27">
        <f>F144</f>
        <v>0</v>
      </c>
      <c r="P160" s="27"/>
      <c r="Q160" s="27">
        <v>31350</v>
      </c>
      <c r="R160" s="27"/>
      <c r="S160" s="274" t="str">
        <f>IFERROR(IF(K156&gt;125,"EXCEEDS BELT STRENGTH",""),"")</f>
        <v/>
      </c>
      <c r="T160" s="275"/>
      <c r="U160" s="279"/>
    </row>
    <row r="161" spans="2:21" ht="13.5" customHeight="1" thickBot="1" x14ac:dyDescent="0.25"/>
    <row r="162" spans="2:21" ht="13.5" customHeight="1" thickBot="1" x14ac:dyDescent="0.25">
      <c r="B162" s="39"/>
      <c r="C162" s="28" t="s">
        <v>5</v>
      </c>
      <c r="D162" s="28" t="s">
        <v>6</v>
      </c>
      <c r="E162" s="28" t="s">
        <v>7</v>
      </c>
      <c r="F162" s="28" t="s">
        <v>8</v>
      </c>
      <c r="G162" s="28"/>
      <c r="H162" s="28"/>
      <c r="I162" s="28"/>
      <c r="J162" s="28"/>
      <c r="K162" s="23" t="s">
        <v>9</v>
      </c>
      <c r="L162" s="4" t="s">
        <v>10</v>
      </c>
      <c r="M162" s="4" t="s">
        <v>11</v>
      </c>
      <c r="N162" s="4" t="s">
        <v>12</v>
      </c>
      <c r="O162" s="4" t="s">
        <v>13</v>
      </c>
      <c r="P162" s="4" t="s">
        <v>14</v>
      </c>
      <c r="Q162" s="4" t="s">
        <v>15</v>
      </c>
      <c r="R162" s="4"/>
      <c r="S162" s="4"/>
      <c r="T162" s="4"/>
      <c r="U162" s="5"/>
    </row>
    <row r="163" spans="2:21" ht="13.5" customHeight="1" thickBot="1" x14ac:dyDescent="0.25">
      <c r="B163" s="16"/>
      <c r="C163" s="272"/>
      <c r="D163" s="206"/>
      <c r="E163" s="1"/>
      <c r="F163" s="1"/>
      <c r="K163" s="63" t="e">
        <f>(M163+O163)*Q163+M165+M167+IFERROR(M169,0)</f>
        <v>#N/A</v>
      </c>
      <c r="L163" s="26"/>
      <c r="M163" s="26">
        <f>IF(G165=0,$E$7*0.06,G165*0.06)</f>
        <v>0</v>
      </c>
      <c r="N163" s="26"/>
      <c r="O163" s="26" t="e">
        <f>INDEX(VbSpeedConstA_Int,MATCH(1,INDEX((INDEX(VbSpeedConstB_Type,MATCH(D163,VbSpeedConstB_Figure))=VbSpeedConstA_Type)*(G172=VbSpeedConstA_Rc),,),0))+INDEX(VbSpeedConstA_Slope,MATCH(1,INDEX((INDEX(VbSpeedConstB_Type,MATCH(D163,VbSpeedConstB_Figure))=VbSpeedConstA_Type)*(G172=VbSpeedConstA_Rc),,),0))*IF(F163&lt;80,80,F163)</f>
        <v>#N/A</v>
      </c>
      <c r="P163" s="26"/>
      <c r="Q163" s="26" t="e">
        <f>IF("curve"&lt;&gt;INDEX(VbSpeedConstB_Type,MATCH(D163,VbSpeedConstB_Figure)),G166-IFERROR(INDEX(VbModuleLength_Length,MATCH(G168,VbModuleLength_Module,0)),)-IFERROR(INDEX(VbModuleLength_Length,MATCH(H168,VbModuleLength_Module,0)),),0)/12</f>
        <v>#N/A</v>
      </c>
      <c r="R163" s="26"/>
      <c r="S163" s="26"/>
      <c r="T163" s="26"/>
      <c r="U163" s="22"/>
    </row>
    <row r="164" spans="2:21" ht="13.5" customHeight="1" thickBot="1" x14ac:dyDescent="0.25">
      <c r="B164" s="16"/>
      <c r="C164" s="273"/>
      <c r="D164" s="205"/>
      <c r="E164" s="205"/>
      <c r="F164" s="205"/>
      <c r="K164" s="24"/>
      <c r="L164" s="64" t="s">
        <v>18</v>
      </c>
      <c r="M164" s="3" t="s">
        <v>19</v>
      </c>
      <c r="N164" s="3" t="s">
        <v>10</v>
      </c>
      <c r="O164" s="3" t="s">
        <v>20</v>
      </c>
      <c r="P164" s="3" t="s">
        <v>12</v>
      </c>
      <c r="Q164" s="3" t="s">
        <v>13</v>
      </c>
      <c r="R164" s="3" t="s">
        <v>14</v>
      </c>
      <c r="S164" s="3" t="s">
        <v>15</v>
      </c>
      <c r="T164" s="3"/>
      <c r="U164" s="65"/>
    </row>
    <row r="165" spans="2:21" ht="13.5" customHeight="1" thickBot="1" x14ac:dyDescent="0.25">
      <c r="B165" s="16"/>
      <c r="C165" s="243" t="s">
        <v>24</v>
      </c>
      <c r="D165" s="243"/>
      <c r="E165" s="243"/>
      <c r="F165" s="244"/>
      <c r="G165" s="1"/>
      <c r="K165" s="63"/>
      <c r="L165" s="26" t="s">
        <v>12</v>
      </c>
      <c r="M165" s="26" t="e">
        <f>(O165+Q165)*S165</f>
        <v>#N/A</v>
      </c>
      <c r="N165" s="26"/>
      <c r="O165" s="26">
        <f>IF(G165=0,$E$7*0.06,G165*0.06)</f>
        <v>0</v>
      </c>
      <c r="P165" s="26"/>
      <c r="Q165" s="26" t="e">
        <f>INDEX(VbSpeedConstA_Int,MATCH(1,INDEX((G170=VbSpeedConstA_Type)*(G172=VbSpeedConstA_Rc),,),0))+INDEX(VbSpeedConstA_Slope,MATCH(1,INDEX((G170=VbSpeedConstA_Type)*(G172=VbSpeedConstA_Rc),,),0))*IF(F163&lt;80,80,F163)</f>
        <v>#N/A</v>
      </c>
      <c r="R165" s="26"/>
      <c r="S165" s="26">
        <f>MAX(0,(G169-IFERROR(INDEX(VbModuleLength_Length,MATCH(G168,VbModuleLength_Module,0)),))/12)</f>
        <v>0</v>
      </c>
      <c r="T165" s="26"/>
      <c r="U165" s="22"/>
    </row>
    <row r="166" spans="2:21" ht="13.5" customHeight="1" thickBot="1" x14ac:dyDescent="0.25">
      <c r="B166" s="16"/>
      <c r="C166" s="243" t="s">
        <v>27</v>
      </c>
      <c r="D166" s="243"/>
      <c r="E166" s="243"/>
      <c r="F166" s="244"/>
      <c r="G166" s="1"/>
      <c r="K166" s="24"/>
      <c r="L166" s="3"/>
      <c r="M166" s="3" t="s">
        <v>28</v>
      </c>
      <c r="N166" s="3" t="s">
        <v>10</v>
      </c>
      <c r="O166" s="3" t="s">
        <v>20</v>
      </c>
      <c r="P166" s="3" t="s">
        <v>12</v>
      </c>
      <c r="Q166" s="3" t="s">
        <v>13</v>
      </c>
      <c r="R166" s="3" t="s">
        <v>14</v>
      </c>
      <c r="S166" s="3" t="s">
        <v>15</v>
      </c>
      <c r="T166" s="3"/>
      <c r="U166" s="65"/>
    </row>
    <row r="167" spans="2:21" ht="13.5" customHeight="1" thickBot="1" x14ac:dyDescent="0.25">
      <c r="B167" s="16"/>
      <c r="C167" s="245"/>
      <c r="D167" s="245"/>
      <c r="E167" s="245"/>
      <c r="F167" s="245"/>
      <c r="G167" s="2" t="s">
        <v>30</v>
      </c>
      <c r="H167" s="66" t="s">
        <v>31</v>
      </c>
      <c r="I167" s="2" t="s">
        <v>32</v>
      </c>
      <c r="K167" s="63"/>
      <c r="L167" s="26" t="s">
        <v>12</v>
      </c>
      <c r="M167" s="26" t="e">
        <f>(O167+Q167)*S167</f>
        <v>#N/A</v>
      </c>
      <c r="N167" s="26"/>
      <c r="O167" s="26">
        <f>IF(G165=0,$E$7*0.06,G165*0.06)</f>
        <v>0</v>
      </c>
      <c r="P167" s="26"/>
      <c r="Q167" s="26" t="e">
        <f>INDEX(VbSpeedConstA_Int,MATCH(1,INDEX((H170=VbSpeedConstA_Type)*(G172=VbSpeedConstA_Rc),,),0))+INDEX(VbSpeedConstA_Slope,MATCH(1,INDEX((H170=VbSpeedConstA_Type)*(G172=VbSpeedConstA_Rc),,),0))*IF(F163&lt;80,80,F163)</f>
        <v>#N/A</v>
      </c>
      <c r="R167" s="26"/>
      <c r="S167" s="26">
        <f>MAX(0,(H169-IFERROR(INDEX(VbModuleLength_Length,MATCH(H168,VbModuleLength_Module,0)),))/12)</f>
        <v>0</v>
      </c>
      <c r="T167" s="26"/>
      <c r="U167" s="22"/>
    </row>
    <row r="168" spans="2:21" ht="13.5" customHeight="1" thickBot="1" x14ac:dyDescent="0.25">
      <c r="B168" s="16"/>
      <c r="C168" s="243" t="s">
        <v>34</v>
      </c>
      <c r="D168" s="243"/>
      <c r="E168" s="243"/>
      <c r="F168" s="244"/>
      <c r="G168" s="1"/>
      <c r="H168" s="1"/>
      <c r="I168" s="1"/>
      <c r="K168" s="24"/>
      <c r="L168" s="3"/>
      <c r="M168" s="3" t="s">
        <v>35</v>
      </c>
      <c r="N168" s="3" t="s">
        <v>10</v>
      </c>
      <c r="O168" s="3" t="s">
        <v>20</v>
      </c>
      <c r="P168" s="3" t="s">
        <v>12</v>
      </c>
      <c r="Q168" s="3" t="s">
        <v>13</v>
      </c>
      <c r="R168" s="3" t="s">
        <v>14</v>
      </c>
      <c r="S168" s="3" t="s">
        <v>15</v>
      </c>
      <c r="T168" s="3"/>
      <c r="U168" s="65"/>
    </row>
    <row r="169" spans="2:21" ht="13.5" customHeight="1" thickBot="1" x14ac:dyDescent="0.25">
      <c r="B169" s="16"/>
      <c r="C169" s="243" t="s">
        <v>38</v>
      </c>
      <c r="D169" s="243"/>
      <c r="E169" s="243"/>
      <c r="F169" s="244"/>
      <c r="G169" s="1"/>
      <c r="H169" s="1"/>
      <c r="I169" s="1"/>
      <c r="K169" s="25"/>
      <c r="L169" s="20" t="s">
        <v>12</v>
      </c>
      <c r="M169" s="20" t="e">
        <f>(O169+Q169)*S169</f>
        <v>#N/A</v>
      </c>
      <c r="N169" s="20"/>
      <c r="O169" s="20">
        <f>IF(G165=0,$E$7*0.06,G165*0.06)</f>
        <v>0</v>
      </c>
      <c r="P169" s="20"/>
      <c r="Q169" s="20" t="e">
        <f>INDEX(VbSpeedConstA_Int,MATCH(1,INDEX((I170=VbSpeedConstA_Type)*(G172=VbSpeedConstA_Rc),,),0))+INDEX(VbSpeedConstA_Slope,MATCH(1,INDEX((I170=VbSpeedConstA_Type)*(G172=VbSpeedConstA_Rc),,),0))*IF(F163&lt;80,80,F163)</f>
        <v>#N/A</v>
      </c>
      <c r="R169" s="20"/>
      <c r="S169" s="20">
        <f>MAX(0,(I169-IFERROR(INDEX(VbModuleLength_Length,MATCH(I168,VbModuleLength_Module,0)),))/12)</f>
        <v>0</v>
      </c>
      <c r="T169" s="20"/>
      <c r="U169" s="41"/>
    </row>
    <row r="170" spans="2:21" ht="13.5" customHeight="1" thickBot="1" x14ac:dyDescent="0.25">
      <c r="B170" s="16"/>
      <c r="C170" s="243" t="s">
        <v>40</v>
      </c>
      <c r="D170" s="243"/>
      <c r="E170" s="243"/>
      <c r="F170" s="244"/>
      <c r="G170" s="1"/>
      <c r="H170" s="1"/>
      <c r="I170" s="1"/>
      <c r="K170" s="67" t="s">
        <v>41</v>
      </c>
      <c r="L170" s="9" t="s">
        <v>10</v>
      </c>
      <c r="M170" s="9" t="s">
        <v>42</v>
      </c>
      <c r="N170" s="9" t="s">
        <v>12</v>
      </c>
      <c r="O170" s="9" t="s">
        <v>13</v>
      </c>
      <c r="P170" s="9" t="s">
        <v>14</v>
      </c>
      <c r="Q170" s="9" t="s">
        <v>43</v>
      </c>
      <c r="R170" s="9" t="s">
        <v>14</v>
      </c>
      <c r="S170" s="3" t="s">
        <v>44</v>
      </c>
      <c r="T170" s="3"/>
      <c r="U170" s="65"/>
    </row>
    <row r="171" spans="2:21" ht="13.5" customHeight="1" thickBot="1" x14ac:dyDescent="0.25">
      <c r="B171" s="16"/>
      <c r="C171" s="245"/>
      <c r="D171" s="245"/>
      <c r="E171" s="245"/>
      <c r="F171" s="245"/>
      <c r="K171" s="25" t="e">
        <f>(M171+O171)*Q171*S171</f>
        <v>#N/A</v>
      </c>
      <c r="L171" s="20"/>
      <c r="M171" s="20">
        <f>IF(G165=0,$E$7*0.133,G165*0.133)</f>
        <v>0</v>
      </c>
      <c r="N171" s="20"/>
      <c r="O171" s="20" t="e">
        <f>O163</f>
        <v>#N/A</v>
      </c>
      <c r="P171" s="20"/>
      <c r="Q171" s="20">
        <f>IFERROR(INDEX(VbWidthFactor_Constant,MATCH(E163,VbWidthFactor_NW)),0)</f>
        <v>0</v>
      </c>
      <c r="R171" s="20"/>
      <c r="S171" s="26">
        <f>IFERROR(INDEX(VbFigureConst_Const,MATCH(D163,VbFigureConst_Figure,0)),)</f>
        <v>0</v>
      </c>
      <c r="T171" s="26"/>
      <c r="U171" s="22"/>
    </row>
    <row r="172" spans="2:21" ht="13.5" customHeight="1" thickBot="1" x14ac:dyDescent="0.25">
      <c r="B172" s="16"/>
      <c r="C172" s="243" t="s">
        <v>47</v>
      </c>
      <c r="D172" s="243"/>
      <c r="E172" s="243"/>
      <c r="F172" s="244"/>
      <c r="G172" s="1"/>
      <c r="K172" s="67" t="s">
        <v>48</v>
      </c>
      <c r="L172" s="9" t="s">
        <v>10</v>
      </c>
      <c r="M172" s="9" t="s">
        <v>49</v>
      </c>
      <c r="N172" s="9" t="s">
        <v>14</v>
      </c>
      <c r="O172" s="19">
        <v>5</v>
      </c>
      <c r="P172" s="21"/>
      <c r="Q172" s="21"/>
      <c r="R172" s="21"/>
      <c r="S172" s="265" t="s">
        <v>50</v>
      </c>
      <c r="T172" s="266"/>
      <c r="U172" s="68" t="s">
        <v>51</v>
      </c>
    </row>
    <row r="173" spans="2:21" ht="13.5" customHeight="1" x14ac:dyDescent="0.2">
      <c r="B173" s="16"/>
      <c r="C173" s="245"/>
      <c r="D173" s="245"/>
      <c r="E173" s="245"/>
      <c r="F173" s="245"/>
      <c r="K173" s="25">
        <f>M173*O173</f>
        <v>0</v>
      </c>
      <c r="L173" s="20"/>
      <c r="M173" s="8">
        <f>COUNTA(G168:I168)</f>
        <v>0</v>
      </c>
      <c r="N173" s="20"/>
      <c r="O173" s="20">
        <v>5</v>
      </c>
      <c r="P173" s="20"/>
      <c r="Q173" s="20"/>
      <c r="R173" s="20"/>
      <c r="S173" s="267" t="str">
        <f>IF(ISBLANK(D163),"NEED FIGURE",IF(AND(ISBLANK(E163),INDEX(VbSpeedConstB_Type,MATCH(D163,VbSpeedConstB_Figure))="curve"),"NEED WIDTH",IF(AND("curve"&lt;&gt;INDEX(VbSpeedConstB_Type,MATCH(D163,VbSpeedConstB_Figure)),ISBLANK(G166)),"NEED OVERALL LENGTH","")))</f>
        <v>NEED FIGURE</v>
      </c>
      <c r="T173" s="268"/>
      <c r="U173" s="69" t="s">
        <v>53</v>
      </c>
    </row>
    <row r="174" spans="2:21" ht="13.5" customHeight="1" thickBot="1" x14ac:dyDescent="0.25">
      <c r="B174" s="16"/>
      <c r="C174" s="240"/>
      <c r="D174" s="240"/>
      <c r="E174" s="240"/>
      <c r="F174" s="240"/>
      <c r="G174" s="2" t="s">
        <v>56</v>
      </c>
      <c r="H174" s="2" t="s">
        <v>57</v>
      </c>
      <c r="K174" s="67" t="s">
        <v>58</v>
      </c>
      <c r="L174" s="9" t="s">
        <v>10</v>
      </c>
      <c r="M174" s="9" t="s">
        <v>59</v>
      </c>
      <c r="N174" s="9" t="s">
        <v>12</v>
      </c>
      <c r="O174" s="9" t="s">
        <v>60</v>
      </c>
      <c r="P174" s="9" t="s">
        <v>14</v>
      </c>
      <c r="Q174" s="9" t="s">
        <v>61</v>
      </c>
      <c r="R174" s="9"/>
      <c r="S174" s="276" t="str">
        <f>IF(ISBLANK(F163),"NEED SPEED",IF(AND(ISBLANK($E$7),ISBLANK(G165)),"NEED LIVE LOAD",""))</f>
        <v>NEED SPEED</v>
      </c>
      <c r="T174" s="277"/>
      <c r="U174" s="70" t="str">
        <f>IFERROR(IF(COUNTIF(G168:I168,"C43")=1,INDEX(VbDriveAb_Speed,MATCH(1,INDEX((F163&lt;=VbDriveAb_Speed)*(K179&lt;=VbDriveAb_Hp)*(K175&lt;=VbDriveAb_Ebp),,),0))&amp;" FPM",IF(SUM(COUNTIF(G168:I168,{"C42","C55","C56"}))=1,INDEX(VbDriveC_Speed,MATCH(1,INDEX((F163&lt;=VbDriveC_Speed)*(K179&lt;=VbDriveC_Hp)*(K175&lt;=VbDriveC_Ebp),,),0))&amp;" FPM","")),"")</f>
        <v/>
      </c>
    </row>
    <row r="175" spans="2:21" ht="13.5" customHeight="1" thickBot="1" x14ac:dyDescent="0.25">
      <c r="B175" s="16"/>
      <c r="C175" s="241" t="s">
        <v>64</v>
      </c>
      <c r="D175" s="241"/>
      <c r="E175" s="241"/>
      <c r="F175" s="242"/>
      <c r="G175" s="1"/>
      <c r="H175" s="1"/>
      <c r="K175" s="25" t="e">
        <f>(M175+O175)*Q175</f>
        <v>#N/A</v>
      </c>
      <c r="L175" s="20"/>
      <c r="M175" s="20" t="e">
        <f>K163+K171+K173</f>
        <v>#N/A</v>
      </c>
      <c r="N175" s="20"/>
      <c r="O175" s="20">
        <f>G177</f>
        <v>0</v>
      </c>
      <c r="P175" s="20"/>
      <c r="Q175" s="20">
        <v>1.25</v>
      </c>
      <c r="R175" s="20"/>
      <c r="S175" s="276" t="str">
        <f>IF(OR(ISBLANK(G168),ISBLANK(H168)),"NEED MODULE(S)",IF(OR(ISBLANK(G170),ISBLANK(H170)),"NEED STRAIGHT/SKEW",""))</f>
        <v>NEED MODULE(S)</v>
      </c>
      <c r="T175" s="277"/>
      <c r="U175" s="71" t="str">
        <f>IFERROR(IF(COUNTIF(G168:I168,"C43")=1,INDEX(VbDriveAb_Hp,MATCH(1,INDEX((F163&lt;=VbDriveAb_Speed)*(K179&lt;=VbDriveAb_Hp)*(K175&lt;=VbDriveAb_Ebp),,),0))&amp;" HP",IF(SUM(COUNTIF(G168:I168,{"C42","C55","C56"}))=1,INDEX(VbDriveC_Hp,MATCH(1,INDEX((F163&lt;=VbDriveC_Speed)*(K179&lt;=VbDriveC_Hp)*(K175&lt;=VbDriveC_Ebp),,),0))&amp;" HP","")),"")</f>
        <v/>
      </c>
    </row>
    <row r="176" spans="2:21" ht="13.5" customHeight="1" thickBot="1" x14ac:dyDescent="0.25">
      <c r="B176" s="16"/>
      <c r="C176" s="240"/>
      <c r="D176" s="240"/>
      <c r="E176" s="240"/>
      <c r="F176" s="240"/>
      <c r="K176" s="67" t="s">
        <v>67</v>
      </c>
      <c r="L176" s="9" t="s">
        <v>10</v>
      </c>
      <c r="M176" s="9" t="s">
        <v>58</v>
      </c>
      <c r="N176" s="9" t="s">
        <v>14</v>
      </c>
      <c r="O176" s="9" t="s">
        <v>68</v>
      </c>
      <c r="P176" s="9"/>
      <c r="Q176" s="9"/>
      <c r="R176" s="9"/>
      <c r="S176" s="276" t="str">
        <f>IF(ISBLANK(G172),"NEED ROLLER CENTERS","")</f>
        <v>NEED ROLLER CENTERS</v>
      </c>
      <c r="T176" s="277"/>
      <c r="U176" s="72" t="s">
        <v>69</v>
      </c>
    </row>
    <row r="177" spans="2:21" ht="13.5" customHeight="1" thickBot="1" x14ac:dyDescent="0.25">
      <c r="B177" s="16"/>
      <c r="C177" s="243" t="s">
        <v>71</v>
      </c>
      <c r="D177" s="243"/>
      <c r="E177" s="243"/>
      <c r="F177" s="243"/>
      <c r="G177" s="1"/>
      <c r="K177" s="25" t="e">
        <f>M177*O177</f>
        <v>#N/A</v>
      </c>
      <c r="L177" s="20"/>
      <c r="M177" s="20" t="e">
        <f>K175</f>
        <v>#N/A</v>
      </c>
      <c r="N177" s="20"/>
      <c r="O177" s="20">
        <f>IF(AND(ISNUMBER(G175),ISNUMBER(H175)),H175/G175,0)</f>
        <v>0</v>
      </c>
      <c r="P177" s="20"/>
      <c r="Q177" s="20"/>
      <c r="R177" s="20"/>
      <c r="S177" s="284"/>
      <c r="T177" s="285"/>
      <c r="U177" s="74" t="str">
        <f>IFERROR(IF(K177&gt;0,K177,""),"")</f>
        <v/>
      </c>
    </row>
    <row r="178" spans="2:21" ht="13.5" customHeight="1" thickBot="1" x14ac:dyDescent="0.25">
      <c r="B178" s="16"/>
      <c r="C178" s="240"/>
      <c r="D178" s="240"/>
      <c r="E178" s="240"/>
      <c r="F178" s="240"/>
      <c r="K178" s="24" t="s">
        <v>74</v>
      </c>
      <c r="L178" s="3" t="s">
        <v>10</v>
      </c>
      <c r="M178" s="3" t="s">
        <v>58</v>
      </c>
      <c r="N178" s="3" t="s">
        <v>14</v>
      </c>
      <c r="O178" s="3" t="s">
        <v>8</v>
      </c>
      <c r="P178" s="3" t="s">
        <v>75</v>
      </c>
      <c r="Q178" s="3" t="s">
        <v>76</v>
      </c>
      <c r="S178" s="276" t="str">
        <f>IFERROR(IF(K179&gt;MAX(VbDriveAb_Hp,VbDriveC_Hp),"EXCEEDS MAX HP",""),"")</f>
        <v/>
      </c>
      <c r="T178" s="277"/>
      <c r="U178" s="278" t="str">
        <f>IF(NOT(OR(SUM(COUNTIF(G168:I168,{"C42","C43","C51","C55","C56"}))&gt;0,COUNTBLANK(G175:H175)&lt;1)),"NEED DRIVE MODULE OR SLAVE RATIO",IF(AND(SUM(COUNTIF(G168:I168,{"C42","C43","C51","C55","C56"}))&gt;0,COUNTBLANK(G175:H175)&lt;1),"CAN'T BE SLAVE AND HAVE DRIVE",""))</f>
        <v>NEED DRIVE MODULE OR SLAVE RATIO</v>
      </c>
    </row>
    <row r="179" spans="2:21" ht="13.5" customHeight="1" thickBot="1" x14ac:dyDescent="0.25">
      <c r="B179" s="286" t="s">
        <v>78</v>
      </c>
      <c r="C179" s="287"/>
      <c r="D179" s="262"/>
      <c r="E179" s="263"/>
      <c r="F179" s="263"/>
      <c r="G179" s="263"/>
      <c r="H179" s="263"/>
      <c r="I179" s="263"/>
      <c r="J179" s="264"/>
      <c r="K179" s="73" t="e">
        <f>M179*O179/Q179</f>
        <v>#N/A</v>
      </c>
      <c r="L179" s="27"/>
      <c r="M179" s="27" t="e">
        <f>K175</f>
        <v>#N/A</v>
      </c>
      <c r="N179" s="27"/>
      <c r="O179" s="27">
        <f>F163</f>
        <v>0</v>
      </c>
      <c r="P179" s="27"/>
      <c r="Q179" s="27">
        <v>31350</v>
      </c>
      <c r="R179" s="27"/>
      <c r="S179" s="274" t="str">
        <f>IFERROR(IF(K175&gt;125,"EXCEEDS BELT STRENGTH",""),"")</f>
        <v/>
      </c>
      <c r="T179" s="275"/>
      <c r="U179" s="279"/>
    </row>
    <row r="180" spans="2:21" ht="13.5" customHeight="1" thickBot="1" x14ac:dyDescent="0.25"/>
    <row r="181" spans="2:21" ht="13.5" customHeight="1" thickBot="1" x14ac:dyDescent="0.25">
      <c r="B181" s="39"/>
      <c r="C181" s="28" t="s">
        <v>5</v>
      </c>
      <c r="D181" s="28" t="s">
        <v>6</v>
      </c>
      <c r="E181" s="28" t="s">
        <v>7</v>
      </c>
      <c r="F181" s="28" t="s">
        <v>8</v>
      </c>
      <c r="G181" s="28"/>
      <c r="H181" s="28"/>
      <c r="I181" s="28"/>
      <c r="J181" s="28"/>
      <c r="K181" s="23" t="s">
        <v>9</v>
      </c>
      <c r="L181" s="4" t="s">
        <v>10</v>
      </c>
      <c r="M181" s="4" t="s">
        <v>11</v>
      </c>
      <c r="N181" s="4" t="s">
        <v>12</v>
      </c>
      <c r="O181" s="4" t="s">
        <v>13</v>
      </c>
      <c r="P181" s="4" t="s">
        <v>14</v>
      </c>
      <c r="Q181" s="4" t="s">
        <v>15</v>
      </c>
      <c r="R181" s="4"/>
      <c r="S181" s="4"/>
      <c r="T181" s="4"/>
      <c r="U181" s="5"/>
    </row>
    <row r="182" spans="2:21" ht="13.5" customHeight="1" thickBot="1" x14ac:dyDescent="0.25">
      <c r="B182" s="16"/>
      <c r="C182" s="272"/>
      <c r="D182" s="206"/>
      <c r="E182" s="1"/>
      <c r="F182" s="1"/>
      <c r="K182" s="63" t="e">
        <f>(M182+O182)*Q182+M184+M186+IFERROR(M188,0)</f>
        <v>#N/A</v>
      </c>
      <c r="L182" s="26"/>
      <c r="M182" s="26">
        <f>IF(G184=0,$E$7*0.06,G184*0.06)</f>
        <v>0</v>
      </c>
      <c r="N182" s="26"/>
      <c r="O182" s="26" t="e">
        <f>INDEX(VbSpeedConstA_Int,MATCH(1,INDEX((INDEX(VbSpeedConstB_Type,MATCH(D182,VbSpeedConstB_Figure))=VbSpeedConstA_Type)*(G191=VbSpeedConstA_Rc),,),0))+INDEX(VbSpeedConstA_Slope,MATCH(1,INDEX((INDEX(VbSpeedConstB_Type,MATCH(D182,VbSpeedConstB_Figure))=VbSpeedConstA_Type)*(G191=VbSpeedConstA_Rc),,),0))*IF(F182&lt;80,80,F182)</f>
        <v>#N/A</v>
      </c>
      <c r="P182" s="26"/>
      <c r="Q182" s="26" t="e">
        <f>IF("curve"&lt;&gt;INDEX(VbSpeedConstB_Type,MATCH(D182,VbSpeedConstB_Figure)),G185-IFERROR(INDEX(VbModuleLength_Length,MATCH(G187,VbModuleLength_Module,0)),)-IFERROR(INDEX(VbModuleLength_Length,MATCH(H187,VbModuleLength_Module,0)),),0)/12</f>
        <v>#N/A</v>
      </c>
      <c r="R182" s="26"/>
      <c r="S182" s="26"/>
      <c r="T182" s="26"/>
      <c r="U182" s="22"/>
    </row>
    <row r="183" spans="2:21" ht="13.5" customHeight="1" thickBot="1" x14ac:dyDescent="0.25">
      <c r="B183" s="16"/>
      <c r="C183" s="273"/>
      <c r="D183" s="205"/>
      <c r="E183" s="205"/>
      <c r="F183" s="205"/>
      <c r="K183" s="24"/>
      <c r="L183" s="64" t="s">
        <v>18</v>
      </c>
      <c r="M183" s="3" t="s">
        <v>19</v>
      </c>
      <c r="N183" s="3" t="s">
        <v>10</v>
      </c>
      <c r="O183" s="3" t="s">
        <v>20</v>
      </c>
      <c r="P183" s="3" t="s">
        <v>12</v>
      </c>
      <c r="Q183" s="3" t="s">
        <v>13</v>
      </c>
      <c r="R183" s="3" t="s">
        <v>14</v>
      </c>
      <c r="S183" s="3" t="s">
        <v>15</v>
      </c>
      <c r="T183" s="3"/>
      <c r="U183" s="65"/>
    </row>
    <row r="184" spans="2:21" ht="13.5" customHeight="1" thickBot="1" x14ac:dyDescent="0.25">
      <c r="B184" s="16"/>
      <c r="C184" s="243" t="s">
        <v>24</v>
      </c>
      <c r="D184" s="243"/>
      <c r="E184" s="243"/>
      <c r="F184" s="244"/>
      <c r="G184" s="1"/>
      <c r="K184" s="63"/>
      <c r="L184" s="26" t="s">
        <v>12</v>
      </c>
      <c r="M184" s="26" t="e">
        <f>(O184+Q184)*S184</f>
        <v>#N/A</v>
      </c>
      <c r="N184" s="26"/>
      <c r="O184" s="26">
        <f>IF(G184=0,$E$7*0.06,G184*0.06)</f>
        <v>0</v>
      </c>
      <c r="P184" s="26"/>
      <c r="Q184" s="26" t="e">
        <f>INDEX(VbSpeedConstA_Int,MATCH(1,INDEX((G189=VbSpeedConstA_Type)*(G191=VbSpeedConstA_Rc),,),0))+INDEX(VbSpeedConstA_Slope,MATCH(1,INDEX((G189=VbSpeedConstA_Type)*(G191=VbSpeedConstA_Rc),,),0))*IF(F182&lt;80,80,F182)</f>
        <v>#N/A</v>
      </c>
      <c r="R184" s="26"/>
      <c r="S184" s="26">
        <f>MAX(0,(G188-IFERROR(INDEX(VbModuleLength_Length,MATCH(G187,VbModuleLength_Module,0)),))/12)</f>
        <v>0</v>
      </c>
      <c r="T184" s="26"/>
      <c r="U184" s="22"/>
    </row>
    <row r="185" spans="2:21" ht="13.5" customHeight="1" thickBot="1" x14ac:dyDescent="0.25">
      <c r="B185" s="16"/>
      <c r="C185" s="243" t="s">
        <v>27</v>
      </c>
      <c r="D185" s="243"/>
      <c r="E185" s="243"/>
      <c r="F185" s="244"/>
      <c r="G185" s="1"/>
      <c r="K185" s="24"/>
      <c r="L185" s="3"/>
      <c r="M185" s="3" t="s">
        <v>28</v>
      </c>
      <c r="N185" s="3" t="s">
        <v>10</v>
      </c>
      <c r="O185" s="3" t="s">
        <v>20</v>
      </c>
      <c r="P185" s="3" t="s">
        <v>12</v>
      </c>
      <c r="Q185" s="3" t="s">
        <v>13</v>
      </c>
      <c r="R185" s="3" t="s">
        <v>14</v>
      </c>
      <c r="S185" s="3" t="s">
        <v>15</v>
      </c>
      <c r="T185" s="3"/>
      <c r="U185" s="65"/>
    </row>
    <row r="186" spans="2:21" ht="13.5" customHeight="1" thickBot="1" x14ac:dyDescent="0.25">
      <c r="B186" s="16"/>
      <c r="C186" s="245"/>
      <c r="D186" s="245"/>
      <c r="E186" s="245"/>
      <c r="F186" s="245"/>
      <c r="G186" s="2" t="s">
        <v>30</v>
      </c>
      <c r="H186" s="66" t="s">
        <v>31</v>
      </c>
      <c r="I186" s="2" t="s">
        <v>32</v>
      </c>
      <c r="K186" s="63"/>
      <c r="L186" s="26" t="s">
        <v>12</v>
      </c>
      <c r="M186" s="26" t="e">
        <f>(O186+Q186)*S186</f>
        <v>#N/A</v>
      </c>
      <c r="N186" s="26"/>
      <c r="O186" s="26">
        <f>IF(G184=0,$E$7*0.06,G184*0.06)</f>
        <v>0</v>
      </c>
      <c r="P186" s="26"/>
      <c r="Q186" s="26" t="e">
        <f>INDEX(VbSpeedConstA_Int,MATCH(1,INDEX((H189=VbSpeedConstA_Type)*(G191=VbSpeedConstA_Rc),,),0))+INDEX(VbSpeedConstA_Slope,MATCH(1,INDEX((H189=VbSpeedConstA_Type)*(G191=VbSpeedConstA_Rc),,),0))*IF(F182&lt;80,80,F182)</f>
        <v>#N/A</v>
      </c>
      <c r="R186" s="26"/>
      <c r="S186" s="26">
        <f>MAX(0,(H188-IFERROR(INDEX(VbModuleLength_Length,MATCH(H187,VbModuleLength_Module,0)),))/12)</f>
        <v>0</v>
      </c>
      <c r="T186" s="26"/>
      <c r="U186" s="22"/>
    </row>
    <row r="187" spans="2:21" ht="13.5" customHeight="1" thickBot="1" x14ac:dyDescent="0.25">
      <c r="B187" s="16"/>
      <c r="C187" s="243" t="s">
        <v>34</v>
      </c>
      <c r="D187" s="243"/>
      <c r="E187" s="243"/>
      <c r="F187" s="244"/>
      <c r="G187" s="1"/>
      <c r="H187" s="1"/>
      <c r="I187" s="1"/>
      <c r="K187" s="24"/>
      <c r="L187" s="3"/>
      <c r="M187" s="3" t="s">
        <v>35</v>
      </c>
      <c r="N187" s="3" t="s">
        <v>10</v>
      </c>
      <c r="O187" s="3" t="s">
        <v>20</v>
      </c>
      <c r="P187" s="3" t="s">
        <v>12</v>
      </c>
      <c r="Q187" s="3" t="s">
        <v>13</v>
      </c>
      <c r="R187" s="3" t="s">
        <v>14</v>
      </c>
      <c r="S187" s="3" t="s">
        <v>15</v>
      </c>
      <c r="T187" s="3"/>
      <c r="U187" s="65"/>
    </row>
    <row r="188" spans="2:21" ht="13.5" customHeight="1" thickBot="1" x14ac:dyDescent="0.25">
      <c r="B188" s="16"/>
      <c r="C188" s="243" t="s">
        <v>38</v>
      </c>
      <c r="D188" s="243"/>
      <c r="E188" s="243"/>
      <c r="F188" s="244"/>
      <c r="G188" s="1"/>
      <c r="H188" s="1"/>
      <c r="I188" s="1"/>
      <c r="K188" s="25"/>
      <c r="L188" s="20" t="s">
        <v>12</v>
      </c>
      <c r="M188" s="20" t="e">
        <f>(O188+Q188)*S188</f>
        <v>#N/A</v>
      </c>
      <c r="N188" s="20"/>
      <c r="O188" s="20">
        <f>IF(G184=0,$E$7*0.06,G184*0.06)</f>
        <v>0</v>
      </c>
      <c r="P188" s="20"/>
      <c r="Q188" s="20" t="e">
        <f>INDEX(VbSpeedConstA_Int,MATCH(1,INDEX((I189=VbSpeedConstA_Type)*(G191=VbSpeedConstA_Rc),,),0))+INDEX(VbSpeedConstA_Slope,MATCH(1,INDEX((I189=VbSpeedConstA_Type)*(G191=VbSpeedConstA_Rc),,),0))*IF(F182&lt;80,80,F182)</f>
        <v>#N/A</v>
      </c>
      <c r="R188" s="20"/>
      <c r="S188" s="20">
        <f>MAX(0,(I188-IFERROR(INDEX(VbModuleLength_Length,MATCH(I187,VbModuleLength_Module,0)),))/12)</f>
        <v>0</v>
      </c>
      <c r="T188" s="20"/>
      <c r="U188" s="41"/>
    </row>
    <row r="189" spans="2:21" ht="13.5" customHeight="1" thickBot="1" x14ac:dyDescent="0.25">
      <c r="B189" s="16"/>
      <c r="C189" s="243" t="s">
        <v>40</v>
      </c>
      <c r="D189" s="243"/>
      <c r="E189" s="243"/>
      <c r="F189" s="244"/>
      <c r="G189" s="1"/>
      <c r="H189" s="1"/>
      <c r="I189" s="1"/>
      <c r="K189" s="67" t="s">
        <v>41</v>
      </c>
      <c r="L189" s="9" t="s">
        <v>10</v>
      </c>
      <c r="M189" s="9" t="s">
        <v>42</v>
      </c>
      <c r="N189" s="9" t="s">
        <v>12</v>
      </c>
      <c r="O189" s="9" t="s">
        <v>13</v>
      </c>
      <c r="P189" s="9" t="s">
        <v>14</v>
      </c>
      <c r="Q189" s="9" t="s">
        <v>43</v>
      </c>
      <c r="R189" s="9" t="s">
        <v>14</v>
      </c>
      <c r="S189" s="3" t="s">
        <v>44</v>
      </c>
      <c r="T189" s="3"/>
      <c r="U189" s="65"/>
    </row>
    <row r="190" spans="2:21" ht="13.5" customHeight="1" thickBot="1" x14ac:dyDescent="0.25">
      <c r="B190" s="16"/>
      <c r="C190" s="245"/>
      <c r="D190" s="245"/>
      <c r="E190" s="245"/>
      <c r="F190" s="245"/>
      <c r="K190" s="25" t="e">
        <f>(M190+O190)*Q190*S190</f>
        <v>#N/A</v>
      </c>
      <c r="L190" s="20"/>
      <c r="M190" s="20">
        <f>IF(G184=0,$E$7*0.133,G184*0.133)</f>
        <v>0</v>
      </c>
      <c r="N190" s="20"/>
      <c r="O190" s="20" t="e">
        <f>O182</f>
        <v>#N/A</v>
      </c>
      <c r="P190" s="20"/>
      <c r="Q190" s="20">
        <f>IFERROR(INDEX(VbWidthFactor_Constant,MATCH(E182,VbWidthFactor_NW)),0)</f>
        <v>0</v>
      </c>
      <c r="R190" s="20"/>
      <c r="S190" s="26">
        <f>IFERROR(INDEX(VbFigureConst_Const,MATCH(D182,VbFigureConst_Figure,0)),)</f>
        <v>0</v>
      </c>
      <c r="T190" s="26"/>
      <c r="U190" s="22"/>
    </row>
    <row r="191" spans="2:21" ht="13.5" customHeight="1" thickBot="1" x14ac:dyDescent="0.25">
      <c r="B191" s="16"/>
      <c r="C191" s="243" t="s">
        <v>47</v>
      </c>
      <c r="D191" s="243"/>
      <c r="E191" s="243"/>
      <c r="F191" s="244"/>
      <c r="G191" s="1"/>
      <c r="K191" s="67" t="s">
        <v>48</v>
      </c>
      <c r="L191" s="9" t="s">
        <v>10</v>
      </c>
      <c r="M191" s="9" t="s">
        <v>49</v>
      </c>
      <c r="N191" s="9" t="s">
        <v>14</v>
      </c>
      <c r="O191" s="19">
        <v>5</v>
      </c>
      <c r="P191" s="21"/>
      <c r="Q191" s="21"/>
      <c r="R191" s="21"/>
      <c r="S191" s="265" t="s">
        <v>50</v>
      </c>
      <c r="T191" s="266"/>
      <c r="U191" s="68" t="s">
        <v>51</v>
      </c>
    </row>
    <row r="192" spans="2:21" ht="13.5" customHeight="1" x14ac:dyDescent="0.2">
      <c r="B192" s="16"/>
      <c r="C192" s="245"/>
      <c r="D192" s="245"/>
      <c r="E192" s="245"/>
      <c r="F192" s="245"/>
      <c r="K192" s="25">
        <f>M192*O192</f>
        <v>0</v>
      </c>
      <c r="L192" s="20"/>
      <c r="M192" s="8">
        <f>COUNTA(G187:I187)</f>
        <v>0</v>
      </c>
      <c r="N192" s="20"/>
      <c r="O192" s="20">
        <v>5</v>
      </c>
      <c r="P192" s="20"/>
      <c r="Q192" s="20"/>
      <c r="R192" s="20"/>
      <c r="S192" s="267" t="str">
        <f>IF(ISBLANK(D182),"NEED FIGURE",IF(AND(ISBLANK(E182),INDEX(VbSpeedConstB_Type,MATCH(D182,VbSpeedConstB_Figure))="curve"),"NEED WIDTH",IF(AND("curve"&lt;&gt;INDEX(VbSpeedConstB_Type,MATCH(D182,VbSpeedConstB_Figure)),ISBLANK(G185)),"NEED OVERALL LENGTH","")))</f>
        <v>NEED FIGURE</v>
      </c>
      <c r="T192" s="268"/>
      <c r="U192" s="69" t="s">
        <v>53</v>
      </c>
    </row>
    <row r="193" spans="2:21" ht="13.5" customHeight="1" thickBot="1" x14ac:dyDescent="0.25">
      <c r="B193" s="16"/>
      <c r="C193" s="240"/>
      <c r="D193" s="240"/>
      <c r="E193" s="240"/>
      <c r="F193" s="240"/>
      <c r="G193" s="2" t="s">
        <v>56</v>
      </c>
      <c r="H193" s="2" t="s">
        <v>57</v>
      </c>
      <c r="K193" s="67" t="s">
        <v>58</v>
      </c>
      <c r="L193" s="9" t="s">
        <v>10</v>
      </c>
      <c r="M193" s="9" t="s">
        <v>59</v>
      </c>
      <c r="N193" s="9" t="s">
        <v>12</v>
      </c>
      <c r="O193" s="9" t="s">
        <v>60</v>
      </c>
      <c r="P193" s="9" t="s">
        <v>14</v>
      </c>
      <c r="Q193" s="9" t="s">
        <v>61</v>
      </c>
      <c r="R193" s="9"/>
      <c r="S193" s="276" t="str">
        <f>IF(ISBLANK(F182),"NEED SPEED",IF(AND(ISBLANK($E$7),ISBLANK(G184)),"NEED LIVE LOAD",""))</f>
        <v>NEED SPEED</v>
      </c>
      <c r="T193" s="277"/>
      <c r="U193" s="70" t="str">
        <f>IFERROR(IF(COUNTIF(G187:I187,"C43")=1,INDEX(VbDriveAb_Speed,MATCH(1,INDEX((F182&lt;=VbDriveAb_Speed)*(K198&lt;=VbDriveAb_Hp)*(K194&lt;=VbDriveAb_Ebp),,),0))&amp;" FPM",IF(SUM(COUNTIF(G187:I187,{"C42","C55","C56"}))=1,INDEX(VbDriveC_Speed,MATCH(1,INDEX((F182&lt;=VbDriveC_Speed)*(K198&lt;=VbDriveC_Hp)*(K194&lt;=VbDriveC_Ebp),,),0))&amp;" FPM","")),"")</f>
        <v/>
      </c>
    </row>
    <row r="194" spans="2:21" ht="13.5" customHeight="1" thickBot="1" x14ac:dyDescent="0.25">
      <c r="B194" s="16"/>
      <c r="C194" s="241" t="s">
        <v>64</v>
      </c>
      <c r="D194" s="241"/>
      <c r="E194" s="241"/>
      <c r="F194" s="242"/>
      <c r="G194" s="1"/>
      <c r="H194" s="1"/>
      <c r="K194" s="25" t="e">
        <f>(M194+O194)*Q194</f>
        <v>#N/A</v>
      </c>
      <c r="L194" s="20"/>
      <c r="M194" s="20" t="e">
        <f>K182+K190+K192</f>
        <v>#N/A</v>
      </c>
      <c r="N194" s="20"/>
      <c r="O194" s="20">
        <f>G196</f>
        <v>0</v>
      </c>
      <c r="P194" s="20"/>
      <c r="Q194" s="20">
        <v>1.25</v>
      </c>
      <c r="R194" s="20"/>
      <c r="S194" s="276" t="str">
        <f>IF(OR(ISBLANK(G187),ISBLANK(H187)),"NEED MODULE(S)",IF(OR(ISBLANK(G189),ISBLANK(H189)),"NEED STRAIGHT/SKEW",""))</f>
        <v>NEED MODULE(S)</v>
      </c>
      <c r="T194" s="277"/>
      <c r="U194" s="71" t="str">
        <f>IFERROR(IF(COUNTIF(G187:I187,"C43")=1,INDEX(VbDriveAb_Hp,MATCH(1,INDEX((F182&lt;=VbDriveAb_Speed)*(K198&lt;=VbDriveAb_Hp)*(K194&lt;=VbDriveAb_Ebp),,),0))&amp;" HP",IF(SUM(COUNTIF(G187:I187,{"C42","C55","C56"}))=1,INDEX(VbDriveC_Hp,MATCH(1,INDEX((F182&lt;=VbDriveC_Speed)*(K198&lt;=VbDriveC_Hp)*(K194&lt;=VbDriveC_Ebp),,),0))&amp;" HP","")),"")</f>
        <v/>
      </c>
    </row>
    <row r="195" spans="2:21" ht="13.5" customHeight="1" thickBot="1" x14ac:dyDescent="0.25">
      <c r="B195" s="16"/>
      <c r="C195" s="240"/>
      <c r="D195" s="240"/>
      <c r="E195" s="240"/>
      <c r="F195" s="240"/>
      <c r="K195" s="67" t="s">
        <v>67</v>
      </c>
      <c r="L195" s="9" t="s">
        <v>10</v>
      </c>
      <c r="M195" s="9" t="s">
        <v>58</v>
      </c>
      <c r="N195" s="9" t="s">
        <v>14</v>
      </c>
      <c r="O195" s="9" t="s">
        <v>68</v>
      </c>
      <c r="P195" s="9"/>
      <c r="Q195" s="9"/>
      <c r="R195" s="9"/>
      <c r="S195" s="276" t="str">
        <f>IF(ISBLANK(G191),"NEED ROLLER CENTERS","")</f>
        <v>NEED ROLLER CENTERS</v>
      </c>
      <c r="T195" s="277"/>
      <c r="U195" s="72" t="s">
        <v>69</v>
      </c>
    </row>
    <row r="196" spans="2:21" ht="13.5" customHeight="1" thickBot="1" x14ac:dyDescent="0.25">
      <c r="B196" s="16"/>
      <c r="C196" s="243" t="s">
        <v>71</v>
      </c>
      <c r="D196" s="243"/>
      <c r="E196" s="243"/>
      <c r="F196" s="243"/>
      <c r="G196" s="1"/>
      <c r="K196" s="25" t="e">
        <f>M196*O196</f>
        <v>#N/A</v>
      </c>
      <c r="L196" s="20"/>
      <c r="M196" s="20" t="e">
        <f>K194</f>
        <v>#N/A</v>
      </c>
      <c r="N196" s="20"/>
      <c r="O196" s="20">
        <f>IF(AND(ISNUMBER(G194),ISNUMBER(H194)),H194/G194,0)</f>
        <v>0</v>
      </c>
      <c r="P196" s="20"/>
      <c r="Q196" s="20"/>
      <c r="R196" s="20"/>
      <c r="S196" s="284"/>
      <c r="T196" s="285"/>
      <c r="U196" s="74" t="str">
        <f>IFERROR(IF(K196&gt;0,K196,""),"")</f>
        <v/>
      </c>
    </row>
    <row r="197" spans="2:21" ht="13.5" customHeight="1" thickBot="1" x14ac:dyDescent="0.25">
      <c r="B197" s="16"/>
      <c r="C197" s="240"/>
      <c r="D197" s="240"/>
      <c r="E197" s="240"/>
      <c r="F197" s="240"/>
      <c r="K197" s="24" t="s">
        <v>74</v>
      </c>
      <c r="L197" s="3" t="s">
        <v>10</v>
      </c>
      <c r="M197" s="3" t="s">
        <v>58</v>
      </c>
      <c r="N197" s="3" t="s">
        <v>14</v>
      </c>
      <c r="O197" s="3" t="s">
        <v>8</v>
      </c>
      <c r="P197" s="3" t="s">
        <v>75</v>
      </c>
      <c r="Q197" s="3" t="s">
        <v>76</v>
      </c>
      <c r="S197" s="276" t="str">
        <f>IFERROR(IF(K198&gt;MAX(VbDriveAb_Hp,VbDriveC_Hp),"EXCEEDS MAX HP",""),"")</f>
        <v/>
      </c>
      <c r="T197" s="277"/>
      <c r="U197" s="278" t="str">
        <f>IF(NOT(OR(SUM(COUNTIF(G187:I187,{"C42","C43","C51","C55","C56"}))&gt;0,COUNTBLANK(G194:H194)&lt;1)),"NEED DRIVE MODULE OR SLAVE RATIO",IF(AND(SUM(COUNTIF(G187:I187,{"C42","C43","C51","C55","C56"}))&gt;0,COUNTBLANK(G194:H194)&lt;1),"CAN'T BE SLAVE AND HAVE DRIVE",""))</f>
        <v>NEED DRIVE MODULE OR SLAVE RATIO</v>
      </c>
    </row>
    <row r="198" spans="2:21" ht="13.5" customHeight="1" thickBot="1" x14ac:dyDescent="0.25">
      <c r="B198" s="286" t="s">
        <v>78</v>
      </c>
      <c r="C198" s="287"/>
      <c r="D198" s="262"/>
      <c r="E198" s="263"/>
      <c r="F198" s="263"/>
      <c r="G198" s="263"/>
      <c r="H198" s="263"/>
      <c r="I198" s="263"/>
      <c r="J198" s="264"/>
      <c r="K198" s="73" t="e">
        <f>M198*O198/Q198</f>
        <v>#N/A</v>
      </c>
      <c r="L198" s="27"/>
      <c r="M198" s="27" t="e">
        <f>K194</f>
        <v>#N/A</v>
      </c>
      <c r="N198" s="27"/>
      <c r="O198" s="27">
        <f>F182</f>
        <v>0</v>
      </c>
      <c r="P198" s="27"/>
      <c r="Q198" s="27">
        <v>31350</v>
      </c>
      <c r="R198" s="27"/>
      <c r="S198" s="274" t="str">
        <f>IFERROR(IF(K194&gt;125,"EXCEEDS BELT STRENGTH",""),"")</f>
        <v/>
      </c>
      <c r="T198" s="275"/>
      <c r="U198" s="279"/>
    </row>
    <row r="199" spans="2:21" ht="13.5" customHeight="1" thickBot="1" x14ac:dyDescent="0.25"/>
    <row r="200" spans="2:21" ht="13.5" customHeight="1" thickBot="1" x14ac:dyDescent="0.25">
      <c r="B200" s="39"/>
      <c r="C200" s="28" t="s">
        <v>5</v>
      </c>
      <c r="D200" s="28" t="s">
        <v>6</v>
      </c>
      <c r="E200" s="28" t="s">
        <v>7</v>
      </c>
      <c r="F200" s="28" t="s">
        <v>8</v>
      </c>
      <c r="G200" s="28"/>
      <c r="H200" s="28"/>
      <c r="I200" s="28"/>
      <c r="J200" s="28"/>
      <c r="K200" s="23" t="s">
        <v>9</v>
      </c>
      <c r="L200" s="4" t="s">
        <v>10</v>
      </c>
      <c r="M200" s="4" t="s">
        <v>11</v>
      </c>
      <c r="N200" s="4" t="s">
        <v>12</v>
      </c>
      <c r="O200" s="4" t="s">
        <v>13</v>
      </c>
      <c r="P200" s="4" t="s">
        <v>14</v>
      </c>
      <c r="Q200" s="4" t="s">
        <v>15</v>
      </c>
      <c r="R200" s="4"/>
      <c r="S200" s="4"/>
      <c r="T200" s="4"/>
      <c r="U200" s="5"/>
    </row>
    <row r="201" spans="2:21" ht="13.5" customHeight="1" thickBot="1" x14ac:dyDescent="0.25">
      <c r="B201" s="16"/>
      <c r="C201" s="272"/>
      <c r="D201" s="206"/>
      <c r="E201" s="1"/>
      <c r="F201" s="1"/>
      <c r="K201" s="63" t="e">
        <f>(M201+O201)*Q201+M203+M205+IFERROR(M207,0)</f>
        <v>#N/A</v>
      </c>
      <c r="L201" s="26"/>
      <c r="M201" s="26">
        <f>IF(G203=0,$E$7*0.06,G203*0.06)</f>
        <v>0</v>
      </c>
      <c r="N201" s="26"/>
      <c r="O201" s="26" t="e">
        <f>INDEX(VbSpeedConstA_Int,MATCH(1,INDEX((INDEX(VbSpeedConstB_Type,MATCH(D201,VbSpeedConstB_Figure))=VbSpeedConstA_Type)*(G210=VbSpeedConstA_Rc),,),0))+INDEX(VbSpeedConstA_Slope,MATCH(1,INDEX((INDEX(VbSpeedConstB_Type,MATCH(D201,VbSpeedConstB_Figure))=VbSpeedConstA_Type)*(G210=VbSpeedConstA_Rc),,),0))*IF(F201&lt;80,80,F201)</f>
        <v>#N/A</v>
      </c>
      <c r="P201" s="26"/>
      <c r="Q201" s="26" t="e">
        <f>IF("curve"&lt;&gt;INDEX(VbSpeedConstB_Type,MATCH(D201,VbSpeedConstB_Figure)),G204-IFERROR(INDEX(VbModuleLength_Length,MATCH(G206,VbModuleLength_Module,0)),)-IFERROR(INDEX(VbModuleLength_Length,MATCH(H206,VbModuleLength_Module,0)),),0)/12</f>
        <v>#N/A</v>
      </c>
      <c r="R201" s="26"/>
      <c r="S201" s="26"/>
      <c r="T201" s="26"/>
      <c r="U201" s="22"/>
    </row>
    <row r="202" spans="2:21" ht="13.5" customHeight="1" thickBot="1" x14ac:dyDescent="0.25">
      <c r="B202" s="16"/>
      <c r="C202" s="273"/>
      <c r="D202" s="205"/>
      <c r="E202" s="205"/>
      <c r="F202" s="205"/>
      <c r="K202" s="24"/>
      <c r="L202" s="64" t="s">
        <v>18</v>
      </c>
      <c r="M202" s="3" t="s">
        <v>19</v>
      </c>
      <c r="N202" s="3" t="s">
        <v>10</v>
      </c>
      <c r="O202" s="3" t="s">
        <v>20</v>
      </c>
      <c r="P202" s="3" t="s">
        <v>12</v>
      </c>
      <c r="Q202" s="3" t="s">
        <v>13</v>
      </c>
      <c r="R202" s="3" t="s">
        <v>14</v>
      </c>
      <c r="S202" s="3" t="s">
        <v>15</v>
      </c>
      <c r="T202" s="3"/>
      <c r="U202" s="65"/>
    </row>
    <row r="203" spans="2:21" ht="13.5" customHeight="1" thickBot="1" x14ac:dyDescent="0.25">
      <c r="B203" s="16"/>
      <c r="C203" s="243" t="s">
        <v>24</v>
      </c>
      <c r="D203" s="243"/>
      <c r="E203" s="243"/>
      <c r="F203" s="244"/>
      <c r="G203" s="1"/>
      <c r="K203" s="63"/>
      <c r="L203" s="26" t="s">
        <v>12</v>
      </c>
      <c r="M203" s="26" t="e">
        <f>(O203+Q203)*S203</f>
        <v>#N/A</v>
      </c>
      <c r="N203" s="26"/>
      <c r="O203" s="26">
        <f>IF(G203=0,$E$7*0.06,G203*0.06)</f>
        <v>0</v>
      </c>
      <c r="P203" s="26"/>
      <c r="Q203" s="26" t="e">
        <f>INDEX(VbSpeedConstA_Int,MATCH(1,INDEX((G208=VbSpeedConstA_Type)*(G210=VbSpeedConstA_Rc),,),0))+INDEX(VbSpeedConstA_Slope,MATCH(1,INDEX((G208=VbSpeedConstA_Type)*(G210=VbSpeedConstA_Rc),,),0))*IF(F201&lt;80,80,F201)</f>
        <v>#N/A</v>
      </c>
      <c r="R203" s="26"/>
      <c r="S203" s="26">
        <f>MAX(0,(G207-IFERROR(INDEX(VbModuleLength_Length,MATCH(G206,VbModuleLength_Module,0)),))/12)</f>
        <v>0</v>
      </c>
      <c r="T203" s="26"/>
      <c r="U203" s="22"/>
    </row>
    <row r="204" spans="2:21" ht="13.5" customHeight="1" thickBot="1" x14ac:dyDescent="0.25">
      <c r="B204" s="16"/>
      <c r="C204" s="243" t="s">
        <v>27</v>
      </c>
      <c r="D204" s="243"/>
      <c r="E204" s="243"/>
      <c r="F204" s="244"/>
      <c r="G204" s="1"/>
      <c r="K204" s="24"/>
      <c r="L204" s="3"/>
      <c r="M204" s="3" t="s">
        <v>28</v>
      </c>
      <c r="N204" s="3" t="s">
        <v>10</v>
      </c>
      <c r="O204" s="3" t="s">
        <v>20</v>
      </c>
      <c r="P204" s="3" t="s">
        <v>12</v>
      </c>
      <c r="Q204" s="3" t="s">
        <v>13</v>
      </c>
      <c r="R204" s="3" t="s">
        <v>14</v>
      </c>
      <c r="S204" s="3" t="s">
        <v>15</v>
      </c>
      <c r="T204" s="3"/>
      <c r="U204" s="65"/>
    </row>
    <row r="205" spans="2:21" ht="13.5" customHeight="1" thickBot="1" x14ac:dyDescent="0.25">
      <c r="B205" s="16"/>
      <c r="C205" s="245"/>
      <c r="D205" s="245"/>
      <c r="E205" s="245"/>
      <c r="F205" s="245"/>
      <c r="G205" s="2" t="s">
        <v>30</v>
      </c>
      <c r="H205" s="66" t="s">
        <v>31</v>
      </c>
      <c r="I205" s="2" t="s">
        <v>32</v>
      </c>
      <c r="K205" s="63"/>
      <c r="L205" s="26" t="s">
        <v>12</v>
      </c>
      <c r="M205" s="26" t="e">
        <f>(O205+Q205)*S205</f>
        <v>#N/A</v>
      </c>
      <c r="N205" s="26"/>
      <c r="O205" s="26">
        <f>IF(G203=0,$E$7*0.06,G203*0.06)</f>
        <v>0</v>
      </c>
      <c r="P205" s="26"/>
      <c r="Q205" s="26" t="e">
        <f>INDEX(VbSpeedConstA_Int,MATCH(1,INDEX((H208=VbSpeedConstA_Type)*(G210=VbSpeedConstA_Rc),,),0))+INDEX(VbSpeedConstA_Slope,MATCH(1,INDEX((H208=VbSpeedConstA_Type)*(G210=VbSpeedConstA_Rc),,),0))*IF(F201&lt;80,80,F201)</f>
        <v>#N/A</v>
      </c>
      <c r="R205" s="26"/>
      <c r="S205" s="26">
        <f>MAX(0,(H207-IFERROR(INDEX(VbModuleLength_Length,MATCH(H206,VbModuleLength_Module,0)),))/12)</f>
        <v>0</v>
      </c>
      <c r="T205" s="26"/>
      <c r="U205" s="22"/>
    </row>
    <row r="206" spans="2:21" ht="13.5" customHeight="1" thickBot="1" x14ac:dyDescent="0.25">
      <c r="B206" s="16"/>
      <c r="C206" s="243" t="s">
        <v>34</v>
      </c>
      <c r="D206" s="243"/>
      <c r="E206" s="243"/>
      <c r="F206" s="244"/>
      <c r="G206" s="1"/>
      <c r="H206" s="1"/>
      <c r="I206" s="1"/>
      <c r="K206" s="24"/>
      <c r="L206" s="3"/>
      <c r="M206" s="3" t="s">
        <v>35</v>
      </c>
      <c r="N206" s="3" t="s">
        <v>10</v>
      </c>
      <c r="O206" s="3" t="s">
        <v>20</v>
      </c>
      <c r="P206" s="3" t="s">
        <v>12</v>
      </c>
      <c r="Q206" s="3" t="s">
        <v>13</v>
      </c>
      <c r="R206" s="3" t="s">
        <v>14</v>
      </c>
      <c r="S206" s="3" t="s">
        <v>15</v>
      </c>
      <c r="T206" s="3"/>
      <c r="U206" s="65"/>
    </row>
    <row r="207" spans="2:21" ht="13.5" customHeight="1" thickBot="1" x14ac:dyDescent="0.25">
      <c r="B207" s="16"/>
      <c r="C207" s="243" t="s">
        <v>38</v>
      </c>
      <c r="D207" s="243"/>
      <c r="E207" s="243"/>
      <c r="F207" s="244"/>
      <c r="G207" s="1"/>
      <c r="H207" s="1"/>
      <c r="I207" s="1"/>
      <c r="K207" s="25"/>
      <c r="L207" s="20" t="s">
        <v>12</v>
      </c>
      <c r="M207" s="20" t="e">
        <f>(O207+Q207)*S207</f>
        <v>#N/A</v>
      </c>
      <c r="N207" s="20"/>
      <c r="O207" s="20">
        <f>IF(G203=0,$E$7*0.06,G203*0.06)</f>
        <v>0</v>
      </c>
      <c r="P207" s="20"/>
      <c r="Q207" s="20" t="e">
        <f>INDEX(VbSpeedConstA_Int,MATCH(1,INDEX((I208=VbSpeedConstA_Type)*(G210=VbSpeedConstA_Rc),,),0))+INDEX(VbSpeedConstA_Slope,MATCH(1,INDEX((I208=VbSpeedConstA_Type)*(G210=VbSpeedConstA_Rc),,),0))*IF(F201&lt;80,80,F201)</f>
        <v>#N/A</v>
      </c>
      <c r="R207" s="20"/>
      <c r="S207" s="20">
        <f>MAX(0,(I207-IFERROR(INDEX(VbModuleLength_Length,MATCH(I206,VbModuleLength_Module,0)),))/12)</f>
        <v>0</v>
      </c>
      <c r="T207" s="20"/>
      <c r="U207" s="41"/>
    </row>
    <row r="208" spans="2:21" ht="13.5" customHeight="1" thickBot="1" x14ac:dyDescent="0.25">
      <c r="B208" s="16"/>
      <c r="C208" s="243" t="s">
        <v>40</v>
      </c>
      <c r="D208" s="243"/>
      <c r="E208" s="243"/>
      <c r="F208" s="244"/>
      <c r="G208" s="1"/>
      <c r="H208" s="1"/>
      <c r="I208" s="1"/>
      <c r="K208" s="67" t="s">
        <v>41</v>
      </c>
      <c r="L208" s="9" t="s">
        <v>10</v>
      </c>
      <c r="M208" s="9" t="s">
        <v>42</v>
      </c>
      <c r="N208" s="9" t="s">
        <v>12</v>
      </c>
      <c r="O208" s="9" t="s">
        <v>13</v>
      </c>
      <c r="P208" s="9" t="s">
        <v>14</v>
      </c>
      <c r="Q208" s="9" t="s">
        <v>43</v>
      </c>
      <c r="R208" s="9" t="s">
        <v>14</v>
      </c>
      <c r="S208" s="3" t="s">
        <v>44</v>
      </c>
      <c r="T208" s="3"/>
      <c r="U208" s="65"/>
    </row>
    <row r="209" spans="2:21" ht="13.5" customHeight="1" thickBot="1" x14ac:dyDescent="0.25">
      <c r="B209" s="16"/>
      <c r="C209" s="245"/>
      <c r="D209" s="245"/>
      <c r="E209" s="245"/>
      <c r="F209" s="245"/>
      <c r="K209" s="25" t="e">
        <f>(M209+O209)*Q209*S209</f>
        <v>#N/A</v>
      </c>
      <c r="L209" s="20"/>
      <c r="M209" s="20">
        <f>IF(G203=0,$E$7*0.133,G203*0.133)</f>
        <v>0</v>
      </c>
      <c r="N209" s="20"/>
      <c r="O209" s="20" t="e">
        <f>O201</f>
        <v>#N/A</v>
      </c>
      <c r="P209" s="20"/>
      <c r="Q209" s="20">
        <f>IFERROR(INDEX(VbWidthFactor_Constant,MATCH(E201,VbWidthFactor_NW)),0)</f>
        <v>0</v>
      </c>
      <c r="R209" s="20"/>
      <c r="S209" s="26">
        <f>IFERROR(INDEX(VbFigureConst_Const,MATCH(D201,VbFigureConst_Figure,0)),)</f>
        <v>0</v>
      </c>
      <c r="T209" s="26"/>
      <c r="U209" s="22"/>
    </row>
    <row r="210" spans="2:21" ht="13.5" customHeight="1" thickBot="1" x14ac:dyDescent="0.25">
      <c r="B210" s="16"/>
      <c r="C210" s="243" t="s">
        <v>47</v>
      </c>
      <c r="D210" s="243"/>
      <c r="E210" s="243"/>
      <c r="F210" s="244"/>
      <c r="G210" s="1"/>
      <c r="K210" s="67" t="s">
        <v>48</v>
      </c>
      <c r="L210" s="9" t="s">
        <v>10</v>
      </c>
      <c r="M210" s="9" t="s">
        <v>49</v>
      </c>
      <c r="N210" s="9" t="s">
        <v>14</v>
      </c>
      <c r="O210" s="19">
        <v>5</v>
      </c>
      <c r="P210" s="21"/>
      <c r="Q210" s="21"/>
      <c r="R210" s="21"/>
      <c r="S210" s="265" t="s">
        <v>50</v>
      </c>
      <c r="T210" s="266"/>
      <c r="U210" s="68" t="s">
        <v>51</v>
      </c>
    </row>
    <row r="211" spans="2:21" ht="13.5" customHeight="1" x14ac:dyDescent="0.2">
      <c r="B211" s="16"/>
      <c r="C211" s="245"/>
      <c r="D211" s="245"/>
      <c r="E211" s="245"/>
      <c r="F211" s="245"/>
      <c r="K211" s="25">
        <f>M211*O211</f>
        <v>0</v>
      </c>
      <c r="L211" s="20"/>
      <c r="M211" s="8">
        <f>COUNTA(G206:I206)</f>
        <v>0</v>
      </c>
      <c r="N211" s="20"/>
      <c r="O211" s="20">
        <v>5</v>
      </c>
      <c r="P211" s="20"/>
      <c r="Q211" s="20"/>
      <c r="R211" s="20"/>
      <c r="S211" s="267" t="str">
        <f>IF(ISBLANK(D201),"NEED FIGURE",IF(AND(ISBLANK(E201),INDEX(VbSpeedConstB_Type,MATCH(D201,VbSpeedConstB_Figure))="curve"),"NEED WIDTH",IF(AND("curve"&lt;&gt;INDEX(VbSpeedConstB_Type,MATCH(D201,VbSpeedConstB_Figure)),ISBLANK(G204)),"NEED OVERALL LENGTH","")))</f>
        <v>NEED FIGURE</v>
      </c>
      <c r="T211" s="268"/>
      <c r="U211" s="69" t="s">
        <v>53</v>
      </c>
    </row>
    <row r="212" spans="2:21" ht="13.5" customHeight="1" thickBot="1" x14ac:dyDescent="0.25">
      <c r="B212" s="16"/>
      <c r="C212" s="240"/>
      <c r="D212" s="240"/>
      <c r="E212" s="240"/>
      <c r="F212" s="240"/>
      <c r="G212" s="2" t="s">
        <v>56</v>
      </c>
      <c r="H212" s="2" t="s">
        <v>57</v>
      </c>
      <c r="K212" s="67" t="s">
        <v>58</v>
      </c>
      <c r="L212" s="9" t="s">
        <v>10</v>
      </c>
      <c r="M212" s="9" t="s">
        <v>59</v>
      </c>
      <c r="N212" s="9" t="s">
        <v>12</v>
      </c>
      <c r="O212" s="9" t="s">
        <v>60</v>
      </c>
      <c r="P212" s="9" t="s">
        <v>14</v>
      </c>
      <c r="Q212" s="9" t="s">
        <v>61</v>
      </c>
      <c r="R212" s="9"/>
      <c r="S212" s="276" t="str">
        <f>IF(ISBLANK(F201),"NEED SPEED",IF(AND(ISBLANK($E$7),ISBLANK(G203)),"NEED LIVE LOAD",""))</f>
        <v>NEED SPEED</v>
      </c>
      <c r="T212" s="277"/>
      <c r="U212" s="70" t="str">
        <f>IFERROR(IF(COUNTIF(G206:I206,"C43")=1,INDEX(VbDriveAb_Speed,MATCH(1,INDEX((F201&lt;=VbDriveAb_Speed)*(K217&lt;=VbDriveAb_Hp)*(K213&lt;=VbDriveAb_Ebp),,),0))&amp;" FPM",IF(SUM(COUNTIF(G206:I206,{"C42","C55","C56"}))=1,INDEX(VbDriveC_Speed,MATCH(1,INDEX((F201&lt;=VbDriveC_Speed)*(K217&lt;=VbDriveC_Hp)*(K213&lt;=VbDriveC_Ebp),,),0))&amp;" FPM","")),"")</f>
        <v/>
      </c>
    </row>
    <row r="213" spans="2:21" ht="13.5" customHeight="1" thickBot="1" x14ac:dyDescent="0.25">
      <c r="B213" s="16"/>
      <c r="C213" s="241" t="s">
        <v>64</v>
      </c>
      <c r="D213" s="241"/>
      <c r="E213" s="241"/>
      <c r="F213" s="242"/>
      <c r="G213" s="1"/>
      <c r="H213" s="1"/>
      <c r="K213" s="25" t="e">
        <f>(M213+O213)*Q213</f>
        <v>#N/A</v>
      </c>
      <c r="L213" s="20"/>
      <c r="M213" s="20" t="e">
        <f>K201+K209+K211</f>
        <v>#N/A</v>
      </c>
      <c r="N213" s="20"/>
      <c r="O213" s="20">
        <f>G215</f>
        <v>0</v>
      </c>
      <c r="P213" s="20"/>
      <c r="Q213" s="20">
        <v>1.25</v>
      </c>
      <c r="R213" s="20"/>
      <c r="S213" s="276" t="str">
        <f>IF(OR(ISBLANK(G206),ISBLANK(H206)),"NEED MODULE(S)",IF(OR(ISBLANK(G208),ISBLANK(H208)),"NEED STRAIGHT/SKEW",""))</f>
        <v>NEED MODULE(S)</v>
      </c>
      <c r="T213" s="277"/>
      <c r="U213" s="71" t="str">
        <f>IFERROR(IF(COUNTIF(G206:I206,"C43")=1,INDEX(VbDriveAb_Hp,MATCH(1,INDEX((F201&lt;=VbDriveAb_Speed)*(K217&lt;=VbDriveAb_Hp)*(K213&lt;=VbDriveAb_Ebp),,),0))&amp;" HP",IF(SUM(COUNTIF(G206:I206,{"C42","C55","C56"}))=1,INDEX(VbDriveC_Hp,MATCH(1,INDEX((F201&lt;=VbDriveC_Speed)*(K217&lt;=VbDriveC_Hp)*(K213&lt;=VbDriveC_Ebp),,),0))&amp;" HP","")),"")</f>
        <v/>
      </c>
    </row>
    <row r="214" spans="2:21" ht="13.5" customHeight="1" thickBot="1" x14ac:dyDescent="0.25">
      <c r="B214" s="16"/>
      <c r="C214" s="240"/>
      <c r="D214" s="240"/>
      <c r="E214" s="240"/>
      <c r="F214" s="240"/>
      <c r="K214" s="67" t="s">
        <v>67</v>
      </c>
      <c r="L214" s="9" t="s">
        <v>10</v>
      </c>
      <c r="M214" s="9" t="s">
        <v>58</v>
      </c>
      <c r="N214" s="9" t="s">
        <v>14</v>
      </c>
      <c r="O214" s="9" t="s">
        <v>68</v>
      </c>
      <c r="P214" s="9"/>
      <c r="Q214" s="9"/>
      <c r="R214" s="9"/>
      <c r="S214" s="276" t="str">
        <f>IF(ISBLANK(G210),"NEED ROLLER CENTERS","")</f>
        <v>NEED ROLLER CENTERS</v>
      </c>
      <c r="T214" s="277"/>
      <c r="U214" s="72" t="s">
        <v>69</v>
      </c>
    </row>
    <row r="215" spans="2:21" ht="13.5" customHeight="1" thickBot="1" x14ac:dyDescent="0.25">
      <c r="B215" s="16"/>
      <c r="C215" s="243" t="s">
        <v>71</v>
      </c>
      <c r="D215" s="243"/>
      <c r="E215" s="243"/>
      <c r="F215" s="243"/>
      <c r="G215" s="1"/>
      <c r="K215" s="25" t="e">
        <f>M215*O215</f>
        <v>#N/A</v>
      </c>
      <c r="L215" s="20"/>
      <c r="M215" s="20" t="e">
        <f>K213</f>
        <v>#N/A</v>
      </c>
      <c r="N215" s="20"/>
      <c r="O215" s="20">
        <f>IF(AND(ISNUMBER(G213),ISNUMBER(H213)),H213/G213,0)</f>
        <v>0</v>
      </c>
      <c r="P215" s="20"/>
      <c r="Q215" s="20"/>
      <c r="R215" s="20"/>
      <c r="S215" s="284"/>
      <c r="T215" s="285"/>
      <c r="U215" s="74" t="str">
        <f>IFERROR(IF(K215&gt;0,K215,""),"")</f>
        <v/>
      </c>
    </row>
    <row r="216" spans="2:21" ht="13.5" customHeight="1" thickBot="1" x14ac:dyDescent="0.25">
      <c r="B216" s="16"/>
      <c r="C216" s="240"/>
      <c r="D216" s="240"/>
      <c r="E216" s="240"/>
      <c r="F216" s="240"/>
      <c r="K216" s="24" t="s">
        <v>74</v>
      </c>
      <c r="L216" s="3" t="s">
        <v>10</v>
      </c>
      <c r="M216" s="3" t="s">
        <v>58</v>
      </c>
      <c r="N216" s="3" t="s">
        <v>14</v>
      </c>
      <c r="O216" s="3" t="s">
        <v>8</v>
      </c>
      <c r="P216" s="3" t="s">
        <v>75</v>
      </c>
      <c r="Q216" s="3" t="s">
        <v>76</v>
      </c>
      <c r="S216" s="276" t="str">
        <f>IFERROR(IF(K217&gt;MAX(VbDriveAb_Hp,VbDriveC_Hp),"EXCEEDS MAX HP",""),"")</f>
        <v/>
      </c>
      <c r="T216" s="277"/>
      <c r="U216" s="278" t="str">
        <f>IF(NOT(OR(SUM(COUNTIF(G206:I206,{"C42","C43","C51","C55","C56"}))&gt;0,COUNTBLANK(G213:H213)&lt;1)),"NEED DRIVE MODULE OR SLAVE RATIO",IF(AND(SUM(COUNTIF(G206:I206,{"C42","C43","C51","C55","C56"}))&gt;0,COUNTBLANK(G213:H213)&lt;1),"CAN'T BE SLAVE AND HAVE DRIVE",""))</f>
        <v>NEED DRIVE MODULE OR SLAVE RATIO</v>
      </c>
    </row>
    <row r="217" spans="2:21" ht="13.5" customHeight="1" thickBot="1" x14ac:dyDescent="0.25">
      <c r="B217" s="286" t="s">
        <v>78</v>
      </c>
      <c r="C217" s="287"/>
      <c r="D217" s="262"/>
      <c r="E217" s="263"/>
      <c r="F217" s="263"/>
      <c r="G217" s="263"/>
      <c r="H217" s="263"/>
      <c r="I217" s="263"/>
      <c r="J217" s="264"/>
      <c r="K217" s="73" t="e">
        <f>M217*O217/Q217</f>
        <v>#N/A</v>
      </c>
      <c r="L217" s="27"/>
      <c r="M217" s="27" t="e">
        <f>K213</f>
        <v>#N/A</v>
      </c>
      <c r="N217" s="27"/>
      <c r="O217" s="27">
        <f>F201</f>
        <v>0</v>
      </c>
      <c r="P217" s="27"/>
      <c r="Q217" s="27">
        <v>31350</v>
      </c>
      <c r="R217" s="27"/>
      <c r="S217" s="274" t="str">
        <f>IFERROR(IF(K213&gt;125,"EXCEEDS BELT STRENGTH",""),"")</f>
        <v/>
      </c>
      <c r="T217" s="275"/>
      <c r="U217" s="279"/>
    </row>
    <row r="218" spans="2:21" ht="13.5" customHeight="1" thickBot="1" x14ac:dyDescent="0.25"/>
    <row r="219" spans="2:21" ht="13.5" customHeight="1" thickBot="1" x14ac:dyDescent="0.25">
      <c r="B219" s="39"/>
      <c r="C219" s="28" t="s">
        <v>5</v>
      </c>
      <c r="D219" s="28" t="s">
        <v>6</v>
      </c>
      <c r="E219" s="28" t="s">
        <v>7</v>
      </c>
      <c r="F219" s="28" t="s">
        <v>8</v>
      </c>
      <c r="G219" s="28"/>
      <c r="H219" s="28"/>
      <c r="I219" s="28"/>
      <c r="J219" s="28"/>
      <c r="K219" s="23" t="s">
        <v>9</v>
      </c>
      <c r="L219" s="4" t="s">
        <v>10</v>
      </c>
      <c r="M219" s="4" t="s">
        <v>11</v>
      </c>
      <c r="N219" s="4" t="s">
        <v>12</v>
      </c>
      <c r="O219" s="4" t="s">
        <v>13</v>
      </c>
      <c r="P219" s="4" t="s">
        <v>14</v>
      </c>
      <c r="Q219" s="4" t="s">
        <v>15</v>
      </c>
      <c r="R219" s="4"/>
      <c r="S219" s="4"/>
      <c r="T219" s="4"/>
      <c r="U219" s="5"/>
    </row>
    <row r="220" spans="2:21" ht="13.5" customHeight="1" thickBot="1" x14ac:dyDescent="0.25">
      <c r="B220" s="16"/>
      <c r="C220" s="272"/>
      <c r="D220" s="206"/>
      <c r="E220" s="1"/>
      <c r="F220" s="1"/>
      <c r="K220" s="63" t="e">
        <f>(M220+O220)*Q220+M222+M224+IFERROR(M226,0)</f>
        <v>#N/A</v>
      </c>
      <c r="L220" s="26"/>
      <c r="M220" s="26">
        <f>IF(G222=0,$E$7*0.06,G222*0.06)</f>
        <v>0</v>
      </c>
      <c r="N220" s="26"/>
      <c r="O220" s="26" t="e">
        <f>INDEX(VbSpeedConstA_Int,MATCH(1,INDEX((INDEX(VbSpeedConstB_Type,MATCH(D220,VbSpeedConstB_Figure))=VbSpeedConstA_Type)*(G229=VbSpeedConstA_Rc),,),0))+INDEX(VbSpeedConstA_Slope,MATCH(1,INDEX((INDEX(VbSpeedConstB_Type,MATCH(D220,VbSpeedConstB_Figure))=VbSpeedConstA_Type)*(G229=VbSpeedConstA_Rc),,),0))*IF(F220&lt;80,80,F220)</f>
        <v>#N/A</v>
      </c>
      <c r="P220" s="26"/>
      <c r="Q220" s="26" t="e">
        <f>IF("curve"&lt;&gt;INDEX(VbSpeedConstB_Type,MATCH(D220,VbSpeedConstB_Figure)),G223-IFERROR(INDEX(VbModuleLength_Length,MATCH(G225,VbModuleLength_Module,0)),)-IFERROR(INDEX(VbModuleLength_Length,MATCH(H225,VbModuleLength_Module,0)),),0)/12</f>
        <v>#N/A</v>
      </c>
      <c r="R220" s="26"/>
      <c r="S220" s="26"/>
      <c r="T220" s="26"/>
      <c r="U220" s="22"/>
    </row>
    <row r="221" spans="2:21" ht="13.5" customHeight="1" thickBot="1" x14ac:dyDescent="0.25">
      <c r="B221" s="16"/>
      <c r="C221" s="273"/>
      <c r="D221" s="205"/>
      <c r="E221" s="205"/>
      <c r="F221" s="205"/>
      <c r="K221" s="24"/>
      <c r="L221" s="64" t="s">
        <v>18</v>
      </c>
      <c r="M221" s="3" t="s">
        <v>19</v>
      </c>
      <c r="N221" s="3" t="s">
        <v>10</v>
      </c>
      <c r="O221" s="3" t="s">
        <v>20</v>
      </c>
      <c r="P221" s="3" t="s">
        <v>12</v>
      </c>
      <c r="Q221" s="3" t="s">
        <v>13</v>
      </c>
      <c r="R221" s="3" t="s">
        <v>14</v>
      </c>
      <c r="S221" s="3" t="s">
        <v>15</v>
      </c>
      <c r="T221" s="3"/>
      <c r="U221" s="65"/>
    </row>
    <row r="222" spans="2:21" ht="13.5" customHeight="1" thickBot="1" x14ac:dyDescent="0.25">
      <c r="B222" s="16"/>
      <c r="C222" s="243" t="s">
        <v>24</v>
      </c>
      <c r="D222" s="243"/>
      <c r="E222" s="243"/>
      <c r="F222" s="244"/>
      <c r="G222" s="1"/>
      <c r="K222" s="63"/>
      <c r="L222" s="26" t="s">
        <v>12</v>
      </c>
      <c r="M222" s="26" t="e">
        <f>(O222+Q222)*S222</f>
        <v>#N/A</v>
      </c>
      <c r="N222" s="26"/>
      <c r="O222" s="26">
        <f>IF(G222=0,$E$7*0.06,G222*0.06)</f>
        <v>0</v>
      </c>
      <c r="P222" s="26"/>
      <c r="Q222" s="26" t="e">
        <f>INDEX(VbSpeedConstA_Int,MATCH(1,INDEX((G227=VbSpeedConstA_Type)*(G229=VbSpeedConstA_Rc),,),0))+INDEX(VbSpeedConstA_Slope,MATCH(1,INDEX((G227=VbSpeedConstA_Type)*(G229=VbSpeedConstA_Rc),,),0))*IF(F220&lt;80,80,F220)</f>
        <v>#N/A</v>
      </c>
      <c r="R222" s="26"/>
      <c r="S222" s="26">
        <f>MAX(0,(G226-IFERROR(INDEX(VbModuleLength_Length,MATCH(G225,VbModuleLength_Module,0)),))/12)</f>
        <v>0</v>
      </c>
      <c r="T222" s="26"/>
      <c r="U222" s="22"/>
    </row>
    <row r="223" spans="2:21" ht="13.5" customHeight="1" thickBot="1" x14ac:dyDescent="0.25">
      <c r="B223" s="16"/>
      <c r="C223" s="243" t="s">
        <v>27</v>
      </c>
      <c r="D223" s="243"/>
      <c r="E223" s="243"/>
      <c r="F223" s="244"/>
      <c r="G223" s="1"/>
      <c r="K223" s="24"/>
      <c r="L223" s="3"/>
      <c r="M223" s="3" t="s">
        <v>28</v>
      </c>
      <c r="N223" s="3" t="s">
        <v>10</v>
      </c>
      <c r="O223" s="3" t="s">
        <v>20</v>
      </c>
      <c r="P223" s="3" t="s">
        <v>12</v>
      </c>
      <c r="Q223" s="3" t="s">
        <v>13</v>
      </c>
      <c r="R223" s="3" t="s">
        <v>14</v>
      </c>
      <c r="S223" s="3" t="s">
        <v>15</v>
      </c>
      <c r="T223" s="3"/>
      <c r="U223" s="65"/>
    </row>
    <row r="224" spans="2:21" ht="13.5" customHeight="1" thickBot="1" x14ac:dyDescent="0.25">
      <c r="B224" s="16"/>
      <c r="C224" s="245"/>
      <c r="D224" s="245"/>
      <c r="E224" s="245"/>
      <c r="F224" s="245"/>
      <c r="G224" s="2" t="s">
        <v>30</v>
      </c>
      <c r="H224" s="66" t="s">
        <v>31</v>
      </c>
      <c r="I224" s="2" t="s">
        <v>32</v>
      </c>
      <c r="K224" s="63"/>
      <c r="L224" s="26" t="s">
        <v>12</v>
      </c>
      <c r="M224" s="26" t="e">
        <f>(O224+Q224)*S224</f>
        <v>#N/A</v>
      </c>
      <c r="N224" s="26"/>
      <c r="O224" s="26">
        <f>IF(G222=0,$E$7*0.06,G222*0.06)</f>
        <v>0</v>
      </c>
      <c r="P224" s="26"/>
      <c r="Q224" s="26" t="e">
        <f>INDEX(VbSpeedConstA_Int,MATCH(1,INDEX((H227=VbSpeedConstA_Type)*(G229=VbSpeedConstA_Rc),,),0))+INDEX(VbSpeedConstA_Slope,MATCH(1,INDEX((H227=VbSpeedConstA_Type)*(G229=VbSpeedConstA_Rc),,),0))*IF(F220&lt;80,80,F220)</f>
        <v>#N/A</v>
      </c>
      <c r="R224" s="26"/>
      <c r="S224" s="26">
        <f>MAX(0,(H226-IFERROR(INDEX(VbModuleLength_Length,MATCH(H225,VbModuleLength_Module,0)),))/12)</f>
        <v>0</v>
      </c>
      <c r="T224" s="26"/>
      <c r="U224" s="22"/>
    </row>
    <row r="225" spans="2:21" ht="13.5" customHeight="1" thickBot="1" x14ac:dyDescent="0.25">
      <c r="B225" s="16"/>
      <c r="C225" s="243" t="s">
        <v>34</v>
      </c>
      <c r="D225" s="243"/>
      <c r="E225" s="243"/>
      <c r="F225" s="244"/>
      <c r="G225" s="1"/>
      <c r="H225" s="1"/>
      <c r="I225" s="1"/>
      <c r="K225" s="24"/>
      <c r="L225" s="3"/>
      <c r="M225" s="3" t="s">
        <v>35</v>
      </c>
      <c r="N225" s="3" t="s">
        <v>10</v>
      </c>
      <c r="O225" s="3" t="s">
        <v>20</v>
      </c>
      <c r="P225" s="3" t="s">
        <v>12</v>
      </c>
      <c r="Q225" s="3" t="s">
        <v>13</v>
      </c>
      <c r="R225" s="3" t="s">
        <v>14</v>
      </c>
      <c r="S225" s="3" t="s">
        <v>15</v>
      </c>
      <c r="T225" s="3"/>
      <c r="U225" s="65"/>
    </row>
    <row r="226" spans="2:21" ht="13.5" customHeight="1" thickBot="1" x14ac:dyDescent="0.25">
      <c r="B226" s="16"/>
      <c r="C226" s="243" t="s">
        <v>38</v>
      </c>
      <c r="D226" s="243"/>
      <c r="E226" s="243"/>
      <c r="F226" s="244"/>
      <c r="G226" s="1"/>
      <c r="H226" s="1"/>
      <c r="I226" s="1"/>
      <c r="K226" s="25"/>
      <c r="L226" s="20" t="s">
        <v>12</v>
      </c>
      <c r="M226" s="20" t="e">
        <f>(O226+Q226)*S226</f>
        <v>#N/A</v>
      </c>
      <c r="N226" s="20"/>
      <c r="O226" s="20">
        <f>IF(G222=0,$E$7*0.06,G222*0.06)</f>
        <v>0</v>
      </c>
      <c r="P226" s="20"/>
      <c r="Q226" s="20" t="e">
        <f>INDEX(VbSpeedConstA_Int,MATCH(1,INDEX((I227=VbSpeedConstA_Type)*(G229=VbSpeedConstA_Rc),,),0))+INDEX(VbSpeedConstA_Slope,MATCH(1,INDEX((I227=VbSpeedConstA_Type)*(G229=VbSpeedConstA_Rc),,),0))*IF(F220&lt;80,80,F220)</f>
        <v>#N/A</v>
      </c>
      <c r="R226" s="20"/>
      <c r="S226" s="20">
        <f>MAX(0,(I226-IFERROR(INDEX(VbModuleLength_Length,MATCH(I225,VbModuleLength_Module,0)),))/12)</f>
        <v>0</v>
      </c>
      <c r="T226" s="20"/>
      <c r="U226" s="41"/>
    </row>
    <row r="227" spans="2:21" ht="13.5" customHeight="1" thickBot="1" x14ac:dyDescent="0.25">
      <c r="B227" s="16"/>
      <c r="C227" s="243" t="s">
        <v>40</v>
      </c>
      <c r="D227" s="243"/>
      <c r="E227" s="243"/>
      <c r="F227" s="244"/>
      <c r="G227" s="1"/>
      <c r="H227" s="1"/>
      <c r="I227" s="1"/>
      <c r="K227" s="67" t="s">
        <v>41</v>
      </c>
      <c r="L227" s="9" t="s">
        <v>10</v>
      </c>
      <c r="M227" s="9" t="s">
        <v>42</v>
      </c>
      <c r="N227" s="9" t="s">
        <v>12</v>
      </c>
      <c r="O227" s="9" t="s">
        <v>13</v>
      </c>
      <c r="P227" s="9" t="s">
        <v>14</v>
      </c>
      <c r="Q227" s="9" t="s">
        <v>43</v>
      </c>
      <c r="R227" s="9" t="s">
        <v>14</v>
      </c>
      <c r="S227" s="3" t="s">
        <v>44</v>
      </c>
      <c r="T227" s="3"/>
      <c r="U227" s="65"/>
    </row>
    <row r="228" spans="2:21" ht="13.5" customHeight="1" thickBot="1" x14ac:dyDescent="0.25">
      <c r="B228" s="16"/>
      <c r="C228" s="245"/>
      <c r="D228" s="245"/>
      <c r="E228" s="245"/>
      <c r="F228" s="245"/>
      <c r="K228" s="25" t="e">
        <f>(M228+O228)*Q228*S228</f>
        <v>#N/A</v>
      </c>
      <c r="L228" s="20"/>
      <c r="M228" s="20">
        <f>IF(G222=0,$E$7*0.133,G222*0.133)</f>
        <v>0</v>
      </c>
      <c r="N228" s="20"/>
      <c r="O228" s="20" t="e">
        <f>O220</f>
        <v>#N/A</v>
      </c>
      <c r="P228" s="20"/>
      <c r="Q228" s="20">
        <f>IFERROR(INDEX(VbWidthFactor_Constant,MATCH(E220,VbWidthFactor_NW)),0)</f>
        <v>0</v>
      </c>
      <c r="R228" s="20"/>
      <c r="S228" s="26">
        <f>IFERROR(INDEX(VbFigureConst_Const,MATCH(D220,VbFigureConst_Figure,0)),)</f>
        <v>0</v>
      </c>
      <c r="T228" s="26"/>
      <c r="U228" s="22"/>
    </row>
    <row r="229" spans="2:21" ht="13.5" customHeight="1" thickBot="1" x14ac:dyDescent="0.25">
      <c r="B229" s="16"/>
      <c r="C229" s="243" t="s">
        <v>47</v>
      </c>
      <c r="D229" s="243"/>
      <c r="E229" s="243"/>
      <c r="F229" s="244"/>
      <c r="G229" s="1"/>
      <c r="K229" s="67" t="s">
        <v>48</v>
      </c>
      <c r="L229" s="9" t="s">
        <v>10</v>
      </c>
      <c r="M229" s="9" t="s">
        <v>49</v>
      </c>
      <c r="N229" s="9" t="s">
        <v>14</v>
      </c>
      <c r="O229" s="19">
        <v>5</v>
      </c>
      <c r="P229" s="21"/>
      <c r="Q229" s="21"/>
      <c r="R229" s="21"/>
      <c r="S229" s="265" t="s">
        <v>50</v>
      </c>
      <c r="T229" s="266"/>
      <c r="U229" s="68" t="s">
        <v>51</v>
      </c>
    </row>
    <row r="230" spans="2:21" ht="13.5" customHeight="1" x14ac:dyDescent="0.2">
      <c r="B230" s="16"/>
      <c r="C230" s="245"/>
      <c r="D230" s="245"/>
      <c r="E230" s="245"/>
      <c r="F230" s="245"/>
      <c r="K230" s="25">
        <f>M230*O230</f>
        <v>0</v>
      </c>
      <c r="L230" s="20"/>
      <c r="M230" s="8">
        <f>COUNTA(G225:I225)</f>
        <v>0</v>
      </c>
      <c r="N230" s="20"/>
      <c r="O230" s="20">
        <v>5</v>
      </c>
      <c r="P230" s="20"/>
      <c r="Q230" s="20"/>
      <c r="R230" s="20"/>
      <c r="S230" s="267" t="str">
        <f>IF(ISBLANK(D220),"NEED FIGURE",IF(AND(ISBLANK(E220),INDEX(VbSpeedConstB_Type,MATCH(D220,VbSpeedConstB_Figure))="curve"),"NEED WIDTH",IF(AND("curve"&lt;&gt;INDEX(VbSpeedConstB_Type,MATCH(D220,VbSpeedConstB_Figure)),ISBLANK(G223)),"NEED OVERALL LENGTH","")))</f>
        <v>NEED FIGURE</v>
      </c>
      <c r="T230" s="268"/>
      <c r="U230" s="69" t="s">
        <v>53</v>
      </c>
    </row>
    <row r="231" spans="2:21" ht="13.5" customHeight="1" thickBot="1" x14ac:dyDescent="0.25">
      <c r="B231" s="16"/>
      <c r="C231" s="240"/>
      <c r="D231" s="240"/>
      <c r="E231" s="240"/>
      <c r="F231" s="240"/>
      <c r="G231" s="2" t="s">
        <v>56</v>
      </c>
      <c r="H231" s="2" t="s">
        <v>57</v>
      </c>
      <c r="K231" s="67" t="s">
        <v>58</v>
      </c>
      <c r="L231" s="9" t="s">
        <v>10</v>
      </c>
      <c r="M231" s="9" t="s">
        <v>59</v>
      </c>
      <c r="N231" s="9" t="s">
        <v>12</v>
      </c>
      <c r="O231" s="9" t="s">
        <v>60</v>
      </c>
      <c r="P231" s="9" t="s">
        <v>14</v>
      </c>
      <c r="Q231" s="9" t="s">
        <v>61</v>
      </c>
      <c r="R231" s="9"/>
      <c r="S231" s="276" t="str">
        <f>IF(ISBLANK(F220),"NEED SPEED",IF(AND(ISBLANK($E$7),ISBLANK(G222)),"NEED LIVE LOAD",""))</f>
        <v>NEED SPEED</v>
      </c>
      <c r="T231" s="277"/>
      <c r="U231" s="70" t="str">
        <f>IFERROR(IF(COUNTIF(G225:I225,"C43")=1,INDEX(VbDriveAb_Speed,MATCH(1,INDEX((F220&lt;=VbDriveAb_Speed)*(K236&lt;=VbDriveAb_Hp)*(K232&lt;=VbDriveAb_Ebp),,),0))&amp;" FPM",IF(SUM(COUNTIF(G225:I225,{"C42","C55","C56"}))=1,INDEX(VbDriveC_Speed,MATCH(1,INDEX((F220&lt;=VbDriveC_Speed)*(K236&lt;=VbDriveC_Hp)*(K232&lt;=VbDriveC_Ebp),,),0))&amp;" FPM","")),"")</f>
        <v/>
      </c>
    </row>
    <row r="232" spans="2:21" ht="13.5" customHeight="1" thickBot="1" x14ac:dyDescent="0.25">
      <c r="B232" s="16"/>
      <c r="C232" s="241" t="s">
        <v>64</v>
      </c>
      <c r="D232" s="241"/>
      <c r="E232" s="241"/>
      <c r="F232" s="242"/>
      <c r="G232" s="1"/>
      <c r="H232" s="1"/>
      <c r="K232" s="25" t="e">
        <f>(M232+O232)*Q232</f>
        <v>#N/A</v>
      </c>
      <c r="L232" s="20"/>
      <c r="M232" s="20" t="e">
        <f>K220+K228+K230</f>
        <v>#N/A</v>
      </c>
      <c r="N232" s="20"/>
      <c r="O232" s="20">
        <f>G234</f>
        <v>0</v>
      </c>
      <c r="P232" s="20"/>
      <c r="Q232" s="20">
        <v>1.25</v>
      </c>
      <c r="R232" s="20"/>
      <c r="S232" s="276" t="str">
        <f>IF(OR(ISBLANK(G225),ISBLANK(H225)),"NEED MODULE(S)",IF(OR(ISBLANK(G227),ISBLANK(H227)),"NEED STRAIGHT/SKEW",""))</f>
        <v>NEED MODULE(S)</v>
      </c>
      <c r="T232" s="277"/>
      <c r="U232" s="71" t="str">
        <f>IFERROR(IF(COUNTIF(G225:I225,"C43")=1,INDEX(VbDriveAb_Hp,MATCH(1,INDEX((F220&lt;=VbDriveAb_Speed)*(K236&lt;=VbDriveAb_Hp)*(K232&lt;=VbDriveAb_Ebp),,),0))&amp;" HP",IF(SUM(COUNTIF(G225:I225,{"C42","C55","C56"}))=1,INDEX(VbDriveC_Hp,MATCH(1,INDEX((F220&lt;=VbDriveC_Speed)*(K236&lt;=VbDriveC_Hp)*(K232&lt;=VbDriveC_Ebp),,),0))&amp;" HP","")),"")</f>
        <v/>
      </c>
    </row>
    <row r="233" spans="2:21" ht="13.5" customHeight="1" thickBot="1" x14ac:dyDescent="0.25">
      <c r="B233" s="16"/>
      <c r="C233" s="240"/>
      <c r="D233" s="240"/>
      <c r="E233" s="240"/>
      <c r="F233" s="240"/>
      <c r="K233" s="67" t="s">
        <v>67</v>
      </c>
      <c r="L233" s="9" t="s">
        <v>10</v>
      </c>
      <c r="M233" s="9" t="s">
        <v>58</v>
      </c>
      <c r="N233" s="9" t="s">
        <v>14</v>
      </c>
      <c r="O233" s="9" t="s">
        <v>68</v>
      </c>
      <c r="P233" s="9"/>
      <c r="Q233" s="9"/>
      <c r="R233" s="9"/>
      <c r="S233" s="276" t="str">
        <f>IF(ISBLANK(G229),"NEED ROLLER CENTERS","")</f>
        <v>NEED ROLLER CENTERS</v>
      </c>
      <c r="T233" s="277"/>
      <c r="U233" s="72" t="s">
        <v>69</v>
      </c>
    </row>
    <row r="234" spans="2:21" ht="13.5" customHeight="1" thickBot="1" x14ac:dyDescent="0.25">
      <c r="B234" s="16"/>
      <c r="C234" s="243" t="s">
        <v>71</v>
      </c>
      <c r="D234" s="243"/>
      <c r="E234" s="243"/>
      <c r="F234" s="243"/>
      <c r="G234" s="1"/>
      <c r="K234" s="25" t="e">
        <f>M234*O234</f>
        <v>#N/A</v>
      </c>
      <c r="L234" s="20"/>
      <c r="M234" s="20" t="e">
        <f>K232</f>
        <v>#N/A</v>
      </c>
      <c r="N234" s="20"/>
      <c r="O234" s="20">
        <f>IF(AND(ISNUMBER(G232),ISNUMBER(H232)),H232/G232,0)</f>
        <v>0</v>
      </c>
      <c r="P234" s="20"/>
      <c r="Q234" s="20"/>
      <c r="R234" s="20"/>
      <c r="S234" s="284"/>
      <c r="T234" s="285"/>
      <c r="U234" s="74" t="str">
        <f>IFERROR(IF(K234&gt;0,K234,""),"")</f>
        <v/>
      </c>
    </row>
    <row r="235" spans="2:21" ht="13.5" customHeight="1" thickBot="1" x14ac:dyDescent="0.25">
      <c r="B235" s="16"/>
      <c r="C235" s="240"/>
      <c r="D235" s="240"/>
      <c r="E235" s="240"/>
      <c r="F235" s="240"/>
      <c r="K235" s="24" t="s">
        <v>74</v>
      </c>
      <c r="L235" s="3" t="s">
        <v>10</v>
      </c>
      <c r="M235" s="3" t="s">
        <v>58</v>
      </c>
      <c r="N235" s="3" t="s">
        <v>14</v>
      </c>
      <c r="O235" s="3" t="s">
        <v>8</v>
      </c>
      <c r="P235" s="3" t="s">
        <v>75</v>
      </c>
      <c r="Q235" s="3" t="s">
        <v>76</v>
      </c>
      <c r="S235" s="276" t="str">
        <f>IFERROR(IF(K236&gt;MAX(VbDriveAb_Hp,VbDriveC_Hp),"EXCEEDS MAX HP",""),"")</f>
        <v/>
      </c>
      <c r="T235" s="277"/>
      <c r="U235" s="278" t="str">
        <f>IF(NOT(OR(SUM(COUNTIF(G225:I225,{"C42","C43","C51","C55","C56"}))&gt;0,COUNTBLANK(G232:H232)&lt;1)),"NEED DRIVE MODULE OR SLAVE RATIO",IF(AND(SUM(COUNTIF(G225:I225,{"C42","C43","C51","C55","C56"}))&gt;0,COUNTBLANK(G232:H232)&lt;1),"CAN'T BE SLAVE AND HAVE DRIVE",""))</f>
        <v>NEED DRIVE MODULE OR SLAVE RATIO</v>
      </c>
    </row>
    <row r="236" spans="2:21" ht="13.5" customHeight="1" thickBot="1" x14ac:dyDescent="0.25">
      <c r="B236" s="286" t="s">
        <v>78</v>
      </c>
      <c r="C236" s="287"/>
      <c r="D236" s="262"/>
      <c r="E236" s="263"/>
      <c r="F236" s="263"/>
      <c r="G236" s="263"/>
      <c r="H236" s="263"/>
      <c r="I236" s="263"/>
      <c r="J236" s="264"/>
      <c r="K236" s="73" t="e">
        <f>M236*O236/Q236</f>
        <v>#N/A</v>
      </c>
      <c r="L236" s="27"/>
      <c r="M236" s="27" t="e">
        <f>K232</f>
        <v>#N/A</v>
      </c>
      <c r="N236" s="27"/>
      <c r="O236" s="27">
        <f>F220</f>
        <v>0</v>
      </c>
      <c r="P236" s="27"/>
      <c r="Q236" s="27">
        <v>31350</v>
      </c>
      <c r="R236" s="27"/>
      <c r="S236" s="274" t="str">
        <f>IFERROR(IF(K232&gt;125,"EXCEEDS BELT STRENGTH",""),"")</f>
        <v/>
      </c>
      <c r="T236" s="275"/>
      <c r="U236" s="279"/>
    </row>
    <row r="237" spans="2:21" ht="13.5" customHeight="1" thickBot="1" x14ac:dyDescent="0.25"/>
    <row r="238" spans="2:21" ht="13.5" customHeight="1" thickBot="1" x14ac:dyDescent="0.25">
      <c r="B238" s="39"/>
      <c r="C238" s="28" t="s">
        <v>5</v>
      </c>
      <c r="D238" s="28" t="s">
        <v>6</v>
      </c>
      <c r="E238" s="28" t="s">
        <v>7</v>
      </c>
      <c r="F238" s="28" t="s">
        <v>8</v>
      </c>
      <c r="G238" s="28"/>
      <c r="H238" s="28"/>
      <c r="I238" s="28"/>
      <c r="J238" s="28"/>
      <c r="K238" s="23" t="s">
        <v>9</v>
      </c>
      <c r="L238" s="4" t="s">
        <v>10</v>
      </c>
      <c r="M238" s="4" t="s">
        <v>11</v>
      </c>
      <c r="N238" s="4" t="s">
        <v>12</v>
      </c>
      <c r="O238" s="4" t="s">
        <v>13</v>
      </c>
      <c r="P238" s="4" t="s">
        <v>14</v>
      </c>
      <c r="Q238" s="4" t="s">
        <v>15</v>
      </c>
      <c r="R238" s="4"/>
      <c r="S238" s="4"/>
      <c r="T238" s="4"/>
      <c r="U238" s="5"/>
    </row>
    <row r="239" spans="2:21" ht="13.5" customHeight="1" thickBot="1" x14ac:dyDescent="0.25">
      <c r="B239" s="16"/>
      <c r="C239" s="272"/>
      <c r="D239" s="206"/>
      <c r="E239" s="1"/>
      <c r="F239" s="1"/>
      <c r="K239" s="63" t="e">
        <f>(M239+O239)*Q239+M241+M243+IFERROR(M245,0)</f>
        <v>#N/A</v>
      </c>
      <c r="L239" s="26"/>
      <c r="M239" s="26">
        <f>IF(G241=0,$E$7*0.06,G241*0.06)</f>
        <v>0</v>
      </c>
      <c r="N239" s="26"/>
      <c r="O239" s="26" t="e">
        <f>INDEX(VbSpeedConstA_Int,MATCH(1,INDEX((INDEX(VbSpeedConstB_Type,MATCH(D239,VbSpeedConstB_Figure))=VbSpeedConstA_Type)*(G248=VbSpeedConstA_Rc),,),0))+INDEX(VbSpeedConstA_Slope,MATCH(1,INDEX((INDEX(VbSpeedConstB_Type,MATCH(D239,VbSpeedConstB_Figure))=VbSpeedConstA_Type)*(G248=VbSpeedConstA_Rc),,),0))*IF(F239&lt;80,80,F239)</f>
        <v>#N/A</v>
      </c>
      <c r="P239" s="26"/>
      <c r="Q239" s="26" t="e">
        <f>IF("curve"&lt;&gt;INDEX(VbSpeedConstB_Type,MATCH(D239,VbSpeedConstB_Figure)),G242-IFERROR(INDEX(VbModuleLength_Length,MATCH(G244,VbModuleLength_Module,0)),)-IFERROR(INDEX(VbModuleLength_Length,MATCH(H244,VbModuleLength_Module,0)),),0)/12</f>
        <v>#N/A</v>
      </c>
      <c r="R239" s="26"/>
      <c r="S239" s="26"/>
      <c r="T239" s="26"/>
      <c r="U239" s="22"/>
    </row>
    <row r="240" spans="2:21" ht="13.5" customHeight="1" thickBot="1" x14ac:dyDescent="0.25">
      <c r="B240" s="16"/>
      <c r="C240" s="273"/>
      <c r="D240" s="205"/>
      <c r="E240" s="205"/>
      <c r="F240" s="205"/>
      <c r="K240" s="24"/>
      <c r="L240" s="64" t="s">
        <v>18</v>
      </c>
      <c r="M240" s="3" t="s">
        <v>19</v>
      </c>
      <c r="N240" s="3" t="s">
        <v>10</v>
      </c>
      <c r="O240" s="3" t="s">
        <v>20</v>
      </c>
      <c r="P240" s="3" t="s">
        <v>12</v>
      </c>
      <c r="Q240" s="3" t="s">
        <v>13</v>
      </c>
      <c r="R240" s="3" t="s">
        <v>14</v>
      </c>
      <c r="S240" s="3" t="s">
        <v>15</v>
      </c>
      <c r="T240" s="3"/>
      <c r="U240" s="65"/>
    </row>
    <row r="241" spans="2:21" ht="13.5" customHeight="1" thickBot="1" x14ac:dyDescent="0.25">
      <c r="B241" s="16"/>
      <c r="C241" s="243" t="s">
        <v>24</v>
      </c>
      <c r="D241" s="243"/>
      <c r="E241" s="243"/>
      <c r="F241" s="244"/>
      <c r="G241" s="1"/>
      <c r="K241" s="63"/>
      <c r="L241" s="26" t="s">
        <v>12</v>
      </c>
      <c r="M241" s="26" t="e">
        <f>(O241+Q241)*S241</f>
        <v>#N/A</v>
      </c>
      <c r="N241" s="26"/>
      <c r="O241" s="26">
        <f>IF(G241=0,$E$7*0.06,G241*0.06)</f>
        <v>0</v>
      </c>
      <c r="P241" s="26"/>
      <c r="Q241" s="26" t="e">
        <f>INDEX(VbSpeedConstA_Int,MATCH(1,INDEX((G246=VbSpeedConstA_Type)*(G248=VbSpeedConstA_Rc),,),0))+INDEX(VbSpeedConstA_Slope,MATCH(1,INDEX((G246=VbSpeedConstA_Type)*(G248=VbSpeedConstA_Rc),,),0))*IF(F239&lt;80,80,F239)</f>
        <v>#N/A</v>
      </c>
      <c r="R241" s="26"/>
      <c r="S241" s="26">
        <f>MAX(0,(G245-IFERROR(INDEX(VbModuleLength_Length,MATCH(G244,VbModuleLength_Module,0)),))/12)</f>
        <v>0</v>
      </c>
      <c r="T241" s="26"/>
      <c r="U241" s="22"/>
    </row>
    <row r="242" spans="2:21" ht="13.5" customHeight="1" thickBot="1" x14ac:dyDescent="0.25">
      <c r="B242" s="16"/>
      <c r="C242" s="243" t="s">
        <v>27</v>
      </c>
      <c r="D242" s="243"/>
      <c r="E242" s="243"/>
      <c r="F242" s="244"/>
      <c r="G242" s="1"/>
      <c r="K242" s="24"/>
      <c r="L242" s="3"/>
      <c r="M242" s="3" t="s">
        <v>28</v>
      </c>
      <c r="N242" s="3" t="s">
        <v>10</v>
      </c>
      <c r="O242" s="3" t="s">
        <v>20</v>
      </c>
      <c r="P242" s="3" t="s">
        <v>12</v>
      </c>
      <c r="Q242" s="3" t="s">
        <v>13</v>
      </c>
      <c r="R242" s="3" t="s">
        <v>14</v>
      </c>
      <c r="S242" s="3" t="s">
        <v>15</v>
      </c>
      <c r="T242" s="3"/>
      <c r="U242" s="65"/>
    </row>
    <row r="243" spans="2:21" ht="13.5" customHeight="1" thickBot="1" x14ac:dyDescent="0.25">
      <c r="B243" s="16"/>
      <c r="C243" s="245"/>
      <c r="D243" s="245"/>
      <c r="E243" s="245"/>
      <c r="F243" s="245"/>
      <c r="G243" s="2" t="s">
        <v>30</v>
      </c>
      <c r="H243" s="66" t="s">
        <v>31</v>
      </c>
      <c r="I243" s="2" t="s">
        <v>32</v>
      </c>
      <c r="K243" s="63"/>
      <c r="L243" s="26" t="s">
        <v>12</v>
      </c>
      <c r="M243" s="26" t="e">
        <f>(O243+Q243)*S243</f>
        <v>#N/A</v>
      </c>
      <c r="N243" s="26"/>
      <c r="O243" s="26">
        <f>IF(G241=0,$E$7*0.06,G241*0.06)</f>
        <v>0</v>
      </c>
      <c r="P243" s="26"/>
      <c r="Q243" s="26" t="e">
        <f>INDEX(VbSpeedConstA_Int,MATCH(1,INDEX((H246=VbSpeedConstA_Type)*(G248=VbSpeedConstA_Rc),,),0))+INDEX(VbSpeedConstA_Slope,MATCH(1,INDEX((H246=VbSpeedConstA_Type)*(G248=VbSpeedConstA_Rc),,),0))*IF(F239&lt;80,80,F239)</f>
        <v>#N/A</v>
      </c>
      <c r="R243" s="26"/>
      <c r="S243" s="26">
        <f>MAX(0,(H245-IFERROR(INDEX(VbModuleLength_Length,MATCH(H244,VbModuleLength_Module,0)),))/12)</f>
        <v>0</v>
      </c>
      <c r="T243" s="26"/>
      <c r="U243" s="22"/>
    </row>
    <row r="244" spans="2:21" ht="13.5" customHeight="1" thickBot="1" x14ac:dyDescent="0.25">
      <c r="B244" s="16"/>
      <c r="C244" s="243" t="s">
        <v>34</v>
      </c>
      <c r="D244" s="243"/>
      <c r="E244" s="243"/>
      <c r="F244" s="244"/>
      <c r="G244" s="1"/>
      <c r="H244" s="1"/>
      <c r="I244" s="1"/>
      <c r="K244" s="24"/>
      <c r="L244" s="3"/>
      <c r="M244" s="3" t="s">
        <v>35</v>
      </c>
      <c r="N244" s="3" t="s">
        <v>10</v>
      </c>
      <c r="O244" s="3" t="s">
        <v>20</v>
      </c>
      <c r="P244" s="3" t="s">
        <v>12</v>
      </c>
      <c r="Q244" s="3" t="s">
        <v>13</v>
      </c>
      <c r="R244" s="3" t="s">
        <v>14</v>
      </c>
      <c r="S244" s="3" t="s">
        <v>15</v>
      </c>
      <c r="T244" s="3"/>
      <c r="U244" s="65"/>
    </row>
    <row r="245" spans="2:21" ht="13.5" customHeight="1" thickBot="1" x14ac:dyDescent="0.25">
      <c r="B245" s="16"/>
      <c r="C245" s="243" t="s">
        <v>38</v>
      </c>
      <c r="D245" s="243"/>
      <c r="E245" s="243"/>
      <c r="F245" s="244"/>
      <c r="G245" s="1"/>
      <c r="H245" s="1"/>
      <c r="I245" s="1"/>
      <c r="K245" s="25"/>
      <c r="L245" s="20" t="s">
        <v>12</v>
      </c>
      <c r="M245" s="20" t="e">
        <f>(O245+Q245)*S245</f>
        <v>#N/A</v>
      </c>
      <c r="N245" s="20"/>
      <c r="O245" s="20">
        <f>IF(G241=0,$E$7*0.06,G241*0.06)</f>
        <v>0</v>
      </c>
      <c r="P245" s="20"/>
      <c r="Q245" s="20" t="e">
        <f>INDEX(VbSpeedConstA_Int,MATCH(1,INDEX((I246=VbSpeedConstA_Type)*(G248=VbSpeedConstA_Rc),,),0))+INDEX(VbSpeedConstA_Slope,MATCH(1,INDEX((I246=VbSpeedConstA_Type)*(G248=VbSpeedConstA_Rc),,),0))*IF(F239&lt;80,80,F239)</f>
        <v>#N/A</v>
      </c>
      <c r="R245" s="20"/>
      <c r="S245" s="20">
        <f>MAX(0,(I245-IFERROR(INDEX(VbModuleLength_Length,MATCH(I244,VbModuleLength_Module,0)),))/12)</f>
        <v>0</v>
      </c>
      <c r="T245" s="20"/>
      <c r="U245" s="41"/>
    </row>
    <row r="246" spans="2:21" ht="13.5" customHeight="1" thickBot="1" x14ac:dyDescent="0.25">
      <c r="B246" s="16"/>
      <c r="C246" s="243" t="s">
        <v>40</v>
      </c>
      <c r="D246" s="243"/>
      <c r="E246" s="243"/>
      <c r="F246" s="244"/>
      <c r="G246" s="1"/>
      <c r="H246" s="1"/>
      <c r="I246" s="1"/>
      <c r="K246" s="67" t="s">
        <v>41</v>
      </c>
      <c r="L246" s="9" t="s">
        <v>10</v>
      </c>
      <c r="M246" s="9" t="s">
        <v>42</v>
      </c>
      <c r="N246" s="9" t="s">
        <v>12</v>
      </c>
      <c r="O246" s="9" t="s">
        <v>13</v>
      </c>
      <c r="P246" s="9" t="s">
        <v>14</v>
      </c>
      <c r="Q246" s="9" t="s">
        <v>43</v>
      </c>
      <c r="R246" s="9" t="s">
        <v>14</v>
      </c>
      <c r="S246" s="3" t="s">
        <v>44</v>
      </c>
      <c r="T246" s="3"/>
      <c r="U246" s="65"/>
    </row>
    <row r="247" spans="2:21" ht="13.5" customHeight="1" thickBot="1" x14ac:dyDescent="0.25">
      <c r="B247" s="16"/>
      <c r="C247" s="245"/>
      <c r="D247" s="245"/>
      <c r="E247" s="245"/>
      <c r="F247" s="245"/>
      <c r="K247" s="25" t="e">
        <f>(M247+O247)*Q247*S247</f>
        <v>#N/A</v>
      </c>
      <c r="L247" s="20"/>
      <c r="M247" s="20">
        <f>IF(G241=0,$E$7*0.133,G241*0.133)</f>
        <v>0</v>
      </c>
      <c r="N247" s="20"/>
      <c r="O247" s="20" t="e">
        <f>O239</f>
        <v>#N/A</v>
      </c>
      <c r="P247" s="20"/>
      <c r="Q247" s="20">
        <f>IFERROR(INDEX(VbWidthFactor_Constant,MATCH(E239,VbWidthFactor_NW)),0)</f>
        <v>0</v>
      </c>
      <c r="R247" s="20"/>
      <c r="S247" s="26">
        <f>IFERROR(INDEX(VbFigureConst_Const,MATCH(D239,VbFigureConst_Figure,0)),)</f>
        <v>0</v>
      </c>
      <c r="T247" s="26"/>
      <c r="U247" s="22"/>
    </row>
    <row r="248" spans="2:21" ht="13.5" customHeight="1" thickBot="1" x14ac:dyDescent="0.25">
      <c r="B248" s="16"/>
      <c r="C248" s="243" t="s">
        <v>47</v>
      </c>
      <c r="D248" s="243"/>
      <c r="E248" s="243"/>
      <c r="F248" s="244"/>
      <c r="G248" s="1"/>
      <c r="K248" s="67" t="s">
        <v>48</v>
      </c>
      <c r="L248" s="9" t="s">
        <v>10</v>
      </c>
      <c r="M248" s="9" t="s">
        <v>49</v>
      </c>
      <c r="N248" s="9" t="s">
        <v>14</v>
      </c>
      <c r="O248" s="19">
        <v>5</v>
      </c>
      <c r="P248" s="21"/>
      <c r="Q248" s="21"/>
      <c r="R248" s="21"/>
      <c r="S248" s="265" t="s">
        <v>50</v>
      </c>
      <c r="T248" s="266"/>
      <c r="U248" s="68" t="s">
        <v>51</v>
      </c>
    </row>
    <row r="249" spans="2:21" ht="13.5" customHeight="1" x14ac:dyDescent="0.2">
      <c r="B249" s="16"/>
      <c r="C249" s="245"/>
      <c r="D249" s="245"/>
      <c r="E249" s="245"/>
      <c r="F249" s="245"/>
      <c r="K249" s="25">
        <f>M249*O249</f>
        <v>0</v>
      </c>
      <c r="L249" s="20"/>
      <c r="M249" s="8">
        <f>COUNTA(G244:I244)</f>
        <v>0</v>
      </c>
      <c r="N249" s="20"/>
      <c r="O249" s="20">
        <v>5</v>
      </c>
      <c r="P249" s="20"/>
      <c r="Q249" s="20"/>
      <c r="R249" s="20"/>
      <c r="S249" s="267" t="str">
        <f>IF(ISBLANK(D239),"NEED FIGURE",IF(AND(ISBLANK(E239),INDEX(VbSpeedConstB_Type,MATCH(D239,VbSpeedConstB_Figure))="curve"),"NEED WIDTH",IF(AND("curve"&lt;&gt;INDEX(VbSpeedConstB_Type,MATCH(D239,VbSpeedConstB_Figure)),ISBLANK(G242)),"NEED OVERALL LENGTH","")))</f>
        <v>NEED FIGURE</v>
      </c>
      <c r="T249" s="268"/>
      <c r="U249" s="69" t="s">
        <v>53</v>
      </c>
    </row>
    <row r="250" spans="2:21" ht="13.5" customHeight="1" thickBot="1" x14ac:dyDescent="0.25">
      <c r="B250" s="16"/>
      <c r="C250" s="240"/>
      <c r="D250" s="240"/>
      <c r="E250" s="240"/>
      <c r="F250" s="240"/>
      <c r="G250" s="2" t="s">
        <v>56</v>
      </c>
      <c r="H250" s="2" t="s">
        <v>57</v>
      </c>
      <c r="K250" s="67" t="s">
        <v>58</v>
      </c>
      <c r="L250" s="9" t="s">
        <v>10</v>
      </c>
      <c r="M250" s="9" t="s">
        <v>59</v>
      </c>
      <c r="N250" s="9" t="s">
        <v>12</v>
      </c>
      <c r="O250" s="9" t="s">
        <v>60</v>
      </c>
      <c r="P250" s="9" t="s">
        <v>14</v>
      </c>
      <c r="Q250" s="9" t="s">
        <v>61</v>
      </c>
      <c r="R250" s="9"/>
      <c r="S250" s="276" t="str">
        <f>IF(ISBLANK(F239),"NEED SPEED",IF(AND(ISBLANK($E$7),ISBLANK(G241)),"NEED LIVE LOAD",""))</f>
        <v>NEED SPEED</v>
      </c>
      <c r="T250" s="277"/>
      <c r="U250" s="70" t="str">
        <f>IFERROR(IF(COUNTIF(G244:I244,"C43")=1,INDEX(VbDriveAb_Speed,MATCH(1,INDEX((F239&lt;=VbDriveAb_Speed)*(K255&lt;=VbDriveAb_Hp)*(K251&lt;=VbDriveAb_Ebp),,),0))&amp;" FPM",IF(SUM(COUNTIF(G244:I244,{"C42","C55","C56"}))=1,INDEX(VbDriveC_Speed,MATCH(1,INDEX((F239&lt;=VbDriveC_Speed)*(K255&lt;=VbDriveC_Hp)*(K251&lt;=VbDriveC_Ebp),,),0))&amp;" FPM","")),"")</f>
        <v/>
      </c>
    </row>
    <row r="251" spans="2:21" ht="13.5" customHeight="1" thickBot="1" x14ac:dyDescent="0.25">
      <c r="B251" s="16"/>
      <c r="C251" s="241" t="s">
        <v>64</v>
      </c>
      <c r="D251" s="241"/>
      <c r="E251" s="241"/>
      <c r="F251" s="242"/>
      <c r="G251" s="1"/>
      <c r="H251" s="1"/>
      <c r="K251" s="25" t="e">
        <f>(M251+O251)*Q251</f>
        <v>#N/A</v>
      </c>
      <c r="L251" s="20"/>
      <c r="M251" s="20" t="e">
        <f>K239+K247+K249</f>
        <v>#N/A</v>
      </c>
      <c r="N251" s="20"/>
      <c r="O251" s="20">
        <f>G253</f>
        <v>0</v>
      </c>
      <c r="P251" s="20"/>
      <c r="Q251" s="20">
        <v>1.25</v>
      </c>
      <c r="R251" s="20"/>
      <c r="S251" s="276" t="str">
        <f>IF(OR(ISBLANK(G244),ISBLANK(H244)),"NEED MODULE(S)",IF(OR(ISBLANK(G246),ISBLANK(H246)),"NEED STRAIGHT/SKEW",""))</f>
        <v>NEED MODULE(S)</v>
      </c>
      <c r="T251" s="277"/>
      <c r="U251" s="71" t="str">
        <f>IFERROR(IF(COUNTIF(G244:I244,"C43")=1,INDEX(VbDriveAb_Hp,MATCH(1,INDEX((F239&lt;=VbDriveAb_Speed)*(K255&lt;=VbDriveAb_Hp)*(K251&lt;=VbDriveAb_Ebp),,),0))&amp;" HP",IF(SUM(COUNTIF(G244:I244,{"C42","C55","C56"}))=1,INDEX(VbDriveC_Hp,MATCH(1,INDEX((F239&lt;=VbDriveC_Speed)*(K255&lt;=VbDriveC_Hp)*(K251&lt;=VbDriveC_Ebp),,),0))&amp;" HP","")),"")</f>
        <v/>
      </c>
    </row>
    <row r="252" spans="2:21" ht="13.5" customHeight="1" thickBot="1" x14ac:dyDescent="0.25">
      <c r="B252" s="16"/>
      <c r="C252" s="240"/>
      <c r="D252" s="240"/>
      <c r="E252" s="240"/>
      <c r="F252" s="240"/>
      <c r="K252" s="67" t="s">
        <v>67</v>
      </c>
      <c r="L252" s="9" t="s">
        <v>10</v>
      </c>
      <c r="M252" s="9" t="s">
        <v>58</v>
      </c>
      <c r="N252" s="9" t="s">
        <v>14</v>
      </c>
      <c r="O252" s="9" t="s">
        <v>68</v>
      </c>
      <c r="P252" s="9"/>
      <c r="Q252" s="9"/>
      <c r="R252" s="9"/>
      <c r="S252" s="276" t="str">
        <f>IF(ISBLANK(G248),"NEED ROLLER CENTERS","")</f>
        <v>NEED ROLLER CENTERS</v>
      </c>
      <c r="T252" s="277"/>
      <c r="U252" s="72" t="s">
        <v>69</v>
      </c>
    </row>
    <row r="253" spans="2:21" ht="13.5" customHeight="1" thickBot="1" x14ac:dyDescent="0.25">
      <c r="B253" s="16"/>
      <c r="C253" s="243" t="s">
        <v>71</v>
      </c>
      <c r="D253" s="243"/>
      <c r="E253" s="243"/>
      <c r="F253" s="243"/>
      <c r="G253" s="1"/>
      <c r="K253" s="25" t="e">
        <f>M253*O253</f>
        <v>#N/A</v>
      </c>
      <c r="L253" s="20"/>
      <c r="M253" s="20" t="e">
        <f>K251</f>
        <v>#N/A</v>
      </c>
      <c r="N253" s="20"/>
      <c r="O253" s="20">
        <f>IF(AND(ISNUMBER(G251),ISNUMBER(H251)),H251/G251,0)</f>
        <v>0</v>
      </c>
      <c r="P253" s="20"/>
      <c r="Q253" s="20"/>
      <c r="R253" s="20"/>
      <c r="S253" s="284"/>
      <c r="T253" s="285"/>
      <c r="U253" s="74" t="str">
        <f>IFERROR(IF(K253&gt;0,K253,""),"")</f>
        <v/>
      </c>
    </row>
    <row r="254" spans="2:21" ht="13.5" customHeight="1" thickBot="1" x14ac:dyDescent="0.25">
      <c r="B254" s="16"/>
      <c r="C254" s="240"/>
      <c r="D254" s="240"/>
      <c r="E254" s="240"/>
      <c r="F254" s="240"/>
      <c r="K254" s="24" t="s">
        <v>74</v>
      </c>
      <c r="L254" s="3" t="s">
        <v>10</v>
      </c>
      <c r="M254" s="3" t="s">
        <v>58</v>
      </c>
      <c r="N254" s="3" t="s">
        <v>14</v>
      </c>
      <c r="O254" s="3" t="s">
        <v>8</v>
      </c>
      <c r="P254" s="3" t="s">
        <v>75</v>
      </c>
      <c r="Q254" s="3" t="s">
        <v>76</v>
      </c>
      <c r="S254" s="276" t="str">
        <f>IFERROR(IF(K255&gt;MAX(VbDriveAb_Hp,VbDriveC_Hp),"EXCEEDS MAX HP",""),"")</f>
        <v/>
      </c>
      <c r="T254" s="277"/>
      <c r="U254" s="278" t="str">
        <f>IF(NOT(OR(SUM(COUNTIF(G244:I244,{"C42","C43","C51","C55","C56"}))&gt;0,COUNTBLANK(G251:H251)&lt;1)),"NEED DRIVE MODULE OR SLAVE RATIO",IF(AND(SUM(COUNTIF(G244:I244,{"C42","C43","C51","C55","C56"}))&gt;0,COUNTBLANK(G251:H251)&lt;1),"CAN'T BE SLAVE AND HAVE DRIVE",""))</f>
        <v>NEED DRIVE MODULE OR SLAVE RATIO</v>
      </c>
    </row>
    <row r="255" spans="2:21" ht="13.5" customHeight="1" thickBot="1" x14ac:dyDescent="0.25">
      <c r="B255" s="286" t="s">
        <v>78</v>
      </c>
      <c r="C255" s="287"/>
      <c r="D255" s="262"/>
      <c r="E255" s="263"/>
      <c r="F255" s="263"/>
      <c r="G255" s="263"/>
      <c r="H255" s="263"/>
      <c r="I255" s="263"/>
      <c r="J255" s="264"/>
      <c r="K255" s="73" t="e">
        <f>M255*O255/Q255</f>
        <v>#N/A</v>
      </c>
      <c r="L255" s="27"/>
      <c r="M255" s="27" t="e">
        <f>K251</f>
        <v>#N/A</v>
      </c>
      <c r="N255" s="27"/>
      <c r="O255" s="27">
        <f>F239</f>
        <v>0</v>
      </c>
      <c r="P255" s="27"/>
      <c r="Q255" s="27">
        <v>31350</v>
      </c>
      <c r="R255" s="27"/>
      <c r="S255" s="274" t="str">
        <f>IFERROR(IF(K251&gt;125,"EXCEEDS BELT STRENGTH",""),"")</f>
        <v/>
      </c>
      <c r="T255" s="275"/>
      <c r="U255" s="279"/>
    </row>
    <row r="256" spans="2:21" ht="13.5" customHeight="1" thickBot="1" x14ac:dyDescent="0.25"/>
    <row r="257" spans="2:21" ht="13.5" customHeight="1" thickBot="1" x14ac:dyDescent="0.25">
      <c r="B257" s="39"/>
      <c r="C257" s="28" t="s">
        <v>5</v>
      </c>
      <c r="D257" s="28" t="s">
        <v>6</v>
      </c>
      <c r="E257" s="28" t="s">
        <v>7</v>
      </c>
      <c r="F257" s="28" t="s">
        <v>8</v>
      </c>
      <c r="G257" s="28"/>
      <c r="H257" s="28"/>
      <c r="I257" s="28"/>
      <c r="J257" s="28"/>
      <c r="K257" s="23" t="s">
        <v>9</v>
      </c>
      <c r="L257" s="4" t="s">
        <v>10</v>
      </c>
      <c r="M257" s="4" t="s">
        <v>11</v>
      </c>
      <c r="N257" s="4" t="s">
        <v>12</v>
      </c>
      <c r="O257" s="4" t="s">
        <v>13</v>
      </c>
      <c r="P257" s="4" t="s">
        <v>14</v>
      </c>
      <c r="Q257" s="4" t="s">
        <v>15</v>
      </c>
      <c r="R257" s="4"/>
      <c r="S257" s="4"/>
      <c r="T257" s="4"/>
      <c r="U257" s="5"/>
    </row>
    <row r="258" spans="2:21" ht="13.5" customHeight="1" thickBot="1" x14ac:dyDescent="0.25">
      <c r="B258" s="16"/>
      <c r="C258" s="272"/>
      <c r="D258" s="206"/>
      <c r="E258" s="1"/>
      <c r="F258" s="1"/>
      <c r="K258" s="63" t="e">
        <f>(M258+O258)*Q258+M260+M262+IFERROR(M264,0)</f>
        <v>#N/A</v>
      </c>
      <c r="L258" s="26"/>
      <c r="M258" s="26">
        <f>IF(G260=0,$E$7*0.06,G260*0.06)</f>
        <v>0</v>
      </c>
      <c r="N258" s="26"/>
      <c r="O258" s="26" t="e">
        <f>INDEX(VbSpeedConstA_Int,MATCH(1,INDEX((INDEX(VbSpeedConstB_Type,MATCH(D258,VbSpeedConstB_Figure))=VbSpeedConstA_Type)*(G267=VbSpeedConstA_Rc),,),0))+INDEX(VbSpeedConstA_Slope,MATCH(1,INDEX((INDEX(VbSpeedConstB_Type,MATCH(D258,VbSpeedConstB_Figure))=VbSpeedConstA_Type)*(G267=VbSpeedConstA_Rc),,),0))*IF(F258&lt;80,80,F258)</f>
        <v>#N/A</v>
      </c>
      <c r="P258" s="26"/>
      <c r="Q258" s="26" t="e">
        <f>IF("curve"&lt;&gt;INDEX(VbSpeedConstB_Type,MATCH(D258,VbSpeedConstB_Figure)),G261-IFERROR(INDEX(VbModuleLength_Length,MATCH(G263,VbModuleLength_Module,0)),)-IFERROR(INDEX(VbModuleLength_Length,MATCH(H263,VbModuleLength_Module,0)),),0)/12</f>
        <v>#N/A</v>
      </c>
      <c r="R258" s="26"/>
      <c r="S258" s="26"/>
      <c r="T258" s="26"/>
      <c r="U258" s="22"/>
    </row>
    <row r="259" spans="2:21" ht="13.5" customHeight="1" thickBot="1" x14ac:dyDescent="0.25">
      <c r="B259" s="16"/>
      <c r="C259" s="273"/>
      <c r="D259" s="205"/>
      <c r="E259" s="205"/>
      <c r="F259" s="205"/>
      <c r="K259" s="24"/>
      <c r="L259" s="64" t="s">
        <v>18</v>
      </c>
      <c r="M259" s="3" t="s">
        <v>19</v>
      </c>
      <c r="N259" s="3" t="s">
        <v>10</v>
      </c>
      <c r="O259" s="3" t="s">
        <v>20</v>
      </c>
      <c r="P259" s="3" t="s">
        <v>12</v>
      </c>
      <c r="Q259" s="3" t="s">
        <v>13</v>
      </c>
      <c r="R259" s="3" t="s">
        <v>14</v>
      </c>
      <c r="S259" s="3" t="s">
        <v>15</v>
      </c>
      <c r="T259" s="3"/>
      <c r="U259" s="65"/>
    </row>
    <row r="260" spans="2:21" ht="13.5" customHeight="1" thickBot="1" x14ac:dyDescent="0.25">
      <c r="B260" s="16"/>
      <c r="C260" s="243" t="s">
        <v>24</v>
      </c>
      <c r="D260" s="243"/>
      <c r="E260" s="243"/>
      <c r="F260" s="244"/>
      <c r="G260" s="1"/>
      <c r="K260" s="63"/>
      <c r="L260" s="26" t="s">
        <v>12</v>
      </c>
      <c r="M260" s="26" t="e">
        <f>(O260+Q260)*S260</f>
        <v>#N/A</v>
      </c>
      <c r="N260" s="26"/>
      <c r="O260" s="26">
        <f>IF(G260=0,$E$7*0.06,G260*0.06)</f>
        <v>0</v>
      </c>
      <c r="P260" s="26"/>
      <c r="Q260" s="26" t="e">
        <f>INDEX(VbSpeedConstA_Int,MATCH(1,INDEX((G265=VbSpeedConstA_Type)*(G267=VbSpeedConstA_Rc),,),0))+INDEX(VbSpeedConstA_Slope,MATCH(1,INDEX((G265=VbSpeedConstA_Type)*(G267=VbSpeedConstA_Rc),,),0))*IF(F258&lt;80,80,F258)</f>
        <v>#N/A</v>
      </c>
      <c r="R260" s="26"/>
      <c r="S260" s="26">
        <f>MAX(0,(G264-IFERROR(INDEX(VbModuleLength_Length,MATCH(G263,VbModuleLength_Module,0)),))/12)</f>
        <v>0</v>
      </c>
      <c r="T260" s="26"/>
      <c r="U260" s="22"/>
    </row>
    <row r="261" spans="2:21" ht="13.5" customHeight="1" thickBot="1" x14ac:dyDescent="0.25">
      <c r="B261" s="16"/>
      <c r="C261" s="243" t="s">
        <v>27</v>
      </c>
      <c r="D261" s="243"/>
      <c r="E261" s="243"/>
      <c r="F261" s="244"/>
      <c r="G261" s="1"/>
      <c r="K261" s="24"/>
      <c r="L261" s="3"/>
      <c r="M261" s="3" t="s">
        <v>28</v>
      </c>
      <c r="N261" s="3" t="s">
        <v>10</v>
      </c>
      <c r="O261" s="3" t="s">
        <v>20</v>
      </c>
      <c r="P261" s="3" t="s">
        <v>12</v>
      </c>
      <c r="Q261" s="3" t="s">
        <v>13</v>
      </c>
      <c r="R261" s="3" t="s">
        <v>14</v>
      </c>
      <c r="S261" s="3" t="s">
        <v>15</v>
      </c>
      <c r="T261" s="3"/>
      <c r="U261" s="65"/>
    </row>
    <row r="262" spans="2:21" ht="13.5" customHeight="1" thickBot="1" x14ac:dyDescent="0.25">
      <c r="B262" s="16"/>
      <c r="C262" s="245"/>
      <c r="D262" s="245"/>
      <c r="E262" s="245"/>
      <c r="F262" s="245"/>
      <c r="G262" s="2" t="s">
        <v>30</v>
      </c>
      <c r="H262" s="66" t="s">
        <v>31</v>
      </c>
      <c r="I262" s="2" t="s">
        <v>32</v>
      </c>
      <c r="K262" s="63"/>
      <c r="L262" s="26" t="s">
        <v>12</v>
      </c>
      <c r="M262" s="26" t="e">
        <f>(O262+Q262)*S262</f>
        <v>#N/A</v>
      </c>
      <c r="N262" s="26"/>
      <c r="O262" s="26">
        <f>IF(G260=0,$E$7*0.06,G260*0.06)</f>
        <v>0</v>
      </c>
      <c r="P262" s="26"/>
      <c r="Q262" s="26" t="e">
        <f>INDEX(VbSpeedConstA_Int,MATCH(1,INDEX((H265=VbSpeedConstA_Type)*(G267=VbSpeedConstA_Rc),,),0))+INDEX(VbSpeedConstA_Slope,MATCH(1,INDEX((H265=VbSpeedConstA_Type)*(G267=VbSpeedConstA_Rc),,),0))*IF(F258&lt;80,80,F258)</f>
        <v>#N/A</v>
      </c>
      <c r="R262" s="26"/>
      <c r="S262" s="26">
        <f>MAX(0,(H264-IFERROR(INDEX(VbModuleLength_Length,MATCH(H263,VbModuleLength_Module,0)),))/12)</f>
        <v>0</v>
      </c>
      <c r="T262" s="26"/>
      <c r="U262" s="22"/>
    </row>
    <row r="263" spans="2:21" ht="13.5" customHeight="1" thickBot="1" x14ac:dyDescent="0.25">
      <c r="B263" s="16"/>
      <c r="C263" s="243" t="s">
        <v>34</v>
      </c>
      <c r="D263" s="243"/>
      <c r="E263" s="243"/>
      <c r="F263" s="244"/>
      <c r="G263" s="1"/>
      <c r="H263" s="1"/>
      <c r="I263" s="1"/>
      <c r="K263" s="24"/>
      <c r="L263" s="3"/>
      <c r="M263" s="3" t="s">
        <v>35</v>
      </c>
      <c r="N263" s="3" t="s">
        <v>10</v>
      </c>
      <c r="O263" s="3" t="s">
        <v>20</v>
      </c>
      <c r="P263" s="3" t="s">
        <v>12</v>
      </c>
      <c r="Q263" s="3" t="s">
        <v>13</v>
      </c>
      <c r="R263" s="3" t="s">
        <v>14</v>
      </c>
      <c r="S263" s="3" t="s">
        <v>15</v>
      </c>
      <c r="T263" s="3"/>
      <c r="U263" s="65"/>
    </row>
    <row r="264" spans="2:21" ht="13.5" customHeight="1" thickBot="1" x14ac:dyDescent="0.25">
      <c r="B264" s="16"/>
      <c r="C264" s="243" t="s">
        <v>38</v>
      </c>
      <c r="D264" s="243"/>
      <c r="E264" s="243"/>
      <c r="F264" s="244"/>
      <c r="G264" s="1"/>
      <c r="H264" s="1"/>
      <c r="I264" s="1"/>
      <c r="K264" s="25"/>
      <c r="L264" s="20" t="s">
        <v>12</v>
      </c>
      <c r="M264" s="20" t="e">
        <f>(O264+Q264)*S264</f>
        <v>#N/A</v>
      </c>
      <c r="N264" s="20"/>
      <c r="O264" s="20">
        <f>IF(G260=0,$E$7*0.06,G260*0.06)</f>
        <v>0</v>
      </c>
      <c r="P264" s="20"/>
      <c r="Q264" s="20" t="e">
        <f>INDEX(VbSpeedConstA_Int,MATCH(1,INDEX((I265=VbSpeedConstA_Type)*(G267=VbSpeedConstA_Rc),,),0))+INDEX(VbSpeedConstA_Slope,MATCH(1,INDEX((I265=VbSpeedConstA_Type)*(G267=VbSpeedConstA_Rc),,),0))*IF(F258&lt;80,80,F258)</f>
        <v>#N/A</v>
      </c>
      <c r="R264" s="20"/>
      <c r="S264" s="20">
        <f>MAX(0,(I264-IFERROR(INDEX(VbModuleLength_Length,MATCH(I263,VbModuleLength_Module,0)),))/12)</f>
        <v>0</v>
      </c>
      <c r="T264" s="20"/>
      <c r="U264" s="41"/>
    </row>
    <row r="265" spans="2:21" ht="13.5" customHeight="1" thickBot="1" x14ac:dyDescent="0.25">
      <c r="B265" s="16"/>
      <c r="C265" s="243" t="s">
        <v>40</v>
      </c>
      <c r="D265" s="243"/>
      <c r="E265" s="243"/>
      <c r="F265" s="244"/>
      <c r="G265" s="1"/>
      <c r="H265" s="1"/>
      <c r="I265" s="1"/>
      <c r="K265" s="67" t="s">
        <v>41</v>
      </c>
      <c r="L265" s="9" t="s">
        <v>10</v>
      </c>
      <c r="M265" s="9" t="s">
        <v>42</v>
      </c>
      <c r="N265" s="9" t="s">
        <v>12</v>
      </c>
      <c r="O265" s="9" t="s">
        <v>13</v>
      </c>
      <c r="P265" s="9" t="s">
        <v>14</v>
      </c>
      <c r="Q265" s="9" t="s">
        <v>43</v>
      </c>
      <c r="R265" s="9" t="s">
        <v>14</v>
      </c>
      <c r="S265" s="3" t="s">
        <v>44</v>
      </c>
      <c r="T265" s="3"/>
      <c r="U265" s="65"/>
    </row>
    <row r="266" spans="2:21" ht="13.5" customHeight="1" thickBot="1" x14ac:dyDescent="0.25">
      <c r="B266" s="16"/>
      <c r="C266" s="245"/>
      <c r="D266" s="245"/>
      <c r="E266" s="245"/>
      <c r="F266" s="245"/>
      <c r="K266" s="25" t="e">
        <f>(M266+O266)*Q266*S266</f>
        <v>#N/A</v>
      </c>
      <c r="L266" s="20"/>
      <c r="M266" s="20">
        <f>IF(G260=0,$E$7*0.133,G260*0.133)</f>
        <v>0</v>
      </c>
      <c r="N266" s="20"/>
      <c r="O266" s="20" t="e">
        <f>O258</f>
        <v>#N/A</v>
      </c>
      <c r="P266" s="20"/>
      <c r="Q266" s="20">
        <f>IFERROR(INDEX(VbWidthFactor_Constant,MATCH(E258,VbWidthFactor_NW)),0)</f>
        <v>0</v>
      </c>
      <c r="R266" s="20"/>
      <c r="S266" s="26">
        <f>IFERROR(INDEX(VbFigureConst_Const,MATCH(D258,VbFigureConst_Figure,0)),)</f>
        <v>0</v>
      </c>
      <c r="T266" s="26"/>
      <c r="U266" s="22"/>
    </row>
    <row r="267" spans="2:21" ht="13.5" customHeight="1" thickBot="1" x14ac:dyDescent="0.25">
      <c r="B267" s="16"/>
      <c r="C267" s="243" t="s">
        <v>47</v>
      </c>
      <c r="D267" s="243"/>
      <c r="E267" s="243"/>
      <c r="F267" s="244"/>
      <c r="G267" s="1"/>
      <c r="K267" s="67" t="s">
        <v>48</v>
      </c>
      <c r="L267" s="9" t="s">
        <v>10</v>
      </c>
      <c r="M267" s="9" t="s">
        <v>49</v>
      </c>
      <c r="N267" s="9" t="s">
        <v>14</v>
      </c>
      <c r="O267" s="19">
        <v>5</v>
      </c>
      <c r="P267" s="21"/>
      <c r="Q267" s="21"/>
      <c r="R267" s="21"/>
      <c r="S267" s="265" t="s">
        <v>50</v>
      </c>
      <c r="T267" s="266"/>
      <c r="U267" s="68" t="s">
        <v>51</v>
      </c>
    </row>
    <row r="268" spans="2:21" ht="13.5" customHeight="1" x14ac:dyDescent="0.2">
      <c r="B268" s="16"/>
      <c r="C268" s="245"/>
      <c r="D268" s="245"/>
      <c r="E268" s="245"/>
      <c r="F268" s="245"/>
      <c r="K268" s="25">
        <f>M268*O268</f>
        <v>0</v>
      </c>
      <c r="L268" s="20"/>
      <c r="M268" s="8">
        <f>COUNTA(G263:I263)</f>
        <v>0</v>
      </c>
      <c r="N268" s="20"/>
      <c r="O268" s="20">
        <v>5</v>
      </c>
      <c r="P268" s="20"/>
      <c r="Q268" s="20"/>
      <c r="R268" s="20"/>
      <c r="S268" s="267" t="str">
        <f>IF(ISBLANK(D258),"NEED FIGURE",IF(AND(ISBLANK(E258),INDEX(VbSpeedConstB_Type,MATCH(D258,VbSpeedConstB_Figure))="curve"),"NEED WIDTH",IF(AND("curve"&lt;&gt;INDEX(VbSpeedConstB_Type,MATCH(D258,VbSpeedConstB_Figure)),ISBLANK(G261)),"NEED OVERALL LENGTH","")))</f>
        <v>NEED FIGURE</v>
      </c>
      <c r="T268" s="268"/>
      <c r="U268" s="69" t="s">
        <v>53</v>
      </c>
    </row>
    <row r="269" spans="2:21" ht="13.5" customHeight="1" thickBot="1" x14ac:dyDescent="0.25">
      <c r="B269" s="16"/>
      <c r="C269" s="240"/>
      <c r="D269" s="240"/>
      <c r="E269" s="240"/>
      <c r="F269" s="240"/>
      <c r="G269" s="2" t="s">
        <v>56</v>
      </c>
      <c r="H269" s="2" t="s">
        <v>57</v>
      </c>
      <c r="K269" s="67" t="s">
        <v>58</v>
      </c>
      <c r="L269" s="9" t="s">
        <v>10</v>
      </c>
      <c r="M269" s="9" t="s">
        <v>59</v>
      </c>
      <c r="N269" s="9" t="s">
        <v>12</v>
      </c>
      <c r="O269" s="9" t="s">
        <v>60</v>
      </c>
      <c r="P269" s="9" t="s">
        <v>14</v>
      </c>
      <c r="Q269" s="9" t="s">
        <v>61</v>
      </c>
      <c r="R269" s="9"/>
      <c r="S269" s="276" t="str">
        <f>IF(ISBLANK(F258),"NEED SPEED",IF(AND(ISBLANK($E$7),ISBLANK(G260)),"NEED LIVE LOAD",""))</f>
        <v>NEED SPEED</v>
      </c>
      <c r="T269" s="277"/>
      <c r="U269" s="70" t="str">
        <f>IFERROR(IF(COUNTIF(G263:I263,"C43")=1,INDEX(VbDriveAb_Speed,MATCH(1,INDEX((F258&lt;=VbDriveAb_Speed)*(K274&lt;=VbDriveAb_Hp)*(K270&lt;=VbDriveAb_Ebp),,),0))&amp;" FPM",IF(SUM(COUNTIF(G263:I263,{"C42","C55","C56"}))=1,INDEX(VbDriveC_Speed,MATCH(1,INDEX((F258&lt;=VbDriveC_Speed)*(K274&lt;=VbDriveC_Hp)*(K270&lt;=VbDriveC_Ebp),,),0))&amp;" FPM","")),"")</f>
        <v/>
      </c>
    </row>
    <row r="270" spans="2:21" ht="13.5" customHeight="1" thickBot="1" x14ac:dyDescent="0.25">
      <c r="B270" s="16"/>
      <c r="C270" s="241" t="s">
        <v>64</v>
      </c>
      <c r="D270" s="241"/>
      <c r="E270" s="241"/>
      <c r="F270" s="242"/>
      <c r="G270" s="1"/>
      <c r="H270" s="1"/>
      <c r="K270" s="25" t="e">
        <f>(M270+O270)*Q270</f>
        <v>#N/A</v>
      </c>
      <c r="L270" s="20"/>
      <c r="M270" s="20" t="e">
        <f>K258+K266+K268</f>
        <v>#N/A</v>
      </c>
      <c r="N270" s="20"/>
      <c r="O270" s="20">
        <f>G272</f>
        <v>0</v>
      </c>
      <c r="P270" s="20"/>
      <c r="Q270" s="20">
        <v>1.25</v>
      </c>
      <c r="R270" s="20"/>
      <c r="S270" s="276" t="str">
        <f>IF(OR(ISBLANK(G263),ISBLANK(H263)),"NEED MODULE(S)",IF(OR(ISBLANK(G265),ISBLANK(H265)),"NEED STRAIGHT/SKEW",""))</f>
        <v>NEED MODULE(S)</v>
      </c>
      <c r="T270" s="277"/>
      <c r="U270" s="71" t="str">
        <f>IFERROR(IF(COUNTIF(G263:I263,"C43")=1,INDEX(VbDriveAb_Hp,MATCH(1,INDEX((F258&lt;=VbDriveAb_Speed)*(K274&lt;=VbDriveAb_Hp)*(K270&lt;=VbDriveAb_Ebp),,),0))&amp;" HP",IF(SUM(COUNTIF(G263:I263,{"C42","C55","C56"}))=1,INDEX(VbDriveC_Hp,MATCH(1,INDEX((F258&lt;=VbDriveC_Speed)*(K274&lt;=VbDriveC_Hp)*(K270&lt;=VbDriveC_Ebp),,),0))&amp;" HP","")),"")</f>
        <v/>
      </c>
    </row>
    <row r="271" spans="2:21" ht="13.5" customHeight="1" thickBot="1" x14ac:dyDescent="0.25">
      <c r="B271" s="16"/>
      <c r="C271" s="240"/>
      <c r="D271" s="240"/>
      <c r="E271" s="240"/>
      <c r="F271" s="240"/>
      <c r="K271" s="67" t="s">
        <v>67</v>
      </c>
      <c r="L271" s="9" t="s">
        <v>10</v>
      </c>
      <c r="M271" s="9" t="s">
        <v>58</v>
      </c>
      <c r="N271" s="9" t="s">
        <v>14</v>
      </c>
      <c r="O271" s="9" t="s">
        <v>68</v>
      </c>
      <c r="P271" s="9"/>
      <c r="Q271" s="9"/>
      <c r="R271" s="9"/>
      <c r="S271" s="276" t="str">
        <f>IF(ISBLANK(G267),"NEED ROLLER CENTERS","")</f>
        <v>NEED ROLLER CENTERS</v>
      </c>
      <c r="T271" s="277"/>
      <c r="U271" s="72" t="s">
        <v>69</v>
      </c>
    </row>
    <row r="272" spans="2:21" ht="13.5" customHeight="1" thickBot="1" x14ac:dyDescent="0.25">
      <c r="B272" s="16"/>
      <c r="C272" s="243" t="s">
        <v>71</v>
      </c>
      <c r="D272" s="243"/>
      <c r="E272" s="243"/>
      <c r="F272" s="243"/>
      <c r="G272" s="1"/>
      <c r="K272" s="25" t="e">
        <f>M272*O272</f>
        <v>#N/A</v>
      </c>
      <c r="L272" s="20"/>
      <c r="M272" s="20" t="e">
        <f>K270</f>
        <v>#N/A</v>
      </c>
      <c r="N272" s="20"/>
      <c r="O272" s="20">
        <f>IF(AND(ISNUMBER(G270),ISNUMBER(H270)),H270/G270,0)</f>
        <v>0</v>
      </c>
      <c r="P272" s="20"/>
      <c r="Q272" s="20"/>
      <c r="R272" s="20"/>
      <c r="S272" s="284"/>
      <c r="T272" s="285"/>
      <c r="U272" s="74" t="str">
        <f>IFERROR(IF(K272&gt;0,K272,""),"")</f>
        <v/>
      </c>
    </row>
    <row r="273" spans="2:21" ht="13.5" customHeight="1" thickBot="1" x14ac:dyDescent="0.25">
      <c r="B273" s="16"/>
      <c r="C273" s="240"/>
      <c r="D273" s="240"/>
      <c r="E273" s="240"/>
      <c r="F273" s="240"/>
      <c r="K273" s="24" t="s">
        <v>74</v>
      </c>
      <c r="L273" s="3" t="s">
        <v>10</v>
      </c>
      <c r="M273" s="3" t="s">
        <v>58</v>
      </c>
      <c r="N273" s="3" t="s">
        <v>14</v>
      </c>
      <c r="O273" s="3" t="s">
        <v>8</v>
      </c>
      <c r="P273" s="3" t="s">
        <v>75</v>
      </c>
      <c r="Q273" s="3" t="s">
        <v>76</v>
      </c>
      <c r="S273" s="276" t="str">
        <f>IFERROR(IF(K274&gt;MAX(VbDriveAb_Hp,VbDriveC_Hp),"EXCEEDS MAX HP",""),"")</f>
        <v/>
      </c>
      <c r="T273" s="277"/>
      <c r="U273" s="278" t="str">
        <f>IF(NOT(OR(SUM(COUNTIF(G263:I263,{"C42","C43","C51","C55","C56"}))&gt;0,COUNTBLANK(G270:H270)&lt;1)),"NEED DRIVE MODULE OR SLAVE RATIO",IF(AND(SUM(COUNTIF(G263:I263,{"C42","C43","C51","C55","C56"}))&gt;0,COUNTBLANK(G270:H270)&lt;1),"CAN'T BE SLAVE AND HAVE DRIVE",""))</f>
        <v>NEED DRIVE MODULE OR SLAVE RATIO</v>
      </c>
    </row>
    <row r="274" spans="2:21" ht="13.5" customHeight="1" thickBot="1" x14ac:dyDescent="0.25">
      <c r="B274" s="286" t="s">
        <v>78</v>
      </c>
      <c r="C274" s="287"/>
      <c r="D274" s="262"/>
      <c r="E274" s="263"/>
      <c r="F274" s="263"/>
      <c r="G274" s="263"/>
      <c r="H274" s="263"/>
      <c r="I274" s="263"/>
      <c r="J274" s="264"/>
      <c r="K274" s="73" t="e">
        <f>M274*O274/Q274</f>
        <v>#N/A</v>
      </c>
      <c r="L274" s="27"/>
      <c r="M274" s="27" t="e">
        <f>K270</f>
        <v>#N/A</v>
      </c>
      <c r="N274" s="27"/>
      <c r="O274" s="27">
        <f>F258</f>
        <v>0</v>
      </c>
      <c r="P274" s="27"/>
      <c r="Q274" s="27">
        <v>31350</v>
      </c>
      <c r="R274" s="27"/>
      <c r="S274" s="274" t="str">
        <f>IFERROR(IF(K270&gt;125,"EXCEEDS BELT STRENGTH",""),"")</f>
        <v/>
      </c>
      <c r="T274" s="275"/>
      <c r="U274" s="279"/>
    </row>
    <row r="275" spans="2:21" ht="13.5" customHeight="1" thickBot="1" x14ac:dyDescent="0.25"/>
    <row r="276" spans="2:21" ht="13.5" customHeight="1" thickBot="1" x14ac:dyDescent="0.25">
      <c r="B276" s="39"/>
      <c r="C276" s="28" t="s">
        <v>5</v>
      </c>
      <c r="D276" s="28" t="s">
        <v>6</v>
      </c>
      <c r="E276" s="28" t="s">
        <v>7</v>
      </c>
      <c r="F276" s="28" t="s">
        <v>8</v>
      </c>
      <c r="G276" s="28"/>
      <c r="H276" s="28"/>
      <c r="I276" s="28"/>
      <c r="J276" s="28"/>
      <c r="K276" s="23" t="s">
        <v>9</v>
      </c>
      <c r="L276" s="4" t="s">
        <v>10</v>
      </c>
      <c r="M276" s="4" t="s">
        <v>11</v>
      </c>
      <c r="N276" s="4" t="s">
        <v>12</v>
      </c>
      <c r="O276" s="4" t="s">
        <v>13</v>
      </c>
      <c r="P276" s="4" t="s">
        <v>14</v>
      </c>
      <c r="Q276" s="4" t="s">
        <v>15</v>
      </c>
      <c r="R276" s="4"/>
      <c r="S276" s="4"/>
      <c r="T276" s="4"/>
      <c r="U276" s="5"/>
    </row>
    <row r="277" spans="2:21" ht="13.5" customHeight="1" thickBot="1" x14ac:dyDescent="0.25">
      <c r="B277" s="16"/>
      <c r="C277" s="272"/>
      <c r="D277" s="206"/>
      <c r="E277" s="1"/>
      <c r="F277" s="1"/>
      <c r="K277" s="63" t="e">
        <f>(M277+O277)*Q277+M279+M281+IFERROR(M283,0)</f>
        <v>#N/A</v>
      </c>
      <c r="L277" s="26"/>
      <c r="M277" s="26">
        <f>IF(G279=0,$E$7*0.06,G279*0.06)</f>
        <v>0</v>
      </c>
      <c r="N277" s="26"/>
      <c r="O277" s="26" t="e">
        <f>INDEX(VbSpeedConstA_Int,MATCH(1,INDEX((INDEX(VbSpeedConstB_Type,MATCH(D277,VbSpeedConstB_Figure))=VbSpeedConstA_Type)*(G286=VbSpeedConstA_Rc),,),0))+INDEX(VbSpeedConstA_Slope,MATCH(1,INDEX((INDEX(VbSpeedConstB_Type,MATCH(D277,VbSpeedConstB_Figure))=VbSpeedConstA_Type)*(G286=VbSpeedConstA_Rc),,),0))*IF(F277&lt;80,80,F277)</f>
        <v>#N/A</v>
      </c>
      <c r="P277" s="26"/>
      <c r="Q277" s="26" t="e">
        <f>IF("curve"&lt;&gt;INDEX(VbSpeedConstB_Type,MATCH(D277,VbSpeedConstB_Figure)),G280-IFERROR(INDEX(VbModuleLength_Length,MATCH(G282,VbModuleLength_Module,0)),)-IFERROR(INDEX(VbModuleLength_Length,MATCH(H282,VbModuleLength_Module,0)),),0)/12</f>
        <v>#N/A</v>
      </c>
      <c r="R277" s="26"/>
      <c r="S277" s="26"/>
      <c r="T277" s="26"/>
      <c r="U277" s="22"/>
    </row>
    <row r="278" spans="2:21" ht="13.5" customHeight="1" thickBot="1" x14ac:dyDescent="0.25">
      <c r="B278" s="16"/>
      <c r="C278" s="273"/>
      <c r="D278" s="205"/>
      <c r="E278" s="205"/>
      <c r="F278" s="205"/>
      <c r="K278" s="24"/>
      <c r="L278" s="64" t="s">
        <v>18</v>
      </c>
      <c r="M278" s="3" t="s">
        <v>19</v>
      </c>
      <c r="N278" s="3" t="s">
        <v>10</v>
      </c>
      <c r="O278" s="3" t="s">
        <v>20</v>
      </c>
      <c r="P278" s="3" t="s">
        <v>12</v>
      </c>
      <c r="Q278" s="3" t="s">
        <v>13</v>
      </c>
      <c r="R278" s="3" t="s">
        <v>14</v>
      </c>
      <c r="S278" s="3" t="s">
        <v>15</v>
      </c>
      <c r="T278" s="3"/>
      <c r="U278" s="65"/>
    </row>
    <row r="279" spans="2:21" ht="13.5" customHeight="1" thickBot="1" x14ac:dyDescent="0.25">
      <c r="B279" s="16"/>
      <c r="C279" s="243" t="s">
        <v>24</v>
      </c>
      <c r="D279" s="243"/>
      <c r="E279" s="243"/>
      <c r="F279" s="244"/>
      <c r="G279" s="1"/>
      <c r="K279" s="63"/>
      <c r="L279" s="26" t="s">
        <v>12</v>
      </c>
      <c r="M279" s="26" t="e">
        <f>(O279+Q279)*S279</f>
        <v>#N/A</v>
      </c>
      <c r="N279" s="26"/>
      <c r="O279" s="26">
        <f>IF(G279=0,$E$7*0.06,G279*0.06)</f>
        <v>0</v>
      </c>
      <c r="P279" s="26"/>
      <c r="Q279" s="26" t="e">
        <f>INDEX(VbSpeedConstA_Int,MATCH(1,INDEX((G284=VbSpeedConstA_Type)*(G286=VbSpeedConstA_Rc),,),0))+INDEX(VbSpeedConstA_Slope,MATCH(1,INDEX((G284=VbSpeedConstA_Type)*(G286=VbSpeedConstA_Rc),,),0))*IF(F277&lt;80,80,F277)</f>
        <v>#N/A</v>
      </c>
      <c r="R279" s="26"/>
      <c r="S279" s="26">
        <f>MAX(0,(G283-IFERROR(INDEX(VbModuleLength_Length,MATCH(G282,VbModuleLength_Module,0)),))/12)</f>
        <v>0</v>
      </c>
      <c r="T279" s="26"/>
      <c r="U279" s="22"/>
    </row>
    <row r="280" spans="2:21" ht="13.5" customHeight="1" thickBot="1" x14ac:dyDescent="0.25">
      <c r="B280" s="16"/>
      <c r="C280" s="243" t="s">
        <v>27</v>
      </c>
      <c r="D280" s="243"/>
      <c r="E280" s="243"/>
      <c r="F280" s="244"/>
      <c r="G280" s="1"/>
      <c r="K280" s="24"/>
      <c r="L280" s="3"/>
      <c r="M280" s="3" t="s">
        <v>28</v>
      </c>
      <c r="N280" s="3" t="s">
        <v>10</v>
      </c>
      <c r="O280" s="3" t="s">
        <v>20</v>
      </c>
      <c r="P280" s="3" t="s">
        <v>12</v>
      </c>
      <c r="Q280" s="3" t="s">
        <v>13</v>
      </c>
      <c r="R280" s="3" t="s">
        <v>14</v>
      </c>
      <c r="S280" s="3" t="s">
        <v>15</v>
      </c>
      <c r="T280" s="3"/>
      <c r="U280" s="65"/>
    </row>
    <row r="281" spans="2:21" ht="13.5" customHeight="1" thickBot="1" x14ac:dyDescent="0.25">
      <c r="B281" s="16"/>
      <c r="C281" s="245"/>
      <c r="D281" s="245"/>
      <c r="E281" s="245"/>
      <c r="F281" s="245"/>
      <c r="G281" s="2" t="s">
        <v>30</v>
      </c>
      <c r="H281" s="66" t="s">
        <v>31</v>
      </c>
      <c r="I281" s="2" t="s">
        <v>32</v>
      </c>
      <c r="K281" s="63"/>
      <c r="L281" s="26" t="s">
        <v>12</v>
      </c>
      <c r="M281" s="26" t="e">
        <f>(O281+Q281)*S281</f>
        <v>#N/A</v>
      </c>
      <c r="N281" s="26"/>
      <c r="O281" s="26">
        <f>IF(G279=0,$E$7*0.06,G279*0.06)</f>
        <v>0</v>
      </c>
      <c r="P281" s="26"/>
      <c r="Q281" s="26" t="e">
        <f>INDEX(VbSpeedConstA_Int,MATCH(1,INDEX((H284=VbSpeedConstA_Type)*(G286=VbSpeedConstA_Rc),,),0))+INDEX(VbSpeedConstA_Slope,MATCH(1,INDEX((H284=VbSpeedConstA_Type)*(G286=VbSpeedConstA_Rc),,),0))*IF(F277&lt;80,80,F277)</f>
        <v>#N/A</v>
      </c>
      <c r="R281" s="26"/>
      <c r="S281" s="26">
        <f>MAX(0,(H283-IFERROR(INDEX(VbModuleLength_Length,MATCH(H282,VbModuleLength_Module,0)),))/12)</f>
        <v>0</v>
      </c>
      <c r="T281" s="26"/>
      <c r="U281" s="22"/>
    </row>
    <row r="282" spans="2:21" ht="13.5" customHeight="1" thickBot="1" x14ac:dyDescent="0.25">
      <c r="B282" s="16"/>
      <c r="C282" s="243" t="s">
        <v>34</v>
      </c>
      <c r="D282" s="243"/>
      <c r="E282" s="243"/>
      <c r="F282" s="244"/>
      <c r="G282" s="1"/>
      <c r="H282" s="1"/>
      <c r="I282" s="1"/>
      <c r="K282" s="24"/>
      <c r="L282" s="3"/>
      <c r="M282" s="3" t="s">
        <v>35</v>
      </c>
      <c r="N282" s="3" t="s">
        <v>10</v>
      </c>
      <c r="O282" s="3" t="s">
        <v>20</v>
      </c>
      <c r="P282" s="3" t="s">
        <v>12</v>
      </c>
      <c r="Q282" s="3" t="s">
        <v>13</v>
      </c>
      <c r="R282" s="3" t="s">
        <v>14</v>
      </c>
      <c r="S282" s="3" t="s">
        <v>15</v>
      </c>
      <c r="T282" s="3"/>
      <c r="U282" s="65"/>
    </row>
    <row r="283" spans="2:21" ht="13.5" customHeight="1" thickBot="1" x14ac:dyDescent="0.25">
      <c r="B283" s="16"/>
      <c r="C283" s="243" t="s">
        <v>38</v>
      </c>
      <c r="D283" s="243"/>
      <c r="E283" s="243"/>
      <c r="F283" s="244"/>
      <c r="G283" s="1"/>
      <c r="H283" s="1"/>
      <c r="I283" s="1"/>
      <c r="K283" s="25"/>
      <c r="L283" s="20" t="s">
        <v>12</v>
      </c>
      <c r="M283" s="20" t="e">
        <f>(O283+Q283)*S283</f>
        <v>#N/A</v>
      </c>
      <c r="N283" s="20"/>
      <c r="O283" s="20">
        <f>IF(G279=0,$E$7*0.06,G279*0.06)</f>
        <v>0</v>
      </c>
      <c r="P283" s="20"/>
      <c r="Q283" s="20" t="e">
        <f>INDEX(VbSpeedConstA_Int,MATCH(1,INDEX((I284=VbSpeedConstA_Type)*(G286=VbSpeedConstA_Rc),,),0))+INDEX(VbSpeedConstA_Slope,MATCH(1,INDEX((I284=VbSpeedConstA_Type)*(G286=VbSpeedConstA_Rc),,),0))*IF(F277&lt;80,80,F277)</f>
        <v>#N/A</v>
      </c>
      <c r="R283" s="20"/>
      <c r="S283" s="20">
        <f>MAX(0,(I283-IFERROR(INDEX(VbModuleLength_Length,MATCH(I282,VbModuleLength_Module,0)),))/12)</f>
        <v>0</v>
      </c>
      <c r="T283" s="20"/>
      <c r="U283" s="41"/>
    </row>
    <row r="284" spans="2:21" ht="13.5" customHeight="1" thickBot="1" x14ac:dyDescent="0.25">
      <c r="B284" s="16"/>
      <c r="C284" s="243" t="s">
        <v>40</v>
      </c>
      <c r="D284" s="243"/>
      <c r="E284" s="243"/>
      <c r="F284" s="244"/>
      <c r="G284" s="1"/>
      <c r="H284" s="1"/>
      <c r="I284" s="1"/>
      <c r="K284" s="67" t="s">
        <v>41</v>
      </c>
      <c r="L284" s="9" t="s">
        <v>10</v>
      </c>
      <c r="M284" s="9" t="s">
        <v>42</v>
      </c>
      <c r="N284" s="9" t="s">
        <v>12</v>
      </c>
      <c r="O284" s="9" t="s">
        <v>13</v>
      </c>
      <c r="P284" s="9" t="s">
        <v>14</v>
      </c>
      <c r="Q284" s="9" t="s">
        <v>43</v>
      </c>
      <c r="R284" s="9" t="s">
        <v>14</v>
      </c>
      <c r="S284" s="3" t="s">
        <v>44</v>
      </c>
      <c r="T284" s="3"/>
      <c r="U284" s="65"/>
    </row>
    <row r="285" spans="2:21" ht="13.5" customHeight="1" thickBot="1" x14ac:dyDescent="0.25">
      <c r="B285" s="16"/>
      <c r="C285" s="245"/>
      <c r="D285" s="245"/>
      <c r="E285" s="245"/>
      <c r="F285" s="245"/>
      <c r="K285" s="25" t="e">
        <f>(M285+O285)*Q285*S285</f>
        <v>#N/A</v>
      </c>
      <c r="L285" s="20"/>
      <c r="M285" s="20">
        <f>IF(G279=0,$E$7*0.133,G279*0.133)</f>
        <v>0</v>
      </c>
      <c r="N285" s="20"/>
      <c r="O285" s="20" t="e">
        <f>O277</f>
        <v>#N/A</v>
      </c>
      <c r="P285" s="20"/>
      <c r="Q285" s="20">
        <f>IFERROR(INDEX(VbWidthFactor_Constant,MATCH(E277,VbWidthFactor_NW)),0)</f>
        <v>0</v>
      </c>
      <c r="R285" s="20"/>
      <c r="S285" s="26">
        <f>IFERROR(INDEX(VbFigureConst_Const,MATCH(D277,VbFigureConst_Figure,0)),)</f>
        <v>0</v>
      </c>
      <c r="T285" s="26"/>
      <c r="U285" s="22"/>
    </row>
    <row r="286" spans="2:21" ht="13.5" customHeight="1" thickBot="1" x14ac:dyDescent="0.25">
      <c r="B286" s="16"/>
      <c r="C286" s="243" t="s">
        <v>47</v>
      </c>
      <c r="D286" s="243"/>
      <c r="E286" s="243"/>
      <c r="F286" s="244"/>
      <c r="G286" s="1"/>
      <c r="K286" s="67" t="s">
        <v>48</v>
      </c>
      <c r="L286" s="9" t="s">
        <v>10</v>
      </c>
      <c r="M286" s="9" t="s">
        <v>49</v>
      </c>
      <c r="N286" s="9" t="s">
        <v>14</v>
      </c>
      <c r="O286" s="19">
        <v>5</v>
      </c>
      <c r="P286" s="21"/>
      <c r="Q286" s="21"/>
      <c r="R286" s="21"/>
      <c r="S286" s="265" t="s">
        <v>50</v>
      </c>
      <c r="T286" s="266"/>
      <c r="U286" s="68" t="s">
        <v>51</v>
      </c>
    </row>
    <row r="287" spans="2:21" ht="13.5" customHeight="1" x14ac:dyDescent="0.2">
      <c r="B287" s="16"/>
      <c r="C287" s="245"/>
      <c r="D287" s="245"/>
      <c r="E287" s="245"/>
      <c r="F287" s="245"/>
      <c r="K287" s="25">
        <f>M287*O287</f>
        <v>0</v>
      </c>
      <c r="L287" s="20"/>
      <c r="M287" s="8">
        <f>COUNTA(G282:I282)</f>
        <v>0</v>
      </c>
      <c r="N287" s="20"/>
      <c r="O287" s="20">
        <v>5</v>
      </c>
      <c r="P287" s="20"/>
      <c r="Q287" s="20"/>
      <c r="R287" s="20"/>
      <c r="S287" s="267" t="str">
        <f>IF(ISBLANK(D277),"NEED FIGURE",IF(AND(ISBLANK(E277),INDEX(VbSpeedConstB_Type,MATCH(D277,VbSpeedConstB_Figure))="curve"),"NEED WIDTH",IF(AND("curve"&lt;&gt;INDEX(VbSpeedConstB_Type,MATCH(D277,VbSpeedConstB_Figure)),ISBLANK(G280)),"NEED OVERALL LENGTH","")))</f>
        <v>NEED FIGURE</v>
      </c>
      <c r="T287" s="268"/>
      <c r="U287" s="69" t="s">
        <v>53</v>
      </c>
    </row>
    <row r="288" spans="2:21" ht="13.5" customHeight="1" thickBot="1" x14ac:dyDescent="0.25">
      <c r="B288" s="16"/>
      <c r="C288" s="240"/>
      <c r="D288" s="240"/>
      <c r="E288" s="240"/>
      <c r="F288" s="240"/>
      <c r="G288" s="2" t="s">
        <v>56</v>
      </c>
      <c r="H288" s="2" t="s">
        <v>57</v>
      </c>
      <c r="K288" s="67" t="s">
        <v>58</v>
      </c>
      <c r="L288" s="9" t="s">
        <v>10</v>
      </c>
      <c r="M288" s="9" t="s">
        <v>59</v>
      </c>
      <c r="N288" s="9" t="s">
        <v>12</v>
      </c>
      <c r="O288" s="9" t="s">
        <v>60</v>
      </c>
      <c r="P288" s="9" t="s">
        <v>14</v>
      </c>
      <c r="Q288" s="9" t="s">
        <v>61</v>
      </c>
      <c r="R288" s="9"/>
      <c r="S288" s="276" t="str">
        <f>IF(ISBLANK(F277),"NEED SPEED",IF(AND(ISBLANK($E$7),ISBLANK(G279)),"NEED LIVE LOAD",""))</f>
        <v>NEED SPEED</v>
      </c>
      <c r="T288" s="277"/>
      <c r="U288" s="70" t="str">
        <f>IFERROR(IF(COUNTIF(G282:I282,"C43")=1,INDEX(VbDriveAb_Speed,MATCH(1,INDEX((F277&lt;=VbDriveAb_Speed)*(K293&lt;=VbDriveAb_Hp)*(K289&lt;=VbDriveAb_Ebp),,),0))&amp;" FPM",IF(SUM(COUNTIF(G282:I282,{"C42","C55","C56"}))=1,INDEX(VbDriveC_Speed,MATCH(1,INDEX((F277&lt;=VbDriveC_Speed)*(K293&lt;=VbDriveC_Hp)*(K289&lt;=VbDriveC_Ebp),,),0))&amp;" FPM","")),"")</f>
        <v/>
      </c>
    </row>
    <row r="289" spans="2:21" ht="13.5" customHeight="1" thickBot="1" x14ac:dyDescent="0.25">
      <c r="B289" s="16"/>
      <c r="C289" s="241" t="s">
        <v>64</v>
      </c>
      <c r="D289" s="241"/>
      <c r="E289" s="241"/>
      <c r="F289" s="242"/>
      <c r="G289" s="1"/>
      <c r="H289" s="1"/>
      <c r="K289" s="25" t="e">
        <f>(M289+O289)*Q289</f>
        <v>#N/A</v>
      </c>
      <c r="L289" s="20"/>
      <c r="M289" s="20" t="e">
        <f>K277+K285+K287</f>
        <v>#N/A</v>
      </c>
      <c r="N289" s="20"/>
      <c r="O289" s="20">
        <f>G291</f>
        <v>0</v>
      </c>
      <c r="P289" s="20"/>
      <c r="Q289" s="20">
        <v>1.25</v>
      </c>
      <c r="R289" s="20"/>
      <c r="S289" s="276" t="str">
        <f>IF(OR(ISBLANK(G282),ISBLANK(H282)),"NEED MODULE(S)",IF(OR(ISBLANK(G284),ISBLANK(H284)),"NEED STRAIGHT/SKEW",""))</f>
        <v>NEED MODULE(S)</v>
      </c>
      <c r="T289" s="277"/>
      <c r="U289" s="71" t="str">
        <f>IFERROR(IF(COUNTIF(G282:I282,"C43")=1,INDEX(VbDriveAb_Hp,MATCH(1,INDEX((F277&lt;=VbDriveAb_Speed)*(K293&lt;=VbDriveAb_Hp)*(K289&lt;=VbDriveAb_Ebp),,),0))&amp;" HP",IF(SUM(COUNTIF(G282:I282,{"C42","C55","C56"}))=1,INDEX(VbDriveC_Hp,MATCH(1,INDEX((F277&lt;=VbDriveC_Speed)*(K293&lt;=VbDriveC_Hp)*(K289&lt;=VbDriveC_Ebp),,),0))&amp;" HP","")),"")</f>
        <v/>
      </c>
    </row>
    <row r="290" spans="2:21" ht="13.5" customHeight="1" thickBot="1" x14ac:dyDescent="0.25">
      <c r="B290" s="16"/>
      <c r="C290" s="240"/>
      <c r="D290" s="240"/>
      <c r="E290" s="240"/>
      <c r="F290" s="240"/>
      <c r="K290" s="67" t="s">
        <v>67</v>
      </c>
      <c r="L290" s="9" t="s">
        <v>10</v>
      </c>
      <c r="M290" s="9" t="s">
        <v>58</v>
      </c>
      <c r="N290" s="9" t="s">
        <v>14</v>
      </c>
      <c r="O290" s="9" t="s">
        <v>68</v>
      </c>
      <c r="P290" s="9"/>
      <c r="Q290" s="9"/>
      <c r="R290" s="9"/>
      <c r="S290" s="276" t="str">
        <f>IF(ISBLANK(G286),"NEED ROLLER CENTERS","")</f>
        <v>NEED ROLLER CENTERS</v>
      </c>
      <c r="T290" s="277"/>
      <c r="U290" s="72" t="s">
        <v>69</v>
      </c>
    </row>
    <row r="291" spans="2:21" ht="13.5" customHeight="1" thickBot="1" x14ac:dyDescent="0.25">
      <c r="B291" s="16"/>
      <c r="C291" s="243" t="s">
        <v>71</v>
      </c>
      <c r="D291" s="243"/>
      <c r="E291" s="243"/>
      <c r="F291" s="243"/>
      <c r="G291" s="1"/>
      <c r="K291" s="25" t="e">
        <f>M291*O291</f>
        <v>#N/A</v>
      </c>
      <c r="L291" s="20"/>
      <c r="M291" s="20" t="e">
        <f>K289</f>
        <v>#N/A</v>
      </c>
      <c r="N291" s="20"/>
      <c r="O291" s="20">
        <f>IF(AND(ISNUMBER(G289),ISNUMBER(H289)),H289/G289,0)</f>
        <v>0</v>
      </c>
      <c r="P291" s="20"/>
      <c r="Q291" s="20"/>
      <c r="R291" s="20"/>
      <c r="S291" s="284"/>
      <c r="T291" s="285"/>
      <c r="U291" s="74" t="str">
        <f>IFERROR(IF(K291&gt;0,K291,""),"")</f>
        <v/>
      </c>
    </row>
    <row r="292" spans="2:21" ht="13.5" customHeight="1" thickBot="1" x14ac:dyDescent="0.25">
      <c r="B292" s="16"/>
      <c r="C292" s="240"/>
      <c r="D292" s="240"/>
      <c r="E292" s="240"/>
      <c r="F292" s="240"/>
      <c r="K292" s="24" t="s">
        <v>74</v>
      </c>
      <c r="L292" s="3" t="s">
        <v>10</v>
      </c>
      <c r="M292" s="3" t="s">
        <v>58</v>
      </c>
      <c r="N292" s="3" t="s">
        <v>14</v>
      </c>
      <c r="O292" s="3" t="s">
        <v>8</v>
      </c>
      <c r="P292" s="3" t="s">
        <v>75</v>
      </c>
      <c r="Q292" s="3" t="s">
        <v>76</v>
      </c>
      <c r="S292" s="276" t="str">
        <f>IFERROR(IF(K293&gt;MAX(VbDriveAb_Hp,VbDriveC_Hp),"EXCEEDS MAX HP",""),"")</f>
        <v/>
      </c>
      <c r="T292" s="277"/>
      <c r="U292" s="278" t="str">
        <f>IF(NOT(OR(SUM(COUNTIF(G282:I282,{"C42","C43","C51","C55","C56"}))&gt;0,COUNTBLANK(G289:H289)&lt;1)),"NEED DRIVE MODULE OR SLAVE RATIO",IF(AND(SUM(COUNTIF(G282:I282,{"C42","C43","C51","C55","C56"}))&gt;0,COUNTBLANK(G289:H289)&lt;1),"CAN'T BE SLAVE AND HAVE DRIVE",""))</f>
        <v>NEED DRIVE MODULE OR SLAVE RATIO</v>
      </c>
    </row>
    <row r="293" spans="2:21" ht="13.5" customHeight="1" thickBot="1" x14ac:dyDescent="0.25">
      <c r="B293" s="286" t="s">
        <v>78</v>
      </c>
      <c r="C293" s="287"/>
      <c r="D293" s="262"/>
      <c r="E293" s="263"/>
      <c r="F293" s="263"/>
      <c r="G293" s="263"/>
      <c r="H293" s="263"/>
      <c r="I293" s="263"/>
      <c r="J293" s="264"/>
      <c r="K293" s="73" t="e">
        <f>M293*O293/Q293</f>
        <v>#N/A</v>
      </c>
      <c r="L293" s="27"/>
      <c r="M293" s="27" t="e">
        <f>K289</f>
        <v>#N/A</v>
      </c>
      <c r="N293" s="27"/>
      <c r="O293" s="27">
        <f>F277</f>
        <v>0</v>
      </c>
      <c r="P293" s="27"/>
      <c r="Q293" s="27">
        <v>31350</v>
      </c>
      <c r="R293" s="27"/>
      <c r="S293" s="274" t="str">
        <f>IFERROR(IF(K289&gt;125,"EXCEEDS BELT STRENGTH",""),"")</f>
        <v/>
      </c>
      <c r="T293" s="275"/>
      <c r="U293" s="279"/>
    </row>
    <row r="294" spans="2:21" ht="13.5" customHeight="1" thickBot="1" x14ac:dyDescent="0.25"/>
    <row r="295" spans="2:21" ht="13.5" customHeight="1" thickBot="1" x14ac:dyDescent="0.25">
      <c r="B295" s="39"/>
      <c r="C295" s="28" t="s">
        <v>5</v>
      </c>
      <c r="D295" s="28" t="s">
        <v>6</v>
      </c>
      <c r="E295" s="28" t="s">
        <v>7</v>
      </c>
      <c r="F295" s="28" t="s">
        <v>8</v>
      </c>
      <c r="G295" s="28"/>
      <c r="H295" s="28"/>
      <c r="I295" s="28"/>
      <c r="J295" s="28"/>
      <c r="K295" s="23" t="s">
        <v>9</v>
      </c>
      <c r="L295" s="4" t="s">
        <v>10</v>
      </c>
      <c r="M295" s="4" t="s">
        <v>11</v>
      </c>
      <c r="N295" s="4" t="s">
        <v>12</v>
      </c>
      <c r="O295" s="4" t="s">
        <v>13</v>
      </c>
      <c r="P295" s="4" t="s">
        <v>14</v>
      </c>
      <c r="Q295" s="4" t="s">
        <v>15</v>
      </c>
      <c r="R295" s="4"/>
      <c r="S295" s="4"/>
      <c r="T295" s="4"/>
      <c r="U295" s="5"/>
    </row>
    <row r="296" spans="2:21" ht="13.5" customHeight="1" thickBot="1" x14ac:dyDescent="0.25">
      <c r="B296" s="16"/>
      <c r="C296" s="272"/>
      <c r="D296" s="206"/>
      <c r="E296" s="1"/>
      <c r="F296" s="1"/>
      <c r="K296" s="63" t="e">
        <f>(M296+O296)*Q296+M298+M300+IFERROR(M302,0)</f>
        <v>#N/A</v>
      </c>
      <c r="L296" s="26"/>
      <c r="M296" s="26">
        <f>IF(G298=0,$E$7*0.06,G298*0.06)</f>
        <v>0</v>
      </c>
      <c r="N296" s="26"/>
      <c r="O296" s="26" t="e">
        <f>INDEX(VbSpeedConstA_Int,MATCH(1,INDEX((INDEX(VbSpeedConstB_Type,MATCH(D296,VbSpeedConstB_Figure))=VbSpeedConstA_Type)*(G305=VbSpeedConstA_Rc),,),0))+INDEX(VbSpeedConstA_Slope,MATCH(1,INDEX((INDEX(VbSpeedConstB_Type,MATCH(D296,VbSpeedConstB_Figure))=VbSpeedConstA_Type)*(G305=VbSpeedConstA_Rc),,),0))*IF(F296&lt;80,80,F296)</f>
        <v>#N/A</v>
      </c>
      <c r="P296" s="26"/>
      <c r="Q296" s="26" t="e">
        <f>IF("curve"&lt;&gt;INDEX(VbSpeedConstB_Type,MATCH(D296,VbSpeedConstB_Figure)),G299-IFERROR(INDEX(VbModuleLength_Length,MATCH(G301,VbModuleLength_Module,0)),)-IFERROR(INDEX(VbModuleLength_Length,MATCH(H301,VbModuleLength_Module,0)),),0)/12</f>
        <v>#N/A</v>
      </c>
      <c r="R296" s="26"/>
      <c r="S296" s="26"/>
      <c r="T296" s="26"/>
      <c r="U296" s="22"/>
    </row>
    <row r="297" spans="2:21" ht="13.5" customHeight="1" thickBot="1" x14ac:dyDescent="0.25">
      <c r="B297" s="16"/>
      <c r="C297" s="273"/>
      <c r="D297" s="205"/>
      <c r="E297" s="205"/>
      <c r="F297" s="205"/>
      <c r="K297" s="24"/>
      <c r="L297" s="64" t="s">
        <v>18</v>
      </c>
      <c r="M297" s="3" t="s">
        <v>19</v>
      </c>
      <c r="N297" s="3" t="s">
        <v>10</v>
      </c>
      <c r="O297" s="3" t="s">
        <v>20</v>
      </c>
      <c r="P297" s="3" t="s">
        <v>12</v>
      </c>
      <c r="Q297" s="3" t="s">
        <v>13</v>
      </c>
      <c r="R297" s="3" t="s">
        <v>14</v>
      </c>
      <c r="S297" s="3" t="s">
        <v>15</v>
      </c>
      <c r="T297" s="3"/>
      <c r="U297" s="65"/>
    </row>
    <row r="298" spans="2:21" ht="13.5" customHeight="1" thickBot="1" x14ac:dyDescent="0.25">
      <c r="B298" s="16"/>
      <c r="C298" s="243" t="s">
        <v>24</v>
      </c>
      <c r="D298" s="243"/>
      <c r="E298" s="243"/>
      <c r="F298" s="244"/>
      <c r="G298" s="1"/>
      <c r="K298" s="63"/>
      <c r="L298" s="26" t="s">
        <v>12</v>
      </c>
      <c r="M298" s="26" t="e">
        <f>(O298+Q298)*S298</f>
        <v>#N/A</v>
      </c>
      <c r="N298" s="26"/>
      <c r="O298" s="26">
        <f>IF(G298=0,$E$7*0.06,G298*0.06)</f>
        <v>0</v>
      </c>
      <c r="P298" s="26"/>
      <c r="Q298" s="26" t="e">
        <f>INDEX(VbSpeedConstA_Int,MATCH(1,INDEX((G303=VbSpeedConstA_Type)*(G305=VbSpeedConstA_Rc),,),0))+INDEX(VbSpeedConstA_Slope,MATCH(1,INDEX((G303=VbSpeedConstA_Type)*(G305=VbSpeedConstA_Rc),,),0))*IF(F296&lt;80,80,F296)</f>
        <v>#N/A</v>
      </c>
      <c r="R298" s="26"/>
      <c r="S298" s="26">
        <f>MAX(0,(G302-IFERROR(INDEX(VbModuleLength_Length,MATCH(G301,VbModuleLength_Module,0)),))/12)</f>
        <v>0</v>
      </c>
      <c r="T298" s="26"/>
      <c r="U298" s="22"/>
    </row>
    <row r="299" spans="2:21" ht="13.5" customHeight="1" thickBot="1" x14ac:dyDescent="0.25">
      <c r="B299" s="16"/>
      <c r="C299" s="243" t="s">
        <v>27</v>
      </c>
      <c r="D299" s="243"/>
      <c r="E299" s="243"/>
      <c r="F299" s="244"/>
      <c r="G299" s="1"/>
      <c r="K299" s="24"/>
      <c r="L299" s="3"/>
      <c r="M299" s="3" t="s">
        <v>28</v>
      </c>
      <c r="N299" s="3" t="s">
        <v>10</v>
      </c>
      <c r="O299" s="3" t="s">
        <v>20</v>
      </c>
      <c r="P299" s="3" t="s">
        <v>12</v>
      </c>
      <c r="Q299" s="3" t="s">
        <v>13</v>
      </c>
      <c r="R299" s="3" t="s">
        <v>14</v>
      </c>
      <c r="S299" s="3" t="s">
        <v>15</v>
      </c>
      <c r="T299" s="3"/>
      <c r="U299" s="65"/>
    </row>
    <row r="300" spans="2:21" ht="13.5" customHeight="1" thickBot="1" x14ac:dyDescent="0.25">
      <c r="B300" s="16"/>
      <c r="C300" s="245"/>
      <c r="D300" s="245"/>
      <c r="E300" s="245"/>
      <c r="F300" s="245"/>
      <c r="G300" s="2" t="s">
        <v>30</v>
      </c>
      <c r="H300" s="66" t="s">
        <v>31</v>
      </c>
      <c r="I300" s="2" t="s">
        <v>32</v>
      </c>
      <c r="K300" s="63"/>
      <c r="L300" s="26" t="s">
        <v>12</v>
      </c>
      <c r="M300" s="26" t="e">
        <f>(O300+Q300)*S300</f>
        <v>#N/A</v>
      </c>
      <c r="N300" s="26"/>
      <c r="O300" s="26">
        <f>IF(G298=0,$E$7*0.06,G298*0.06)</f>
        <v>0</v>
      </c>
      <c r="P300" s="26"/>
      <c r="Q300" s="26" t="e">
        <f>INDEX(VbSpeedConstA_Int,MATCH(1,INDEX((H303=VbSpeedConstA_Type)*(G305=VbSpeedConstA_Rc),,),0))+INDEX(VbSpeedConstA_Slope,MATCH(1,INDEX((H303=VbSpeedConstA_Type)*(G305=VbSpeedConstA_Rc),,),0))*IF(F296&lt;80,80,F296)</f>
        <v>#N/A</v>
      </c>
      <c r="R300" s="26"/>
      <c r="S300" s="26">
        <f>MAX(0,(H302-IFERROR(INDEX(VbModuleLength_Length,MATCH(H301,VbModuleLength_Module,0)),))/12)</f>
        <v>0</v>
      </c>
      <c r="T300" s="26"/>
      <c r="U300" s="22"/>
    </row>
    <row r="301" spans="2:21" ht="13.5" customHeight="1" thickBot="1" x14ac:dyDescent="0.25">
      <c r="B301" s="16"/>
      <c r="C301" s="243" t="s">
        <v>34</v>
      </c>
      <c r="D301" s="243"/>
      <c r="E301" s="243"/>
      <c r="F301" s="244"/>
      <c r="G301" s="1"/>
      <c r="H301" s="1"/>
      <c r="I301" s="1"/>
      <c r="K301" s="24"/>
      <c r="L301" s="3"/>
      <c r="M301" s="3" t="s">
        <v>35</v>
      </c>
      <c r="N301" s="3" t="s">
        <v>10</v>
      </c>
      <c r="O301" s="3" t="s">
        <v>20</v>
      </c>
      <c r="P301" s="3" t="s">
        <v>12</v>
      </c>
      <c r="Q301" s="3" t="s">
        <v>13</v>
      </c>
      <c r="R301" s="3" t="s">
        <v>14</v>
      </c>
      <c r="S301" s="3" t="s">
        <v>15</v>
      </c>
      <c r="T301" s="3"/>
      <c r="U301" s="65"/>
    </row>
    <row r="302" spans="2:21" ht="13.5" customHeight="1" thickBot="1" x14ac:dyDescent="0.25">
      <c r="B302" s="16"/>
      <c r="C302" s="243" t="s">
        <v>38</v>
      </c>
      <c r="D302" s="243"/>
      <c r="E302" s="243"/>
      <c r="F302" s="244"/>
      <c r="G302" s="1"/>
      <c r="H302" s="1"/>
      <c r="I302" s="1"/>
      <c r="K302" s="25"/>
      <c r="L302" s="20" t="s">
        <v>12</v>
      </c>
      <c r="M302" s="20" t="e">
        <f>(O302+Q302)*S302</f>
        <v>#N/A</v>
      </c>
      <c r="N302" s="20"/>
      <c r="O302" s="20">
        <f>IF(G298=0,$E$7*0.06,G298*0.06)</f>
        <v>0</v>
      </c>
      <c r="P302" s="20"/>
      <c r="Q302" s="20" t="e">
        <f>INDEX(VbSpeedConstA_Int,MATCH(1,INDEX((I303=VbSpeedConstA_Type)*(G305=VbSpeedConstA_Rc),,),0))+INDEX(VbSpeedConstA_Slope,MATCH(1,INDEX((I303=VbSpeedConstA_Type)*(G305=VbSpeedConstA_Rc),,),0))*IF(F296&lt;80,80,F296)</f>
        <v>#N/A</v>
      </c>
      <c r="R302" s="20"/>
      <c r="S302" s="20">
        <f>MAX(0,(I302-IFERROR(INDEX(VbModuleLength_Length,MATCH(I301,VbModuleLength_Module,0)),))/12)</f>
        <v>0</v>
      </c>
      <c r="T302" s="20"/>
      <c r="U302" s="41"/>
    </row>
    <row r="303" spans="2:21" ht="13.5" customHeight="1" thickBot="1" x14ac:dyDescent="0.25">
      <c r="B303" s="16"/>
      <c r="C303" s="243" t="s">
        <v>40</v>
      </c>
      <c r="D303" s="243"/>
      <c r="E303" s="243"/>
      <c r="F303" s="244"/>
      <c r="G303" s="1"/>
      <c r="H303" s="1"/>
      <c r="I303" s="1"/>
      <c r="K303" s="67" t="s">
        <v>41</v>
      </c>
      <c r="L303" s="9" t="s">
        <v>10</v>
      </c>
      <c r="M303" s="9" t="s">
        <v>42</v>
      </c>
      <c r="N303" s="9" t="s">
        <v>12</v>
      </c>
      <c r="O303" s="9" t="s">
        <v>13</v>
      </c>
      <c r="P303" s="9" t="s">
        <v>14</v>
      </c>
      <c r="Q303" s="9" t="s">
        <v>43</v>
      </c>
      <c r="R303" s="9" t="s">
        <v>14</v>
      </c>
      <c r="S303" s="3" t="s">
        <v>44</v>
      </c>
      <c r="T303" s="3"/>
      <c r="U303" s="65"/>
    </row>
    <row r="304" spans="2:21" ht="13.5" customHeight="1" thickBot="1" x14ac:dyDescent="0.25">
      <c r="B304" s="16"/>
      <c r="C304" s="245"/>
      <c r="D304" s="245"/>
      <c r="E304" s="245"/>
      <c r="F304" s="245"/>
      <c r="K304" s="25" t="e">
        <f>(M304+O304)*Q304*S304</f>
        <v>#N/A</v>
      </c>
      <c r="L304" s="20"/>
      <c r="M304" s="20">
        <f>IF(G298=0,$E$7*0.133,G298*0.133)</f>
        <v>0</v>
      </c>
      <c r="N304" s="20"/>
      <c r="O304" s="20" t="e">
        <f>O296</f>
        <v>#N/A</v>
      </c>
      <c r="P304" s="20"/>
      <c r="Q304" s="20">
        <f>IFERROR(INDEX(VbWidthFactor_Constant,MATCH(E296,VbWidthFactor_NW)),0)</f>
        <v>0</v>
      </c>
      <c r="R304" s="20"/>
      <c r="S304" s="26">
        <f>IFERROR(INDEX(VbFigureConst_Const,MATCH(D296,VbFigureConst_Figure,0)),)</f>
        <v>0</v>
      </c>
      <c r="T304" s="26"/>
      <c r="U304" s="22"/>
    </row>
    <row r="305" spans="2:21" ht="13.5" customHeight="1" thickBot="1" x14ac:dyDescent="0.25">
      <c r="B305" s="16"/>
      <c r="C305" s="243" t="s">
        <v>47</v>
      </c>
      <c r="D305" s="243"/>
      <c r="E305" s="243"/>
      <c r="F305" s="244"/>
      <c r="G305" s="1"/>
      <c r="K305" s="67" t="s">
        <v>48</v>
      </c>
      <c r="L305" s="9" t="s">
        <v>10</v>
      </c>
      <c r="M305" s="9" t="s">
        <v>49</v>
      </c>
      <c r="N305" s="9" t="s">
        <v>14</v>
      </c>
      <c r="O305" s="19">
        <v>5</v>
      </c>
      <c r="P305" s="21"/>
      <c r="Q305" s="21"/>
      <c r="R305" s="21"/>
      <c r="S305" s="265" t="s">
        <v>50</v>
      </c>
      <c r="T305" s="266"/>
      <c r="U305" s="68" t="s">
        <v>51</v>
      </c>
    </row>
    <row r="306" spans="2:21" ht="13.5" customHeight="1" x14ac:dyDescent="0.2">
      <c r="B306" s="16"/>
      <c r="C306" s="245"/>
      <c r="D306" s="245"/>
      <c r="E306" s="245"/>
      <c r="F306" s="245"/>
      <c r="K306" s="25">
        <f>M306*O306</f>
        <v>0</v>
      </c>
      <c r="L306" s="20"/>
      <c r="M306" s="8">
        <f>COUNTA(G301:I301)</f>
        <v>0</v>
      </c>
      <c r="N306" s="20"/>
      <c r="O306" s="20">
        <v>5</v>
      </c>
      <c r="P306" s="20"/>
      <c r="Q306" s="20"/>
      <c r="R306" s="20"/>
      <c r="S306" s="267" t="str">
        <f>IF(ISBLANK(D296),"NEED FIGURE",IF(AND(ISBLANK(E296),INDEX(VbSpeedConstB_Type,MATCH(D296,VbSpeedConstB_Figure))="curve"),"NEED WIDTH",IF(AND("curve"&lt;&gt;INDEX(VbSpeedConstB_Type,MATCH(D296,VbSpeedConstB_Figure)),ISBLANK(G299)),"NEED OVERALL LENGTH","")))</f>
        <v>NEED FIGURE</v>
      </c>
      <c r="T306" s="268"/>
      <c r="U306" s="69" t="s">
        <v>53</v>
      </c>
    </row>
    <row r="307" spans="2:21" ht="13.5" customHeight="1" thickBot="1" x14ac:dyDescent="0.25">
      <c r="B307" s="16"/>
      <c r="C307" s="240"/>
      <c r="D307" s="240"/>
      <c r="E307" s="240"/>
      <c r="F307" s="240"/>
      <c r="G307" s="2" t="s">
        <v>56</v>
      </c>
      <c r="H307" s="2" t="s">
        <v>57</v>
      </c>
      <c r="K307" s="67" t="s">
        <v>58</v>
      </c>
      <c r="L307" s="9" t="s">
        <v>10</v>
      </c>
      <c r="M307" s="9" t="s">
        <v>59</v>
      </c>
      <c r="N307" s="9" t="s">
        <v>12</v>
      </c>
      <c r="O307" s="9" t="s">
        <v>60</v>
      </c>
      <c r="P307" s="9" t="s">
        <v>14</v>
      </c>
      <c r="Q307" s="9" t="s">
        <v>61</v>
      </c>
      <c r="R307" s="9"/>
      <c r="S307" s="276" t="str">
        <f>IF(ISBLANK(F296),"NEED SPEED",IF(AND(ISBLANK($E$7),ISBLANK(G298)),"NEED LIVE LOAD",""))</f>
        <v>NEED SPEED</v>
      </c>
      <c r="T307" s="277"/>
      <c r="U307" s="70" t="str">
        <f>IFERROR(IF(COUNTIF(G301:I301,"C43")=1,INDEX(VbDriveAb_Speed,MATCH(1,INDEX((F296&lt;=VbDriveAb_Speed)*(K312&lt;=VbDriveAb_Hp)*(K308&lt;=VbDriveAb_Ebp),,),0))&amp;" FPM",IF(SUM(COUNTIF(G301:I301,{"C42","C55","C56"}))=1,INDEX(VbDriveC_Speed,MATCH(1,INDEX((F296&lt;=VbDriveC_Speed)*(K312&lt;=VbDriveC_Hp)*(K308&lt;=VbDriveC_Ebp),,),0))&amp;" FPM","")),"")</f>
        <v/>
      </c>
    </row>
    <row r="308" spans="2:21" ht="13.5" customHeight="1" thickBot="1" x14ac:dyDescent="0.25">
      <c r="B308" s="16"/>
      <c r="C308" s="241" t="s">
        <v>64</v>
      </c>
      <c r="D308" s="241"/>
      <c r="E308" s="241"/>
      <c r="F308" s="242"/>
      <c r="G308" s="1"/>
      <c r="H308" s="1"/>
      <c r="K308" s="25" t="e">
        <f>(M308+O308)*Q308</f>
        <v>#N/A</v>
      </c>
      <c r="L308" s="20"/>
      <c r="M308" s="20" t="e">
        <f>K296+K304+K306</f>
        <v>#N/A</v>
      </c>
      <c r="N308" s="20"/>
      <c r="O308" s="20">
        <f>G310</f>
        <v>0</v>
      </c>
      <c r="P308" s="20"/>
      <c r="Q308" s="20">
        <v>1.25</v>
      </c>
      <c r="R308" s="20"/>
      <c r="S308" s="276" t="str">
        <f>IF(OR(ISBLANK(G301),ISBLANK(H301)),"NEED MODULE(S)",IF(OR(ISBLANK(G303),ISBLANK(H303)),"NEED STRAIGHT/SKEW",""))</f>
        <v>NEED MODULE(S)</v>
      </c>
      <c r="T308" s="277"/>
      <c r="U308" s="71" t="str">
        <f>IFERROR(IF(COUNTIF(G301:I301,"C43")=1,INDEX(VbDriveAb_Hp,MATCH(1,INDEX((F296&lt;=VbDriveAb_Speed)*(K312&lt;=VbDriveAb_Hp)*(K308&lt;=VbDriveAb_Ebp),,),0))&amp;" HP",IF(SUM(COUNTIF(G301:I301,{"C42","C55","C56"}))=1,INDEX(VbDriveC_Hp,MATCH(1,INDEX((F296&lt;=VbDriveC_Speed)*(K312&lt;=VbDriveC_Hp)*(K308&lt;=VbDriveC_Ebp),,),0))&amp;" HP","")),"")</f>
        <v/>
      </c>
    </row>
    <row r="309" spans="2:21" ht="13.5" customHeight="1" thickBot="1" x14ac:dyDescent="0.25">
      <c r="B309" s="16"/>
      <c r="C309" s="240"/>
      <c r="D309" s="240"/>
      <c r="E309" s="240"/>
      <c r="F309" s="240"/>
      <c r="K309" s="67" t="s">
        <v>67</v>
      </c>
      <c r="L309" s="9" t="s">
        <v>10</v>
      </c>
      <c r="M309" s="9" t="s">
        <v>58</v>
      </c>
      <c r="N309" s="9" t="s">
        <v>14</v>
      </c>
      <c r="O309" s="9" t="s">
        <v>68</v>
      </c>
      <c r="P309" s="9"/>
      <c r="Q309" s="9"/>
      <c r="R309" s="9"/>
      <c r="S309" s="276" t="str">
        <f>IF(ISBLANK(G305),"NEED ROLLER CENTERS","")</f>
        <v>NEED ROLLER CENTERS</v>
      </c>
      <c r="T309" s="277"/>
      <c r="U309" s="72" t="s">
        <v>69</v>
      </c>
    </row>
    <row r="310" spans="2:21" ht="13.5" customHeight="1" thickBot="1" x14ac:dyDescent="0.25">
      <c r="B310" s="16"/>
      <c r="C310" s="243" t="s">
        <v>71</v>
      </c>
      <c r="D310" s="243"/>
      <c r="E310" s="243"/>
      <c r="F310" s="243"/>
      <c r="G310" s="1"/>
      <c r="K310" s="25" t="e">
        <f>M310*O310</f>
        <v>#N/A</v>
      </c>
      <c r="L310" s="20"/>
      <c r="M310" s="20" t="e">
        <f>K308</f>
        <v>#N/A</v>
      </c>
      <c r="N310" s="20"/>
      <c r="O310" s="20">
        <f>IF(AND(ISNUMBER(G308),ISNUMBER(H308)),H308/G308,0)</f>
        <v>0</v>
      </c>
      <c r="P310" s="20"/>
      <c r="Q310" s="20"/>
      <c r="R310" s="20"/>
      <c r="S310" s="284"/>
      <c r="T310" s="285"/>
      <c r="U310" s="74" t="str">
        <f>IFERROR(IF(K310&gt;0,K310,""),"")</f>
        <v/>
      </c>
    </row>
    <row r="311" spans="2:21" ht="13.5" customHeight="1" thickBot="1" x14ac:dyDescent="0.25">
      <c r="B311" s="16"/>
      <c r="C311" s="240"/>
      <c r="D311" s="240"/>
      <c r="E311" s="240"/>
      <c r="F311" s="240"/>
      <c r="K311" s="24" t="s">
        <v>74</v>
      </c>
      <c r="L311" s="3" t="s">
        <v>10</v>
      </c>
      <c r="M311" s="3" t="s">
        <v>58</v>
      </c>
      <c r="N311" s="3" t="s">
        <v>14</v>
      </c>
      <c r="O311" s="3" t="s">
        <v>8</v>
      </c>
      <c r="P311" s="3" t="s">
        <v>75</v>
      </c>
      <c r="Q311" s="3" t="s">
        <v>76</v>
      </c>
      <c r="S311" s="276" t="str">
        <f>IFERROR(IF(K312&gt;MAX(VbDriveAb_Hp,VbDriveC_Hp),"EXCEEDS MAX HP",""),"")</f>
        <v/>
      </c>
      <c r="T311" s="277"/>
      <c r="U311" s="278" t="str">
        <f>IF(NOT(OR(SUM(COUNTIF(G301:I301,{"C42","C43","C51","C55","C56"}))&gt;0,COUNTBLANK(G308:H308)&lt;1)),"NEED DRIVE MODULE OR SLAVE RATIO",IF(AND(SUM(COUNTIF(G301:I301,{"C42","C43","C51","C55","C56"}))&gt;0,COUNTBLANK(G308:H308)&lt;1),"CAN'T BE SLAVE AND HAVE DRIVE",""))</f>
        <v>NEED DRIVE MODULE OR SLAVE RATIO</v>
      </c>
    </row>
    <row r="312" spans="2:21" ht="13.5" customHeight="1" thickBot="1" x14ac:dyDescent="0.25">
      <c r="B312" s="286" t="s">
        <v>78</v>
      </c>
      <c r="C312" s="287"/>
      <c r="D312" s="262"/>
      <c r="E312" s="263"/>
      <c r="F312" s="263"/>
      <c r="G312" s="263"/>
      <c r="H312" s="263"/>
      <c r="I312" s="263"/>
      <c r="J312" s="264"/>
      <c r="K312" s="73" t="e">
        <f>M312*O312/Q312</f>
        <v>#N/A</v>
      </c>
      <c r="L312" s="27"/>
      <c r="M312" s="27" t="e">
        <f>K308</f>
        <v>#N/A</v>
      </c>
      <c r="N312" s="27"/>
      <c r="O312" s="27">
        <f>F296</f>
        <v>0</v>
      </c>
      <c r="P312" s="27"/>
      <c r="Q312" s="27">
        <v>31350</v>
      </c>
      <c r="R312" s="27"/>
      <c r="S312" s="274" t="str">
        <f>IFERROR(IF(K308&gt;125,"EXCEEDS BELT STRENGTH",""),"")</f>
        <v/>
      </c>
      <c r="T312" s="275"/>
      <c r="U312" s="279"/>
    </row>
    <row r="313" spans="2:21" ht="13.5" customHeight="1" thickBot="1" x14ac:dyDescent="0.25"/>
    <row r="314" spans="2:21" ht="13.5" customHeight="1" thickBot="1" x14ac:dyDescent="0.25">
      <c r="B314" s="39"/>
      <c r="C314" s="28" t="s">
        <v>5</v>
      </c>
      <c r="D314" s="28" t="s">
        <v>6</v>
      </c>
      <c r="E314" s="28" t="s">
        <v>7</v>
      </c>
      <c r="F314" s="28" t="s">
        <v>8</v>
      </c>
      <c r="G314" s="28"/>
      <c r="H314" s="28"/>
      <c r="I314" s="28"/>
      <c r="J314" s="28"/>
      <c r="K314" s="23" t="s">
        <v>9</v>
      </c>
      <c r="L314" s="4" t="s">
        <v>10</v>
      </c>
      <c r="M314" s="4" t="s">
        <v>11</v>
      </c>
      <c r="N314" s="4" t="s">
        <v>12</v>
      </c>
      <c r="O314" s="4" t="s">
        <v>13</v>
      </c>
      <c r="P314" s="4" t="s">
        <v>14</v>
      </c>
      <c r="Q314" s="4" t="s">
        <v>15</v>
      </c>
      <c r="R314" s="4"/>
      <c r="S314" s="4"/>
      <c r="T314" s="4"/>
      <c r="U314" s="5"/>
    </row>
    <row r="315" spans="2:21" ht="13.5" customHeight="1" thickBot="1" x14ac:dyDescent="0.25">
      <c r="B315" s="16"/>
      <c r="C315" s="272"/>
      <c r="D315" s="206"/>
      <c r="E315" s="1"/>
      <c r="F315" s="1"/>
      <c r="K315" s="63" t="e">
        <f>(M315+O315)*Q315+M317+M319+IFERROR(M321,0)</f>
        <v>#N/A</v>
      </c>
      <c r="L315" s="26"/>
      <c r="M315" s="26">
        <f>IF(G317=0,$E$7*0.06,G317*0.06)</f>
        <v>0</v>
      </c>
      <c r="N315" s="26"/>
      <c r="O315" s="26" t="e">
        <f>INDEX(VbSpeedConstA_Int,MATCH(1,INDEX((INDEX(VbSpeedConstB_Type,MATCH(D315,VbSpeedConstB_Figure))=VbSpeedConstA_Type)*(G324=VbSpeedConstA_Rc),,),0))+INDEX(VbSpeedConstA_Slope,MATCH(1,INDEX((INDEX(VbSpeedConstB_Type,MATCH(D315,VbSpeedConstB_Figure))=VbSpeedConstA_Type)*(G324=VbSpeedConstA_Rc),,),0))*IF(F315&lt;80,80,F315)</f>
        <v>#N/A</v>
      </c>
      <c r="P315" s="26"/>
      <c r="Q315" s="26" t="e">
        <f>IF("curve"&lt;&gt;INDEX(VbSpeedConstB_Type,MATCH(D315,VbSpeedConstB_Figure)),G318-IFERROR(INDEX(VbModuleLength_Length,MATCH(G320,VbModuleLength_Module,0)),)-IFERROR(INDEX(VbModuleLength_Length,MATCH(H320,VbModuleLength_Module,0)),),0)/12</f>
        <v>#N/A</v>
      </c>
      <c r="R315" s="26"/>
      <c r="S315" s="26"/>
      <c r="T315" s="26"/>
      <c r="U315" s="22"/>
    </row>
    <row r="316" spans="2:21" ht="13.5" customHeight="1" thickBot="1" x14ac:dyDescent="0.25">
      <c r="B316" s="16"/>
      <c r="C316" s="273"/>
      <c r="D316" s="205"/>
      <c r="E316" s="205"/>
      <c r="F316" s="205"/>
      <c r="K316" s="24"/>
      <c r="L316" s="64" t="s">
        <v>18</v>
      </c>
      <c r="M316" s="3" t="s">
        <v>19</v>
      </c>
      <c r="N316" s="3" t="s">
        <v>10</v>
      </c>
      <c r="O316" s="3" t="s">
        <v>20</v>
      </c>
      <c r="P316" s="3" t="s">
        <v>12</v>
      </c>
      <c r="Q316" s="3" t="s">
        <v>13</v>
      </c>
      <c r="R316" s="3" t="s">
        <v>14</v>
      </c>
      <c r="S316" s="3" t="s">
        <v>15</v>
      </c>
      <c r="T316" s="3"/>
      <c r="U316" s="65"/>
    </row>
    <row r="317" spans="2:21" ht="13.5" customHeight="1" thickBot="1" x14ac:dyDescent="0.25">
      <c r="B317" s="16"/>
      <c r="C317" s="243" t="s">
        <v>24</v>
      </c>
      <c r="D317" s="243"/>
      <c r="E317" s="243"/>
      <c r="F317" s="244"/>
      <c r="G317" s="1"/>
      <c r="K317" s="63"/>
      <c r="L317" s="26" t="s">
        <v>12</v>
      </c>
      <c r="M317" s="26" t="e">
        <f>(O317+Q317)*S317</f>
        <v>#N/A</v>
      </c>
      <c r="N317" s="26"/>
      <c r="O317" s="26">
        <f>IF(G317=0,$E$7*0.06,G317*0.06)</f>
        <v>0</v>
      </c>
      <c r="P317" s="26"/>
      <c r="Q317" s="26" t="e">
        <f>INDEX(VbSpeedConstA_Int,MATCH(1,INDEX((G322=VbSpeedConstA_Type)*(G324=VbSpeedConstA_Rc),,),0))+INDEX(VbSpeedConstA_Slope,MATCH(1,INDEX((G322=VbSpeedConstA_Type)*(G324=VbSpeedConstA_Rc),,),0))*IF(F315&lt;80,80,F315)</f>
        <v>#N/A</v>
      </c>
      <c r="R317" s="26"/>
      <c r="S317" s="26">
        <f>MAX(0,(G321-IFERROR(INDEX(VbModuleLength_Length,MATCH(G320,VbModuleLength_Module,0)),))/12)</f>
        <v>0</v>
      </c>
      <c r="T317" s="26"/>
      <c r="U317" s="22"/>
    </row>
    <row r="318" spans="2:21" ht="13.5" customHeight="1" thickBot="1" x14ac:dyDescent="0.25">
      <c r="B318" s="16"/>
      <c r="C318" s="243" t="s">
        <v>27</v>
      </c>
      <c r="D318" s="243"/>
      <c r="E318" s="243"/>
      <c r="F318" s="244"/>
      <c r="G318" s="1"/>
      <c r="K318" s="24"/>
      <c r="L318" s="3"/>
      <c r="M318" s="3" t="s">
        <v>28</v>
      </c>
      <c r="N318" s="3" t="s">
        <v>10</v>
      </c>
      <c r="O318" s="3" t="s">
        <v>20</v>
      </c>
      <c r="P318" s="3" t="s">
        <v>12</v>
      </c>
      <c r="Q318" s="3" t="s">
        <v>13</v>
      </c>
      <c r="R318" s="3" t="s">
        <v>14</v>
      </c>
      <c r="S318" s="3" t="s">
        <v>15</v>
      </c>
      <c r="T318" s="3"/>
      <c r="U318" s="65"/>
    </row>
    <row r="319" spans="2:21" ht="13.5" customHeight="1" thickBot="1" x14ac:dyDescent="0.25">
      <c r="B319" s="16"/>
      <c r="C319" s="245"/>
      <c r="D319" s="245"/>
      <c r="E319" s="245"/>
      <c r="F319" s="245"/>
      <c r="G319" s="2" t="s">
        <v>30</v>
      </c>
      <c r="H319" s="66" t="s">
        <v>31</v>
      </c>
      <c r="I319" s="2" t="s">
        <v>32</v>
      </c>
      <c r="K319" s="63"/>
      <c r="L319" s="26" t="s">
        <v>12</v>
      </c>
      <c r="M319" s="26" t="e">
        <f>(O319+Q319)*S319</f>
        <v>#N/A</v>
      </c>
      <c r="N319" s="26"/>
      <c r="O319" s="26">
        <f>IF(G317=0,$E$7*0.06,G317*0.06)</f>
        <v>0</v>
      </c>
      <c r="P319" s="26"/>
      <c r="Q319" s="26" t="e">
        <f>INDEX(VbSpeedConstA_Int,MATCH(1,INDEX((H322=VbSpeedConstA_Type)*(G324=VbSpeedConstA_Rc),,),0))+INDEX(VbSpeedConstA_Slope,MATCH(1,INDEX((H322=VbSpeedConstA_Type)*(G324=VbSpeedConstA_Rc),,),0))*IF(F315&lt;80,80,F315)</f>
        <v>#N/A</v>
      </c>
      <c r="R319" s="26"/>
      <c r="S319" s="26">
        <f>MAX(0,(H321-IFERROR(INDEX(VbModuleLength_Length,MATCH(H320,VbModuleLength_Module,0)),))/12)</f>
        <v>0</v>
      </c>
      <c r="T319" s="26"/>
      <c r="U319" s="22"/>
    </row>
    <row r="320" spans="2:21" ht="13.5" customHeight="1" thickBot="1" x14ac:dyDescent="0.25">
      <c r="B320" s="16"/>
      <c r="C320" s="243" t="s">
        <v>34</v>
      </c>
      <c r="D320" s="243"/>
      <c r="E320" s="243"/>
      <c r="F320" s="244"/>
      <c r="G320" s="1"/>
      <c r="H320" s="1"/>
      <c r="I320" s="1"/>
      <c r="K320" s="24"/>
      <c r="L320" s="3"/>
      <c r="M320" s="3" t="s">
        <v>35</v>
      </c>
      <c r="N320" s="3" t="s">
        <v>10</v>
      </c>
      <c r="O320" s="3" t="s">
        <v>20</v>
      </c>
      <c r="P320" s="3" t="s">
        <v>12</v>
      </c>
      <c r="Q320" s="3" t="s">
        <v>13</v>
      </c>
      <c r="R320" s="3" t="s">
        <v>14</v>
      </c>
      <c r="S320" s="3" t="s">
        <v>15</v>
      </c>
      <c r="T320" s="3"/>
      <c r="U320" s="65"/>
    </row>
    <row r="321" spans="2:21" ht="13.5" customHeight="1" thickBot="1" x14ac:dyDescent="0.25">
      <c r="B321" s="16"/>
      <c r="C321" s="243" t="s">
        <v>38</v>
      </c>
      <c r="D321" s="243"/>
      <c r="E321" s="243"/>
      <c r="F321" s="244"/>
      <c r="G321" s="1"/>
      <c r="H321" s="1"/>
      <c r="I321" s="1"/>
      <c r="K321" s="25"/>
      <c r="L321" s="20" t="s">
        <v>12</v>
      </c>
      <c r="M321" s="20" t="e">
        <f>(O321+Q321)*S321</f>
        <v>#N/A</v>
      </c>
      <c r="N321" s="20"/>
      <c r="O321" s="20">
        <f>IF(G317=0,$E$7*0.06,G317*0.06)</f>
        <v>0</v>
      </c>
      <c r="P321" s="20"/>
      <c r="Q321" s="20" t="e">
        <f>INDEX(VbSpeedConstA_Int,MATCH(1,INDEX((I322=VbSpeedConstA_Type)*(G324=VbSpeedConstA_Rc),,),0))+INDEX(VbSpeedConstA_Slope,MATCH(1,INDEX((I322=VbSpeedConstA_Type)*(G324=VbSpeedConstA_Rc),,),0))*IF(F315&lt;80,80,F315)</f>
        <v>#N/A</v>
      </c>
      <c r="R321" s="20"/>
      <c r="S321" s="20">
        <f>MAX(0,(I321-IFERROR(INDEX(VbModuleLength_Length,MATCH(I320,VbModuleLength_Module,0)),))/12)</f>
        <v>0</v>
      </c>
      <c r="T321" s="20"/>
      <c r="U321" s="41"/>
    </row>
    <row r="322" spans="2:21" ht="13.5" customHeight="1" thickBot="1" x14ac:dyDescent="0.25">
      <c r="B322" s="16"/>
      <c r="C322" s="243" t="s">
        <v>40</v>
      </c>
      <c r="D322" s="243"/>
      <c r="E322" s="243"/>
      <c r="F322" s="244"/>
      <c r="G322" s="1"/>
      <c r="H322" s="1"/>
      <c r="I322" s="1"/>
      <c r="K322" s="67" t="s">
        <v>41</v>
      </c>
      <c r="L322" s="9" t="s">
        <v>10</v>
      </c>
      <c r="M322" s="9" t="s">
        <v>42</v>
      </c>
      <c r="N322" s="9" t="s">
        <v>12</v>
      </c>
      <c r="O322" s="9" t="s">
        <v>13</v>
      </c>
      <c r="P322" s="9" t="s">
        <v>14</v>
      </c>
      <c r="Q322" s="9" t="s">
        <v>43</v>
      </c>
      <c r="R322" s="9" t="s">
        <v>14</v>
      </c>
      <c r="S322" s="3" t="s">
        <v>44</v>
      </c>
      <c r="T322" s="3"/>
      <c r="U322" s="65"/>
    </row>
    <row r="323" spans="2:21" ht="13.5" customHeight="1" thickBot="1" x14ac:dyDescent="0.25">
      <c r="B323" s="16"/>
      <c r="C323" s="245"/>
      <c r="D323" s="245"/>
      <c r="E323" s="245"/>
      <c r="F323" s="245"/>
      <c r="K323" s="25" t="e">
        <f>(M323+O323)*Q323*S323</f>
        <v>#N/A</v>
      </c>
      <c r="L323" s="20"/>
      <c r="M323" s="20">
        <f>IF(G317=0,$E$7*0.133,G317*0.133)</f>
        <v>0</v>
      </c>
      <c r="N323" s="20"/>
      <c r="O323" s="20" t="e">
        <f>O315</f>
        <v>#N/A</v>
      </c>
      <c r="P323" s="20"/>
      <c r="Q323" s="20">
        <f>IFERROR(INDEX(VbWidthFactor_Constant,MATCH(E315,VbWidthFactor_NW)),0)</f>
        <v>0</v>
      </c>
      <c r="R323" s="20"/>
      <c r="S323" s="26">
        <f>IFERROR(INDEX(VbFigureConst_Const,MATCH(D315,VbFigureConst_Figure,0)),)</f>
        <v>0</v>
      </c>
      <c r="T323" s="26"/>
      <c r="U323" s="22"/>
    </row>
    <row r="324" spans="2:21" ht="13.5" customHeight="1" thickBot="1" x14ac:dyDescent="0.25">
      <c r="B324" s="16"/>
      <c r="C324" s="243" t="s">
        <v>47</v>
      </c>
      <c r="D324" s="243"/>
      <c r="E324" s="243"/>
      <c r="F324" s="244"/>
      <c r="G324" s="1"/>
      <c r="K324" s="67" t="s">
        <v>48</v>
      </c>
      <c r="L324" s="9" t="s">
        <v>10</v>
      </c>
      <c r="M324" s="9" t="s">
        <v>49</v>
      </c>
      <c r="N324" s="9" t="s">
        <v>14</v>
      </c>
      <c r="O324" s="19">
        <v>5</v>
      </c>
      <c r="P324" s="21"/>
      <c r="Q324" s="21"/>
      <c r="R324" s="21"/>
      <c r="S324" s="265" t="s">
        <v>50</v>
      </c>
      <c r="T324" s="266"/>
      <c r="U324" s="68" t="s">
        <v>51</v>
      </c>
    </row>
    <row r="325" spans="2:21" ht="13.5" customHeight="1" x14ac:dyDescent="0.2">
      <c r="B325" s="16"/>
      <c r="C325" s="245"/>
      <c r="D325" s="245"/>
      <c r="E325" s="245"/>
      <c r="F325" s="245"/>
      <c r="K325" s="25">
        <f>M325*O325</f>
        <v>0</v>
      </c>
      <c r="L325" s="20"/>
      <c r="M325" s="8">
        <f>COUNTA(G320:I320)</f>
        <v>0</v>
      </c>
      <c r="N325" s="20"/>
      <c r="O325" s="20">
        <v>5</v>
      </c>
      <c r="P325" s="20"/>
      <c r="Q325" s="20"/>
      <c r="R325" s="20"/>
      <c r="S325" s="267" t="str">
        <f>IF(ISBLANK(D315),"NEED FIGURE",IF(AND(ISBLANK(E315),INDEX(VbSpeedConstB_Type,MATCH(D315,VbSpeedConstB_Figure))="curve"),"NEED WIDTH",IF(AND("curve"&lt;&gt;INDEX(VbSpeedConstB_Type,MATCH(D315,VbSpeedConstB_Figure)),ISBLANK(G318)),"NEED OVERALL LENGTH","")))</f>
        <v>NEED FIGURE</v>
      </c>
      <c r="T325" s="268"/>
      <c r="U325" s="69" t="s">
        <v>53</v>
      </c>
    </row>
    <row r="326" spans="2:21" ht="13.5" customHeight="1" thickBot="1" x14ac:dyDescent="0.25">
      <c r="B326" s="16"/>
      <c r="C326" s="240"/>
      <c r="D326" s="240"/>
      <c r="E326" s="240"/>
      <c r="F326" s="240"/>
      <c r="G326" s="2" t="s">
        <v>56</v>
      </c>
      <c r="H326" s="2" t="s">
        <v>57</v>
      </c>
      <c r="K326" s="67" t="s">
        <v>58</v>
      </c>
      <c r="L326" s="9" t="s">
        <v>10</v>
      </c>
      <c r="M326" s="9" t="s">
        <v>59</v>
      </c>
      <c r="N326" s="9" t="s">
        <v>12</v>
      </c>
      <c r="O326" s="9" t="s">
        <v>60</v>
      </c>
      <c r="P326" s="9" t="s">
        <v>14</v>
      </c>
      <c r="Q326" s="9" t="s">
        <v>61</v>
      </c>
      <c r="R326" s="9"/>
      <c r="S326" s="276" t="str">
        <f>IF(ISBLANK(F315),"NEED SPEED",IF(AND(ISBLANK($E$7),ISBLANK(G317)),"NEED LIVE LOAD",""))</f>
        <v>NEED SPEED</v>
      </c>
      <c r="T326" s="277"/>
      <c r="U326" s="70" t="str">
        <f>IFERROR(IF(COUNTIF(G320:I320,"C43")=1,INDEX(VbDriveAb_Speed,MATCH(1,INDEX((F315&lt;=VbDriveAb_Speed)*(K331&lt;=VbDriveAb_Hp)*(K327&lt;=VbDriveAb_Ebp),,),0))&amp;" FPM",IF(SUM(COUNTIF(G320:I320,{"C42","C55","C56"}))=1,INDEX(VbDriveC_Speed,MATCH(1,INDEX((F315&lt;=VbDriveC_Speed)*(K331&lt;=VbDriveC_Hp)*(K327&lt;=VbDriveC_Ebp),,),0))&amp;" FPM","")),"")</f>
        <v/>
      </c>
    </row>
    <row r="327" spans="2:21" ht="13.5" customHeight="1" thickBot="1" x14ac:dyDescent="0.25">
      <c r="B327" s="16"/>
      <c r="C327" s="241" t="s">
        <v>64</v>
      </c>
      <c r="D327" s="241"/>
      <c r="E327" s="241"/>
      <c r="F327" s="242"/>
      <c r="G327" s="1"/>
      <c r="H327" s="1"/>
      <c r="K327" s="25" t="e">
        <f>(M327+O327)*Q327</f>
        <v>#N/A</v>
      </c>
      <c r="L327" s="20"/>
      <c r="M327" s="20" t="e">
        <f>K315+K323+K325</f>
        <v>#N/A</v>
      </c>
      <c r="N327" s="20"/>
      <c r="O327" s="20">
        <f>G329</f>
        <v>0</v>
      </c>
      <c r="P327" s="20"/>
      <c r="Q327" s="20">
        <v>1.25</v>
      </c>
      <c r="R327" s="20"/>
      <c r="S327" s="276" t="str">
        <f>IF(OR(ISBLANK(G320),ISBLANK(H320)),"NEED MODULE(S)",IF(OR(ISBLANK(G322),ISBLANK(H322)),"NEED STRAIGHT/SKEW",""))</f>
        <v>NEED MODULE(S)</v>
      </c>
      <c r="T327" s="277"/>
      <c r="U327" s="71" t="str">
        <f>IFERROR(IF(COUNTIF(G320:I320,"C43")=1,INDEX(VbDriveAb_Hp,MATCH(1,INDEX((F315&lt;=VbDriveAb_Speed)*(K331&lt;=VbDriveAb_Hp)*(K327&lt;=VbDriveAb_Ebp),,),0))&amp;" HP",IF(SUM(COUNTIF(G320:I320,{"C42","C55","C56"}))=1,INDEX(VbDriveC_Hp,MATCH(1,INDEX((F315&lt;=VbDriveC_Speed)*(K331&lt;=VbDriveC_Hp)*(K327&lt;=VbDriveC_Ebp),,),0))&amp;" HP","")),"")</f>
        <v/>
      </c>
    </row>
    <row r="328" spans="2:21" ht="13.5" customHeight="1" thickBot="1" x14ac:dyDescent="0.25">
      <c r="B328" s="16"/>
      <c r="C328" s="240"/>
      <c r="D328" s="240"/>
      <c r="E328" s="240"/>
      <c r="F328" s="240"/>
      <c r="K328" s="67" t="s">
        <v>67</v>
      </c>
      <c r="L328" s="9" t="s">
        <v>10</v>
      </c>
      <c r="M328" s="9" t="s">
        <v>58</v>
      </c>
      <c r="N328" s="9" t="s">
        <v>14</v>
      </c>
      <c r="O328" s="9" t="s">
        <v>68</v>
      </c>
      <c r="P328" s="9"/>
      <c r="Q328" s="9"/>
      <c r="R328" s="9"/>
      <c r="S328" s="276" t="str">
        <f>IF(ISBLANK(G324),"NEED ROLLER CENTERS","")</f>
        <v>NEED ROLLER CENTERS</v>
      </c>
      <c r="T328" s="277"/>
      <c r="U328" s="72" t="s">
        <v>69</v>
      </c>
    </row>
    <row r="329" spans="2:21" ht="13.5" customHeight="1" thickBot="1" x14ac:dyDescent="0.25">
      <c r="B329" s="16"/>
      <c r="C329" s="243" t="s">
        <v>71</v>
      </c>
      <c r="D329" s="243"/>
      <c r="E329" s="243"/>
      <c r="F329" s="243"/>
      <c r="G329" s="1"/>
      <c r="K329" s="25" t="e">
        <f>M329*O329</f>
        <v>#N/A</v>
      </c>
      <c r="L329" s="20"/>
      <c r="M329" s="20" t="e">
        <f>K327</f>
        <v>#N/A</v>
      </c>
      <c r="N329" s="20"/>
      <c r="O329" s="20">
        <f>IF(AND(ISNUMBER(G327),ISNUMBER(H327)),H327/G327,0)</f>
        <v>0</v>
      </c>
      <c r="P329" s="20"/>
      <c r="Q329" s="20"/>
      <c r="R329" s="20"/>
      <c r="S329" s="284"/>
      <c r="T329" s="285"/>
      <c r="U329" s="74" t="str">
        <f>IFERROR(IF(K329&gt;0,K329,""),"")</f>
        <v/>
      </c>
    </row>
    <row r="330" spans="2:21" ht="13.5" customHeight="1" thickBot="1" x14ac:dyDescent="0.25">
      <c r="B330" s="16"/>
      <c r="C330" s="240"/>
      <c r="D330" s="240"/>
      <c r="E330" s="240"/>
      <c r="F330" s="240"/>
      <c r="K330" s="24" t="s">
        <v>74</v>
      </c>
      <c r="L330" s="3" t="s">
        <v>10</v>
      </c>
      <c r="M330" s="3" t="s">
        <v>58</v>
      </c>
      <c r="N330" s="3" t="s">
        <v>14</v>
      </c>
      <c r="O330" s="3" t="s">
        <v>8</v>
      </c>
      <c r="P330" s="3" t="s">
        <v>75</v>
      </c>
      <c r="Q330" s="3" t="s">
        <v>76</v>
      </c>
      <c r="S330" s="276" t="str">
        <f>IFERROR(IF(K331&gt;MAX(VbDriveAb_Hp,VbDriveC_Hp),"EXCEEDS MAX HP",""),"")</f>
        <v/>
      </c>
      <c r="T330" s="277"/>
      <c r="U330" s="278" t="str">
        <f>IF(NOT(OR(SUM(COUNTIF(G320:I320,{"C42","C43","C51","C55","C56"}))&gt;0,COUNTBLANK(G327:H327)&lt;1)),"NEED DRIVE MODULE OR SLAVE RATIO",IF(AND(SUM(COUNTIF(G320:I320,{"C42","C43","C51","C55","C56"}))&gt;0,COUNTBLANK(G327:H327)&lt;1),"CAN'T BE SLAVE AND HAVE DRIVE",""))</f>
        <v>NEED DRIVE MODULE OR SLAVE RATIO</v>
      </c>
    </row>
    <row r="331" spans="2:21" ht="13.5" customHeight="1" thickBot="1" x14ac:dyDescent="0.25">
      <c r="B331" s="286" t="s">
        <v>78</v>
      </c>
      <c r="C331" s="287"/>
      <c r="D331" s="262"/>
      <c r="E331" s="263"/>
      <c r="F331" s="263"/>
      <c r="G331" s="263"/>
      <c r="H331" s="263"/>
      <c r="I331" s="263"/>
      <c r="J331" s="264"/>
      <c r="K331" s="73" t="e">
        <f>M331*O331/Q331</f>
        <v>#N/A</v>
      </c>
      <c r="L331" s="27"/>
      <c r="M331" s="27" t="e">
        <f>K327</f>
        <v>#N/A</v>
      </c>
      <c r="N331" s="27"/>
      <c r="O331" s="27">
        <f>F315</f>
        <v>0</v>
      </c>
      <c r="P331" s="27"/>
      <c r="Q331" s="27">
        <v>31350</v>
      </c>
      <c r="R331" s="27"/>
      <c r="S331" s="274" t="str">
        <f>IFERROR(IF(K327&gt;125,"EXCEEDS BELT STRENGTH",""),"")</f>
        <v/>
      </c>
      <c r="T331" s="275"/>
      <c r="U331" s="279"/>
    </row>
    <row r="332" spans="2:21" ht="13.5" customHeight="1" thickBot="1" x14ac:dyDescent="0.25"/>
    <row r="333" spans="2:21" ht="13.5" customHeight="1" thickBot="1" x14ac:dyDescent="0.25">
      <c r="B333" s="39"/>
      <c r="C333" s="28" t="s">
        <v>5</v>
      </c>
      <c r="D333" s="28" t="s">
        <v>6</v>
      </c>
      <c r="E333" s="28" t="s">
        <v>7</v>
      </c>
      <c r="F333" s="28" t="s">
        <v>8</v>
      </c>
      <c r="G333" s="28"/>
      <c r="H333" s="28"/>
      <c r="I333" s="28"/>
      <c r="J333" s="28"/>
      <c r="K333" s="23" t="s">
        <v>9</v>
      </c>
      <c r="L333" s="4" t="s">
        <v>10</v>
      </c>
      <c r="M333" s="4" t="s">
        <v>11</v>
      </c>
      <c r="N333" s="4" t="s">
        <v>12</v>
      </c>
      <c r="O333" s="4" t="s">
        <v>13</v>
      </c>
      <c r="P333" s="4" t="s">
        <v>14</v>
      </c>
      <c r="Q333" s="4" t="s">
        <v>15</v>
      </c>
      <c r="R333" s="4"/>
      <c r="S333" s="4"/>
      <c r="T333" s="4"/>
      <c r="U333" s="5"/>
    </row>
    <row r="334" spans="2:21" ht="13.5" customHeight="1" thickBot="1" x14ac:dyDescent="0.25">
      <c r="B334" s="16"/>
      <c r="C334" s="272"/>
      <c r="D334" s="206"/>
      <c r="E334" s="1"/>
      <c r="F334" s="1"/>
      <c r="K334" s="63" t="e">
        <f>(M334+O334)*Q334+M336+M338+IFERROR(M340,0)</f>
        <v>#N/A</v>
      </c>
      <c r="L334" s="26"/>
      <c r="M334" s="26">
        <f>IF(G336=0,$E$7*0.06,G336*0.06)</f>
        <v>0</v>
      </c>
      <c r="N334" s="26"/>
      <c r="O334" s="26" t="e">
        <f>INDEX(VbSpeedConstA_Int,MATCH(1,INDEX((INDEX(VbSpeedConstB_Type,MATCH(D334,VbSpeedConstB_Figure))=VbSpeedConstA_Type)*(G343=VbSpeedConstA_Rc),,),0))+INDEX(VbSpeedConstA_Slope,MATCH(1,INDEX((INDEX(VbSpeedConstB_Type,MATCH(D334,VbSpeedConstB_Figure))=VbSpeedConstA_Type)*(G343=VbSpeedConstA_Rc),,),0))*IF(F334&lt;80,80,F334)</f>
        <v>#N/A</v>
      </c>
      <c r="P334" s="26"/>
      <c r="Q334" s="26" t="e">
        <f>IF("curve"&lt;&gt;INDEX(VbSpeedConstB_Type,MATCH(D334,VbSpeedConstB_Figure)),G337-IFERROR(INDEX(VbModuleLength_Length,MATCH(G339,VbModuleLength_Module,0)),)-IFERROR(INDEX(VbModuleLength_Length,MATCH(H339,VbModuleLength_Module,0)),),0)/12</f>
        <v>#N/A</v>
      </c>
      <c r="R334" s="26"/>
      <c r="S334" s="26"/>
      <c r="T334" s="26"/>
      <c r="U334" s="22"/>
    </row>
    <row r="335" spans="2:21" ht="13.5" customHeight="1" thickBot="1" x14ac:dyDescent="0.25">
      <c r="B335" s="16"/>
      <c r="C335" s="273"/>
      <c r="D335" s="205"/>
      <c r="E335" s="205"/>
      <c r="F335" s="205"/>
      <c r="K335" s="24"/>
      <c r="L335" s="64" t="s">
        <v>18</v>
      </c>
      <c r="M335" s="3" t="s">
        <v>19</v>
      </c>
      <c r="N335" s="3" t="s">
        <v>10</v>
      </c>
      <c r="O335" s="3" t="s">
        <v>20</v>
      </c>
      <c r="P335" s="3" t="s">
        <v>12</v>
      </c>
      <c r="Q335" s="3" t="s">
        <v>13</v>
      </c>
      <c r="R335" s="3" t="s">
        <v>14</v>
      </c>
      <c r="S335" s="3" t="s">
        <v>15</v>
      </c>
      <c r="T335" s="3"/>
      <c r="U335" s="65"/>
    </row>
    <row r="336" spans="2:21" ht="13.5" customHeight="1" thickBot="1" x14ac:dyDescent="0.25">
      <c r="B336" s="16"/>
      <c r="C336" s="243" t="s">
        <v>24</v>
      </c>
      <c r="D336" s="243"/>
      <c r="E336" s="243"/>
      <c r="F336" s="244"/>
      <c r="G336" s="1"/>
      <c r="K336" s="63"/>
      <c r="L336" s="26" t="s">
        <v>12</v>
      </c>
      <c r="M336" s="26" t="e">
        <f>(O336+Q336)*S336</f>
        <v>#N/A</v>
      </c>
      <c r="N336" s="26"/>
      <c r="O336" s="26">
        <f>IF(G336=0,$E$7*0.06,G336*0.06)</f>
        <v>0</v>
      </c>
      <c r="P336" s="26"/>
      <c r="Q336" s="26" t="e">
        <f>INDEX(VbSpeedConstA_Int,MATCH(1,INDEX((G341=VbSpeedConstA_Type)*(G343=VbSpeedConstA_Rc),,),0))+INDEX(VbSpeedConstA_Slope,MATCH(1,INDEX((G341=VbSpeedConstA_Type)*(G343=VbSpeedConstA_Rc),,),0))*IF(F334&lt;80,80,F334)</f>
        <v>#N/A</v>
      </c>
      <c r="R336" s="26"/>
      <c r="S336" s="26">
        <f>MAX(0,(G340-IFERROR(INDEX(VbModuleLength_Length,MATCH(G339,VbModuleLength_Module,0)),))/12)</f>
        <v>0</v>
      </c>
      <c r="T336" s="26"/>
      <c r="U336" s="22"/>
    </row>
    <row r="337" spans="2:21" ht="13.5" customHeight="1" thickBot="1" x14ac:dyDescent="0.25">
      <c r="B337" s="16"/>
      <c r="C337" s="243" t="s">
        <v>27</v>
      </c>
      <c r="D337" s="243"/>
      <c r="E337" s="243"/>
      <c r="F337" s="244"/>
      <c r="G337" s="1"/>
      <c r="K337" s="24"/>
      <c r="L337" s="3"/>
      <c r="M337" s="3" t="s">
        <v>28</v>
      </c>
      <c r="N337" s="3" t="s">
        <v>10</v>
      </c>
      <c r="O337" s="3" t="s">
        <v>20</v>
      </c>
      <c r="P337" s="3" t="s">
        <v>12</v>
      </c>
      <c r="Q337" s="3" t="s">
        <v>13</v>
      </c>
      <c r="R337" s="3" t="s">
        <v>14</v>
      </c>
      <c r="S337" s="3" t="s">
        <v>15</v>
      </c>
      <c r="T337" s="3"/>
      <c r="U337" s="65"/>
    </row>
    <row r="338" spans="2:21" ht="13.5" customHeight="1" thickBot="1" x14ac:dyDescent="0.25">
      <c r="B338" s="16"/>
      <c r="C338" s="245"/>
      <c r="D338" s="245"/>
      <c r="E338" s="245"/>
      <c r="F338" s="245"/>
      <c r="G338" s="2" t="s">
        <v>30</v>
      </c>
      <c r="H338" s="66" t="s">
        <v>31</v>
      </c>
      <c r="I338" s="2" t="s">
        <v>32</v>
      </c>
      <c r="K338" s="63"/>
      <c r="L338" s="26" t="s">
        <v>12</v>
      </c>
      <c r="M338" s="26" t="e">
        <f>(O338+Q338)*S338</f>
        <v>#N/A</v>
      </c>
      <c r="N338" s="26"/>
      <c r="O338" s="26">
        <f>IF(G336=0,$E$7*0.06,G336*0.06)</f>
        <v>0</v>
      </c>
      <c r="P338" s="26"/>
      <c r="Q338" s="26" t="e">
        <f>INDEX(VbSpeedConstA_Int,MATCH(1,INDEX((H341=VbSpeedConstA_Type)*(G343=VbSpeedConstA_Rc),,),0))+INDEX(VbSpeedConstA_Slope,MATCH(1,INDEX((H341=VbSpeedConstA_Type)*(G343=VbSpeedConstA_Rc),,),0))*IF(F334&lt;80,80,F334)</f>
        <v>#N/A</v>
      </c>
      <c r="R338" s="26"/>
      <c r="S338" s="26">
        <f>MAX(0,(H340-IFERROR(INDEX(VbModuleLength_Length,MATCH(H339,VbModuleLength_Module,0)),))/12)</f>
        <v>0</v>
      </c>
      <c r="T338" s="26"/>
      <c r="U338" s="22"/>
    </row>
    <row r="339" spans="2:21" ht="13.5" customHeight="1" thickBot="1" x14ac:dyDescent="0.25">
      <c r="B339" s="16"/>
      <c r="C339" s="243" t="s">
        <v>34</v>
      </c>
      <c r="D339" s="243"/>
      <c r="E339" s="243"/>
      <c r="F339" s="244"/>
      <c r="G339" s="1"/>
      <c r="H339" s="1"/>
      <c r="I339" s="1"/>
      <c r="K339" s="24"/>
      <c r="L339" s="3"/>
      <c r="M339" s="3" t="s">
        <v>35</v>
      </c>
      <c r="N339" s="3" t="s">
        <v>10</v>
      </c>
      <c r="O339" s="3" t="s">
        <v>20</v>
      </c>
      <c r="P339" s="3" t="s">
        <v>12</v>
      </c>
      <c r="Q339" s="3" t="s">
        <v>13</v>
      </c>
      <c r="R339" s="3" t="s">
        <v>14</v>
      </c>
      <c r="S339" s="3" t="s">
        <v>15</v>
      </c>
      <c r="T339" s="3"/>
      <c r="U339" s="65"/>
    </row>
    <row r="340" spans="2:21" ht="13.5" customHeight="1" thickBot="1" x14ac:dyDescent="0.25">
      <c r="B340" s="16"/>
      <c r="C340" s="243" t="s">
        <v>38</v>
      </c>
      <c r="D340" s="243"/>
      <c r="E340" s="243"/>
      <c r="F340" s="244"/>
      <c r="G340" s="1"/>
      <c r="H340" s="1"/>
      <c r="I340" s="1"/>
      <c r="K340" s="25"/>
      <c r="L340" s="20" t="s">
        <v>12</v>
      </c>
      <c r="M340" s="20" t="e">
        <f>(O340+Q340)*S340</f>
        <v>#N/A</v>
      </c>
      <c r="N340" s="20"/>
      <c r="O340" s="20">
        <f>IF(G336=0,$E$7*0.06,G336*0.06)</f>
        <v>0</v>
      </c>
      <c r="P340" s="20"/>
      <c r="Q340" s="20" t="e">
        <f>INDEX(VbSpeedConstA_Int,MATCH(1,INDEX((I341=VbSpeedConstA_Type)*(G343=VbSpeedConstA_Rc),,),0))+INDEX(VbSpeedConstA_Slope,MATCH(1,INDEX((I341=VbSpeedConstA_Type)*(G343=VbSpeedConstA_Rc),,),0))*IF(F334&lt;80,80,F334)</f>
        <v>#N/A</v>
      </c>
      <c r="R340" s="20"/>
      <c r="S340" s="20">
        <f>MAX(0,(I340-IFERROR(INDEX(VbModuleLength_Length,MATCH(I339,VbModuleLength_Module,0)),))/12)</f>
        <v>0</v>
      </c>
      <c r="T340" s="20"/>
      <c r="U340" s="41"/>
    </row>
    <row r="341" spans="2:21" ht="13.5" customHeight="1" thickBot="1" x14ac:dyDescent="0.25">
      <c r="B341" s="16"/>
      <c r="C341" s="243" t="s">
        <v>40</v>
      </c>
      <c r="D341" s="243"/>
      <c r="E341" s="243"/>
      <c r="F341" s="244"/>
      <c r="G341" s="1"/>
      <c r="H341" s="1"/>
      <c r="I341" s="1"/>
      <c r="K341" s="67" t="s">
        <v>41</v>
      </c>
      <c r="L341" s="9" t="s">
        <v>10</v>
      </c>
      <c r="M341" s="9" t="s">
        <v>42</v>
      </c>
      <c r="N341" s="9" t="s">
        <v>12</v>
      </c>
      <c r="O341" s="9" t="s">
        <v>13</v>
      </c>
      <c r="P341" s="9" t="s">
        <v>14</v>
      </c>
      <c r="Q341" s="9" t="s">
        <v>43</v>
      </c>
      <c r="R341" s="9" t="s">
        <v>14</v>
      </c>
      <c r="S341" s="3" t="s">
        <v>44</v>
      </c>
      <c r="T341" s="3"/>
      <c r="U341" s="65"/>
    </row>
    <row r="342" spans="2:21" ht="13.5" customHeight="1" thickBot="1" x14ac:dyDescent="0.25">
      <c r="B342" s="16"/>
      <c r="C342" s="245"/>
      <c r="D342" s="245"/>
      <c r="E342" s="245"/>
      <c r="F342" s="245"/>
      <c r="K342" s="25" t="e">
        <f>(M342+O342)*Q342*S342</f>
        <v>#N/A</v>
      </c>
      <c r="L342" s="20"/>
      <c r="M342" s="20">
        <f>IF(G336=0,$E$7*0.133,G336*0.133)</f>
        <v>0</v>
      </c>
      <c r="N342" s="20"/>
      <c r="O342" s="20" t="e">
        <f>O334</f>
        <v>#N/A</v>
      </c>
      <c r="P342" s="20"/>
      <c r="Q342" s="20">
        <f>IFERROR(INDEX(VbWidthFactor_Constant,MATCH(E334,VbWidthFactor_NW)),0)</f>
        <v>0</v>
      </c>
      <c r="R342" s="20"/>
      <c r="S342" s="26">
        <f>IFERROR(INDEX(VbFigureConst_Const,MATCH(D334,VbFigureConst_Figure,0)),)</f>
        <v>0</v>
      </c>
      <c r="T342" s="26"/>
      <c r="U342" s="22"/>
    </row>
    <row r="343" spans="2:21" ht="13.5" customHeight="1" thickBot="1" x14ac:dyDescent="0.25">
      <c r="B343" s="16"/>
      <c r="C343" s="243" t="s">
        <v>47</v>
      </c>
      <c r="D343" s="243"/>
      <c r="E343" s="243"/>
      <c r="F343" s="244"/>
      <c r="G343" s="1"/>
      <c r="K343" s="67" t="s">
        <v>48</v>
      </c>
      <c r="L343" s="9" t="s">
        <v>10</v>
      </c>
      <c r="M343" s="9" t="s">
        <v>49</v>
      </c>
      <c r="N343" s="9" t="s">
        <v>14</v>
      </c>
      <c r="O343" s="19">
        <v>5</v>
      </c>
      <c r="P343" s="21"/>
      <c r="Q343" s="21"/>
      <c r="R343" s="21"/>
      <c r="S343" s="265" t="s">
        <v>50</v>
      </c>
      <c r="T343" s="266"/>
      <c r="U343" s="68" t="s">
        <v>51</v>
      </c>
    </row>
    <row r="344" spans="2:21" ht="13.5" customHeight="1" x14ac:dyDescent="0.2">
      <c r="B344" s="16"/>
      <c r="C344" s="245"/>
      <c r="D344" s="245"/>
      <c r="E344" s="245"/>
      <c r="F344" s="245"/>
      <c r="K344" s="25">
        <f>M344*O344</f>
        <v>0</v>
      </c>
      <c r="L344" s="20"/>
      <c r="M344" s="8">
        <f>COUNTA(G339:I339)</f>
        <v>0</v>
      </c>
      <c r="N344" s="20"/>
      <c r="O344" s="20">
        <v>5</v>
      </c>
      <c r="P344" s="20"/>
      <c r="Q344" s="20"/>
      <c r="R344" s="20"/>
      <c r="S344" s="267" t="str">
        <f>IF(ISBLANK(D334),"NEED FIGURE",IF(AND(ISBLANK(E334),INDEX(VbSpeedConstB_Type,MATCH(D334,VbSpeedConstB_Figure))="curve"),"NEED WIDTH",IF(AND("curve"&lt;&gt;INDEX(VbSpeedConstB_Type,MATCH(D334,VbSpeedConstB_Figure)),ISBLANK(G337)),"NEED OVERALL LENGTH","")))</f>
        <v>NEED FIGURE</v>
      </c>
      <c r="T344" s="268"/>
      <c r="U344" s="69" t="s">
        <v>53</v>
      </c>
    </row>
    <row r="345" spans="2:21" ht="13.5" customHeight="1" thickBot="1" x14ac:dyDescent="0.25">
      <c r="B345" s="16"/>
      <c r="C345" s="240"/>
      <c r="D345" s="240"/>
      <c r="E345" s="240"/>
      <c r="F345" s="240"/>
      <c r="G345" s="2" t="s">
        <v>56</v>
      </c>
      <c r="H345" s="2" t="s">
        <v>57</v>
      </c>
      <c r="K345" s="67" t="s">
        <v>58</v>
      </c>
      <c r="L345" s="9" t="s">
        <v>10</v>
      </c>
      <c r="M345" s="9" t="s">
        <v>59</v>
      </c>
      <c r="N345" s="9" t="s">
        <v>12</v>
      </c>
      <c r="O345" s="9" t="s">
        <v>60</v>
      </c>
      <c r="P345" s="9" t="s">
        <v>14</v>
      </c>
      <c r="Q345" s="9" t="s">
        <v>61</v>
      </c>
      <c r="R345" s="9"/>
      <c r="S345" s="276" t="str">
        <f>IF(ISBLANK(F334),"NEED SPEED",IF(AND(ISBLANK($E$7),ISBLANK(G336)),"NEED LIVE LOAD",""))</f>
        <v>NEED SPEED</v>
      </c>
      <c r="T345" s="277"/>
      <c r="U345" s="70" t="str">
        <f>IFERROR(IF(COUNTIF(G339:I339,"C43")=1,INDEX(VbDriveAb_Speed,MATCH(1,INDEX((F334&lt;=VbDriveAb_Speed)*(K350&lt;=VbDriveAb_Hp)*(K346&lt;=VbDriveAb_Ebp),,),0))&amp;" FPM",IF(SUM(COUNTIF(G339:I339,{"C42","C55","C56"}))=1,INDEX(VbDriveC_Speed,MATCH(1,INDEX((F334&lt;=VbDriveC_Speed)*(K350&lt;=VbDriveC_Hp)*(K346&lt;=VbDriveC_Ebp),,),0))&amp;" FPM","")),"")</f>
        <v/>
      </c>
    </row>
    <row r="346" spans="2:21" ht="13.5" customHeight="1" thickBot="1" x14ac:dyDescent="0.25">
      <c r="B346" s="16"/>
      <c r="C346" s="241" t="s">
        <v>64</v>
      </c>
      <c r="D346" s="241"/>
      <c r="E346" s="241"/>
      <c r="F346" s="242"/>
      <c r="G346" s="1"/>
      <c r="H346" s="1"/>
      <c r="K346" s="25" t="e">
        <f>(M346+O346)*Q346</f>
        <v>#N/A</v>
      </c>
      <c r="L346" s="20"/>
      <c r="M346" s="20" t="e">
        <f>K334+K342+K344</f>
        <v>#N/A</v>
      </c>
      <c r="N346" s="20"/>
      <c r="O346" s="20">
        <f>G348</f>
        <v>0</v>
      </c>
      <c r="P346" s="20"/>
      <c r="Q346" s="20">
        <v>1.25</v>
      </c>
      <c r="R346" s="20"/>
      <c r="S346" s="276" t="str">
        <f>IF(OR(ISBLANK(G339),ISBLANK(H339)),"NEED MODULE(S)",IF(OR(ISBLANK(G341),ISBLANK(H341)),"NEED STRAIGHT/SKEW",""))</f>
        <v>NEED MODULE(S)</v>
      </c>
      <c r="T346" s="277"/>
      <c r="U346" s="71" t="str">
        <f>IFERROR(IF(COUNTIF(G339:I339,"C43")=1,INDEX(VbDriveAb_Hp,MATCH(1,INDEX((F334&lt;=VbDriveAb_Speed)*(K350&lt;=VbDriveAb_Hp)*(K346&lt;=VbDriveAb_Ebp),,),0))&amp;" HP",IF(SUM(COUNTIF(G339:I339,{"C42","C55","C56"}))=1,INDEX(VbDriveC_Hp,MATCH(1,INDEX((F334&lt;=VbDriveC_Speed)*(K350&lt;=VbDriveC_Hp)*(K346&lt;=VbDriveC_Ebp),,),0))&amp;" HP","")),"")</f>
        <v/>
      </c>
    </row>
    <row r="347" spans="2:21" ht="13.5" customHeight="1" thickBot="1" x14ac:dyDescent="0.25">
      <c r="B347" s="16"/>
      <c r="C347" s="240"/>
      <c r="D347" s="240"/>
      <c r="E347" s="240"/>
      <c r="F347" s="240"/>
      <c r="K347" s="67" t="s">
        <v>67</v>
      </c>
      <c r="L347" s="9" t="s">
        <v>10</v>
      </c>
      <c r="M347" s="9" t="s">
        <v>58</v>
      </c>
      <c r="N347" s="9" t="s">
        <v>14</v>
      </c>
      <c r="O347" s="9" t="s">
        <v>68</v>
      </c>
      <c r="P347" s="9"/>
      <c r="Q347" s="9"/>
      <c r="R347" s="9"/>
      <c r="S347" s="276" t="str">
        <f>IF(ISBLANK(G343),"NEED ROLLER CENTERS","")</f>
        <v>NEED ROLLER CENTERS</v>
      </c>
      <c r="T347" s="277"/>
      <c r="U347" s="72" t="s">
        <v>69</v>
      </c>
    </row>
    <row r="348" spans="2:21" ht="13.5" customHeight="1" thickBot="1" x14ac:dyDescent="0.25">
      <c r="B348" s="16"/>
      <c r="C348" s="243" t="s">
        <v>71</v>
      </c>
      <c r="D348" s="243"/>
      <c r="E348" s="243"/>
      <c r="F348" s="243"/>
      <c r="G348" s="1"/>
      <c r="K348" s="25" t="e">
        <f>M348*O348</f>
        <v>#N/A</v>
      </c>
      <c r="L348" s="20"/>
      <c r="M348" s="20" t="e">
        <f>K346</f>
        <v>#N/A</v>
      </c>
      <c r="N348" s="20"/>
      <c r="O348" s="20">
        <f>IF(AND(ISNUMBER(G346),ISNUMBER(H346)),H346/G346,0)</f>
        <v>0</v>
      </c>
      <c r="P348" s="20"/>
      <c r="Q348" s="20"/>
      <c r="R348" s="20"/>
      <c r="S348" s="284"/>
      <c r="T348" s="285"/>
      <c r="U348" s="74" t="str">
        <f>IFERROR(IF(K348&gt;0,K348,""),"")</f>
        <v/>
      </c>
    </row>
    <row r="349" spans="2:21" ht="13.5" customHeight="1" thickBot="1" x14ac:dyDescent="0.25">
      <c r="B349" s="16"/>
      <c r="C349" s="240"/>
      <c r="D349" s="240"/>
      <c r="E349" s="240"/>
      <c r="F349" s="240"/>
      <c r="K349" s="24" t="s">
        <v>74</v>
      </c>
      <c r="L349" s="3" t="s">
        <v>10</v>
      </c>
      <c r="M349" s="3" t="s">
        <v>58</v>
      </c>
      <c r="N349" s="3" t="s">
        <v>14</v>
      </c>
      <c r="O349" s="3" t="s">
        <v>8</v>
      </c>
      <c r="P349" s="3" t="s">
        <v>75</v>
      </c>
      <c r="Q349" s="3" t="s">
        <v>76</v>
      </c>
      <c r="S349" s="276" t="str">
        <f>IFERROR(IF(K350&gt;MAX(VbDriveAb_Hp,VbDriveC_Hp),"EXCEEDS MAX HP",""),"")</f>
        <v/>
      </c>
      <c r="T349" s="277"/>
      <c r="U349" s="278" t="str">
        <f>IF(NOT(OR(SUM(COUNTIF(G339:I339,{"C42","C43","C51","C55","C56"}))&gt;0,COUNTBLANK(G346:H346)&lt;1)),"NEED DRIVE MODULE OR SLAVE RATIO",IF(AND(SUM(COUNTIF(G339:I339,{"C42","C43","C51","C55","C56"}))&gt;0,COUNTBLANK(G346:H346)&lt;1),"CAN'T BE SLAVE AND HAVE DRIVE",""))</f>
        <v>NEED DRIVE MODULE OR SLAVE RATIO</v>
      </c>
    </row>
    <row r="350" spans="2:21" ht="13.5" customHeight="1" thickBot="1" x14ac:dyDescent="0.25">
      <c r="B350" s="286" t="s">
        <v>78</v>
      </c>
      <c r="C350" s="287"/>
      <c r="D350" s="262"/>
      <c r="E350" s="263"/>
      <c r="F350" s="263"/>
      <c r="G350" s="263"/>
      <c r="H350" s="263"/>
      <c r="I350" s="263"/>
      <c r="J350" s="264"/>
      <c r="K350" s="73" t="e">
        <f>M350*O350/Q350</f>
        <v>#N/A</v>
      </c>
      <c r="L350" s="27"/>
      <c r="M350" s="27" t="e">
        <f>K346</f>
        <v>#N/A</v>
      </c>
      <c r="N350" s="27"/>
      <c r="O350" s="27">
        <f>F334</f>
        <v>0</v>
      </c>
      <c r="P350" s="27"/>
      <c r="Q350" s="27">
        <v>31350</v>
      </c>
      <c r="R350" s="27"/>
      <c r="S350" s="274" t="str">
        <f>IFERROR(IF(K346&gt;125,"EXCEEDS BELT STRENGTH",""),"")</f>
        <v/>
      </c>
      <c r="T350" s="275"/>
      <c r="U350" s="279"/>
    </row>
    <row r="351" spans="2:21" ht="13.5" customHeight="1" thickBot="1" x14ac:dyDescent="0.25"/>
    <row r="352" spans="2:21" ht="13.5" customHeight="1" thickBot="1" x14ac:dyDescent="0.25">
      <c r="B352" s="39"/>
      <c r="C352" s="28" t="s">
        <v>5</v>
      </c>
      <c r="D352" s="28" t="s">
        <v>6</v>
      </c>
      <c r="E352" s="28" t="s">
        <v>7</v>
      </c>
      <c r="F352" s="28" t="s">
        <v>8</v>
      </c>
      <c r="G352" s="28"/>
      <c r="H352" s="28"/>
      <c r="I352" s="28"/>
      <c r="J352" s="28"/>
      <c r="K352" s="23" t="s">
        <v>9</v>
      </c>
      <c r="L352" s="4" t="s">
        <v>10</v>
      </c>
      <c r="M352" s="4" t="s">
        <v>11</v>
      </c>
      <c r="N352" s="4" t="s">
        <v>12</v>
      </c>
      <c r="O352" s="4" t="s">
        <v>13</v>
      </c>
      <c r="P352" s="4" t="s">
        <v>14</v>
      </c>
      <c r="Q352" s="4" t="s">
        <v>15</v>
      </c>
      <c r="R352" s="4"/>
      <c r="S352" s="4"/>
      <c r="T352" s="4"/>
      <c r="U352" s="5"/>
    </row>
    <row r="353" spans="2:21" ht="13.5" customHeight="1" thickBot="1" x14ac:dyDescent="0.25">
      <c r="B353" s="16"/>
      <c r="C353" s="272"/>
      <c r="D353" s="206"/>
      <c r="E353" s="1"/>
      <c r="F353" s="1"/>
      <c r="K353" s="63" t="e">
        <f>(M353+O353)*Q353+M355+M357+IFERROR(M359,0)</f>
        <v>#N/A</v>
      </c>
      <c r="L353" s="26"/>
      <c r="M353" s="26">
        <f>IF(G355=0,$E$7*0.06,G355*0.06)</f>
        <v>0</v>
      </c>
      <c r="N353" s="26"/>
      <c r="O353" s="26" t="e">
        <f>INDEX(VbSpeedConstA_Int,MATCH(1,INDEX((INDEX(VbSpeedConstB_Type,MATCH(D353,VbSpeedConstB_Figure))=VbSpeedConstA_Type)*(G362=VbSpeedConstA_Rc),,),0))+INDEX(VbSpeedConstA_Slope,MATCH(1,INDEX((INDEX(VbSpeedConstB_Type,MATCH(D353,VbSpeedConstB_Figure))=VbSpeedConstA_Type)*(G362=VbSpeedConstA_Rc),,),0))*IF(F353&lt;80,80,F353)</f>
        <v>#N/A</v>
      </c>
      <c r="P353" s="26"/>
      <c r="Q353" s="26" t="e">
        <f>IF("curve"&lt;&gt;INDEX(VbSpeedConstB_Type,MATCH(D353,VbSpeedConstB_Figure)),G356-IFERROR(INDEX(VbModuleLength_Length,MATCH(G358,VbModuleLength_Module,0)),)-IFERROR(INDEX(VbModuleLength_Length,MATCH(H358,VbModuleLength_Module,0)),),0)/12</f>
        <v>#N/A</v>
      </c>
      <c r="R353" s="26"/>
      <c r="S353" s="26"/>
      <c r="T353" s="26"/>
      <c r="U353" s="22"/>
    </row>
    <row r="354" spans="2:21" ht="13.5" customHeight="1" thickBot="1" x14ac:dyDescent="0.25">
      <c r="B354" s="16"/>
      <c r="C354" s="273"/>
      <c r="D354" s="205"/>
      <c r="E354" s="205"/>
      <c r="F354" s="205"/>
      <c r="K354" s="24"/>
      <c r="L354" s="64" t="s">
        <v>18</v>
      </c>
      <c r="M354" s="3" t="s">
        <v>19</v>
      </c>
      <c r="N354" s="3" t="s">
        <v>10</v>
      </c>
      <c r="O354" s="3" t="s">
        <v>20</v>
      </c>
      <c r="P354" s="3" t="s">
        <v>12</v>
      </c>
      <c r="Q354" s="3" t="s">
        <v>13</v>
      </c>
      <c r="R354" s="3" t="s">
        <v>14</v>
      </c>
      <c r="S354" s="3" t="s">
        <v>15</v>
      </c>
      <c r="T354" s="3"/>
      <c r="U354" s="65"/>
    </row>
    <row r="355" spans="2:21" ht="13.5" customHeight="1" thickBot="1" x14ac:dyDescent="0.25">
      <c r="B355" s="16"/>
      <c r="C355" s="243" t="s">
        <v>24</v>
      </c>
      <c r="D355" s="243"/>
      <c r="E355" s="243"/>
      <c r="F355" s="244"/>
      <c r="G355" s="1"/>
      <c r="K355" s="63"/>
      <c r="L355" s="26" t="s">
        <v>12</v>
      </c>
      <c r="M355" s="26" t="e">
        <f>(O355+Q355)*S355</f>
        <v>#N/A</v>
      </c>
      <c r="N355" s="26"/>
      <c r="O355" s="26">
        <f>IF(G355=0,$E$7*0.06,G355*0.06)</f>
        <v>0</v>
      </c>
      <c r="P355" s="26"/>
      <c r="Q355" s="26" t="e">
        <f>INDEX(VbSpeedConstA_Int,MATCH(1,INDEX((G360=VbSpeedConstA_Type)*(G362=VbSpeedConstA_Rc),,),0))+INDEX(VbSpeedConstA_Slope,MATCH(1,INDEX((G360=VbSpeedConstA_Type)*(G362=VbSpeedConstA_Rc),,),0))*IF(F353&lt;80,80,F353)</f>
        <v>#N/A</v>
      </c>
      <c r="R355" s="26"/>
      <c r="S355" s="26">
        <f>MAX(0,(G359-IFERROR(INDEX(VbModuleLength_Length,MATCH(G358,VbModuleLength_Module,0)),))/12)</f>
        <v>0</v>
      </c>
      <c r="T355" s="26"/>
      <c r="U355" s="22"/>
    </row>
    <row r="356" spans="2:21" ht="13.5" customHeight="1" thickBot="1" x14ac:dyDescent="0.25">
      <c r="B356" s="16"/>
      <c r="C356" s="243" t="s">
        <v>27</v>
      </c>
      <c r="D356" s="243"/>
      <c r="E356" s="243"/>
      <c r="F356" s="244"/>
      <c r="G356" s="1"/>
      <c r="K356" s="24"/>
      <c r="L356" s="3"/>
      <c r="M356" s="3" t="s">
        <v>28</v>
      </c>
      <c r="N356" s="3" t="s">
        <v>10</v>
      </c>
      <c r="O356" s="3" t="s">
        <v>20</v>
      </c>
      <c r="P356" s="3" t="s">
        <v>12</v>
      </c>
      <c r="Q356" s="3" t="s">
        <v>13</v>
      </c>
      <c r="R356" s="3" t="s">
        <v>14</v>
      </c>
      <c r="S356" s="3" t="s">
        <v>15</v>
      </c>
      <c r="T356" s="3"/>
      <c r="U356" s="65"/>
    </row>
    <row r="357" spans="2:21" ht="13.5" customHeight="1" thickBot="1" x14ac:dyDescent="0.25">
      <c r="B357" s="16"/>
      <c r="C357" s="245"/>
      <c r="D357" s="245"/>
      <c r="E357" s="245"/>
      <c r="F357" s="245"/>
      <c r="G357" s="2" t="s">
        <v>30</v>
      </c>
      <c r="H357" s="66" t="s">
        <v>31</v>
      </c>
      <c r="I357" s="2" t="s">
        <v>32</v>
      </c>
      <c r="K357" s="63"/>
      <c r="L357" s="26" t="s">
        <v>12</v>
      </c>
      <c r="M357" s="26" t="e">
        <f>(O357+Q357)*S357</f>
        <v>#N/A</v>
      </c>
      <c r="N357" s="26"/>
      <c r="O357" s="26">
        <f>IF(G355=0,$E$7*0.06,G355*0.06)</f>
        <v>0</v>
      </c>
      <c r="P357" s="26"/>
      <c r="Q357" s="26" t="e">
        <f>INDEX(VbSpeedConstA_Int,MATCH(1,INDEX((H360=VbSpeedConstA_Type)*(G362=VbSpeedConstA_Rc),,),0))+INDEX(VbSpeedConstA_Slope,MATCH(1,INDEX((H360=VbSpeedConstA_Type)*(G362=VbSpeedConstA_Rc),,),0))*IF(F353&lt;80,80,F353)</f>
        <v>#N/A</v>
      </c>
      <c r="R357" s="26"/>
      <c r="S357" s="26">
        <f>MAX(0,(H359-IFERROR(INDEX(VbModuleLength_Length,MATCH(H358,VbModuleLength_Module,0)),))/12)</f>
        <v>0</v>
      </c>
      <c r="T357" s="26"/>
      <c r="U357" s="22"/>
    </row>
    <row r="358" spans="2:21" ht="13.5" customHeight="1" thickBot="1" x14ac:dyDescent="0.25">
      <c r="B358" s="16"/>
      <c r="C358" s="243" t="s">
        <v>34</v>
      </c>
      <c r="D358" s="243"/>
      <c r="E358" s="243"/>
      <c r="F358" s="244"/>
      <c r="G358" s="1"/>
      <c r="H358" s="1"/>
      <c r="I358" s="1"/>
      <c r="K358" s="24"/>
      <c r="L358" s="3"/>
      <c r="M358" s="3" t="s">
        <v>35</v>
      </c>
      <c r="N358" s="3" t="s">
        <v>10</v>
      </c>
      <c r="O358" s="3" t="s">
        <v>20</v>
      </c>
      <c r="P358" s="3" t="s">
        <v>12</v>
      </c>
      <c r="Q358" s="3" t="s">
        <v>13</v>
      </c>
      <c r="R358" s="3" t="s">
        <v>14</v>
      </c>
      <c r="S358" s="3" t="s">
        <v>15</v>
      </c>
      <c r="T358" s="3"/>
      <c r="U358" s="65"/>
    </row>
    <row r="359" spans="2:21" ht="13.5" customHeight="1" thickBot="1" x14ac:dyDescent="0.25">
      <c r="B359" s="16"/>
      <c r="C359" s="243" t="s">
        <v>38</v>
      </c>
      <c r="D359" s="243"/>
      <c r="E359" s="243"/>
      <c r="F359" s="244"/>
      <c r="G359" s="1"/>
      <c r="H359" s="1"/>
      <c r="I359" s="1"/>
      <c r="K359" s="25"/>
      <c r="L359" s="20" t="s">
        <v>12</v>
      </c>
      <c r="M359" s="20" t="e">
        <f>(O359+Q359)*S359</f>
        <v>#N/A</v>
      </c>
      <c r="N359" s="20"/>
      <c r="O359" s="20">
        <f>IF(G355=0,$E$7*0.06,G355*0.06)</f>
        <v>0</v>
      </c>
      <c r="P359" s="20"/>
      <c r="Q359" s="20" t="e">
        <f>INDEX(VbSpeedConstA_Int,MATCH(1,INDEX((I360=VbSpeedConstA_Type)*(G362=VbSpeedConstA_Rc),,),0))+INDEX(VbSpeedConstA_Slope,MATCH(1,INDEX((I360=VbSpeedConstA_Type)*(G362=VbSpeedConstA_Rc),,),0))*IF(F353&lt;80,80,F353)</f>
        <v>#N/A</v>
      </c>
      <c r="R359" s="20"/>
      <c r="S359" s="20">
        <f>MAX(0,(I359-IFERROR(INDEX(VbModuleLength_Length,MATCH(I358,VbModuleLength_Module,0)),))/12)</f>
        <v>0</v>
      </c>
      <c r="T359" s="20"/>
      <c r="U359" s="41"/>
    </row>
    <row r="360" spans="2:21" ht="13.5" customHeight="1" thickBot="1" x14ac:dyDescent="0.25">
      <c r="B360" s="16"/>
      <c r="C360" s="243" t="s">
        <v>40</v>
      </c>
      <c r="D360" s="243"/>
      <c r="E360" s="243"/>
      <c r="F360" s="244"/>
      <c r="G360" s="1"/>
      <c r="H360" s="1"/>
      <c r="I360" s="1"/>
      <c r="K360" s="67" t="s">
        <v>41</v>
      </c>
      <c r="L360" s="9" t="s">
        <v>10</v>
      </c>
      <c r="M360" s="9" t="s">
        <v>42</v>
      </c>
      <c r="N360" s="9" t="s">
        <v>12</v>
      </c>
      <c r="O360" s="9" t="s">
        <v>13</v>
      </c>
      <c r="P360" s="9" t="s">
        <v>14</v>
      </c>
      <c r="Q360" s="9" t="s">
        <v>43</v>
      </c>
      <c r="R360" s="9" t="s">
        <v>14</v>
      </c>
      <c r="S360" s="3" t="s">
        <v>44</v>
      </c>
      <c r="T360" s="3"/>
      <c r="U360" s="65"/>
    </row>
    <row r="361" spans="2:21" ht="13.5" customHeight="1" thickBot="1" x14ac:dyDescent="0.25">
      <c r="B361" s="16"/>
      <c r="C361" s="245"/>
      <c r="D361" s="245"/>
      <c r="E361" s="245"/>
      <c r="F361" s="245"/>
      <c r="K361" s="25" t="e">
        <f>(M361+O361)*Q361*S361</f>
        <v>#N/A</v>
      </c>
      <c r="L361" s="20"/>
      <c r="M361" s="20">
        <f>IF(G355=0,$E$7*0.133,G355*0.133)</f>
        <v>0</v>
      </c>
      <c r="N361" s="20"/>
      <c r="O361" s="20" t="e">
        <f>O353</f>
        <v>#N/A</v>
      </c>
      <c r="P361" s="20"/>
      <c r="Q361" s="20">
        <f>IFERROR(INDEX(VbWidthFactor_Constant,MATCH(E353,VbWidthFactor_NW)),0)</f>
        <v>0</v>
      </c>
      <c r="R361" s="20"/>
      <c r="S361" s="26">
        <f>IFERROR(INDEX(VbFigureConst_Const,MATCH(D353,VbFigureConst_Figure,0)),)</f>
        <v>0</v>
      </c>
      <c r="T361" s="26"/>
      <c r="U361" s="22"/>
    </row>
    <row r="362" spans="2:21" ht="13.5" customHeight="1" thickBot="1" x14ac:dyDescent="0.25">
      <c r="B362" s="16"/>
      <c r="C362" s="243" t="s">
        <v>47</v>
      </c>
      <c r="D362" s="243"/>
      <c r="E362" s="243"/>
      <c r="F362" s="244"/>
      <c r="G362" s="1"/>
      <c r="K362" s="67" t="s">
        <v>48</v>
      </c>
      <c r="L362" s="9" t="s">
        <v>10</v>
      </c>
      <c r="M362" s="9" t="s">
        <v>49</v>
      </c>
      <c r="N362" s="9" t="s">
        <v>14</v>
      </c>
      <c r="O362" s="19">
        <v>5</v>
      </c>
      <c r="P362" s="21"/>
      <c r="Q362" s="21"/>
      <c r="R362" s="21"/>
      <c r="S362" s="265" t="s">
        <v>50</v>
      </c>
      <c r="T362" s="266"/>
      <c r="U362" s="68" t="s">
        <v>51</v>
      </c>
    </row>
    <row r="363" spans="2:21" ht="13.5" customHeight="1" x14ac:dyDescent="0.2">
      <c r="B363" s="16"/>
      <c r="C363" s="245"/>
      <c r="D363" s="245"/>
      <c r="E363" s="245"/>
      <c r="F363" s="245"/>
      <c r="K363" s="25">
        <f>M363*O363</f>
        <v>0</v>
      </c>
      <c r="L363" s="20"/>
      <c r="M363" s="8">
        <f>COUNTA(G358:I358)</f>
        <v>0</v>
      </c>
      <c r="N363" s="20"/>
      <c r="O363" s="20">
        <v>5</v>
      </c>
      <c r="P363" s="20"/>
      <c r="Q363" s="20"/>
      <c r="R363" s="20"/>
      <c r="S363" s="267" t="str">
        <f>IF(ISBLANK(D353),"NEED FIGURE",IF(AND(ISBLANK(E353),INDEX(VbSpeedConstB_Type,MATCH(D353,VbSpeedConstB_Figure))="curve"),"NEED WIDTH",IF(AND("curve"&lt;&gt;INDEX(VbSpeedConstB_Type,MATCH(D353,VbSpeedConstB_Figure)),ISBLANK(G356)),"NEED OVERALL LENGTH","")))</f>
        <v>NEED FIGURE</v>
      </c>
      <c r="T363" s="268"/>
      <c r="U363" s="69" t="s">
        <v>53</v>
      </c>
    </row>
    <row r="364" spans="2:21" ht="13.5" customHeight="1" thickBot="1" x14ac:dyDescent="0.25">
      <c r="B364" s="16"/>
      <c r="C364" s="240"/>
      <c r="D364" s="240"/>
      <c r="E364" s="240"/>
      <c r="F364" s="240"/>
      <c r="G364" s="2" t="s">
        <v>56</v>
      </c>
      <c r="H364" s="2" t="s">
        <v>57</v>
      </c>
      <c r="K364" s="67" t="s">
        <v>58</v>
      </c>
      <c r="L364" s="9" t="s">
        <v>10</v>
      </c>
      <c r="M364" s="9" t="s">
        <v>59</v>
      </c>
      <c r="N364" s="9" t="s">
        <v>12</v>
      </c>
      <c r="O364" s="9" t="s">
        <v>60</v>
      </c>
      <c r="P364" s="9" t="s">
        <v>14</v>
      </c>
      <c r="Q364" s="9" t="s">
        <v>61</v>
      </c>
      <c r="R364" s="9"/>
      <c r="S364" s="276" t="str">
        <f>IF(ISBLANK(F353),"NEED SPEED",IF(AND(ISBLANK($E$7),ISBLANK(G355)),"NEED LIVE LOAD",""))</f>
        <v>NEED SPEED</v>
      </c>
      <c r="T364" s="277"/>
      <c r="U364" s="70" t="str">
        <f>IFERROR(IF(COUNTIF(G358:I358,"C43")=1,INDEX(VbDriveAb_Speed,MATCH(1,INDEX((F353&lt;=VbDriveAb_Speed)*(K369&lt;=VbDriveAb_Hp)*(K365&lt;=VbDriveAb_Ebp),,),0))&amp;" FPM",IF(SUM(COUNTIF(G358:I358,{"C42","C55","C56"}))=1,INDEX(VbDriveC_Speed,MATCH(1,INDEX((F353&lt;=VbDriveC_Speed)*(K369&lt;=VbDriveC_Hp)*(K365&lt;=VbDriveC_Ebp),,),0))&amp;" FPM","")),"")</f>
        <v/>
      </c>
    </row>
    <row r="365" spans="2:21" ht="13.5" customHeight="1" thickBot="1" x14ac:dyDescent="0.25">
      <c r="B365" s="16"/>
      <c r="C365" s="241" t="s">
        <v>64</v>
      </c>
      <c r="D365" s="241"/>
      <c r="E365" s="241"/>
      <c r="F365" s="242"/>
      <c r="G365" s="1"/>
      <c r="H365" s="1"/>
      <c r="K365" s="25" t="e">
        <f>(M365+O365)*Q365</f>
        <v>#N/A</v>
      </c>
      <c r="L365" s="20"/>
      <c r="M365" s="20" t="e">
        <f>K353+K361+K363</f>
        <v>#N/A</v>
      </c>
      <c r="N365" s="20"/>
      <c r="O365" s="20">
        <f>G367</f>
        <v>0</v>
      </c>
      <c r="P365" s="20"/>
      <c r="Q365" s="20">
        <v>1.25</v>
      </c>
      <c r="R365" s="20"/>
      <c r="S365" s="276" t="str">
        <f>IF(OR(ISBLANK(G358),ISBLANK(H358)),"NEED MODULE(S)",IF(OR(ISBLANK(G360),ISBLANK(H360)),"NEED STRAIGHT/SKEW",""))</f>
        <v>NEED MODULE(S)</v>
      </c>
      <c r="T365" s="277"/>
      <c r="U365" s="71" t="str">
        <f>IFERROR(IF(COUNTIF(G358:I358,"C43")=1,INDEX(VbDriveAb_Hp,MATCH(1,INDEX((F353&lt;=VbDriveAb_Speed)*(K369&lt;=VbDriveAb_Hp)*(K365&lt;=VbDriveAb_Ebp),,),0))&amp;" HP",IF(SUM(COUNTIF(G358:I358,{"C42","C55","C56"}))=1,INDEX(VbDriveC_Hp,MATCH(1,INDEX((F353&lt;=VbDriveC_Speed)*(K369&lt;=VbDriveC_Hp)*(K365&lt;=VbDriveC_Ebp),,),0))&amp;" HP","")),"")</f>
        <v/>
      </c>
    </row>
    <row r="366" spans="2:21" ht="13.5" customHeight="1" thickBot="1" x14ac:dyDescent="0.25">
      <c r="B366" s="16"/>
      <c r="C366" s="240"/>
      <c r="D366" s="240"/>
      <c r="E366" s="240"/>
      <c r="F366" s="240"/>
      <c r="K366" s="67" t="s">
        <v>67</v>
      </c>
      <c r="L366" s="9" t="s">
        <v>10</v>
      </c>
      <c r="M366" s="9" t="s">
        <v>58</v>
      </c>
      <c r="N366" s="9" t="s">
        <v>14</v>
      </c>
      <c r="O366" s="9" t="s">
        <v>68</v>
      </c>
      <c r="P366" s="9"/>
      <c r="Q366" s="9"/>
      <c r="R366" s="9"/>
      <c r="S366" s="276" t="str">
        <f>IF(ISBLANK(G362),"NEED ROLLER CENTERS","")</f>
        <v>NEED ROLLER CENTERS</v>
      </c>
      <c r="T366" s="277"/>
      <c r="U366" s="72" t="s">
        <v>69</v>
      </c>
    </row>
    <row r="367" spans="2:21" ht="13.5" customHeight="1" thickBot="1" x14ac:dyDescent="0.25">
      <c r="B367" s="16"/>
      <c r="C367" s="243" t="s">
        <v>71</v>
      </c>
      <c r="D367" s="243"/>
      <c r="E367" s="243"/>
      <c r="F367" s="243"/>
      <c r="G367" s="1"/>
      <c r="K367" s="25" t="e">
        <f>M367*O367</f>
        <v>#N/A</v>
      </c>
      <c r="L367" s="20"/>
      <c r="M367" s="20" t="e">
        <f>K365</f>
        <v>#N/A</v>
      </c>
      <c r="N367" s="20"/>
      <c r="O367" s="20">
        <f>IF(AND(ISNUMBER(G365),ISNUMBER(H365)),H365/G365,0)</f>
        <v>0</v>
      </c>
      <c r="P367" s="20"/>
      <c r="Q367" s="20"/>
      <c r="R367" s="20"/>
      <c r="S367" s="284"/>
      <c r="T367" s="285"/>
      <c r="U367" s="74" t="str">
        <f>IFERROR(IF(K367&gt;0,K367,""),"")</f>
        <v/>
      </c>
    </row>
    <row r="368" spans="2:21" ht="13.5" customHeight="1" thickBot="1" x14ac:dyDescent="0.25">
      <c r="B368" s="16"/>
      <c r="C368" s="240"/>
      <c r="D368" s="240"/>
      <c r="E368" s="240"/>
      <c r="F368" s="240"/>
      <c r="K368" s="24" t="s">
        <v>74</v>
      </c>
      <c r="L368" s="3" t="s">
        <v>10</v>
      </c>
      <c r="M368" s="3" t="s">
        <v>58</v>
      </c>
      <c r="N368" s="3" t="s">
        <v>14</v>
      </c>
      <c r="O368" s="3" t="s">
        <v>8</v>
      </c>
      <c r="P368" s="3" t="s">
        <v>75</v>
      </c>
      <c r="Q368" s="3" t="s">
        <v>76</v>
      </c>
      <c r="S368" s="276" t="str">
        <f>IFERROR(IF(K369&gt;MAX(VbDriveAb_Hp,VbDriveC_Hp),"EXCEEDS MAX HP",""),"")</f>
        <v/>
      </c>
      <c r="T368" s="277"/>
      <c r="U368" s="278" t="str">
        <f>IF(NOT(OR(SUM(COUNTIF(G358:I358,{"C42","C43","C51","C55","C56"}))&gt;0,COUNTBLANK(G365:H365)&lt;1)),"NEED DRIVE MODULE OR SLAVE RATIO",IF(AND(SUM(COUNTIF(G358:I358,{"C42","C43","C51","C55","C56"}))&gt;0,COUNTBLANK(G365:H365)&lt;1),"CAN'T BE SLAVE AND HAVE DRIVE",""))</f>
        <v>NEED DRIVE MODULE OR SLAVE RATIO</v>
      </c>
    </row>
    <row r="369" spans="2:21" ht="13.5" customHeight="1" thickBot="1" x14ac:dyDescent="0.25">
      <c r="B369" s="286" t="s">
        <v>78</v>
      </c>
      <c r="C369" s="287"/>
      <c r="D369" s="262"/>
      <c r="E369" s="263"/>
      <c r="F369" s="263"/>
      <c r="G369" s="263"/>
      <c r="H369" s="263"/>
      <c r="I369" s="263"/>
      <c r="J369" s="264"/>
      <c r="K369" s="73" t="e">
        <f>M369*O369/Q369</f>
        <v>#N/A</v>
      </c>
      <c r="L369" s="27"/>
      <c r="M369" s="27" t="e">
        <f>K365</f>
        <v>#N/A</v>
      </c>
      <c r="N369" s="27"/>
      <c r="O369" s="27">
        <f>F353</f>
        <v>0</v>
      </c>
      <c r="P369" s="27"/>
      <c r="Q369" s="27">
        <v>31350</v>
      </c>
      <c r="R369" s="27"/>
      <c r="S369" s="274" t="str">
        <f>IFERROR(IF(K365&gt;125,"EXCEEDS BELT STRENGTH",""),"")</f>
        <v/>
      </c>
      <c r="T369" s="275"/>
      <c r="U369" s="279"/>
    </row>
    <row r="370" spans="2:21" ht="13.5" customHeight="1" thickBot="1" x14ac:dyDescent="0.25"/>
    <row r="371" spans="2:21" ht="13.5" customHeight="1" thickBot="1" x14ac:dyDescent="0.25">
      <c r="B371" s="39"/>
      <c r="C371" s="28" t="s">
        <v>5</v>
      </c>
      <c r="D371" s="28" t="s">
        <v>6</v>
      </c>
      <c r="E371" s="28" t="s">
        <v>7</v>
      </c>
      <c r="F371" s="28" t="s">
        <v>8</v>
      </c>
      <c r="G371" s="28"/>
      <c r="H371" s="28"/>
      <c r="I371" s="28"/>
      <c r="J371" s="28"/>
      <c r="K371" s="23" t="s">
        <v>9</v>
      </c>
      <c r="L371" s="4" t="s">
        <v>10</v>
      </c>
      <c r="M371" s="4" t="s">
        <v>11</v>
      </c>
      <c r="N371" s="4" t="s">
        <v>12</v>
      </c>
      <c r="O371" s="4" t="s">
        <v>13</v>
      </c>
      <c r="P371" s="4" t="s">
        <v>14</v>
      </c>
      <c r="Q371" s="4" t="s">
        <v>15</v>
      </c>
      <c r="R371" s="4"/>
      <c r="S371" s="4"/>
      <c r="T371" s="4"/>
      <c r="U371" s="5"/>
    </row>
    <row r="372" spans="2:21" ht="13.5" customHeight="1" thickBot="1" x14ac:dyDescent="0.25">
      <c r="B372" s="16"/>
      <c r="C372" s="272"/>
      <c r="D372" s="206"/>
      <c r="E372" s="1"/>
      <c r="F372" s="1"/>
      <c r="K372" s="63" t="e">
        <f>(M372+O372)*Q372+M374+M376+IFERROR(M378,0)</f>
        <v>#N/A</v>
      </c>
      <c r="L372" s="26"/>
      <c r="M372" s="26">
        <f>IF(G374=0,$E$7*0.06,G374*0.06)</f>
        <v>0</v>
      </c>
      <c r="N372" s="26"/>
      <c r="O372" s="26" t="e">
        <f>INDEX(VbSpeedConstA_Int,MATCH(1,INDEX((INDEX(VbSpeedConstB_Type,MATCH(D372,VbSpeedConstB_Figure))=VbSpeedConstA_Type)*(G381=VbSpeedConstA_Rc),,),0))+INDEX(VbSpeedConstA_Slope,MATCH(1,INDEX((INDEX(VbSpeedConstB_Type,MATCH(D372,VbSpeedConstB_Figure))=VbSpeedConstA_Type)*(G381=VbSpeedConstA_Rc),,),0))*IF(F372&lt;80,80,F372)</f>
        <v>#N/A</v>
      </c>
      <c r="P372" s="26"/>
      <c r="Q372" s="26" t="e">
        <f>IF("curve"&lt;&gt;INDEX(VbSpeedConstB_Type,MATCH(D372,VbSpeedConstB_Figure)),G375-IFERROR(INDEX(VbModuleLength_Length,MATCH(G377,VbModuleLength_Module,0)),)-IFERROR(INDEX(VbModuleLength_Length,MATCH(H377,VbModuleLength_Module,0)),),0)/12</f>
        <v>#N/A</v>
      </c>
      <c r="R372" s="26"/>
      <c r="S372" s="26"/>
      <c r="T372" s="26"/>
      <c r="U372" s="22"/>
    </row>
    <row r="373" spans="2:21" ht="13.5" customHeight="1" thickBot="1" x14ac:dyDescent="0.25">
      <c r="B373" s="16"/>
      <c r="C373" s="273"/>
      <c r="D373" s="205"/>
      <c r="E373" s="205"/>
      <c r="F373" s="205"/>
      <c r="K373" s="24"/>
      <c r="L373" s="64" t="s">
        <v>18</v>
      </c>
      <c r="M373" s="3" t="s">
        <v>19</v>
      </c>
      <c r="N373" s="3" t="s">
        <v>10</v>
      </c>
      <c r="O373" s="3" t="s">
        <v>20</v>
      </c>
      <c r="P373" s="3" t="s">
        <v>12</v>
      </c>
      <c r="Q373" s="3" t="s">
        <v>13</v>
      </c>
      <c r="R373" s="3" t="s">
        <v>14</v>
      </c>
      <c r="S373" s="3" t="s">
        <v>15</v>
      </c>
      <c r="T373" s="3"/>
      <c r="U373" s="65"/>
    </row>
    <row r="374" spans="2:21" ht="13.5" customHeight="1" thickBot="1" x14ac:dyDescent="0.25">
      <c r="B374" s="16"/>
      <c r="C374" s="243" t="s">
        <v>24</v>
      </c>
      <c r="D374" s="243"/>
      <c r="E374" s="243"/>
      <c r="F374" s="244"/>
      <c r="G374" s="1"/>
      <c r="K374" s="63"/>
      <c r="L374" s="26" t="s">
        <v>12</v>
      </c>
      <c r="M374" s="26" t="e">
        <f>(O374+Q374)*S374</f>
        <v>#N/A</v>
      </c>
      <c r="N374" s="26"/>
      <c r="O374" s="26">
        <f>IF(G374=0,$E$7*0.06,G374*0.06)</f>
        <v>0</v>
      </c>
      <c r="P374" s="26"/>
      <c r="Q374" s="26" t="e">
        <f>INDEX(VbSpeedConstA_Int,MATCH(1,INDEX((G379=VbSpeedConstA_Type)*(G381=VbSpeedConstA_Rc),,),0))+INDEX(VbSpeedConstA_Slope,MATCH(1,INDEX((G379=VbSpeedConstA_Type)*(G381=VbSpeedConstA_Rc),,),0))*IF(F372&lt;80,80,F372)</f>
        <v>#N/A</v>
      </c>
      <c r="R374" s="26"/>
      <c r="S374" s="26">
        <f>MAX(0,(G378-IFERROR(INDEX(VbModuleLength_Length,MATCH(G377,VbModuleLength_Module,0)),))/12)</f>
        <v>0</v>
      </c>
      <c r="T374" s="26"/>
      <c r="U374" s="22"/>
    </row>
    <row r="375" spans="2:21" ht="13.5" customHeight="1" thickBot="1" x14ac:dyDescent="0.25">
      <c r="B375" s="16"/>
      <c r="C375" s="243" t="s">
        <v>27</v>
      </c>
      <c r="D375" s="243"/>
      <c r="E375" s="243"/>
      <c r="F375" s="244"/>
      <c r="G375" s="1"/>
      <c r="K375" s="24"/>
      <c r="L375" s="3"/>
      <c r="M375" s="3" t="s">
        <v>28</v>
      </c>
      <c r="N375" s="3" t="s">
        <v>10</v>
      </c>
      <c r="O375" s="3" t="s">
        <v>20</v>
      </c>
      <c r="P375" s="3" t="s">
        <v>12</v>
      </c>
      <c r="Q375" s="3" t="s">
        <v>13</v>
      </c>
      <c r="R375" s="3" t="s">
        <v>14</v>
      </c>
      <c r="S375" s="3" t="s">
        <v>15</v>
      </c>
      <c r="T375" s="3"/>
      <c r="U375" s="65"/>
    </row>
    <row r="376" spans="2:21" ht="13.5" customHeight="1" thickBot="1" x14ac:dyDescent="0.25">
      <c r="B376" s="16"/>
      <c r="C376" s="245"/>
      <c r="D376" s="245"/>
      <c r="E376" s="245"/>
      <c r="F376" s="245"/>
      <c r="G376" s="2" t="s">
        <v>30</v>
      </c>
      <c r="H376" s="66" t="s">
        <v>31</v>
      </c>
      <c r="I376" s="2" t="s">
        <v>32</v>
      </c>
      <c r="K376" s="63"/>
      <c r="L376" s="26" t="s">
        <v>12</v>
      </c>
      <c r="M376" s="26" t="e">
        <f>(O376+Q376)*S376</f>
        <v>#N/A</v>
      </c>
      <c r="N376" s="26"/>
      <c r="O376" s="26">
        <f>IF(G374=0,$E$7*0.06,G374*0.06)</f>
        <v>0</v>
      </c>
      <c r="P376" s="26"/>
      <c r="Q376" s="26" t="e">
        <f>INDEX(VbSpeedConstA_Int,MATCH(1,INDEX((H379=VbSpeedConstA_Type)*(G381=VbSpeedConstA_Rc),,),0))+INDEX(VbSpeedConstA_Slope,MATCH(1,INDEX((H379=VbSpeedConstA_Type)*(G381=VbSpeedConstA_Rc),,),0))*IF(F372&lt;80,80,F372)</f>
        <v>#N/A</v>
      </c>
      <c r="R376" s="26"/>
      <c r="S376" s="26">
        <f>MAX(0,(H378-IFERROR(INDEX(VbModuleLength_Length,MATCH(H377,VbModuleLength_Module,0)),))/12)</f>
        <v>0</v>
      </c>
      <c r="T376" s="26"/>
      <c r="U376" s="22"/>
    </row>
    <row r="377" spans="2:21" ht="13.5" customHeight="1" thickBot="1" x14ac:dyDescent="0.25">
      <c r="B377" s="16"/>
      <c r="C377" s="243" t="s">
        <v>34</v>
      </c>
      <c r="D377" s="243"/>
      <c r="E377" s="243"/>
      <c r="F377" s="244"/>
      <c r="G377" s="1"/>
      <c r="H377" s="1"/>
      <c r="I377" s="1"/>
      <c r="K377" s="24"/>
      <c r="L377" s="3"/>
      <c r="M377" s="3" t="s">
        <v>35</v>
      </c>
      <c r="N377" s="3" t="s">
        <v>10</v>
      </c>
      <c r="O377" s="3" t="s">
        <v>20</v>
      </c>
      <c r="P377" s="3" t="s">
        <v>12</v>
      </c>
      <c r="Q377" s="3" t="s">
        <v>13</v>
      </c>
      <c r="R377" s="3" t="s">
        <v>14</v>
      </c>
      <c r="S377" s="3" t="s">
        <v>15</v>
      </c>
      <c r="T377" s="3"/>
      <c r="U377" s="65"/>
    </row>
    <row r="378" spans="2:21" ht="13.5" customHeight="1" thickBot="1" x14ac:dyDescent="0.25">
      <c r="B378" s="16"/>
      <c r="C378" s="243" t="s">
        <v>38</v>
      </c>
      <c r="D378" s="243"/>
      <c r="E378" s="243"/>
      <c r="F378" s="244"/>
      <c r="G378" s="1"/>
      <c r="H378" s="1"/>
      <c r="I378" s="1"/>
      <c r="K378" s="25"/>
      <c r="L378" s="20" t="s">
        <v>12</v>
      </c>
      <c r="M378" s="20" t="e">
        <f>(O378+Q378)*S378</f>
        <v>#N/A</v>
      </c>
      <c r="N378" s="20"/>
      <c r="O378" s="20">
        <f>IF(G374=0,$E$7*0.06,G374*0.06)</f>
        <v>0</v>
      </c>
      <c r="P378" s="20"/>
      <c r="Q378" s="20" t="e">
        <f>INDEX(VbSpeedConstA_Int,MATCH(1,INDEX((I379=VbSpeedConstA_Type)*(G381=VbSpeedConstA_Rc),,),0))+INDEX(VbSpeedConstA_Slope,MATCH(1,INDEX((I379=VbSpeedConstA_Type)*(G381=VbSpeedConstA_Rc),,),0))*IF(F372&lt;80,80,F372)</f>
        <v>#N/A</v>
      </c>
      <c r="R378" s="20"/>
      <c r="S378" s="20">
        <f>MAX(0,(I378-IFERROR(INDEX(VbModuleLength_Length,MATCH(I377,VbModuleLength_Module,0)),))/12)</f>
        <v>0</v>
      </c>
      <c r="T378" s="20"/>
      <c r="U378" s="41"/>
    </row>
    <row r="379" spans="2:21" ht="13.5" customHeight="1" thickBot="1" x14ac:dyDescent="0.25">
      <c r="B379" s="16"/>
      <c r="C379" s="243" t="s">
        <v>40</v>
      </c>
      <c r="D379" s="243"/>
      <c r="E379" s="243"/>
      <c r="F379" s="244"/>
      <c r="G379" s="1"/>
      <c r="H379" s="1"/>
      <c r="I379" s="1"/>
      <c r="K379" s="67" t="s">
        <v>41</v>
      </c>
      <c r="L379" s="9" t="s">
        <v>10</v>
      </c>
      <c r="M379" s="9" t="s">
        <v>42</v>
      </c>
      <c r="N379" s="9" t="s">
        <v>12</v>
      </c>
      <c r="O379" s="9" t="s">
        <v>13</v>
      </c>
      <c r="P379" s="9" t="s">
        <v>14</v>
      </c>
      <c r="Q379" s="9" t="s">
        <v>43</v>
      </c>
      <c r="R379" s="9" t="s">
        <v>14</v>
      </c>
      <c r="S379" s="3" t="s">
        <v>44</v>
      </c>
      <c r="T379" s="3"/>
      <c r="U379" s="65"/>
    </row>
    <row r="380" spans="2:21" ht="13.5" customHeight="1" thickBot="1" x14ac:dyDescent="0.25">
      <c r="B380" s="16"/>
      <c r="C380" s="245"/>
      <c r="D380" s="245"/>
      <c r="E380" s="245"/>
      <c r="F380" s="245"/>
      <c r="K380" s="25" t="e">
        <f>(M380+O380)*Q380*S380</f>
        <v>#N/A</v>
      </c>
      <c r="L380" s="20"/>
      <c r="M380" s="20">
        <f>IF(G374=0,$E$7*0.133,G374*0.133)</f>
        <v>0</v>
      </c>
      <c r="N380" s="20"/>
      <c r="O380" s="20" t="e">
        <f>O372</f>
        <v>#N/A</v>
      </c>
      <c r="P380" s="20"/>
      <c r="Q380" s="20">
        <f>IFERROR(INDEX(VbWidthFactor_Constant,MATCH(E372,VbWidthFactor_NW)),0)</f>
        <v>0</v>
      </c>
      <c r="R380" s="20"/>
      <c r="S380" s="26">
        <f>IFERROR(INDEX(VbFigureConst_Const,MATCH(D372,VbFigureConst_Figure,0)),)</f>
        <v>0</v>
      </c>
      <c r="T380" s="26"/>
      <c r="U380" s="22"/>
    </row>
    <row r="381" spans="2:21" ht="13.5" customHeight="1" thickBot="1" x14ac:dyDescent="0.25">
      <c r="B381" s="16"/>
      <c r="C381" s="243" t="s">
        <v>47</v>
      </c>
      <c r="D381" s="243"/>
      <c r="E381" s="243"/>
      <c r="F381" s="244"/>
      <c r="G381" s="1"/>
      <c r="K381" s="67" t="s">
        <v>48</v>
      </c>
      <c r="L381" s="9" t="s">
        <v>10</v>
      </c>
      <c r="M381" s="9" t="s">
        <v>49</v>
      </c>
      <c r="N381" s="9" t="s">
        <v>14</v>
      </c>
      <c r="O381" s="19">
        <v>5</v>
      </c>
      <c r="P381" s="21"/>
      <c r="Q381" s="21"/>
      <c r="R381" s="21"/>
      <c r="S381" s="265" t="s">
        <v>50</v>
      </c>
      <c r="T381" s="266"/>
      <c r="U381" s="68" t="s">
        <v>51</v>
      </c>
    </row>
    <row r="382" spans="2:21" ht="13.5" customHeight="1" x14ac:dyDescent="0.2">
      <c r="B382" s="16"/>
      <c r="C382" s="245"/>
      <c r="D382" s="245"/>
      <c r="E382" s="245"/>
      <c r="F382" s="245"/>
      <c r="K382" s="25">
        <f>M382*O382</f>
        <v>0</v>
      </c>
      <c r="L382" s="20"/>
      <c r="M382" s="8">
        <f>COUNTA(G377:I377)</f>
        <v>0</v>
      </c>
      <c r="N382" s="20"/>
      <c r="O382" s="20">
        <v>5</v>
      </c>
      <c r="P382" s="20"/>
      <c r="Q382" s="20"/>
      <c r="R382" s="20"/>
      <c r="S382" s="267" t="str">
        <f>IF(ISBLANK(D372),"NEED FIGURE",IF(AND(ISBLANK(E372),INDEX(VbSpeedConstB_Type,MATCH(D372,VbSpeedConstB_Figure))="curve"),"NEED WIDTH",IF(AND("curve"&lt;&gt;INDEX(VbSpeedConstB_Type,MATCH(D372,VbSpeedConstB_Figure)),ISBLANK(G375)),"NEED OVERALL LENGTH","")))</f>
        <v>NEED FIGURE</v>
      </c>
      <c r="T382" s="268"/>
      <c r="U382" s="69" t="s">
        <v>53</v>
      </c>
    </row>
    <row r="383" spans="2:21" ht="13.5" customHeight="1" thickBot="1" x14ac:dyDescent="0.25">
      <c r="B383" s="16"/>
      <c r="C383" s="240"/>
      <c r="D383" s="240"/>
      <c r="E383" s="240"/>
      <c r="F383" s="240"/>
      <c r="G383" s="2" t="s">
        <v>56</v>
      </c>
      <c r="H383" s="2" t="s">
        <v>57</v>
      </c>
      <c r="K383" s="67" t="s">
        <v>58</v>
      </c>
      <c r="L383" s="9" t="s">
        <v>10</v>
      </c>
      <c r="M383" s="9" t="s">
        <v>59</v>
      </c>
      <c r="N383" s="9" t="s">
        <v>12</v>
      </c>
      <c r="O383" s="9" t="s">
        <v>60</v>
      </c>
      <c r="P383" s="9" t="s">
        <v>14</v>
      </c>
      <c r="Q383" s="9" t="s">
        <v>61</v>
      </c>
      <c r="R383" s="9"/>
      <c r="S383" s="276" t="str">
        <f>IF(ISBLANK(F372),"NEED SPEED",IF(AND(ISBLANK($E$7),ISBLANK(G374)),"NEED LIVE LOAD",""))</f>
        <v>NEED SPEED</v>
      </c>
      <c r="T383" s="277"/>
      <c r="U383" s="70" t="str">
        <f>IFERROR(IF(COUNTIF(G377:I377,"C43")=1,INDEX(VbDriveAb_Speed,MATCH(1,INDEX((F372&lt;=VbDriveAb_Speed)*(K388&lt;=VbDriveAb_Hp)*(K384&lt;=VbDriveAb_Ebp),,),0))&amp;" FPM",IF(SUM(COUNTIF(G377:I377,{"C42","C55","C56"}))=1,INDEX(VbDriveC_Speed,MATCH(1,INDEX((F372&lt;=VbDriveC_Speed)*(K388&lt;=VbDriveC_Hp)*(K384&lt;=VbDriveC_Ebp),,),0))&amp;" FPM","")),"")</f>
        <v/>
      </c>
    </row>
    <row r="384" spans="2:21" ht="13.5" customHeight="1" thickBot="1" x14ac:dyDescent="0.25">
      <c r="B384" s="16"/>
      <c r="C384" s="241" t="s">
        <v>64</v>
      </c>
      <c r="D384" s="241"/>
      <c r="E384" s="241"/>
      <c r="F384" s="242"/>
      <c r="G384" s="1"/>
      <c r="H384" s="1"/>
      <c r="K384" s="25" t="e">
        <f>(M384+O384)*Q384</f>
        <v>#N/A</v>
      </c>
      <c r="L384" s="20"/>
      <c r="M384" s="20" t="e">
        <f>K372+K380+K382</f>
        <v>#N/A</v>
      </c>
      <c r="N384" s="20"/>
      <c r="O384" s="20">
        <f>G386</f>
        <v>0</v>
      </c>
      <c r="P384" s="20"/>
      <c r="Q384" s="20">
        <v>1.25</v>
      </c>
      <c r="R384" s="20"/>
      <c r="S384" s="276" t="str">
        <f>IF(OR(ISBLANK(G377),ISBLANK(H377)),"NEED MODULE(S)",IF(OR(ISBLANK(G379),ISBLANK(H379)),"NEED STRAIGHT/SKEW",""))</f>
        <v>NEED MODULE(S)</v>
      </c>
      <c r="T384" s="277"/>
      <c r="U384" s="71" t="str">
        <f>IFERROR(IF(COUNTIF(G377:I377,"C43")=1,INDEX(VbDriveAb_Hp,MATCH(1,INDEX((F372&lt;=VbDriveAb_Speed)*(K388&lt;=VbDriveAb_Hp)*(K384&lt;=VbDriveAb_Ebp),,),0))&amp;" HP",IF(SUM(COUNTIF(G377:I377,{"C42","C55","C56"}))=1,INDEX(VbDriveC_Hp,MATCH(1,INDEX((F372&lt;=VbDriveC_Speed)*(K388&lt;=VbDriveC_Hp)*(K384&lt;=VbDriveC_Ebp),,),0))&amp;" HP","")),"")</f>
        <v/>
      </c>
    </row>
    <row r="385" spans="2:21" ht="13.5" customHeight="1" thickBot="1" x14ac:dyDescent="0.25">
      <c r="B385" s="16"/>
      <c r="C385" s="240"/>
      <c r="D385" s="240"/>
      <c r="E385" s="240"/>
      <c r="F385" s="240"/>
      <c r="K385" s="67" t="s">
        <v>67</v>
      </c>
      <c r="L385" s="9" t="s">
        <v>10</v>
      </c>
      <c r="M385" s="9" t="s">
        <v>58</v>
      </c>
      <c r="N385" s="9" t="s">
        <v>14</v>
      </c>
      <c r="O385" s="9" t="s">
        <v>68</v>
      </c>
      <c r="P385" s="9"/>
      <c r="Q385" s="9"/>
      <c r="R385" s="9"/>
      <c r="S385" s="276" t="str">
        <f>IF(ISBLANK(G381),"NEED ROLLER CENTERS","")</f>
        <v>NEED ROLLER CENTERS</v>
      </c>
      <c r="T385" s="277"/>
      <c r="U385" s="72" t="s">
        <v>69</v>
      </c>
    </row>
    <row r="386" spans="2:21" ht="13.5" customHeight="1" thickBot="1" x14ac:dyDescent="0.25">
      <c r="B386" s="16"/>
      <c r="C386" s="243" t="s">
        <v>71</v>
      </c>
      <c r="D386" s="243"/>
      <c r="E386" s="243"/>
      <c r="F386" s="243"/>
      <c r="G386" s="1"/>
      <c r="K386" s="25" t="e">
        <f>M386*O386</f>
        <v>#N/A</v>
      </c>
      <c r="L386" s="20"/>
      <c r="M386" s="20" t="e">
        <f>K384</f>
        <v>#N/A</v>
      </c>
      <c r="N386" s="20"/>
      <c r="O386" s="20">
        <f>IF(AND(ISNUMBER(G384),ISNUMBER(H384)),H384/G384,0)</f>
        <v>0</v>
      </c>
      <c r="P386" s="20"/>
      <c r="Q386" s="20"/>
      <c r="R386" s="20"/>
      <c r="S386" s="284"/>
      <c r="T386" s="285"/>
      <c r="U386" s="74" t="str">
        <f>IFERROR(IF(K386&gt;0,K386,""),"")</f>
        <v/>
      </c>
    </row>
    <row r="387" spans="2:21" ht="13.5" customHeight="1" thickBot="1" x14ac:dyDescent="0.25">
      <c r="B387" s="16"/>
      <c r="C387" s="240"/>
      <c r="D387" s="240"/>
      <c r="E387" s="240"/>
      <c r="F387" s="240"/>
      <c r="K387" s="24" t="s">
        <v>74</v>
      </c>
      <c r="L387" s="3" t="s">
        <v>10</v>
      </c>
      <c r="M387" s="3" t="s">
        <v>58</v>
      </c>
      <c r="N387" s="3" t="s">
        <v>14</v>
      </c>
      <c r="O387" s="3" t="s">
        <v>8</v>
      </c>
      <c r="P387" s="3" t="s">
        <v>75</v>
      </c>
      <c r="Q387" s="3" t="s">
        <v>76</v>
      </c>
      <c r="S387" s="276" t="str">
        <f>IFERROR(IF(K388&gt;MAX(VbDriveAb_Hp,VbDriveC_Hp),"EXCEEDS MAX HP",""),"")</f>
        <v/>
      </c>
      <c r="T387" s="277"/>
      <c r="U387" s="278" t="str">
        <f>IF(NOT(OR(SUM(COUNTIF(G377:I377,{"C42","C43","C51","C55","C56"}))&gt;0,COUNTBLANK(G384:H384)&lt;1)),"NEED DRIVE MODULE OR SLAVE RATIO",IF(AND(SUM(COUNTIF(G377:I377,{"C42","C43","C51","C55","C56"}))&gt;0,COUNTBLANK(G384:H384)&lt;1),"CAN'T BE SLAVE AND HAVE DRIVE",""))</f>
        <v>NEED DRIVE MODULE OR SLAVE RATIO</v>
      </c>
    </row>
    <row r="388" spans="2:21" ht="13.5" customHeight="1" thickBot="1" x14ac:dyDescent="0.25">
      <c r="B388" s="286" t="s">
        <v>78</v>
      </c>
      <c r="C388" s="287"/>
      <c r="D388" s="262"/>
      <c r="E388" s="263"/>
      <c r="F388" s="263"/>
      <c r="G388" s="263"/>
      <c r="H388" s="263"/>
      <c r="I388" s="263"/>
      <c r="J388" s="264"/>
      <c r="K388" s="73" t="e">
        <f>M388*O388/Q388</f>
        <v>#N/A</v>
      </c>
      <c r="L388" s="27"/>
      <c r="M388" s="27" t="e">
        <f>K384</f>
        <v>#N/A</v>
      </c>
      <c r="N388" s="27"/>
      <c r="O388" s="27">
        <f>F372</f>
        <v>0</v>
      </c>
      <c r="P388" s="27"/>
      <c r="Q388" s="27">
        <v>31350</v>
      </c>
      <c r="R388" s="27"/>
      <c r="S388" s="274" t="str">
        <f>IFERROR(IF(K384&gt;125,"EXCEEDS BELT STRENGTH",""),"")</f>
        <v/>
      </c>
      <c r="T388" s="275"/>
      <c r="U388" s="279"/>
    </row>
  </sheetData>
  <sheetProtection sheet="1" objects="1" scenarios="1"/>
  <mergeCells count="544">
    <mergeCell ref="C386:F386"/>
    <mergeCell ref="S386:T386"/>
    <mergeCell ref="C387:F387"/>
    <mergeCell ref="S387:T387"/>
    <mergeCell ref="U387:U388"/>
    <mergeCell ref="B388:C388"/>
    <mergeCell ref="D388:J388"/>
    <mergeCell ref="S388:T388"/>
    <mergeCell ref="C383:F383"/>
    <mergeCell ref="S383:T383"/>
    <mergeCell ref="C384:F384"/>
    <mergeCell ref="S384:T384"/>
    <mergeCell ref="C385:F385"/>
    <mergeCell ref="S385:T385"/>
    <mergeCell ref="C379:F379"/>
    <mergeCell ref="C380:F380"/>
    <mergeCell ref="C381:F381"/>
    <mergeCell ref="S381:T381"/>
    <mergeCell ref="C382:F382"/>
    <mergeCell ref="S382:T382"/>
    <mergeCell ref="C374:F374"/>
    <mergeCell ref="C375:F375"/>
    <mergeCell ref="C376:F376"/>
    <mergeCell ref="C377:F377"/>
    <mergeCell ref="C378:F378"/>
    <mergeCell ref="U368:U369"/>
    <mergeCell ref="B369:C369"/>
    <mergeCell ref="D369:J369"/>
    <mergeCell ref="S369:T369"/>
    <mergeCell ref="C372:C373"/>
    <mergeCell ref="C366:F366"/>
    <mergeCell ref="S366:T366"/>
    <mergeCell ref="C367:F367"/>
    <mergeCell ref="S367:T367"/>
    <mergeCell ref="C368:F368"/>
    <mergeCell ref="S368:T368"/>
    <mergeCell ref="C363:F363"/>
    <mergeCell ref="S363:T363"/>
    <mergeCell ref="C364:F364"/>
    <mergeCell ref="S364:T364"/>
    <mergeCell ref="C365:F365"/>
    <mergeCell ref="S365:T365"/>
    <mergeCell ref="C359:F359"/>
    <mergeCell ref="C360:F360"/>
    <mergeCell ref="C361:F361"/>
    <mergeCell ref="C362:F362"/>
    <mergeCell ref="S362:T362"/>
    <mergeCell ref="C353:C354"/>
    <mergeCell ref="C355:F355"/>
    <mergeCell ref="C356:F356"/>
    <mergeCell ref="C357:F357"/>
    <mergeCell ref="C358:F358"/>
    <mergeCell ref="C348:F348"/>
    <mergeCell ref="S348:T348"/>
    <mergeCell ref="C349:F349"/>
    <mergeCell ref="S349:T349"/>
    <mergeCell ref="U349:U350"/>
    <mergeCell ref="B350:C350"/>
    <mergeCell ref="D350:J350"/>
    <mergeCell ref="S350:T350"/>
    <mergeCell ref="C345:F345"/>
    <mergeCell ref="S345:T345"/>
    <mergeCell ref="C346:F346"/>
    <mergeCell ref="S346:T346"/>
    <mergeCell ref="C347:F347"/>
    <mergeCell ref="S347:T347"/>
    <mergeCell ref="C341:F341"/>
    <mergeCell ref="C342:F342"/>
    <mergeCell ref="C343:F343"/>
    <mergeCell ref="S343:T343"/>
    <mergeCell ref="C344:F344"/>
    <mergeCell ref="S344:T344"/>
    <mergeCell ref="C336:F336"/>
    <mergeCell ref="C337:F337"/>
    <mergeCell ref="C338:F338"/>
    <mergeCell ref="C339:F339"/>
    <mergeCell ref="C340:F340"/>
    <mergeCell ref="U330:U331"/>
    <mergeCell ref="B331:C331"/>
    <mergeCell ref="D331:J331"/>
    <mergeCell ref="S331:T331"/>
    <mergeCell ref="C334:C335"/>
    <mergeCell ref="C328:F328"/>
    <mergeCell ref="S328:T328"/>
    <mergeCell ref="C329:F329"/>
    <mergeCell ref="S329:T329"/>
    <mergeCell ref="C330:F330"/>
    <mergeCell ref="S330:T330"/>
    <mergeCell ref="C325:F325"/>
    <mergeCell ref="S325:T325"/>
    <mergeCell ref="C326:F326"/>
    <mergeCell ref="S326:T326"/>
    <mergeCell ref="C327:F327"/>
    <mergeCell ref="S327:T327"/>
    <mergeCell ref="C321:F321"/>
    <mergeCell ref="C322:F322"/>
    <mergeCell ref="C323:F323"/>
    <mergeCell ref="C324:F324"/>
    <mergeCell ref="S324:T324"/>
    <mergeCell ref="C315:C316"/>
    <mergeCell ref="C317:F317"/>
    <mergeCell ref="C318:F318"/>
    <mergeCell ref="C319:F319"/>
    <mergeCell ref="C320:F320"/>
    <mergeCell ref="C310:F310"/>
    <mergeCell ref="S310:T310"/>
    <mergeCell ref="C311:F311"/>
    <mergeCell ref="S311:T311"/>
    <mergeCell ref="U311:U312"/>
    <mergeCell ref="B312:C312"/>
    <mergeCell ref="D312:J312"/>
    <mergeCell ref="S312:T312"/>
    <mergeCell ref="C307:F307"/>
    <mergeCell ref="S307:T307"/>
    <mergeCell ref="C308:F308"/>
    <mergeCell ref="S308:T308"/>
    <mergeCell ref="C309:F309"/>
    <mergeCell ref="S309:T309"/>
    <mergeCell ref="C303:F303"/>
    <mergeCell ref="C304:F304"/>
    <mergeCell ref="C305:F305"/>
    <mergeCell ref="S305:T305"/>
    <mergeCell ref="C306:F306"/>
    <mergeCell ref="S306:T306"/>
    <mergeCell ref="C298:F298"/>
    <mergeCell ref="C299:F299"/>
    <mergeCell ref="C300:F300"/>
    <mergeCell ref="C301:F301"/>
    <mergeCell ref="C302:F302"/>
    <mergeCell ref="U292:U293"/>
    <mergeCell ref="B293:C293"/>
    <mergeCell ref="D293:J293"/>
    <mergeCell ref="S293:T293"/>
    <mergeCell ref="C296:C297"/>
    <mergeCell ref="C290:F290"/>
    <mergeCell ref="S290:T290"/>
    <mergeCell ref="C291:F291"/>
    <mergeCell ref="S291:T291"/>
    <mergeCell ref="C292:F292"/>
    <mergeCell ref="S292:T292"/>
    <mergeCell ref="C287:F287"/>
    <mergeCell ref="S287:T287"/>
    <mergeCell ref="C288:F288"/>
    <mergeCell ref="S288:T288"/>
    <mergeCell ref="C289:F289"/>
    <mergeCell ref="S289:T289"/>
    <mergeCell ref="C283:F283"/>
    <mergeCell ref="C284:F284"/>
    <mergeCell ref="C285:F285"/>
    <mergeCell ref="C286:F286"/>
    <mergeCell ref="S286:T286"/>
    <mergeCell ref="C277:C278"/>
    <mergeCell ref="C279:F279"/>
    <mergeCell ref="C280:F280"/>
    <mergeCell ref="C281:F281"/>
    <mergeCell ref="C282:F282"/>
    <mergeCell ref="C272:F272"/>
    <mergeCell ref="S272:T272"/>
    <mergeCell ref="C273:F273"/>
    <mergeCell ref="S273:T273"/>
    <mergeCell ref="U273:U274"/>
    <mergeCell ref="B274:C274"/>
    <mergeCell ref="D274:J274"/>
    <mergeCell ref="S274:T274"/>
    <mergeCell ref="C269:F269"/>
    <mergeCell ref="S269:T269"/>
    <mergeCell ref="C270:F270"/>
    <mergeCell ref="S270:T270"/>
    <mergeCell ref="C271:F271"/>
    <mergeCell ref="S271:T271"/>
    <mergeCell ref="C265:F265"/>
    <mergeCell ref="C266:F266"/>
    <mergeCell ref="C267:F267"/>
    <mergeCell ref="S267:T267"/>
    <mergeCell ref="C268:F268"/>
    <mergeCell ref="S268:T268"/>
    <mergeCell ref="C260:F260"/>
    <mergeCell ref="C261:F261"/>
    <mergeCell ref="C262:F262"/>
    <mergeCell ref="C263:F263"/>
    <mergeCell ref="C264:F264"/>
    <mergeCell ref="U254:U255"/>
    <mergeCell ref="B255:C255"/>
    <mergeCell ref="D255:J255"/>
    <mergeCell ref="S255:T255"/>
    <mergeCell ref="C258:C259"/>
    <mergeCell ref="C252:F252"/>
    <mergeCell ref="S252:T252"/>
    <mergeCell ref="C253:F253"/>
    <mergeCell ref="S253:T253"/>
    <mergeCell ref="C254:F254"/>
    <mergeCell ref="S254:T254"/>
    <mergeCell ref="C249:F249"/>
    <mergeCell ref="S249:T249"/>
    <mergeCell ref="C250:F250"/>
    <mergeCell ref="S250:T250"/>
    <mergeCell ref="C251:F251"/>
    <mergeCell ref="S251:T251"/>
    <mergeCell ref="C245:F245"/>
    <mergeCell ref="C246:F246"/>
    <mergeCell ref="C247:F247"/>
    <mergeCell ref="C248:F248"/>
    <mergeCell ref="S248:T248"/>
    <mergeCell ref="C239:C240"/>
    <mergeCell ref="C241:F241"/>
    <mergeCell ref="C242:F242"/>
    <mergeCell ref="C243:F243"/>
    <mergeCell ref="C244:F244"/>
    <mergeCell ref="C234:F234"/>
    <mergeCell ref="S234:T234"/>
    <mergeCell ref="C235:F235"/>
    <mergeCell ref="S235:T235"/>
    <mergeCell ref="U235:U236"/>
    <mergeCell ref="B236:C236"/>
    <mergeCell ref="D236:J236"/>
    <mergeCell ref="S236:T236"/>
    <mergeCell ref="C231:F231"/>
    <mergeCell ref="S231:T231"/>
    <mergeCell ref="C232:F232"/>
    <mergeCell ref="S232:T232"/>
    <mergeCell ref="C233:F233"/>
    <mergeCell ref="S233:T233"/>
    <mergeCell ref="C227:F227"/>
    <mergeCell ref="C228:F228"/>
    <mergeCell ref="C229:F229"/>
    <mergeCell ref="S229:T229"/>
    <mergeCell ref="C230:F230"/>
    <mergeCell ref="S230:T230"/>
    <mergeCell ref="C222:F222"/>
    <mergeCell ref="C223:F223"/>
    <mergeCell ref="C224:F224"/>
    <mergeCell ref="C225:F225"/>
    <mergeCell ref="C226:F226"/>
    <mergeCell ref="U216:U217"/>
    <mergeCell ref="B217:C217"/>
    <mergeCell ref="D217:J217"/>
    <mergeCell ref="S217:T217"/>
    <mergeCell ref="C220:C221"/>
    <mergeCell ref="C214:F214"/>
    <mergeCell ref="S214:T214"/>
    <mergeCell ref="C215:F215"/>
    <mergeCell ref="S215:T215"/>
    <mergeCell ref="C216:F216"/>
    <mergeCell ref="S216:T216"/>
    <mergeCell ref="C211:F211"/>
    <mergeCell ref="S211:T211"/>
    <mergeCell ref="C212:F212"/>
    <mergeCell ref="S212:T212"/>
    <mergeCell ref="C213:F213"/>
    <mergeCell ref="S213:T213"/>
    <mergeCell ref="C207:F207"/>
    <mergeCell ref="C208:F208"/>
    <mergeCell ref="C209:F209"/>
    <mergeCell ref="C210:F210"/>
    <mergeCell ref="S210:T210"/>
    <mergeCell ref="C201:C202"/>
    <mergeCell ref="C203:F203"/>
    <mergeCell ref="C204:F204"/>
    <mergeCell ref="C205:F205"/>
    <mergeCell ref="C206:F206"/>
    <mergeCell ref="C196:F196"/>
    <mergeCell ref="S196:T196"/>
    <mergeCell ref="C197:F197"/>
    <mergeCell ref="S197:T197"/>
    <mergeCell ref="U197:U198"/>
    <mergeCell ref="B198:C198"/>
    <mergeCell ref="D198:J198"/>
    <mergeCell ref="S198:T198"/>
    <mergeCell ref="C193:F193"/>
    <mergeCell ref="S193:T193"/>
    <mergeCell ref="C194:F194"/>
    <mergeCell ref="S194:T194"/>
    <mergeCell ref="C195:F195"/>
    <mergeCell ref="S195:T195"/>
    <mergeCell ref="C189:F189"/>
    <mergeCell ref="C190:F190"/>
    <mergeCell ref="C191:F191"/>
    <mergeCell ref="S191:T191"/>
    <mergeCell ref="C192:F192"/>
    <mergeCell ref="S192:T192"/>
    <mergeCell ref="C184:F184"/>
    <mergeCell ref="C185:F185"/>
    <mergeCell ref="C186:F186"/>
    <mergeCell ref="C187:F187"/>
    <mergeCell ref="C188:F188"/>
    <mergeCell ref="U178:U179"/>
    <mergeCell ref="B179:C179"/>
    <mergeCell ref="D179:J179"/>
    <mergeCell ref="S179:T179"/>
    <mergeCell ref="C182:C183"/>
    <mergeCell ref="C176:F176"/>
    <mergeCell ref="S176:T176"/>
    <mergeCell ref="C177:F177"/>
    <mergeCell ref="S177:T177"/>
    <mergeCell ref="C178:F178"/>
    <mergeCell ref="S178:T178"/>
    <mergeCell ref="C173:F173"/>
    <mergeCell ref="S173:T173"/>
    <mergeCell ref="C174:F174"/>
    <mergeCell ref="S174:T174"/>
    <mergeCell ref="C175:F175"/>
    <mergeCell ref="S175:T175"/>
    <mergeCell ref="C169:F169"/>
    <mergeCell ref="C170:F170"/>
    <mergeCell ref="C171:F171"/>
    <mergeCell ref="C172:F172"/>
    <mergeCell ref="S172:T172"/>
    <mergeCell ref="C163:C164"/>
    <mergeCell ref="C165:F165"/>
    <mergeCell ref="C166:F166"/>
    <mergeCell ref="C167:F167"/>
    <mergeCell ref="C168:F168"/>
    <mergeCell ref="C158:F158"/>
    <mergeCell ref="S158:T158"/>
    <mergeCell ref="C159:F159"/>
    <mergeCell ref="S159:T159"/>
    <mergeCell ref="U159:U160"/>
    <mergeCell ref="B160:C160"/>
    <mergeCell ref="D160:J160"/>
    <mergeCell ref="S160:T160"/>
    <mergeCell ref="C155:F155"/>
    <mergeCell ref="S155:T155"/>
    <mergeCell ref="C156:F156"/>
    <mergeCell ref="S156:T156"/>
    <mergeCell ref="C157:F157"/>
    <mergeCell ref="S157:T157"/>
    <mergeCell ref="C151:F151"/>
    <mergeCell ref="C152:F152"/>
    <mergeCell ref="C153:F153"/>
    <mergeCell ref="S153:T153"/>
    <mergeCell ref="C154:F154"/>
    <mergeCell ref="S154:T154"/>
    <mergeCell ref="C146:F146"/>
    <mergeCell ref="C147:F147"/>
    <mergeCell ref="C148:F148"/>
    <mergeCell ref="C149:F149"/>
    <mergeCell ref="C150:F150"/>
    <mergeCell ref="U140:U141"/>
    <mergeCell ref="B141:C141"/>
    <mergeCell ref="D141:J141"/>
    <mergeCell ref="S141:T141"/>
    <mergeCell ref="C144:C145"/>
    <mergeCell ref="C138:F138"/>
    <mergeCell ref="S138:T138"/>
    <mergeCell ref="C139:F139"/>
    <mergeCell ref="S139:T139"/>
    <mergeCell ref="C140:F140"/>
    <mergeCell ref="S140:T140"/>
    <mergeCell ref="C135:F135"/>
    <mergeCell ref="S135:T135"/>
    <mergeCell ref="C136:F136"/>
    <mergeCell ref="S136:T136"/>
    <mergeCell ref="C137:F137"/>
    <mergeCell ref="S137:T137"/>
    <mergeCell ref="C131:F131"/>
    <mergeCell ref="C132:F132"/>
    <mergeCell ref="C133:F133"/>
    <mergeCell ref="C134:F134"/>
    <mergeCell ref="S134:T134"/>
    <mergeCell ref="C125:C126"/>
    <mergeCell ref="C127:F127"/>
    <mergeCell ref="C128:F128"/>
    <mergeCell ref="C129:F129"/>
    <mergeCell ref="C130:F130"/>
    <mergeCell ref="C120:F120"/>
    <mergeCell ref="S120:T120"/>
    <mergeCell ref="C121:F121"/>
    <mergeCell ref="S121:T121"/>
    <mergeCell ref="U121:U122"/>
    <mergeCell ref="B122:C122"/>
    <mergeCell ref="D122:J122"/>
    <mergeCell ref="S122:T122"/>
    <mergeCell ref="C117:F117"/>
    <mergeCell ref="S117:T117"/>
    <mergeCell ref="C118:F118"/>
    <mergeCell ref="S118:T118"/>
    <mergeCell ref="C119:F119"/>
    <mergeCell ref="S119:T119"/>
    <mergeCell ref="C114:F114"/>
    <mergeCell ref="C115:F115"/>
    <mergeCell ref="S115:T115"/>
    <mergeCell ref="C116:F116"/>
    <mergeCell ref="S116:T116"/>
    <mergeCell ref="C109:F109"/>
    <mergeCell ref="C110:F110"/>
    <mergeCell ref="C111:F111"/>
    <mergeCell ref="C112:F112"/>
    <mergeCell ref="C113:F113"/>
    <mergeCell ref="B103:C103"/>
    <mergeCell ref="D103:J103"/>
    <mergeCell ref="S103:T103"/>
    <mergeCell ref="C106:C107"/>
    <mergeCell ref="C108:F108"/>
    <mergeCell ref="C100:F100"/>
    <mergeCell ref="S100:T100"/>
    <mergeCell ref="C101:F101"/>
    <mergeCell ref="S101:T101"/>
    <mergeCell ref="C102:F102"/>
    <mergeCell ref="S102:T102"/>
    <mergeCell ref="C97:F97"/>
    <mergeCell ref="S97:T97"/>
    <mergeCell ref="C98:F98"/>
    <mergeCell ref="S98:T98"/>
    <mergeCell ref="C99:F99"/>
    <mergeCell ref="S99:T99"/>
    <mergeCell ref="C93:F93"/>
    <mergeCell ref="C94:F94"/>
    <mergeCell ref="C95:F95"/>
    <mergeCell ref="C96:F96"/>
    <mergeCell ref="S96:T96"/>
    <mergeCell ref="C87:C88"/>
    <mergeCell ref="C89:F89"/>
    <mergeCell ref="C90:F90"/>
    <mergeCell ref="C91:F91"/>
    <mergeCell ref="C92:F92"/>
    <mergeCell ref="C82:F82"/>
    <mergeCell ref="S82:T82"/>
    <mergeCell ref="C83:F83"/>
    <mergeCell ref="S83:T83"/>
    <mergeCell ref="B84:C84"/>
    <mergeCell ref="D84:J84"/>
    <mergeCell ref="S84:T84"/>
    <mergeCell ref="C79:F79"/>
    <mergeCell ref="S79:T79"/>
    <mergeCell ref="C80:F80"/>
    <mergeCell ref="S80:T80"/>
    <mergeCell ref="C81:F81"/>
    <mergeCell ref="S81:T81"/>
    <mergeCell ref="C76:F76"/>
    <mergeCell ref="C77:F77"/>
    <mergeCell ref="S77:T77"/>
    <mergeCell ref="C78:F78"/>
    <mergeCell ref="S78:T78"/>
    <mergeCell ref="C71:F71"/>
    <mergeCell ref="C72:F72"/>
    <mergeCell ref="C73:F73"/>
    <mergeCell ref="C74:F74"/>
    <mergeCell ref="C75:F75"/>
    <mergeCell ref="B65:C65"/>
    <mergeCell ref="D65:J65"/>
    <mergeCell ref="S65:T65"/>
    <mergeCell ref="C68:C69"/>
    <mergeCell ref="C70:F70"/>
    <mergeCell ref="C62:F62"/>
    <mergeCell ref="S62:T62"/>
    <mergeCell ref="C63:F63"/>
    <mergeCell ref="S63:T63"/>
    <mergeCell ref="C64:F64"/>
    <mergeCell ref="S64:T64"/>
    <mergeCell ref="C59:F59"/>
    <mergeCell ref="S59:T59"/>
    <mergeCell ref="C60:F60"/>
    <mergeCell ref="S60:T60"/>
    <mergeCell ref="C61:F61"/>
    <mergeCell ref="S61:T61"/>
    <mergeCell ref="C55:F55"/>
    <mergeCell ref="C56:F56"/>
    <mergeCell ref="C57:F57"/>
    <mergeCell ref="C58:F58"/>
    <mergeCell ref="S58:T58"/>
    <mergeCell ref="C49:C50"/>
    <mergeCell ref="C51:F51"/>
    <mergeCell ref="C52:F52"/>
    <mergeCell ref="C53:F53"/>
    <mergeCell ref="C54:F54"/>
    <mergeCell ref="U45:U46"/>
    <mergeCell ref="B46:C46"/>
    <mergeCell ref="D46:J46"/>
    <mergeCell ref="S46:T46"/>
    <mergeCell ref="C42:F42"/>
    <mergeCell ref="S42:T42"/>
    <mergeCell ref="C43:F43"/>
    <mergeCell ref="S43:T43"/>
    <mergeCell ref="C44:F44"/>
    <mergeCell ref="S44:T44"/>
    <mergeCell ref="C41:F41"/>
    <mergeCell ref="S41:T41"/>
    <mergeCell ref="C34:F34"/>
    <mergeCell ref="C35:F35"/>
    <mergeCell ref="C36:F36"/>
    <mergeCell ref="C37:F37"/>
    <mergeCell ref="C38:F38"/>
    <mergeCell ref="C45:F45"/>
    <mergeCell ref="S45:T45"/>
    <mergeCell ref="C30:C31"/>
    <mergeCell ref="C32:F32"/>
    <mergeCell ref="C33:F33"/>
    <mergeCell ref="U26:U27"/>
    <mergeCell ref="W107:AH107"/>
    <mergeCell ref="W10:AH10"/>
    <mergeCell ref="W11:AH11"/>
    <mergeCell ref="W31:AH31"/>
    <mergeCell ref="W32:AH32"/>
    <mergeCell ref="W52:AH52"/>
    <mergeCell ref="W60:AH60"/>
    <mergeCell ref="W70:AH70"/>
    <mergeCell ref="W71:AH71"/>
    <mergeCell ref="W106:AH106"/>
    <mergeCell ref="U64:U65"/>
    <mergeCell ref="U102:U103"/>
    <mergeCell ref="U83:U84"/>
    <mergeCell ref="S26:T26"/>
    <mergeCell ref="S25:T25"/>
    <mergeCell ref="B27:C27"/>
    <mergeCell ref="C39:F39"/>
    <mergeCell ref="S39:T39"/>
    <mergeCell ref="C40:F40"/>
    <mergeCell ref="S40:T40"/>
    <mergeCell ref="D27:J27"/>
    <mergeCell ref="C26:F26"/>
    <mergeCell ref="C25:F25"/>
    <mergeCell ref="C16:F16"/>
    <mergeCell ref="S20:T20"/>
    <mergeCell ref="S21:T21"/>
    <mergeCell ref="B8:D8"/>
    <mergeCell ref="E8:H8"/>
    <mergeCell ref="C11:C12"/>
    <mergeCell ref="S27:T27"/>
    <mergeCell ref="S22:T22"/>
    <mergeCell ref="S23:T23"/>
    <mergeCell ref="S24:T24"/>
    <mergeCell ref="E2:H2"/>
    <mergeCell ref="E3:H3"/>
    <mergeCell ref="E4:H4"/>
    <mergeCell ref="E5:H5"/>
    <mergeCell ref="C24:F24"/>
    <mergeCell ref="C23:F23"/>
    <mergeCell ref="C18:F18"/>
    <mergeCell ref="C19:F19"/>
    <mergeCell ref="C20:F20"/>
    <mergeCell ref="C21:F21"/>
    <mergeCell ref="C22:F22"/>
    <mergeCell ref="C13:F13"/>
    <mergeCell ref="C14:F14"/>
    <mergeCell ref="C15:F15"/>
    <mergeCell ref="C17:F17"/>
    <mergeCell ref="B2:D2"/>
    <mergeCell ref="B3:D3"/>
    <mergeCell ref="B4:D4"/>
    <mergeCell ref="B5:D5"/>
    <mergeCell ref="B7:D7"/>
    <mergeCell ref="B6:D6"/>
    <mergeCell ref="E6:H6"/>
    <mergeCell ref="E7:H7"/>
  </mergeCells>
  <phoneticPr fontId="0" type="noConversion"/>
  <conditionalFormatting sqref="C30:F30 G32:G33 G35:I37 G39 G42:H42 G44">
    <cfRule type="notContainsBlanks" dxfId="141" priority="19">
      <formula>LEN(TRIM(C30))&gt;0</formula>
    </cfRule>
  </conditionalFormatting>
  <conditionalFormatting sqref="C49:F49 G51:G52 G54:I56 G58 G61:H61 G63">
    <cfRule type="notContainsBlanks" dxfId="140" priority="18">
      <formula>LEN(TRIM(C49))&gt;0</formula>
    </cfRule>
  </conditionalFormatting>
  <conditionalFormatting sqref="C68:F68 G70:G71 G73:I75 G77 G80:H80 G82">
    <cfRule type="notContainsBlanks" dxfId="139" priority="17">
      <formula>LEN(TRIM(C68))&gt;0</formula>
    </cfRule>
  </conditionalFormatting>
  <conditionalFormatting sqref="C87:F87 G89:G90 G92:I94 G96 G99:H99 G101">
    <cfRule type="notContainsBlanks" dxfId="138" priority="16">
      <formula>LEN(TRIM(C87))&gt;0</formula>
    </cfRule>
  </conditionalFormatting>
  <conditionalFormatting sqref="C106:F106 G108:G109 G111:I113 G115 G118:H118 G120">
    <cfRule type="notContainsBlanks" dxfId="137" priority="15">
      <formula>LEN(TRIM(C106))&gt;0</formula>
    </cfRule>
  </conditionalFormatting>
  <conditionalFormatting sqref="C125:F125 G127:G128 G130:I132 G134 G137:H137 G139">
    <cfRule type="notContainsBlanks" dxfId="136" priority="14">
      <formula>LEN(TRIM(C125))&gt;0</formula>
    </cfRule>
  </conditionalFormatting>
  <conditionalFormatting sqref="C144:F144 G146:G147 G149:I151 G153 G156:H156 G158">
    <cfRule type="notContainsBlanks" dxfId="135" priority="13">
      <formula>LEN(TRIM(C144))&gt;0</formula>
    </cfRule>
  </conditionalFormatting>
  <conditionalFormatting sqref="C163:F163 G165:G166 G168:I170 G172 G175:H175 G177">
    <cfRule type="notContainsBlanks" dxfId="134" priority="12">
      <formula>LEN(TRIM(C163))&gt;0</formula>
    </cfRule>
  </conditionalFormatting>
  <conditionalFormatting sqref="C182:F182 G184:G185 G187:I189 G191 G194:H194 G196">
    <cfRule type="notContainsBlanks" dxfId="133" priority="11">
      <formula>LEN(TRIM(C182))&gt;0</formula>
    </cfRule>
  </conditionalFormatting>
  <conditionalFormatting sqref="C201:F201 G203:G204 G206:I208 G210 G213:H213 G215">
    <cfRule type="notContainsBlanks" dxfId="132" priority="10">
      <formula>LEN(TRIM(C201))&gt;0</formula>
    </cfRule>
  </conditionalFormatting>
  <conditionalFormatting sqref="C220:F220 G222:G223 G225:I227 G229 G232:H232 G234">
    <cfRule type="notContainsBlanks" dxfId="131" priority="9">
      <formula>LEN(TRIM(C220))&gt;0</formula>
    </cfRule>
  </conditionalFormatting>
  <conditionalFormatting sqref="C239:F239 G241:G242 G244:I246 G248 G251:H251 G253">
    <cfRule type="notContainsBlanks" dxfId="130" priority="8">
      <formula>LEN(TRIM(C239))&gt;0</formula>
    </cfRule>
  </conditionalFormatting>
  <conditionalFormatting sqref="C258:F258 G260:G261 G263:I265 G267 G270:H270 G272">
    <cfRule type="notContainsBlanks" dxfId="129" priority="7">
      <formula>LEN(TRIM(C258))&gt;0</formula>
    </cfRule>
  </conditionalFormatting>
  <conditionalFormatting sqref="C277:F277 G279:G280 G282:I284 G286 G289:H289 G291">
    <cfRule type="notContainsBlanks" dxfId="128" priority="6">
      <formula>LEN(TRIM(C277))&gt;0</formula>
    </cfRule>
  </conditionalFormatting>
  <conditionalFormatting sqref="C296:F296 G298:G299 G301:I303 G305 G308:H308 G310">
    <cfRule type="notContainsBlanks" dxfId="127" priority="5">
      <formula>LEN(TRIM(C296))&gt;0</formula>
    </cfRule>
  </conditionalFormatting>
  <conditionalFormatting sqref="C315:F315 G317:G318 G320:I322 G324 G327:H327 G329">
    <cfRule type="notContainsBlanks" dxfId="126" priority="4">
      <formula>LEN(TRIM(C315))&gt;0</formula>
    </cfRule>
  </conditionalFormatting>
  <conditionalFormatting sqref="C334:F334 G336:G337 G339:I341 G343 G346:H346 G348">
    <cfRule type="notContainsBlanks" dxfId="125" priority="3">
      <formula>LEN(TRIM(C334))&gt;0</formula>
    </cfRule>
  </conditionalFormatting>
  <conditionalFormatting sqref="C353:F353 G355:G356 G358:I360 G362 G365:H365 G367">
    <cfRule type="notContainsBlanks" dxfId="124" priority="2">
      <formula>LEN(TRIM(C353))&gt;0</formula>
    </cfRule>
  </conditionalFormatting>
  <conditionalFormatting sqref="C372:F372 G374:G375 G377:I379 G381 G384:H384 G386">
    <cfRule type="notContainsBlanks" dxfId="123" priority="1">
      <formula>LEN(TRIM(C372))&gt;0</formula>
    </cfRule>
  </conditionalFormatting>
  <conditionalFormatting sqref="E2:H5 E7 C11:F11 G13:G14 G16:I18 G20 G23:H23 G25">
    <cfRule type="notContainsBlanks" dxfId="122" priority="154">
      <formula>LEN(TRIM(C2))&gt;0</formula>
    </cfRule>
  </conditionalFormatting>
  <dataValidations count="6">
    <dataValidation type="list" allowBlank="1" showInputMessage="1" showErrorMessage="1" sqref="D11 D30 D49 D68 D87 D106 D125 D144 D163 D182 D201 D220 D239 D258 D277 D296 D315 D334 D353 D372" xr:uid="{00000000-0002-0000-0000-000000000000}">
      <formula1>"401,402,403,404,405,406,407,408,409"</formula1>
    </dataValidation>
    <dataValidation type="list" allowBlank="1" showInputMessage="1" showErrorMessage="1" sqref="G16:I16 G35:I35 G54:I54 G73:I73 G92:I92 G111:I111 G130:I130 G149:I149 G168:I168 G187:I187 G206:I206 G225:I225 G244:I244 G263:I263 G282:I282 G301:I301 G320:I320 G339:I339 G358:I358 G377:I377" xr:uid="{00000000-0002-0000-0000-000001000000}">
      <formula1>VbModuleLength_Module</formula1>
    </dataValidation>
    <dataValidation type="list" allowBlank="1" showInputMessage="1" showErrorMessage="1" sqref="G20 G39 G58 G77 G96 G115 G134 G153 G172 G191 G210 G229 G248 G267 G286 G305 G324 G343 G362 G381" xr:uid="{00000000-0002-0000-0000-000002000000}">
      <formula1>"2,3"</formula1>
    </dataValidation>
    <dataValidation type="list" allowBlank="1" showInputMessage="1" showErrorMessage="1" sqref="G23:H23 G42:H42 G61:H61 G80:H80 G99:H99 G118:H118 G137:H137 G156:H156 G175:H175 G194:H194 G213:H213 G232:H232 G251:H251 G270:H270 G289:H289 G308:H308 G327:H327 G346:H346 G365:H365 G384:H384" xr:uid="{00000000-0002-0000-0000-000003000000}">
      <formula1>"1,1.1,1.15,1.2,1.3,1.4,1.5"</formula1>
    </dataValidation>
    <dataValidation type="list" allowBlank="1" showInputMessage="1" showErrorMessage="1" sqref="E11 E30 E49 E68 E87 E106 E125 E144 E163 E182 E201 E220 E239 E258 E277 E296 E315 E334 E353 E372" xr:uid="{00000000-0002-0000-0000-000004000000}">
      <formula1>"18,24,30,36,42"</formula1>
    </dataValidation>
    <dataValidation type="list" allowBlank="1" showInputMessage="1" showErrorMessage="1" sqref="G18:I18 G37:I37 G56:I56 G75:I75 G94:I94 G113:I113 G132:I132 G151:I151 G170:I170 G189:I189 G208:I208 G227:I227 G246:I246 G265:I265 G284:I284 G303:I303 G322:I322 G341:I341 G360:I360 G379:I379" xr:uid="{00000000-0002-0000-0000-000005000000}">
      <formula1>"straight, skewed"</formula1>
    </dataValidation>
  </dataValidations>
  <pageMargins left="0.25" right="0.25" top="0.75" bottom="0.75" header="0.3" footer="0.3"/>
  <pageSetup fitToHeight="0" orientation="portrait" blackAndWhite="1" horizontalDpi="300" verticalDpi="300" r:id="rId1"/>
  <headerFooter alignWithMargins="0">
    <oddHeader xml:space="preserve">&amp;L
&amp;C&amp;F&amp;R&amp;D
</oddHeader>
    <oddFooter>Page &amp;P&amp;R&amp;A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I328"/>
  <sheetViews>
    <sheetView tabSelected="1" zoomScale="115" zoomScaleNormal="115" workbookViewId="0">
      <selection activeCell="N11" sqref="N11"/>
    </sheetView>
  </sheetViews>
  <sheetFormatPr defaultColWidth="0" defaultRowHeight="13.5" customHeight="1" x14ac:dyDescent="0.2"/>
  <cols>
    <col min="1" max="2" width="1.6640625" style="2" customWidth="1"/>
    <col min="3" max="6" width="9.33203125" style="2" customWidth="1"/>
    <col min="7" max="7" width="1.6640625" style="2" customWidth="1"/>
    <col min="8" max="8" width="10.33203125" style="2" customWidth="1"/>
    <col min="9" max="9" width="2.44140625" style="2" customWidth="1"/>
    <col min="10" max="10" width="10.33203125" style="2" customWidth="1"/>
    <col min="11" max="11" width="2.44140625" style="2" customWidth="1"/>
    <col min="12" max="12" width="10.33203125" style="2" customWidth="1"/>
    <col min="13" max="13" width="2.44140625" style="2" customWidth="1"/>
    <col min="14" max="14" width="10.33203125" style="2" customWidth="1"/>
    <col min="15" max="15" width="2.44140625" style="2" customWidth="1"/>
    <col min="16" max="16" width="10.44140625" style="2" customWidth="1"/>
    <col min="17" max="17" width="2.44140625" style="2" customWidth="1"/>
    <col min="18" max="18" width="10.44140625" style="2" customWidth="1"/>
    <col min="19" max="19" width="2.44140625" style="2" customWidth="1"/>
    <col min="20" max="20" width="10.44140625" style="2" customWidth="1"/>
    <col min="21" max="21" width="1.6640625" style="2" customWidth="1"/>
    <col min="22" max="22" width="8.33203125" style="2" customWidth="1"/>
    <col min="23" max="23" width="4.6640625" style="2" customWidth="1"/>
    <col min="24" max="24" width="4.109375" style="2" customWidth="1"/>
    <col min="25" max="25" width="5.5546875" style="2" customWidth="1"/>
    <col min="26" max="26" width="8.109375" style="2" customWidth="1"/>
    <col min="27" max="27" width="8.33203125" style="2" customWidth="1"/>
    <col min="28" max="28" width="4.33203125" style="2" customWidth="1"/>
    <col min="29" max="29" width="9.33203125" style="2" bestFit="1" customWidth="1"/>
    <col min="30" max="30" width="11.44140625" style="2" bestFit="1" customWidth="1"/>
    <col min="31" max="31" width="11.33203125" style="2" bestFit="1" customWidth="1"/>
    <col min="32" max="32" width="2.109375" style="2" bestFit="1" customWidth="1"/>
    <col min="33" max="35" width="0" style="2" hidden="1" customWidth="1"/>
    <col min="36" max="16384" width="8.88671875" style="2" hidden="1"/>
  </cols>
  <sheetData>
    <row r="1" spans="2:31" ht="13.5" customHeight="1" thickBot="1" x14ac:dyDescent="0.25"/>
    <row r="2" spans="2:31" ht="13.5" customHeight="1" x14ac:dyDescent="0.2">
      <c r="B2" s="246" t="s">
        <v>0</v>
      </c>
      <c r="C2" s="247"/>
      <c r="D2" s="247"/>
      <c r="E2" s="311"/>
      <c r="F2" s="312"/>
      <c r="G2" s="313"/>
      <c r="H2" s="28"/>
      <c r="I2" s="28"/>
      <c r="J2" s="28"/>
      <c r="K2" s="28"/>
      <c r="L2" s="28"/>
      <c r="M2" s="28"/>
      <c r="N2" s="28"/>
      <c r="O2" s="28"/>
      <c r="P2" s="28"/>
      <c r="Q2" s="49"/>
      <c r="R2" s="28"/>
      <c r="S2" s="29"/>
      <c r="T2" s="30"/>
    </row>
    <row r="3" spans="2:31" ht="13.5" customHeight="1" x14ac:dyDescent="0.2">
      <c r="B3" s="249" t="s">
        <v>1</v>
      </c>
      <c r="C3" s="250"/>
      <c r="D3" s="250"/>
      <c r="E3" s="314"/>
      <c r="F3" s="315"/>
      <c r="G3" s="316"/>
      <c r="Q3" s="50"/>
      <c r="S3" s="31"/>
      <c r="T3" s="32"/>
    </row>
    <row r="4" spans="2:31" ht="13.5" customHeight="1" x14ac:dyDescent="0.2">
      <c r="B4" s="249" t="s">
        <v>2</v>
      </c>
      <c r="C4" s="250"/>
      <c r="D4" s="250"/>
      <c r="E4" s="314"/>
      <c r="F4" s="315"/>
      <c r="G4" s="316"/>
      <c r="Q4" s="50"/>
      <c r="S4" s="31"/>
      <c r="T4" s="32"/>
    </row>
    <row r="5" spans="2:31" ht="13.5" customHeight="1" thickBot="1" x14ac:dyDescent="0.25">
      <c r="B5" s="252" t="s">
        <v>3</v>
      </c>
      <c r="C5" s="253"/>
      <c r="D5" s="253"/>
      <c r="E5" s="317"/>
      <c r="F5" s="318"/>
      <c r="G5" s="319"/>
      <c r="H5" s="7"/>
      <c r="I5" s="7"/>
      <c r="J5" s="7"/>
      <c r="K5" s="7"/>
      <c r="L5" s="7"/>
      <c r="M5" s="7"/>
      <c r="N5" s="7"/>
      <c r="O5" s="7"/>
      <c r="P5" s="7"/>
      <c r="Q5" s="51"/>
      <c r="R5" s="7"/>
      <c r="S5" s="36"/>
      <c r="T5" s="37"/>
    </row>
    <row r="6" spans="2:31" ht="13.5" customHeight="1" thickBot="1" x14ac:dyDescent="0.25">
      <c r="B6" s="39"/>
      <c r="C6" s="28"/>
      <c r="D6" s="28"/>
      <c r="E6" s="52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49"/>
      <c r="R6" s="28"/>
      <c r="S6" s="29"/>
      <c r="T6" s="30"/>
    </row>
    <row r="7" spans="2:31" ht="13.5" customHeight="1" thickBot="1" x14ac:dyDescent="0.25">
      <c r="B7" s="16"/>
      <c r="D7" s="207" t="s">
        <v>4</v>
      </c>
      <c r="E7" s="308">
        <v>25</v>
      </c>
      <c r="F7" s="309"/>
      <c r="G7" s="310"/>
      <c r="Q7" s="50"/>
      <c r="S7" s="31"/>
      <c r="T7" s="32"/>
    </row>
    <row r="8" spans="2:31" ht="13.5" customHeight="1" thickBot="1" x14ac:dyDescent="0.25">
      <c r="B8" s="12"/>
      <c r="C8" s="7"/>
      <c r="D8" s="7"/>
      <c r="E8" s="35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51"/>
      <c r="R8" s="7"/>
      <c r="S8" s="36"/>
      <c r="T8" s="37"/>
    </row>
    <row r="9" spans="2:31" ht="13.5" customHeight="1" thickBot="1" x14ac:dyDescent="0.25">
      <c r="E9" s="53"/>
    </row>
    <row r="10" spans="2:31" ht="13.5" customHeight="1" x14ac:dyDescent="0.2">
      <c r="B10" s="39"/>
      <c r="C10" s="320"/>
      <c r="D10" s="320"/>
      <c r="E10" s="320"/>
      <c r="F10" s="28"/>
      <c r="G10" s="30"/>
      <c r="H10" s="13" t="s">
        <v>30</v>
      </c>
      <c r="I10" s="10" t="s">
        <v>10</v>
      </c>
      <c r="J10" s="4" t="s">
        <v>110</v>
      </c>
      <c r="K10" s="4" t="s">
        <v>14</v>
      </c>
      <c r="L10" s="4" t="s">
        <v>111</v>
      </c>
      <c r="M10" s="4" t="s">
        <v>14</v>
      </c>
      <c r="N10" s="4" t="s">
        <v>112</v>
      </c>
      <c r="O10" s="4" t="s">
        <v>12</v>
      </c>
      <c r="P10" s="4" t="s">
        <v>110</v>
      </c>
      <c r="Q10" s="4" t="s">
        <v>14</v>
      </c>
      <c r="R10" s="4" t="s">
        <v>113</v>
      </c>
      <c r="S10" s="4" t="s">
        <v>14</v>
      </c>
      <c r="T10" s="5" t="s">
        <v>112</v>
      </c>
      <c r="V10" s="281" t="s">
        <v>114</v>
      </c>
      <c r="W10" s="281"/>
      <c r="X10" s="281"/>
      <c r="Y10" s="281"/>
      <c r="Z10" s="281"/>
      <c r="AA10" s="281"/>
      <c r="AB10" s="281"/>
      <c r="AC10" s="281"/>
      <c r="AD10" s="281"/>
      <c r="AE10" s="75"/>
    </row>
    <row r="11" spans="2:31" ht="13.5" customHeight="1" thickBot="1" x14ac:dyDescent="0.25">
      <c r="B11" s="16"/>
      <c r="C11" s="2" t="s">
        <v>5</v>
      </c>
      <c r="D11" s="59"/>
      <c r="E11" s="59"/>
      <c r="F11" s="59"/>
      <c r="G11" s="32"/>
      <c r="H11" s="15">
        <f>J11*L11*N11+P11*R11*T11</f>
        <v>105</v>
      </c>
      <c r="I11" s="20"/>
      <c r="J11" s="20">
        <f>IF(F14=0,$E$7,F14)</f>
        <v>25</v>
      </c>
      <c r="K11" s="20"/>
      <c r="L11" s="20">
        <f>F12</f>
        <v>200</v>
      </c>
      <c r="M11" s="20"/>
      <c r="N11" s="20">
        <v>2.1000000000000001E-2</v>
      </c>
      <c r="O11" s="20"/>
      <c r="P11" s="20">
        <f>J11</f>
        <v>25</v>
      </c>
      <c r="Q11" s="20"/>
      <c r="R11" s="20">
        <f>F20</f>
        <v>0</v>
      </c>
      <c r="S11" s="20"/>
      <c r="T11" s="11">
        <v>3.5000000000000003E-2</v>
      </c>
      <c r="V11" s="33" t="s">
        <v>8</v>
      </c>
      <c r="W11" s="33">
        <v>999</v>
      </c>
      <c r="X11" s="33">
        <v>300</v>
      </c>
      <c r="Y11" s="33">
        <v>200</v>
      </c>
      <c r="Z11" s="33">
        <v>100</v>
      </c>
    </row>
    <row r="12" spans="2:31" ht="13.5" customHeight="1" thickBot="1" x14ac:dyDescent="0.25">
      <c r="B12" s="16"/>
      <c r="C12" s="321" t="s">
        <v>388</v>
      </c>
      <c r="D12" s="323" t="s">
        <v>111</v>
      </c>
      <c r="E12" s="244"/>
      <c r="F12" s="6">
        <v>200</v>
      </c>
      <c r="G12" s="32"/>
      <c r="H12" s="18" t="s">
        <v>31</v>
      </c>
      <c r="I12" s="9" t="s">
        <v>10</v>
      </c>
      <c r="J12" s="9" t="s">
        <v>111</v>
      </c>
      <c r="K12" s="9" t="s">
        <v>14</v>
      </c>
      <c r="L12" s="9" t="s">
        <v>115</v>
      </c>
      <c r="M12" s="9" t="s">
        <v>14</v>
      </c>
      <c r="N12" s="9" t="s">
        <v>116</v>
      </c>
      <c r="O12" s="9"/>
      <c r="P12" s="9"/>
      <c r="Q12" s="9"/>
      <c r="R12" s="9"/>
      <c r="S12" s="21"/>
      <c r="T12" s="40"/>
      <c r="V12" s="34" t="s">
        <v>117</v>
      </c>
      <c r="W12" s="34">
        <v>0.55000000000000004</v>
      </c>
      <c r="X12" s="34">
        <v>0.5</v>
      </c>
      <c r="Y12" s="34">
        <v>0.45</v>
      </c>
      <c r="Z12" s="34">
        <v>0.4</v>
      </c>
    </row>
    <row r="13" spans="2:31" ht="13.5" customHeight="1" thickBot="1" x14ac:dyDescent="0.25">
      <c r="B13" s="16"/>
      <c r="C13" s="322"/>
      <c r="D13" s="323" t="s">
        <v>8</v>
      </c>
      <c r="E13" s="244"/>
      <c r="F13" s="6">
        <v>200</v>
      </c>
      <c r="G13" s="32"/>
      <c r="H13" s="15">
        <f>J13*L13*N13</f>
        <v>427.5</v>
      </c>
      <c r="I13" s="20"/>
      <c r="J13" s="20">
        <f>F12</f>
        <v>200</v>
      </c>
      <c r="K13" s="20"/>
      <c r="L13" s="20">
        <f>INDEX(LrCfRf,MATCH("CF",LrCfRf_Header,0),MATCH(F13,LrCfRf_Speed,-1))</f>
        <v>0.45</v>
      </c>
      <c r="M13" s="20"/>
      <c r="N13" s="20">
        <f>INDEX(LrCfRf,MATCH("RLR "&amp;F15,LrCfRf_Header,0),MATCH(F13,LrCfRf_Speed,-1))</f>
        <v>4.75</v>
      </c>
      <c r="O13" s="20"/>
      <c r="P13" s="20"/>
      <c r="Q13" s="20"/>
      <c r="R13" s="20"/>
      <c r="S13" s="20"/>
      <c r="T13" s="41"/>
      <c r="V13" s="38" t="s">
        <v>118</v>
      </c>
      <c r="W13" s="38">
        <v>5.25</v>
      </c>
      <c r="X13" s="38">
        <v>5</v>
      </c>
      <c r="Y13" s="38">
        <v>4.75</v>
      </c>
      <c r="Z13" s="38">
        <v>4.5</v>
      </c>
    </row>
    <row r="14" spans="2:31" ht="13.5" customHeight="1" thickBot="1" x14ac:dyDescent="0.25">
      <c r="B14" s="16"/>
      <c r="C14" s="243" t="s">
        <v>24</v>
      </c>
      <c r="D14" s="243"/>
      <c r="E14" s="243"/>
      <c r="F14" s="6"/>
      <c r="G14" s="32"/>
      <c r="H14" s="14" t="s">
        <v>58</v>
      </c>
      <c r="I14" s="3" t="s">
        <v>10</v>
      </c>
      <c r="J14" s="3" t="s">
        <v>119</v>
      </c>
      <c r="K14" s="3" t="s">
        <v>14</v>
      </c>
      <c r="L14" s="3" t="s">
        <v>61</v>
      </c>
      <c r="M14" s="3" t="s">
        <v>12</v>
      </c>
      <c r="N14" s="3" t="s">
        <v>57</v>
      </c>
      <c r="T14" s="32"/>
      <c r="V14" s="38" t="s">
        <v>120</v>
      </c>
      <c r="W14" s="38">
        <v>3</v>
      </c>
      <c r="X14" s="38">
        <v>2.75</v>
      </c>
      <c r="Y14" s="38">
        <v>2.5</v>
      </c>
      <c r="Z14" s="38">
        <v>2.25</v>
      </c>
    </row>
    <row r="15" spans="2:31" ht="13.5" customHeight="1" thickBot="1" x14ac:dyDescent="0.25">
      <c r="B15" s="16"/>
      <c r="C15" s="243" t="s">
        <v>47</v>
      </c>
      <c r="D15" s="243"/>
      <c r="E15" s="243"/>
      <c r="F15" s="6">
        <v>2</v>
      </c>
      <c r="G15" s="32"/>
      <c r="H15" s="15">
        <f>J15*L15+N15</f>
        <v>708.22500000000002</v>
      </c>
      <c r="I15" s="20"/>
      <c r="J15" s="20">
        <f>H11+H13</f>
        <v>532.5</v>
      </c>
      <c r="K15" s="20"/>
      <c r="L15" s="20">
        <f>IF(F18="Y",1.33*1.1,1.33)</f>
        <v>1.33</v>
      </c>
      <c r="M15" s="20"/>
      <c r="N15" s="20">
        <f>F21</f>
        <v>0</v>
      </c>
      <c r="O15" s="20"/>
      <c r="P15" s="26"/>
      <c r="Q15" s="26"/>
      <c r="R15" s="26"/>
      <c r="S15" s="26"/>
      <c r="T15" s="22"/>
      <c r="V15" s="38" t="s">
        <v>121</v>
      </c>
      <c r="W15" s="38">
        <v>2.75</v>
      </c>
      <c r="X15" s="38">
        <v>2.5</v>
      </c>
      <c r="Y15" s="38">
        <v>2.25</v>
      </c>
      <c r="Z15" s="38">
        <v>2</v>
      </c>
    </row>
    <row r="16" spans="2:31" ht="13.5" customHeight="1" thickBot="1" x14ac:dyDescent="0.25">
      <c r="B16" s="16"/>
      <c r="C16" s="245"/>
      <c r="D16" s="245"/>
      <c r="E16" s="245"/>
      <c r="G16" s="32"/>
      <c r="H16" s="14" t="s">
        <v>122</v>
      </c>
      <c r="I16" s="3" t="s">
        <v>10</v>
      </c>
      <c r="J16" s="3" t="s">
        <v>111</v>
      </c>
      <c r="K16" s="3" t="s">
        <v>14</v>
      </c>
      <c r="L16" s="3" t="s">
        <v>123</v>
      </c>
      <c r="M16" s="3"/>
      <c r="N16" s="3"/>
      <c r="P16" s="298" t="s">
        <v>50</v>
      </c>
      <c r="Q16" s="299"/>
      <c r="R16" s="300" t="s">
        <v>51</v>
      </c>
      <c r="S16" s="301"/>
      <c r="T16" s="302"/>
      <c r="V16" s="38" t="s">
        <v>122</v>
      </c>
      <c r="W16" s="38">
        <v>12</v>
      </c>
      <c r="X16" s="38">
        <v>10</v>
      </c>
      <c r="Y16" s="38">
        <v>8</v>
      </c>
      <c r="Z16" s="38">
        <v>6</v>
      </c>
    </row>
    <row r="17" spans="2:34" ht="13.5" customHeight="1" thickBot="1" x14ac:dyDescent="0.25">
      <c r="B17" s="16"/>
      <c r="C17" s="243" t="s">
        <v>124</v>
      </c>
      <c r="D17" s="243"/>
      <c r="E17" s="243"/>
      <c r="F17" s="1" t="s">
        <v>389</v>
      </c>
      <c r="G17" s="32"/>
      <c r="H17" s="15">
        <f>J17*L17</f>
        <v>1600</v>
      </c>
      <c r="I17" s="20"/>
      <c r="J17" s="20">
        <f>F12</f>
        <v>200</v>
      </c>
      <c r="K17" s="20"/>
      <c r="L17" s="20">
        <f>INDEX(LrCfRf,MATCH("HSBP",LrCfRf_Header,0),MATCH(F13,LrCfRf_Speed,-1))</f>
        <v>8</v>
      </c>
      <c r="M17" s="20"/>
      <c r="N17" s="20"/>
      <c r="O17" s="20"/>
      <c r="P17" s="303" t="str">
        <f>IF(ISBLANK(F12),"NEED LENGTH",IF(F12&gt;200,"TOO LONG",""))</f>
        <v/>
      </c>
      <c r="Q17" s="304"/>
      <c r="R17" s="305" t="str">
        <f>IF(7-COUNTBLANK(P17:P23),"",IF(F17="Motovario",INDEX(LrDirectDriveMotovario_Cd,MATCH(1,INDEX((F13&lt;=LrDirectDriveMotovario_Speed)*(H19&lt;=LrDirectDriveMotovario_Hp)*(H15&lt;=LrDirectDriveMotovario_Ebp),0,0),0))&amp;" DIRECT DRIVE",IF(F17="Dodge",INDEX(LrDirectDriveDodge_Cd,MATCH(1,INDEX((F13&lt;=LrDirectDriveDodge_Speed)*(H19&lt;=LrDirectDriveDodge_Hp)*(H15&lt;=LrDirectDriveDodge_Ebp),0,0),0))&amp;" DIRECT DRIVE",INDEX(LrDriveCap_Cd,MATCH(1,INDEX((H15&lt;=LrDriveCap_Ebp)*(H19&lt;=LrDriveCap_Hp)*((F21&lt;&gt;0)=LrDriveCap_Slave)*(F12&lt;=LrDriveCap_Length),0,0),0)))))</f>
        <v/>
      </c>
      <c r="S17" s="306"/>
      <c r="T17" s="307"/>
    </row>
    <row r="18" spans="2:34" ht="13.5" customHeight="1" thickBot="1" x14ac:dyDescent="0.25">
      <c r="B18" s="16"/>
      <c r="C18" s="241" t="s">
        <v>125</v>
      </c>
      <c r="D18" s="241"/>
      <c r="E18" s="241"/>
      <c r="F18" s="1" t="s">
        <v>387</v>
      </c>
      <c r="G18" s="32"/>
      <c r="H18" s="18" t="s">
        <v>74</v>
      </c>
      <c r="I18" s="9" t="s">
        <v>10</v>
      </c>
      <c r="J18" s="9" t="s">
        <v>58</v>
      </c>
      <c r="K18" s="9" t="s">
        <v>14</v>
      </c>
      <c r="L18" s="9" t="s">
        <v>8</v>
      </c>
      <c r="M18" s="9" t="s">
        <v>75</v>
      </c>
      <c r="N18" s="19" t="s">
        <v>76</v>
      </c>
      <c r="O18" s="9"/>
      <c r="P18" s="327" t="str">
        <f>IF(ISBLANK(F13),"NEED SPEED","")</f>
        <v/>
      </c>
      <c r="Q18" s="328"/>
      <c r="R18" s="324" t="str">
        <f>IF(7-COUNTBLANK(P17:P23),"",IF(F17="Motovario",INDEX(LrDirectDriveMotovario_Hp,MATCH(1,INDEX((F13&lt;=LrDirectDriveMotovario_Speed)*(H19&lt;=LrDirectDriveMotovario_Hp)*(H15&lt;=LrDirectDriveMotovario_Ebp),0,0),0)),IF(F17="Dodge",INDEX(LrDirectDriveDodge_Hp,MATCH(1,INDEX((F13&lt;=LrDirectDriveDodge_Speed)*(H19&lt;=LrDirectDriveDodge_Hp)*(H15&lt;=LrDirectDriveDodge_Ebp),0,0),0)),INDEX(LrDriveCap_Hp,MATCH(1,INDEX((H15&lt;=LrDriveCap_Ebp)*(H19&lt;=LrDriveCap_Hp)*((F21&lt;&gt;0)=LrDriveCap_Slave)*(F12&lt;=LrDriveCap_Length),0,0),0))))&amp;" HP")</f>
        <v/>
      </c>
      <c r="S18" s="325"/>
      <c r="T18" s="326"/>
      <c r="V18" s="281" t="s">
        <v>126</v>
      </c>
      <c r="W18" s="281"/>
      <c r="X18" s="281"/>
      <c r="Y18" s="281"/>
      <c r="Z18" s="281"/>
      <c r="AA18" s="281"/>
      <c r="AB18" s="281"/>
      <c r="AC18" s="281"/>
      <c r="AD18" s="281"/>
      <c r="AE18" s="75"/>
      <c r="AF18" s="44"/>
      <c r="AG18" s="44"/>
      <c r="AH18" s="44"/>
    </row>
    <row r="19" spans="2:34" ht="13.5" customHeight="1" thickBot="1" x14ac:dyDescent="0.25">
      <c r="B19" s="16"/>
      <c r="G19" s="32"/>
      <c r="H19" s="15">
        <f>J19*L19/N19</f>
        <v>4.5181818181818185</v>
      </c>
      <c r="I19" s="20"/>
      <c r="J19" s="20">
        <f>H15</f>
        <v>708.22500000000002</v>
      </c>
      <c r="K19" s="20"/>
      <c r="L19" s="20">
        <f>F13</f>
        <v>200</v>
      </c>
      <c r="M19" s="20"/>
      <c r="N19" s="8">
        <v>31350</v>
      </c>
      <c r="O19" s="20"/>
      <c r="P19" s="327" t="str">
        <f>IF(AND(ISBLANK($E$7),ISBLANK(F14)),"NEED LIVE LOAD","")</f>
        <v/>
      </c>
      <c r="Q19" s="328"/>
      <c r="R19" s="54" t="str">
        <f>IF(7-COUNTBLANK(P17:P23),"",IF(NOT(ISERROR(H15)),MAX(2,H15/200,IF(OR(AND(F12&gt;100,F21=0),AND(F12&gt;80,F21&lt;&gt;0)),3,0)),""))</f>
        <v/>
      </c>
      <c r="S19" s="324" t="str">
        <f>IF(7-COUNTBLANK(P17:P23),"","LONG SPRINGS")</f>
        <v/>
      </c>
      <c r="T19" s="326"/>
      <c r="V19" s="282" t="s">
        <v>127</v>
      </c>
      <c r="W19" s="282"/>
      <c r="X19" s="282"/>
      <c r="Y19" s="282"/>
      <c r="Z19" s="282"/>
      <c r="AA19" s="282"/>
      <c r="AB19" s="282"/>
      <c r="AC19" s="282"/>
      <c r="AD19" s="282"/>
      <c r="AE19" s="76"/>
    </row>
    <row r="20" spans="2:34" ht="13.5" customHeight="1" thickBot="1" x14ac:dyDescent="0.25">
      <c r="B20" s="16"/>
      <c r="C20" s="243" t="s">
        <v>113</v>
      </c>
      <c r="D20" s="243"/>
      <c r="E20" s="243"/>
      <c r="F20" s="6">
        <v>0</v>
      </c>
      <c r="G20" s="32"/>
      <c r="H20" s="42"/>
      <c r="I20" s="21"/>
      <c r="J20" s="21"/>
      <c r="K20" s="21"/>
      <c r="L20" s="21"/>
      <c r="M20" s="21"/>
      <c r="N20" s="21"/>
      <c r="O20" s="40"/>
      <c r="P20" s="327" t="str">
        <f>IF(ISBLANK(F15),"NEED RLR CENT","")</f>
        <v/>
      </c>
      <c r="Q20" s="328"/>
      <c r="R20" s="54" t="str">
        <f>IF(7-COUNTBLANK(P17:P23),"",IF(H15&lt;&gt;0,MAX(2,H15/160,IF(OR(AND(F12&gt;100,F21=0),AND(F12&gt;80,F21&lt;&gt;0)),3,0)),""))</f>
        <v/>
      </c>
      <c r="S20" s="324" t="str">
        <f>IF(7-COUNTBLANK(P17:P23),"","SHRT SPRINGS")</f>
        <v/>
      </c>
      <c r="T20" s="326"/>
      <c r="V20" s="33" t="s">
        <v>128</v>
      </c>
      <c r="W20" s="33" t="s">
        <v>58</v>
      </c>
      <c r="X20" s="33" t="s">
        <v>108</v>
      </c>
      <c r="Y20" s="33" t="s">
        <v>129</v>
      </c>
      <c r="Z20" s="33" t="s">
        <v>130</v>
      </c>
      <c r="AA20" s="55"/>
    </row>
    <row r="21" spans="2:34" ht="13.5" customHeight="1" thickBot="1" x14ac:dyDescent="0.25">
      <c r="B21" s="16"/>
      <c r="C21" s="243" t="s">
        <v>131</v>
      </c>
      <c r="D21" s="243"/>
      <c r="E21" s="243"/>
      <c r="F21" s="6">
        <v>0</v>
      </c>
      <c r="G21" s="32"/>
      <c r="H21" s="56"/>
      <c r="I21" s="57"/>
      <c r="J21" s="57"/>
      <c r="K21" s="57"/>
      <c r="L21" s="57"/>
      <c r="M21" s="57"/>
      <c r="N21" s="57"/>
      <c r="O21" s="58"/>
      <c r="P21" s="327" t="str">
        <f>IFERROR(IF(H19&gt;MAX(LrDriveCap_Hp),"EXCEEDS MAX HP",""),"")</f>
        <v/>
      </c>
      <c r="Q21" s="328"/>
      <c r="R21" s="324" t="str">
        <f>IF(7-COUNTBLANK(P17:P23),"",IF(H15&gt;600,"6IN ENTRY TE REQUIRED",""))</f>
        <v/>
      </c>
      <c r="S21" s="325"/>
      <c r="T21" s="326"/>
      <c r="V21" s="34" t="s">
        <v>132</v>
      </c>
      <c r="W21" s="34">
        <v>375</v>
      </c>
      <c r="X21" s="34">
        <v>1</v>
      </c>
      <c r="Y21" s="34" t="b">
        <v>0</v>
      </c>
      <c r="Z21" s="34">
        <v>110</v>
      </c>
      <c r="AA21" s="55"/>
    </row>
    <row r="22" spans="2:34" ht="13.5" customHeight="1" x14ac:dyDescent="0.2">
      <c r="B22" s="16"/>
      <c r="C22" s="240"/>
      <c r="D22" s="240"/>
      <c r="E22" s="240"/>
      <c r="G22" s="32"/>
      <c r="H22" s="290" t="s">
        <v>133</v>
      </c>
      <c r="I22" s="291"/>
      <c r="J22" s="291"/>
      <c r="K22" s="291"/>
      <c r="L22" s="291"/>
      <c r="M22" s="291"/>
      <c r="N22" s="291"/>
      <c r="O22" s="292"/>
      <c r="P22" s="327" t="str">
        <f>IFERROR(IF(H15&gt;MAX(LrDriveCap_Ebp),"EXCEEDS MAX EBP",""),"")</f>
        <v>EXCEEDS MAX EBP</v>
      </c>
      <c r="Q22" s="328"/>
      <c r="R22" s="324"/>
      <c r="S22" s="325"/>
      <c r="T22" s="326"/>
      <c r="V22" s="38" t="s">
        <v>132</v>
      </c>
      <c r="W22" s="38">
        <v>375</v>
      </c>
      <c r="X22" s="38">
        <v>1</v>
      </c>
      <c r="Y22" s="38" t="b">
        <v>1</v>
      </c>
      <c r="Z22" s="38">
        <v>90</v>
      </c>
    </row>
    <row r="23" spans="2:34" ht="13.5" customHeight="1" thickBot="1" x14ac:dyDescent="0.25">
      <c r="B23" s="12"/>
      <c r="C23" s="293"/>
      <c r="D23" s="293"/>
      <c r="E23" s="293"/>
      <c r="F23" s="7"/>
      <c r="G23" s="37"/>
      <c r="H23" s="16" t="s">
        <v>134</v>
      </c>
      <c r="J23" s="26" t="str">
        <f>IFERROR(H15*J24/2,"")</f>
        <v/>
      </c>
      <c r="L23" s="2" t="s">
        <v>135</v>
      </c>
      <c r="N23" s="26" t="e">
        <f>IF(F17="Motovario",INDEX(LrDirectDriveMotovario_MaxT,MATCH(1,INDEX((F13&lt;=LrDirectDriveMotovario_Speed)*(H19&lt;=LrDirectDriveMotovario_Hp)*(H15&lt;=LrDirectDriveMotovario_Ebp),0,0),0)),IF(F17="Dodge",INDEX(LrDirectDriveDodge_MaxT,MATCH(1,INDEX((F13&lt;=LrDirectDriveDodge_Speed)*(H19&lt;=LrDirectDriveDodge_Hp)*(H15&lt;=LrDirectDriveDodge_Ebp),0,0),0)),""))</f>
        <v>#N/A</v>
      </c>
      <c r="P23" s="327" t="str">
        <f>IFERROR(IF(AND(AND(F17&lt;&gt;"Motovario",F17&lt;&gt;"Dodge"),VALUE(RIGHT(R24,LEN(R24)-14))&lt;&gt;F13),"USE DD NOM SPD",""),"")</f>
        <v/>
      </c>
      <c r="Q23" s="328"/>
      <c r="R23" s="324" t="str">
        <f>IF(7-COUNTBLANK(P17:P23),"",IF(H17&gt;1100,"SOFT START REQUIRED",""))</f>
        <v/>
      </c>
      <c r="S23" s="325"/>
      <c r="T23" s="326"/>
      <c r="V23" s="38" t="s">
        <v>132</v>
      </c>
      <c r="W23" s="38">
        <v>375</v>
      </c>
      <c r="X23" s="38">
        <v>1.5</v>
      </c>
      <c r="Y23" s="38" t="b">
        <v>0</v>
      </c>
      <c r="Z23" s="38">
        <v>110</v>
      </c>
    </row>
    <row r="24" spans="2:34" ht="13.5" customHeight="1" thickBot="1" x14ac:dyDescent="0.25">
      <c r="B24" s="294" t="s">
        <v>78</v>
      </c>
      <c r="C24" s="295"/>
      <c r="D24" s="262"/>
      <c r="E24" s="263"/>
      <c r="F24" s="263"/>
      <c r="G24" s="264"/>
      <c r="H24" s="12" t="s">
        <v>136</v>
      </c>
      <c r="I24" s="7"/>
      <c r="J24" s="27" t="str">
        <f>IFERROR(VALUE(LEFT(R17,SEARCH("CD",R17)-1))+1/2,"")</f>
        <v/>
      </c>
      <c r="K24" s="7"/>
      <c r="L24" s="17" t="s">
        <v>137</v>
      </c>
      <c r="M24" s="17"/>
      <c r="N24" s="43" t="str">
        <f>IFERROR(N23/J23,"")</f>
        <v/>
      </c>
      <c r="O24" s="7"/>
      <c r="P24" s="337" t="str">
        <f>IF(ISBLANK(F18),"NEED AP INFO",IF(ISBLANK(F20),"NEED SLUG LGTH",IF(ISBLANK(F21),"NEED SLAVE INFO","")))</f>
        <v/>
      </c>
      <c r="Q24" s="338"/>
      <c r="R24" s="330" t="str">
        <f>IF(6-COUNTBLANK(P17:P22),"",IF(F17="Motovario","DD NOM SPEED: "&amp;INDEX(LrDirectDriveMotovario_Speed,MATCH(1,INDEX((F13&lt;=LrDirectDriveMotovario_Speed)*(H19&lt;=LrDirectDriveMotovario_Hp)*(H15&lt;=LrDirectDriveMotovario_Ebp),0,0),0)),IF(F17="Dodge","DD NOM SPEED: "&amp;INDEX(LrDirectDriveDodge_Speed,MATCH(1,INDEX((F13&lt;=LrDirectDriveDodge_Speed)*(H19&lt;=LrDirectDriveDodge_Hp)*(H15&lt;=LrDirectDriveDodge_Ebp),0,0),0)),"")))</f>
        <v/>
      </c>
      <c r="S24" s="331"/>
      <c r="T24" s="332"/>
      <c r="V24" s="38" t="s">
        <v>132</v>
      </c>
      <c r="W24" s="38">
        <v>375</v>
      </c>
      <c r="X24" s="38">
        <v>1.5</v>
      </c>
      <c r="Y24" s="38" t="b">
        <v>1</v>
      </c>
      <c r="Z24" s="38">
        <v>90</v>
      </c>
    </row>
    <row r="25" spans="2:34" ht="13.5" customHeight="1" thickBot="1" x14ac:dyDescent="0.25">
      <c r="V25" s="38" t="s">
        <v>138</v>
      </c>
      <c r="W25" s="38">
        <v>600</v>
      </c>
      <c r="X25" s="38">
        <v>1.5</v>
      </c>
      <c r="Y25" s="38" t="b">
        <v>0</v>
      </c>
      <c r="Z25" s="38">
        <v>160</v>
      </c>
    </row>
    <row r="26" spans="2:34" ht="13.5" customHeight="1" x14ac:dyDescent="0.2">
      <c r="B26" s="39"/>
      <c r="C26" s="320"/>
      <c r="D26" s="320"/>
      <c r="E26" s="320"/>
      <c r="F26" s="28"/>
      <c r="G26" s="30"/>
      <c r="H26" s="13" t="s">
        <v>30</v>
      </c>
      <c r="I26" s="10" t="s">
        <v>10</v>
      </c>
      <c r="J26" s="4" t="s">
        <v>110</v>
      </c>
      <c r="K26" s="4" t="s">
        <v>14</v>
      </c>
      <c r="L26" s="4" t="s">
        <v>111</v>
      </c>
      <c r="M26" s="4" t="s">
        <v>14</v>
      </c>
      <c r="N26" s="4" t="s">
        <v>112</v>
      </c>
      <c r="O26" s="4" t="s">
        <v>12</v>
      </c>
      <c r="P26" s="4" t="s">
        <v>110</v>
      </c>
      <c r="Q26" s="4" t="s">
        <v>14</v>
      </c>
      <c r="R26" s="4" t="s">
        <v>113</v>
      </c>
      <c r="S26" s="4" t="s">
        <v>14</v>
      </c>
      <c r="T26" s="5" t="s">
        <v>112</v>
      </c>
      <c r="V26" s="38" t="s">
        <v>138</v>
      </c>
      <c r="W26" s="38">
        <v>600</v>
      </c>
      <c r="X26" s="38">
        <v>1.5</v>
      </c>
      <c r="Y26" s="38" t="b">
        <v>1</v>
      </c>
      <c r="Z26" s="38">
        <v>140</v>
      </c>
    </row>
    <row r="27" spans="2:34" ht="13.5" customHeight="1" thickBot="1" x14ac:dyDescent="0.25">
      <c r="B27" s="16"/>
      <c r="C27" s="2" t="s">
        <v>5</v>
      </c>
      <c r="D27" s="59"/>
      <c r="E27" s="59"/>
      <c r="F27" s="59"/>
      <c r="G27" s="32"/>
      <c r="H27" s="15">
        <f>J27*L27*N27+P27*R27*T27</f>
        <v>35.700000000000003</v>
      </c>
      <c r="I27" s="20"/>
      <c r="J27" s="20">
        <f>IF(F30=0,$E$7,F30)</f>
        <v>100</v>
      </c>
      <c r="K27" s="20"/>
      <c r="L27" s="20">
        <f>F28</f>
        <v>17</v>
      </c>
      <c r="M27" s="20"/>
      <c r="N27" s="20">
        <v>2.1000000000000001E-2</v>
      </c>
      <c r="O27" s="20"/>
      <c r="P27" s="20">
        <f>J27</f>
        <v>100</v>
      </c>
      <c r="Q27" s="20"/>
      <c r="R27" s="20">
        <f>F36</f>
        <v>0</v>
      </c>
      <c r="S27" s="20"/>
      <c r="T27" s="11">
        <v>3.5000000000000003E-2</v>
      </c>
      <c r="V27" s="38" t="s">
        <v>138</v>
      </c>
      <c r="W27" s="38">
        <v>600</v>
      </c>
      <c r="X27" s="38">
        <v>2</v>
      </c>
      <c r="Y27" s="38" t="b">
        <v>0</v>
      </c>
      <c r="Z27" s="38">
        <v>160</v>
      </c>
    </row>
    <row r="28" spans="2:34" ht="13.5" customHeight="1" thickBot="1" x14ac:dyDescent="0.25">
      <c r="B28" s="16"/>
      <c r="C28" s="321"/>
      <c r="D28" s="323" t="s">
        <v>111</v>
      </c>
      <c r="E28" s="244"/>
      <c r="F28" s="6">
        <v>17</v>
      </c>
      <c r="G28" s="32"/>
      <c r="H28" s="18" t="s">
        <v>31</v>
      </c>
      <c r="I28" s="9" t="s">
        <v>10</v>
      </c>
      <c r="J28" s="9" t="s">
        <v>111</v>
      </c>
      <c r="K28" s="9" t="s">
        <v>14</v>
      </c>
      <c r="L28" s="9" t="s">
        <v>115</v>
      </c>
      <c r="M28" s="9" t="s">
        <v>14</v>
      </c>
      <c r="N28" s="9" t="s">
        <v>116</v>
      </c>
      <c r="O28" s="9"/>
      <c r="P28" s="9"/>
      <c r="Q28" s="9"/>
      <c r="R28" s="9"/>
      <c r="S28" s="21"/>
      <c r="T28" s="40"/>
      <c r="V28" s="38" t="s">
        <v>138</v>
      </c>
      <c r="W28" s="38">
        <v>600</v>
      </c>
      <c r="X28" s="38">
        <v>2</v>
      </c>
      <c r="Y28" s="38" t="b">
        <v>1</v>
      </c>
      <c r="Z28" s="38">
        <v>140</v>
      </c>
    </row>
    <row r="29" spans="2:34" ht="13.5" customHeight="1" thickBot="1" x14ac:dyDescent="0.25">
      <c r="B29" s="16"/>
      <c r="C29" s="322"/>
      <c r="D29" s="323" t="s">
        <v>8</v>
      </c>
      <c r="E29" s="244"/>
      <c r="F29" s="6">
        <v>80</v>
      </c>
      <c r="G29" s="32"/>
      <c r="H29" s="15">
        <f>J29*L29*N29</f>
        <v>15.3</v>
      </c>
      <c r="I29" s="20"/>
      <c r="J29" s="20">
        <f>F28</f>
        <v>17</v>
      </c>
      <c r="K29" s="20"/>
      <c r="L29" s="20">
        <f>INDEX(LrCfRf,MATCH("CF",LrCfRf_Header,0),MATCH(F29,LrCfRf_Speed,-1))</f>
        <v>0.4</v>
      </c>
      <c r="M29" s="20"/>
      <c r="N29" s="20">
        <f>INDEX(LrCfRf,MATCH("RLR "&amp;F31,LrCfRf_Header,0),MATCH(F29,LrCfRf_Speed,-1))</f>
        <v>2.25</v>
      </c>
      <c r="O29" s="20"/>
      <c r="P29" s="20"/>
      <c r="Q29" s="20"/>
      <c r="R29" s="20"/>
      <c r="S29" s="20"/>
      <c r="T29" s="41"/>
      <c r="V29" s="38" t="s">
        <v>138</v>
      </c>
      <c r="W29" s="38">
        <v>600</v>
      </c>
      <c r="X29" s="38">
        <v>3</v>
      </c>
      <c r="Y29" s="38" t="b">
        <v>0</v>
      </c>
      <c r="Z29" s="38">
        <v>160</v>
      </c>
    </row>
    <row r="30" spans="2:34" ht="13.5" customHeight="1" thickBot="1" x14ac:dyDescent="0.25">
      <c r="B30" s="16"/>
      <c r="C30" s="243" t="s">
        <v>24</v>
      </c>
      <c r="D30" s="243"/>
      <c r="E30" s="243"/>
      <c r="F30" s="6">
        <v>100</v>
      </c>
      <c r="G30" s="32"/>
      <c r="H30" s="14" t="s">
        <v>58</v>
      </c>
      <c r="I30" s="3" t="s">
        <v>10</v>
      </c>
      <c r="J30" s="3" t="s">
        <v>119</v>
      </c>
      <c r="K30" s="3" t="s">
        <v>14</v>
      </c>
      <c r="L30" s="3" t="s">
        <v>61</v>
      </c>
      <c r="M30" s="3" t="s">
        <v>12</v>
      </c>
      <c r="N30" s="3" t="s">
        <v>57</v>
      </c>
      <c r="T30" s="32"/>
      <c r="V30" s="38" t="s">
        <v>138</v>
      </c>
      <c r="W30" s="38">
        <v>600</v>
      </c>
      <c r="X30" s="38">
        <v>3</v>
      </c>
      <c r="Y30" s="38" t="b">
        <v>1</v>
      </c>
      <c r="Z30" s="38">
        <v>140</v>
      </c>
    </row>
    <row r="31" spans="2:34" ht="13.5" customHeight="1" thickBot="1" x14ac:dyDescent="0.25">
      <c r="B31" s="16"/>
      <c r="C31" s="243" t="s">
        <v>47</v>
      </c>
      <c r="D31" s="243"/>
      <c r="E31" s="243"/>
      <c r="F31" s="6">
        <v>3</v>
      </c>
      <c r="G31" s="32"/>
      <c r="H31" s="15">
        <f>J31*L31+N31</f>
        <v>67.83</v>
      </c>
      <c r="I31" s="20"/>
      <c r="J31" s="20">
        <f>H27+H29</f>
        <v>51</v>
      </c>
      <c r="K31" s="20"/>
      <c r="L31" s="20">
        <f>IF(F34="Y",1.33*1.1,1.33)</f>
        <v>1.33</v>
      </c>
      <c r="M31" s="20"/>
      <c r="N31" s="20">
        <f>F37</f>
        <v>0</v>
      </c>
      <c r="O31" s="20"/>
      <c r="P31" s="26"/>
      <c r="Q31" s="26"/>
      <c r="R31" s="26"/>
      <c r="S31" s="26"/>
      <c r="T31" s="22"/>
      <c r="U31" s="59"/>
      <c r="V31" s="38" t="s">
        <v>139</v>
      </c>
      <c r="W31" s="38">
        <v>680</v>
      </c>
      <c r="X31" s="38">
        <v>2</v>
      </c>
      <c r="Y31" s="38" t="b">
        <v>0</v>
      </c>
      <c r="Z31" s="38">
        <v>200</v>
      </c>
    </row>
    <row r="32" spans="2:34" ht="13.5" customHeight="1" thickBot="1" x14ac:dyDescent="0.25">
      <c r="B32" s="16"/>
      <c r="C32" s="245"/>
      <c r="D32" s="245"/>
      <c r="E32" s="245"/>
      <c r="G32" s="32"/>
      <c r="H32" s="14" t="s">
        <v>122</v>
      </c>
      <c r="I32" s="3" t="s">
        <v>10</v>
      </c>
      <c r="J32" s="3" t="s">
        <v>111</v>
      </c>
      <c r="K32" s="3" t="s">
        <v>14</v>
      </c>
      <c r="L32" s="3" t="s">
        <v>123</v>
      </c>
      <c r="M32" s="3"/>
      <c r="N32" s="3"/>
      <c r="P32" s="298" t="s">
        <v>50</v>
      </c>
      <c r="Q32" s="299"/>
      <c r="R32" s="300" t="s">
        <v>51</v>
      </c>
      <c r="S32" s="301"/>
      <c r="T32" s="302"/>
      <c r="V32" s="38" t="s">
        <v>139</v>
      </c>
      <c r="W32" s="38">
        <v>680</v>
      </c>
      <c r="X32" s="38">
        <v>2</v>
      </c>
      <c r="Y32" s="38" t="b">
        <v>1</v>
      </c>
      <c r="Z32" s="38">
        <v>180</v>
      </c>
    </row>
    <row r="33" spans="2:33" ht="13.5" customHeight="1" thickBot="1" x14ac:dyDescent="0.25">
      <c r="B33" s="16"/>
      <c r="C33" s="243" t="s">
        <v>124</v>
      </c>
      <c r="D33" s="243"/>
      <c r="E33" s="243"/>
      <c r="F33" s="1"/>
      <c r="G33" s="32"/>
      <c r="H33" s="15">
        <f>J33*L33</f>
        <v>102</v>
      </c>
      <c r="I33" s="20"/>
      <c r="J33" s="20">
        <f>F28</f>
        <v>17</v>
      </c>
      <c r="K33" s="20"/>
      <c r="L33" s="20">
        <f>INDEX(LrCfRf,MATCH("HSBP",LrCfRf_Header,0),MATCH(F29,LrCfRf_Speed,-1))</f>
        <v>6</v>
      </c>
      <c r="M33" s="20"/>
      <c r="N33" s="20"/>
      <c r="O33" s="20"/>
      <c r="P33" s="303" t="str">
        <f>IF(ISBLANK(F28),"NEED LENGTH",IF(F28&gt;200,"TOO LONG",""))</f>
        <v/>
      </c>
      <c r="Q33" s="304"/>
      <c r="R33" s="305" t="str">
        <f>IF(7-COUNTBLANK(P33:P39),"",IF(F33="Motovario",INDEX(LrDirectDriveMotovario_Cd,MATCH(1,INDEX((F29&lt;=LrDirectDriveMotovario_Speed)*(H35&lt;=LrDirectDriveMotovario_Hp)*(H31&lt;=LrDirectDriveMotovario_Ebp),0,0),0))&amp;" DIRECT DRIVE",IF(F33="Dodge",INDEX(LrDirectDriveDodge_Cd,MATCH(1,INDEX((F29&lt;=LrDirectDriveDodge_Speed)*(H35&lt;=LrDirectDriveDodge_Hp)*(H31&lt;=LrDirectDriveDodge_Ebp),0,0),0))&amp;" DIRECT DRIVE",INDEX(LrDriveCap_Cd,MATCH(1,INDEX((H31&lt;=LrDriveCap_Ebp)*(H35&lt;=LrDriveCap_Hp)*((F37&lt;&gt;0)=LrDriveCap_Slave)*(F28&lt;=LrDriveCap_Length),0,0),0)))))</f>
        <v>6CD</v>
      </c>
      <c r="S33" s="306"/>
      <c r="T33" s="307"/>
      <c r="V33" s="38" t="s">
        <v>139</v>
      </c>
      <c r="W33" s="38">
        <v>680</v>
      </c>
      <c r="X33" s="38">
        <v>3</v>
      </c>
      <c r="Y33" s="38" t="b">
        <v>0</v>
      </c>
      <c r="Z33" s="38">
        <v>200</v>
      </c>
    </row>
    <row r="34" spans="2:33" ht="13.5" customHeight="1" thickBot="1" x14ac:dyDescent="0.25">
      <c r="B34" s="16"/>
      <c r="C34" s="241" t="s">
        <v>125</v>
      </c>
      <c r="D34" s="241"/>
      <c r="E34" s="241"/>
      <c r="F34" s="1"/>
      <c r="G34" s="32"/>
      <c r="H34" s="18" t="s">
        <v>74</v>
      </c>
      <c r="I34" s="9" t="s">
        <v>10</v>
      </c>
      <c r="J34" s="9" t="s">
        <v>58</v>
      </c>
      <c r="K34" s="9" t="s">
        <v>14</v>
      </c>
      <c r="L34" s="9" t="s">
        <v>8</v>
      </c>
      <c r="M34" s="9" t="s">
        <v>75</v>
      </c>
      <c r="N34" s="19" t="s">
        <v>76</v>
      </c>
      <c r="O34" s="9"/>
      <c r="P34" s="327" t="str">
        <f>IF(ISBLANK(F29),"NEED SPEED","")</f>
        <v/>
      </c>
      <c r="Q34" s="328"/>
      <c r="R34" s="324" t="str">
        <f>IF(7-COUNTBLANK(P33:P39),"",IF(F33="Motovario",INDEX(LrDirectDriveMotovario_Hp,MATCH(1,INDEX((F29&lt;=LrDirectDriveMotovario_Speed)*(H35&lt;=LrDirectDriveMotovario_Hp)*(H31&lt;=LrDirectDriveMotovario_Ebp),0,0),0)),IF(F33="Dodge",INDEX(LrDirectDriveDodge_Hp,MATCH(1,INDEX((F29&lt;=LrDirectDriveDodge_Speed)*(H35&lt;=LrDirectDriveDodge_Hp)*(H31&lt;=LrDirectDriveDodge_Ebp),0,0),0)),INDEX(LrDriveCap_Hp,MATCH(1,INDEX((H31&lt;=LrDriveCap_Ebp)*(H35&lt;=LrDriveCap_Hp)*((F37&lt;&gt;0)=LrDriveCap_Slave)*(F28&lt;=LrDriveCap_Length),0,0),0))))&amp;" HP")</f>
        <v>1 HP</v>
      </c>
      <c r="S34" s="325"/>
      <c r="T34" s="326"/>
      <c r="V34" s="38" t="s">
        <v>139</v>
      </c>
      <c r="W34" s="38">
        <v>680</v>
      </c>
      <c r="X34" s="38">
        <v>3</v>
      </c>
      <c r="Y34" s="38" t="b">
        <v>1</v>
      </c>
      <c r="Z34" s="38">
        <v>180</v>
      </c>
    </row>
    <row r="35" spans="2:33" ht="13.5" customHeight="1" thickBot="1" x14ac:dyDescent="0.25">
      <c r="B35" s="16"/>
      <c r="G35" s="32"/>
      <c r="H35" s="15">
        <f>J35*L35/N35</f>
        <v>0.17309090909090907</v>
      </c>
      <c r="I35" s="20"/>
      <c r="J35" s="20">
        <f>H31</f>
        <v>67.83</v>
      </c>
      <c r="K35" s="20"/>
      <c r="L35" s="20">
        <f>F29</f>
        <v>80</v>
      </c>
      <c r="M35" s="20"/>
      <c r="N35" s="8">
        <v>31350</v>
      </c>
      <c r="O35" s="20"/>
      <c r="P35" s="327" t="str">
        <f>IF(AND(ISBLANK($E$7),ISBLANK(F30)),"NEED LIVE LOAD","")</f>
        <v/>
      </c>
      <c r="Q35" s="328"/>
      <c r="R35" s="54">
        <f>IF(7-COUNTBLANK(P33:P39),"",IF(NOT(ISERROR(H31)),MAX(2,H31/200,IF(OR(AND(F28&gt;100,F37=0),AND(F28&gt;80,F37&lt;&gt;0)),3,0)),""))</f>
        <v>2</v>
      </c>
      <c r="S35" s="324" t="str">
        <f>IF(7-COUNTBLANK(P33:P39),"","LONG SPRINGS")</f>
        <v>LONG SPRINGS</v>
      </c>
      <c r="T35" s="326"/>
      <c r="V35" s="38" t="s">
        <v>139</v>
      </c>
      <c r="W35" s="38">
        <v>680</v>
      </c>
      <c r="X35" s="38">
        <v>5</v>
      </c>
      <c r="Y35" s="38" t="b">
        <v>0</v>
      </c>
      <c r="Z35" s="38">
        <v>200</v>
      </c>
    </row>
    <row r="36" spans="2:33" ht="13.5" customHeight="1" thickBot="1" x14ac:dyDescent="0.25">
      <c r="B36" s="16"/>
      <c r="C36" s="243" t="s">
        <v>113</v>
      </c>
      <c r="D36" s="243"/>
      <c r="E36" s="243"/>
      <c r="F36" s="6"/>
      <c r="G36" s="32"/>
      <c r="H36" s="42"/>
      <c r="I36" s="21"/>
      <c r="J36" s="21"/>
      <c r="K36" s="21"/>
      <c r="L36" s="21"/>
      <c r="M36" s="21"/>
      <c r="N36" s="21"/>
      <c r="O36" s="40"/>
      <c r="P36" s="327" t="str">
        <f>IF(ISBLANK(F31),"NEED RLR CENT","")</f>
        <v/>
      </c>
      <c r="Q36" s="328"/>
      <c r="R36" s="54">
        <f>IF(7-COUNTBLANK(P33:P39),"",IF(H31&lt;&gt;0,MAX(2,H31/160,IF(OR(AND(F28&gt;100,F37=0),AND(F28&gt;80,F37&lt;&gt;0)),3,0)),""))</f>
        <v>2</v>
      </c>
      <c r="S36" s="324" t="str">
        <f>IF(7-COUNTBLANK(P33:P39),"","SHRT SPRINGS")</f>
        <v>SHRT SPRINGS</v>
      </c>
      <c r="T36" s="326"/>
      <c r="V36" s="38" t="s">
        <v>139</v>
      </c>
      <c r="W36" s="38">
        <v>680</v>
      </c>
      <c r="X36" s="38">
        <v>5</v>
      </c>
      <c r="Y36" s="38" t="b">
        <v>1</v>
      </c>
      <c r="Z36" s="38">
        <v>180</v>
      </c>
    </row>
    <row r="37" spans="2:33" ht="13.5" customHeight="1" thickBot="1" x14ac:dyDescent="0.25">
      <c r="B37" s="16"/>
      <c r="C37" s="243" t="s">
        <v>131</v>
      </c>
      <c r="D37" s="243"/>
      <c r="E37" s="243"/>
      <c r="F37" s="6"/>
      <c r="G37" s="32"/>
      <c r="H37" s="56"/>
      <c r="I37" s="57"/>
      <c r="J37" s="57"/>
      <c r="K37" s="57"/>
      <c r="L37" s="57"/>
      <c r="M37" s="57"/>
      <c r="N37" s="57"/>
      <c r="O37" s="58"/>
      <c r="P37" s="327" t="str">
        <f>IFERROR(IF(H35&gt;MAX(LrDriveCap_Hp),"EXCEEDS MAX HP",""),"")</f>
        <v/>
      </c>
      <c r="Q37" s="328"/>
      <c r="R37" s="324" t="str">
        <f>IF(7-COUNTBLANK(P33:P39),"",IF(H31&gt;600,"6IN ENTRY TE REQUIRED",""))</f>
        <v/>
      </c>
      <c r="S37" s="325"/>
      <c r="T37" s="326"/>
      <c r="AA37" s="44"/>
    </row>
    <row r="38" spans="2:33" ht="13.5" customHeight="1" x14ac:dyDescent="0.2">
      <c r="B38" s="16"/>
      <c r="C38" s="240"/>
      <c r="D38" s="240"/>
      <c r="E38" s="240"/>
      <c r="G38" s="32"/>
      <c r="H38" s="290" t="s">
        <v>133</v>
      </c>
      <c r="I38" s="291"/>
      <c r="J38" s="291"/>
      <c r="K38" s="291"/>
      <c r="L38" s="291"/>
      <c r="M38" s="291"/>
      <c r="N38" s="291"/>
      <c r="O38" s="292"/>
      <c r="P38" s="327" t="str">
        <f>IFERROR(IF(H31&gt;MAX(LrDriveCap_Ebp),"EXCEEDS MAX EBP",""),"")</f>
        <v/>
      </c>
      <c r="Q38" s="328"/>
      <c r="R38" s="324"/>
      <c r="S38" s="325"/>
      <c r="T38" s="326"/>
      <c r="V38" s="283" t="s">
        <v>140</v>
      </c>
      <c r="W38" s="283"/>
      <c r="X38" s="283"/>
      <c r="Y38" s="283"/>
      <c r="Z38" s="283"/>
      <c r="AA38" s="283"/>
      <c r="AB38" s="283"/>
      <c r="AC38" s="283"/>
      <c r="AD38" s="283"/>
      <c r="AE38" s="44"/>
    </row>
    <row r="39" spans="2:33" ht="13.5" customHeight="1" thickBot="1" x14ac:dyDescent="0.25">
      <c r="B39" s="12"/>
      <c r="C39" s="293"/>
      <c r="D39" s="293"/>
      <c r="E39" s="293"/>
      <c r="F39" s="7"/>
      <c r="G39" s="37"/>
      <c r="H39" s="16" t="s">
        <v>134</v>
      </c>
      <c r="J39" s="26">
        <f>IFERROR(H31*J40/2,"")</f>
        <v>220.44749999999999</v>
      </c>
      <c r="L39" s="2" t="s">
        <v>135</v>
      </c>
      <c r="N39" s="26" t="str">
        <f>IF(F33="Motovario",INDEX(LrDirectDriveMotovario_MaxT,MATCH(1,INDEX((F29&lt;=LrDirectDriveMotovario_Speed)*(H35&lt;=LrDirectDriveMotovario_Hp)*(H31&lt;=LrDirectDriveMotovario_Ebp),0,0),0)),IF(F33="Dodge",INDEX(LrDirectDriveDodge_MaxT,MATCH(1,INDEX((F29&lt;=LrDirectDriveDodge_Speed)*(H35&lt;=LrDirectDriveDodge_Hp)*(H31&lt;=LrDirectDriveDodge_Ebp),0,0),0)),""))</f>
        <v/>
      </c>
      <c r="P39" s="327" t="str">
        <f>IFERROR(IF(AND(AND(F33&lt;&gt;"Motovario",F33&lt;&gt;"Dodge"),VALUE(RIGHT(R40,LEN(R40)-14))&lt;&gt;F29),"USE DD NOM SPD",""),"")</f>
        <v/>
      </c>
      <c r="Q39" s="328"/>
      <c r="R39" s="324" t="str">
        <f>IF(7-COUNTBLANK(P33:P39),"",IF(H33&gt;1100,"SOFT START REQUIRED",""))</f>
        <v/>
      </c>
      <c r="S39" s="325"/>
      <c r="T39" s="326"/>
      <c r="V39" s="280" t="s">
        <v>141</v>
      </c>
      <c r="W39" s="280"/>
      <c r="X39" s="280"/>
      <c r="Y39" s="280"/>
      <c r="Z39" s="280"/>
      <c r="AA39" s="280"/>
      <c r="AB39" s="280"/>
      <c r="AC39" s="280"/>
      <c r="AD39" s="280"/>
      <c r="AE39" s="59"/>
    </row>
    <row r="40" spans="2:33" ht="13.5" customHeight="1" thickBot="1" x14ac:dyDescent="0.25">
      <c r="B40" s="294" t="s">
        <v>78</v>
      </c>
      <c r="C40" s="295"/>
      <c r="D40" s="262"/>
      <c r="E40" s="263"/>
      <c r="F40" s="263"/>
      <c r="G40" s="264"/>
      <c r="H40" s="12" t="s">
        <v>136</v>
      </c>
      <c r="I40" s="7"/>
      <c r="J40" s="27">
        <f>IFERROR(VALUE(LEFT(R33,SEARCH("CD",R33)-1))+1/2,"")</f>
        <v>6.5</v>
      </c>
      <c r="K40" s="7"/>
      <c r="L40" s="17" t="s">
        <v>137</v>
      </c>
      <c r="M40" s="17"/>
      <c r="N40" s="43" t="str">
        <f>IFERROR(N39/J39,"")</f>
        <v/>
      </c>
      <c r="O40" s="7"/>
      <c r="P40" s="337" t="str">
        <f>IF(ISBLANK(F34),"NEED AP INFO",IF(ISBLANK(F36),"NEED SLUG LGTH",IF(ISBLANK(F37),"NEED SLAVE INFO","")))</f>
        <v>NEED AP INFO</v>
      </c>
      <c r="Q40" s="338"/>
      <c r="R40" s="330" t="str">
        <f>IF(6-COUNTBLANK(P33:P38),"",IF(F33="Motovario","DD NOM SPEED: "&amp;INDEX(LrDirectDriveMotovario_Speed,MATCH(1,INDEX((F29&lt;=LrDirectDriveMotovario_Speed)*(H35&lt;=LrDirectDriveMotovario_Hp)*(H31&lt;=LrDirectDriveMotovario_Ebp),0,0),0)),IF(F33="Dodge","DD NOM SPEED: "&amp;INDEX(LrDirectDriveDodge_Speed,MATCH(1,INDEX((F29&lt;=LrDirectDriveDodge_Speed)*(H35&lt;=LrDirectDriveDodge_Hp)*(H31&lt;=LrDirectDriveDodge_Ebp),0,0),0)),"")))</f>
        <v/>
      </c>
      <c r="S40" s="331"/>
      <c r="T40" s="332"/>
      <c r="V40" s="336" t="s">
        <v>142</v>
      </c>
      <c r="W40" s="336"/>
      <c r="X40" s="336"/>
      <c r="Y40" s="336"/>
      <c r="Z40" s="336"/>
      <c r="AA40" s="336"/>
      <c r="AB40" s="336"/>
      <c r="AC40" s="336"/>
      <c r="AD40" s="336"/>
      <c r="AE40" s="336"/>
      <c r="AF40" s="336"/>
      <c r="AG40" s="336"/>
    </row>
    <row r="41" spans="2:33" ht="13.5" customHeight="1" thickBot="1" x14ac:dyDescent="0.25">
      <c r="V41" s="33" t="s">
        <v>143</v>
      </c>
      <c r="W41" s="33" t="s">
        <v>128</v>
      </c>
      <c r="X41" s="33" t="s">
        <v>108</v>
      </c>
      <c r="Y41" s="33" t="s">
        <v>144</v>
      </c>
      <c r="Z41" s="33" t="s">
        <v>145</v>
      </c>
      <c r="AA41" s="33" t="s">
        <v>135</v>
      </c>
      <c r="AB41" s="33" t="s">
        <v>146</v>
      </c>
      <c r="AC41" s="334" t="s">
        <v>147</v>
      </c>
      <c r="AD41" s="334"/>
      <c r="AE41" s="33" t="s">
        <v>148</v>
      </c>
    </row>
    <row r="42" spans="2:33" ht="13.5" customHeight="1" x14ac:dyDescent="0.2">
      <c r="B42" s="39"/>
      <c r="C42" s="320"/>
      <c r="D42" s="320"/>
      <c r="E42" s="320"/>
      <c r="F42" s="28"/>
      <c r="G42" s="30"/>
      <c r="H42" s="13" t="s">
        <v>30</v>
      </c>
      <c r="I42" s="10" t="s">
        <v>10</v>
      </c>
      <c r="J42" s="4" t="s">
        <v>110</v>
      </c>
      <c r="K42" s="4" t="s">
        <v>14</v>
      </c>
      <c r="L42" s="4" t="s">
        <v>111</v>
      </c>
      <c r="M42" s="4" t="s">
        <v>14</v>
      </c>
      <c r="N42" s="4" t="s">
        <v>112</v>
      </c>
      <c r="O42" s="4" t="s">
        <v>12</v>
      </c>
      <c r="P42" s="4" t="s">
        <v>110</v>
      </c>
      <c r="Q42" s="4" t="s">
        <v>14</v>
      </c>
      <c r="R42" s="4" t="s">
        <v>113</v>
      </c>
      <c r="S42" s="4" t="s">
        <v>14</v>
      </c>
      <c r="T42" s="5" t="s">
        <v>112</v>
      </c>
      <c r="V42" s="34" t="s">
        <v>149</v>
      </c>
      <c r="W42" s="34" t="s">
        <v>132</v>
      </c>
      <c r="X42" s="34">
        <v>1</v>
      </c>
      <c r="Y42" s="34">
        <v>60</v>
      </c>
      <c r="Z42" s="34">
        <v>370</v>
      </c>
      <c r="AA42" s="81">
        <v>1662</v>
      </c>
      <c r="AB42" s="34">
        <v>50</v>
      </c>
      <c r="AC42" s="335" t="s">
        <v>150</v>
      </c>
      <c r="AD42" s="335"/>
      <c r="AE42" s="83" t="s">
        <v>151</v>
      </c>
    </row>
    <row r="43" spans="2:33" ht="13.5" customHeight="1" thickBot="1" x14ac:dyDescent="0.25">
      <c r="B43" s="16"/>
      <c r="C43" s="2" t="s">
        <v>5</v>
      </c>
      <c r="D43" s="59"/>
      <c r="E43" s="59"/>
      <c r="F43" s="59"/>
      <c r="G43" s="32"/>
      <c r="H43" s="15">
        <f>J43*L43*N43+P43*R43*T43</f>
        <v>0</v>
      </c>
      <c r="I43" s="20"/>
      <c r="J43" s="20">
        <f>IF(F46=0,$E$7,F46)</f>
        <v>25</v>
      </c>
      <c r="K43" s="20"/>
      <c r="L43" s="20">
        <f>F44</f>
        <v>0</v>
      </c>
      <c r="M43" s="20"/>
      <c r="N43" s="20">
        <v>2.1000000000000001E-2</v>
      </c>
      <c r="O43" s="20"/>
      <c r="P43" s="20">
        <f>J43</f>
        <v>25</v>
      </c>
      <c r="Q43" s="20"/>
      <c r="R43" s="20">
        <f>F52</f>
        <v>0</v>
      </c>
      <c r="S43" s="20"/>
      <c r="T43" s="11">
        <v>3.5000000000000003E-2</v>
      </c>
      <c r="V43" s="38" t="s">
        <v>149</v>
      </c>
      <c r="W43" s="38" t="s">
        <v>132</v>
      </c>
      <c r="X43" s="38">
        <v>1</v>
      </c>
      <c r="Y43" s="38">
        <v>80</v>
      </c>
      <c r="Z43" s="34">
        <v>315</v>
      </c>
      <c r="AA43" s="82">
        <v>1685</v>
      </c>
      <c r="AB43" s="38">
        <v>40</v>
      </c>
      <c r="AC43" s="296" t="s">
        <v>152</v>
      </c>
      <c r="AD43" s="296"/>
      <c r="AE43" s="84" t="s">
        <v>153</v>
      </c>
    </row>
    <row r="44" spans="2:33" ht="13.5" customHeight="1" thickBot="1" x14ac:dyDescent="0.25">
      <c r="B44" s="16"/>
      <c r="C44" s="321"/>
      <c r="D44" s="323" t="s">
        <v>111</v>
      </c>
      <c r="E44" s="244"/>
      <c r="F44" s="6"/>
      <c r="G44" s="32"/>
      <c r="H44" s="18" t="s">
        <v>31</v>
      </c>
      <c r="I44" s="9" t="s">
        <v>10</v>
      </c>
      <c r="J44" s="9" t="s">
        <v>111</v>
      </c>
      <c r="K44" s="9" t="s">
        <v>14</v>
      </c>
      <c r="L44" s="9" t="s">
        <v>115</v>
      </c>
      <c r="M44" s="9" t="s">
        <v>14</v>
      </c>
      <c r="N44" s="9" t="s">
        <v>116</v>
      </c>
      <c r="O44" s="9"/>
      <c r="P44" s="9"/>
      <c r="Q44" s="9"/>
      <c r="R44" s="9"/>
      <c r="S44" s="21"/>
      <c r="T44" s="40"/>
      <c r="V44" s="38" t="s">
        <v>149</v>
      </c>
      <c r="W44" s="38" t="s">
        <v>132</v>
      </c>
      <c r="X44" s="38">
        <v>1</v>
      </c>
      <c r="Y44" s="38">
        <v>100</v>
      </c>
      <c r="Z44" s="34">
        <v>230</v>
      </c>
      <c r="AA44" s="82">
        <v>1201</v>
      </c>
      <c r="AB44" s="38">
        <v>30</v>
      </c>
      <c r="AC44" s="297" t="s">
        <v>154</v>
      </c>
      <c r="AD44" s="297"/>
      <c r="AE44" s="85" t="s">
        <v>155</v>
      </c>
    </row>
    <row r="45" spans="2:33" ht="13.5" customHeight="1" thickBot="1" x14ac:dyDescent="0.25">
      <c r="B45" s="16"/>
      <c r="C45" s="322"/>
      <c r="D45" s="323" t="s">
        <v>8</v>
      </c>
      <c r="E45" s="244"/>
      <c r="F45" s="6"/>
      <c r="G45" s="32"/>
      <c r="H45" s="15" t="e">
        <f>J45*L45*N45</f>
        <v>#N/A</v>
      </c>
      <c r="I45" s="20"/>
      <c r="J45" s="20">
        <f>F44</f>
        <v>0</v>
      </c>
      <c r="K45" s="20"/>
      <c r="L45" s="20">
        <f>INDEX(LrCfRf,MATCH("CF",LrCfRf_Header,0),MATCH(F45,LrCfRf_Speed,-1))</f>
        <v>0.4</v>
      </c>
      <c r="M45" s="20"/>
      <c r="N45" s="20" t="e">
        <f>INDEX(LrCfRf,MATCH("RLR "&amp;F47,LrCfRf_Header,0),MATCH(F45,LrCfRf_Speed,-1))</f>
        <v>#N/A</v>
      </c>
      <c r="O45" s="20"/>
      <c r="P45" s="20"/>
      <c r="Q45" s="20"/>
      <c r="R45" s="20"/>
      <c r="S45" s="20"/>
      <c r="T45" s="41"/>
      <c r="V45" s="38" t="s">
        <v>149</v>
      </c>
      <c r="W45" s="38" t="s">
        <v>132</v>
      </c>
      <c r="X45" s="38">
        <v>1</v>
      </c>
      <c r="Y45" s="38">
        <v>120</v>
      </c>
      <c r="Z45" s="34">
        <v>210</v>
      </c>
      <c r="AA45" s="82">
        <v>1184</v>
      </c>
      <c r="AB45" s="38">
        <v>25</v>
      </c>
      <c r="AC45" s="297" t="s">
        <v>156</v>
      </c>
      <c r="AD45" s="297"/>
      <c r="AE45" s="85" t="s">
        <v>157</v>
      </c>
    </row>
    <row r="46" spans="2:33" ht="13.5" customHeight="1" thickBot="1" x14ac:dyDescent="0.25">
      <c r="B46" s="16"/>
      <c r="C46" s="243" t="s">
        <v>24</v>
      </c>
      <c r="D46" s="243"/>
      <c r="E46" s="243"/>
      <c r="F46" s="6"/>
      <c r="G46" s="32"/>
      <c r="H46" s="14" t="s">
        <v>58</v>
      </c>
      <c r="I46" s="3" t="s">
        <v>10</v>
      </c>
      <c r="J46" s="3" t="s">
        <v>119</v>
      </c>
      <c r="K46" s="3" t="s">
        <v>14</v>
      </c>
      <c r="L46" s="3" t="s">
        <v>61</v>
      </c>
      <c r="M46" s="3" t="s">
        <v>12</v>
      </c>
      <c r="N46" s="3" t="s">
        <v>57</v>
      </c>
      <c r="T46" s="32"/>
      <c r="V46" s="38" t="s">
        <v>149</v>
      </c>
      <c r="W46" s="38" t="s">
        <v>132</v>
      </c>
      <c r="X46" s="38">
        <v>1</v>
      </c>
      <c r="Y46" s="38">
        <v>150</v>
      </c>
      <c r="Z46" s="34">
        <v>170</v>
      </c>
      <c r="AA46" s="82">
        <v>1178</v>
      </c>
      <c r="AB46" s="38">
        <v>20</v>
      </c>
      <c r="AC46" s="297" t="s">
        <v>158</v>
      </c>
      <c r="AD46" s="297"/>
      <c r="AE46" s="85" t="s">
        <v>159</v>
      </c>
    </row>
    <row r="47" spans="2:33" ht="13.5" customHeight="1" thickBot="1" x14ac:dyDescent="0.25">
      <c r="B47" s="16"/>
      <c r="C47" s="243" t="s">
        <v>47</v>
      </c>
      <c r="D47" s="243"/>
      <c r="E47" s="243"/>
      <c r="F47" s="6"/>
      <c r="G47" s="32"/>
      <c r="H47" s="15" t="e">
        <f>J47*L47+N47</f>
        <v>#N/A</v>
      </c>
      <c r="I47" s="20"/>
      <c r="J47" s="20" t="e">
        <f>H43+H45</f>
        <v>#N/A</v>
      </c>
      <c r="K47" s="20"/>
      <c r="L47" s="20">
        <f>IF(F50="Y",1.33*1.1,1.33)</f>
        <v>1.33</v>
      </c>
      <c r="M47" s="20"/>
      <c r="N47" s="20">
        <f>F53</f>
        <v>0</v>
      </c>
      <c r="O47" s="20"/>
      <c r="P47" s="26"/>
      <c r="Q47" s="26"/>
      <c r="R47" s="26"/>
      <c r="S47" s="26"/>
      <c r="T47" s="22"/>
      <c r="V47" s="38" t="s">
        <v>149</v>
      </c>
      <c r="W47" s="38" t="s">
        <v>132</v>
      </c>
      <c r="X47" s="38">
        <v>1</v>
      </c>
      <c r="Y47" s="38">
        <v>200</v>
      </c>
      <c r="Z47" s="34">
        <v>135</v>
      </c>
      <c r="AA47" s="82">
        <v>1199</v>
      </c>
      <c r="AB47" s="38">
        <v>15</v>
      </c>
      <c r="AC47" s="297" t="s">
        <v>160</v>
      </c>
      <c r="AD47" s="297"/>
      <c r="AE47" s="85" t="s">
        <v>161</v>
      </c>
    </row>
    <row r="48" spans="2:33" ht="13.5" customHeight="1" thickBot="1" x14ac:dyDescent="0.25">
      <c r="B48" s="16"/>
      <c r="C48" s="245"/>
      <c r="D48" s="245"/>
      <c r="E48" s="245"/>
      <c r="G48" s="32"/>
      <c r="H48" s="14" t="s">
        <v>122</v>
      </c>
      <c r="I48" s="3" t="s">
        <v>10</v>
      </c>
      <c r="J48" s="3" t="s">
        <v>111</v>
      </c>
      <c r="K48" s="3" t="s">
        <v>14</v>
      </c>
      <c r="L48" s="3" t="s">
        <v>123</v>
      </c>
      <c r="M48" s="3"/>
      <c r="N48" s="3"/>
      <c r="P48" s="298" t="s">
        <v>50</v>
      </c>
      <c r="Q48" s="299"/>
      <c r="R48" s="300" t="s">
        <v>51</v>
      </c>
      <c r="S48" s="301"/>
      <c r="T48" s="302"/>
      <c r="V48" s="38" t="s">
        <v>149</v>
      </c>
      <c r="W48" s="38" t="s">
        <v>132</v>
      </c>
      <c r="X48" s="38">
        <v>1</v>
      </c>
      <c r="Y48" s="38">
        <v>260</v>
      </c>
      <c r="Z48" s="34">
        <v>95</v>
      </c>
      <c r="AA48" s="82">
        <v>1106</v>
      </c>
      <c r="AB48" s="38">
        <v>10</v>
      </c>
      <c r="AC48" s="297" t="s">
        <v>162</v>
      </c>
      <c r="AD48" s="297"/>
      <c r="AE48" s="85" t="s">
        <v>163</v>
      </c>
    </row>
    <row r="49" spans="2:31" ht="13.5" customHeight="1" thickBot="1" x14ac:dyDescent="0.25">
      <c r="B49" s="16"/>
      <c r="C49" s="243" t="s">
        <v>124</v>
      </c>
      <c r="D49" s="243"/>
      <c r="E49" s="243"/>
      <c r="F49" s="1"/>
      <c r="G49" s="32"/>
      <c r="H49" s="15">
        <f>J49*L49</f>
        <v>0</v>
      </c>
      <c r="I49" s="20"/>
      <c r="J49" s="20">
        <f>F44</f>
        <v>0</v>
      </c>
      <c r="K49" s="20"/>
      <c r="L49" s="20">
        <f>INDEX(LrCfRf,MATCH("HSBP",LrCfRf_Header,0),MATCH(F45,LrCfRf_Speed,-1))</f>
        <v>6</v>
      </c>
      <c r="M49" s="20"/>
      <c r="N49" s="20"/>
      <c r="O49" s="20"/>
      <c r="P49" s="303" t="str">
        <f>IF(ISBLANK(F44),"NEED LENGTH",IF(F44&gt;200,"TOO LONG",""))</f>
        <v>NEED LENGTH</v>
      </c>
      <c r="Q49" s="304"/>
      <c r="R49" s="305" t="str">
        <f>IF(7-COUNTBLANK(P49:P55),"",IF(F49="Motovario",INDEX(LrDirectDriveMotovario_Cd,MATCH(1,INDEX((F45&lt;=LrDirectDriveMotovario_Speed)*(H51&lt;=LrDirectDriveMotovario_Hp)*(H47&lt;=LrDirectDriveMotovario_Ebp),0,0),0))&amp;" DIRECT DRIVE",IF(F49="Dodge",INDEX(LrDirectDriveDodge_Cd,MATCH(1,INDEX((F45&lt;=LrDirectDriveDodge_Speed)*(H51&lt;=LrDirectDriveDodge_Hp)*(H47&lt;=LrDirectDriveDodge_Ebp),0,0),0))&amp;" DIRECT DRIVE",INDEX(LrDriveCap_Cd,MATCH(1,INDEX((H47&lt;=LrDriveCap_Ebp)*(H51&lt;=LrDriveCap_Hp)*((F53&lt;&gt;0)=LrDriveCap_Slave)*(F44&lt;=LrDriveCap_Length),0,0),0)))))</f>
        <v/>
      </c>
      <c r="S49" s="306"/>
      <c r="T49" s="307"/>
      <c r="V49" s="38" t="s">
        <v>149</v>
      </c>
      <c r="W49" s="38" t="s">
        <v>132</v>
      </c>
      <c r="X49" s="38">
        <v>1</v>
      </c>
      <c r="Y49" s="38">
        <v>400</v>
      </c>
      <c r="Z49" s="34">
        <v>70</v>
      </c>
      <c r="AA49" s="82">
        <v>1026</v>
      </c>
      <c r="AB49" s="38">
        <v>7.5</v>
      </c>
      <c r="AC49" s="297" t="s">
        <v>164</v>
      </c>
      <c r="AD49" s="297"/>
      <c r="AE49" s="85" t="s">
        <v>165</v>
      </c>
    </row>
    <row r="50" spans="2:31" ht="13.5" customHeight="1" thickBot="1" x14ac:dyDescent="0.25">
      <c r="B50" s="16"/>
      <c r="C50" s="241" t="s">
        <v>125</v>
      </c>
      <c r="D50" s="241"/>
      <c r="E50" s="241"/>
      <c r="F50" s="1"/>
      <c r="G50" s="32"/>
      <c r="H50" s="18" t="s">
        <v>74</v>
      </c>
      <c r="I50" s="9" t="s">
        <v>10</v>
      </c>
      <c r="J50" s="9" t="s">
        <v>58</v>
      </c>
      <c r="K50" s="9" t="s">
        <v>14</v>
      </c>
      <c r="L50" s="9" t="s">
        <v>8</v>
      </c>
      <c r="M50" s="9" t="s">
        <v>75</v>
      </c>
      <c r="N50" s="19" t="s">
        <v>76</v>
      </c>
      <c r="O50" s="9"/>
      <c r="P50" s="327" t="str">
        <f>IF(ISBLANK(F45),"NEED SPEED","")</f>
        <v>NEED SPEED</v>
      </c>
      <c r="Q50" s="328"/>
      <c r="R50" s="324" t="str">
        <f>IF(7-COUNTBLANK(P49:P55),"",IF(F49="Motovario",INDEX(LrDirectDriveMotovario_Hp,MATCH(1,INDEX((F45&lt;=LrDirectDriveMotovario_Speed)*(H51&lt;=LrDirectDriveMotovario_Hp)*(H47&lt;=LrDirectDriveMotovario_Ebp),0,0),0)),IF(F49="Dodge",INDEX(LrDirectDriveDodge_Hp,MATCH(1,INDEX((F45&lt;=LrDirectDriveDodge_Speed)*(H51&lt;=LrDirectDriveDodge_Hp)*(H47&lt;=LrDirectDriveDodge_Ebp),0,0),0)),INDEX(LrDriveCap_Hp,MATCH(1,INDEX((H47&lt;=LrDriveCap_Ebp)*(H51&lt;=LrDriveCap_Hp)*((F53&lt;&gt;0)=LrDriveCap_Slave)*(F44&lt;=LrDriveCap_Length),0,0),0))))&amp;" HP")</f>
        <v/>
      </c>
      <c r="S50" s="325"/>
      <c r="T50" s="326"/>
      <c r="V50" s="38" t="s">
        <v>166</v>
      </c>
      <c r="W50" s="38" t="s">
        <v>132</v>
      </c>
      <c r="X50" s="38">
        <v>1.5</v>
      </c>
      <c r="Y50" s="38">
        <v>100</v>
      </c>
      <c r="Z50" s="34">
        <v>375</v>
      </c>
      <c r="AA50" s="82">
        <v>1705</v>
      </c>
      <c r="AB50" s="38">
        <v>30</v>
      </c>
      <c r="AC50" s="296" t="s">
        <v>167</v>
      </c>
      <c r="AD50" s="296"/>
      <c r="AE50" s="84" t="s">
        <v>168</v>
      </c>
    </row>
    <row r="51" spans="2:31" ht="13.5" customHeight="1" thickBot="1" x14ac:dyDescent="0.25">
      <c r="B51" s="16"/>
      <c r="G51" s="32"/>
      <c r="H51" s="15" t="e">
        <f>J51*L51/N51</f>
        <v>#N/A</v>
      </c>
      <c r="I51" s="20"/>
      <c r="J51" s="20" t="e">
        <f>H47</f>
        <v>#N/A</v>
      </c>
      <c r="K51" s="20"/>
      <c r="L51" s="20">
        <f>F45</f>
        <v>0</v>
      </c>
      <c r="M51" s="20"/>
      <c r="N51" s="8">
        <v>31350</v>
      </c>
      <c r="O51" s="20"/>
      <c r="P51" s="327" t="str">
        <f>IF(AND(ISBLANK($E$7),ISBLANK(F46)),"NEED LIVE LOAD","")</f>
        <v/>
      </c>
      <c r="Q51" s="328"/>
      <c r="R51" s="54" t="str">
        <f>IF(7-COUNTBLANK(P49:P55),"",IF(NOT(ISERROR(H47)),MAX(2,H47/200,IF(OR(AND(F44&gt;100,F53=0),AND(F44&gt;80,F53&lt;&gt;0)),3,0)),""))</f>
        <v/>
      </c>
      <c r="S51" s="324" t="str">
        <f>IF(7-COUNTBLANK(P49:P55),"","LONG SPRINGS")</f>
        <v/>
      </c>
      <c r="T51" s="326"/>
      <c r="V51" s="38" t="s">
        <v>166</v>
      </c>
      <c r="W51" s="38" t="s">
        <v>132</v>
      </c>
      <c r="X51" s="38">
        <v>1.5</v>
      </c>
      <c r="Y51" s="38">
        <v>120</v>
      </c>
      <c r="Z51" s="34">
        <v>330</v>
      </c>
      <c r="AA51" s="82">
        <v>1677</v>
      </c>
      <c r="AB51" s="38">
        <v>25</v>
      </c>
      <c r="AC51" s="296" t="s">
        <v>169</v>
      </c>
      <c r="AD51" s="296"/>
      <c r="AE51" s="84" t="s">
        <v>170</v>
      </c>
    </row>
    <row r="52" spans="2:31" ht="13.5" customHeight="1" thickBot="1" x14ac:dyDescent="0.25">
      <c r="B52" s="16"/>
      <c r="C52" s="243" t="s">
        <v>113</v>
      </c>
      <c r="D52" s="243"/>
      <c r="E52" s="243"/>
      <c r="F52" s="6"/>
      <c r="G52" s="32"/>
      <c r="H52" s="42"/>
      <c r="I52" s="21"/>
      <c r="J52" s="21"/>
      <c r="K52" s="21"/>
      <c r="L52" s="21"/>
      <c r="M52" s="21"/>
      <c r="N52" s="21"/>
      <c r="O52" s="40"/>
      <c r="P52" s="327" t="str">
        <f>IF(ISBLANK(F47),"NEED RLR CENT","")</f>
        <v>NEED RLR CENT</v>
      </c>
      <c r="Q52" s="328"/>
      <c r="R52" s="54" t="str">
        <f>IF(7-COUNTBLANK(P49:P55),"",IF(H47&lt;&gt;0,MAX(2,H47/160,IF(OR(AND(F44&gt;100,F53=0),AND(F44&gt;80,F53&lt;&gt;0)),3,0)),""))</f>
        <v/>
      </c>
      <c r="S52" s="324" t="str">
        <f>IF(7-COUNTBLANK(P49:P55),"","SHRT SPRINGS")</f>
        <v/>
      </c>
      <c r="T52" s="326"/>
      <c r="V52" s="38" t="s">
        <v>166</v>
      </c>
      <c r="W52" s="38" t="s">
        <v>132</v>
      </c>
      <c r="X52" s="38">
        <v>1.5</v>
      </c>
      <c r="Y52" s="38">
        <v>150</v>
      </c>
      <c r="Z52" s="34">
        <v>260</v>
      </c>
      <c r="AA52" s="82">
        <v>1178</v>
      </c>
      <c r="AB52" s="38">
        <v>20</v>
      </c>
      <c r="AC52" s="297" t="s">
        <v>171</v>
      </c>
      <c r="AD52" s="297"/>
      <c r="AE52" s="85" t="s">
        <v>172</v>
      </c>
    </row>
    <row r="53" spans="2:31" ht="13.5" customHeight="1" thickBot="1" x14ac:dyDescent="0.25">
      <c r="B53" s="16"/>
      <c r="C53" s="243" t="s">
        <v>131</v>
      </c>
      <c r="D53" s="243"/>
      <c r="E53" s="243"/>
      <c r="F53" s="6"/>
      <c r="G53" s="32"/>
      <c r="H53" s="56"/>
      <c r="I53" s="57"/>
      <c r="J53" s="57"/>
      <c r="K53" s="57"/>
      <c r="L53" s="57"/>
      <c r="M53" s="57"/>
      <c r="N53" s="57"/>
      <c r="O53" s="58"/>
      <c r="P53" s="327" t="str">
        <f>IFERROR(IF(H51&gt;MAX(LrDriveCap_Hp),"EXCEEDS MAX HP",""),"")</f>
        <v/>
      </c>
      <c r="Q53" s="328"/>
      <c r="R53" s="324" t="str">
        <f>IF(7-COUNTBLANK(P49:P55),"",IF(H47&gt;600,"6IN ENTRY TE REQUIRED",""))</f>
        <v/>
      </c>
      <c r="S53" s="325"/>
      <c r="T53" s="326"/>
      <c r="V53" s="38" t="s">
        <v>166</v>
      </c>
      <c r="W53" s="38" t="s">
        <v>132</v>
      </c>
      <c r="X53" s="38">
        <v>1.5</v>
      </c>
      <c r="Y53" s="38">
        <v>200</v>
      </c>
      <c r="Z53" s="34">
        <v>205</v>
      </c>
      <c r="AA53" s="82">
        <v>1199</v>
      </c>
      <c r="AB53" s="38">
        <v>15</v>
      </c>
      <c r="AC53" s="297" t="s">
        <v>173</v>
      </c>
      <c r="AD53" s="297"/>
      <c r="AE53" s="85" t="s">
        <v>174</v>
      </c>
    </row>
    <row r="54" spans="2:31" ht="13.5" customHeight="1" x14ac:dyDescent="0.2">
      <c r="B54" s="16"/>
      <c r="C54" s="240"/>
      <c r="D54" s="240"/>
      <c r="E54" s="240"/>
      <c r="G54" s="32"/>
      <c r="H54" s="290" t="s">
        <v>133</v>
      </c>
      <c r="I54" s="291"/>
      <c r="J54" s="291"/>
      <c r="K54" s="291"/>
      <c r="L54" s="291"/>
      <c r="M54" s="291"/>
      <c r="N54" s="291"/>
      <c r="O54" s="292"/>
      <c r="P54" s="327" t="str">
        <f>IFERROR(IF(H47&gt;MAX(LrDriveCap_Ebp),"EXCEEDS MAX EBP",""),"")</f>
        <v/>
      </c>
      <c r="Q54" s="328"/>
      <c r="R54" s="324"/>
      <c r="S54" s="325"/>
      <c r="T54" s="326"/>
      <c r="V54" s="38" t="s">
        <v>166</v>
      </c>
      <c r="W54" s="38" t="s">
        <v>132</v>
      </c>
      <c r="X54" s="38">
        <v>1.5</v>
      </c>
      <c r="Y54" s="38">
        <v>260</v>
      </c>
      <c r="Z54" s="34">
        <v>140</v>
      </c>
      <c r="AA54" s="82">
        <v>1106</v>
      </c>
      <c r="AB54" s="38">
        <v>10</v>
      </c>
      <c r="AC54" s="297" t="s">
        <v>175</v>
      </c>
      <c r="AD54" s="297"/>
      <c r="AE54" s="85" t="s">
        <v>176</v>
      </c>
    </row>
    <row r="55" spans="2:31" ht="13.5" customHeight="1" thickBot="1" x14ac:dyDescent="0.25">
      <c r="B55" s="12"/>
      <c r="C55" s="293"/>
      <c r="D55" s="293"/>
      <c r="E55" s="293"/>
      <c r="F55" s="7"/>
      <c r="G55" s="37"/>
      <c r="H55" s="16" t="s">
        <v>134</v>
      </c>
      <c r="J55" s="26" t="str">
        <f>IFERROR(H47*J56/2,"")</f>
        <v/>
      </c>
      <c r="L55" s="2" t="s">
        <v>135</v>
      </c>
      <c r="N55" s="26" t="str">
        <f>IF(F49="Motovario",INDEX(LrDirectDriveMotovario_MaxT,MATCH(1,INDEX((F45&lt;=LrDirectDriveMotovario_Speed)*(H51&lt;=LrDirectDriveMotovario_Hp)*(H47&lt;=LrDirectDriveMotovario_Ebp),0,0),0)),IF(F49="Dodge",INDEX(LrDirectDriveDodge_MaxT,MATCH(1,INDEX((F45&lt;=LrDirectDriveDodge_Speed)*(H51&lt;=LrDirectDriveDodge_Hp)*(H47&lt;=LrDirectDriveDodge_Ebp),0,0),0)),""))</f>
        <v/>
      </c>
      <c r="P55" s="327" t="str">
        <f>IFERROR(IF(AND(AND(F49&lt;&gt;"Motovario",F49&lt;&gt;"Dodge"),VALUE(RIGHT(R56,LEN(R56)-14))&lt;&gt;F45),"USE DD NOM SPD",""),"")</f>
        <v/>
      </c>
      <c r="Q55" s="328"/>
      <c r="R55" s="324" t="str">
        <f>IF(7-COUNTBLANK(P49:P55),"",IF(H49&gt;1100,"SOFT START REQUIRED",""))</f>
        <v/>
      </c>
      <c r="S55" s="325"/>
      <c r="T55" s="326"/>
      <c r="V55" s="38" t="s">
        <v>166</v>
      </c>
      <c r="W55" s="38" t="s">
        <v>132</v>
      </c>
      <c r="X55" s="38">
        <v>1.5</v>
      </c>
      <c r="Y55" s="38">
        <v>400</v>
      </c>
      <c r="Z55" s="34">
        <v>110</v>
      </c>
      <c r="AA55" s="82">
        <v>1026</v>
      </c>
      <c r="AB55" s="38">
        <v>7.5</v>
      </c>
      <c r="AC55" s="297" t="s">
        <v>177</v>
      </c>
      <c r="AD55" s="297"/>
      <c r="AE55" s="85" t="s">
        <v>178</v>
      </c>
    </row>
    <row r="56" spans="2:31" ht="13.5" customHeight="1" thickBot="1" x14ac:dyDescent="0.25">
      <c r="B56" s="294" t="s">
        <v>78</v>
      </c>
      <c r="C56" s="295"/>
      <c r="D56" s="262"/>
      <c r="E56" s="263"/>
      <c r="F56" s="263"/>
      <c r="G56" s="264"/>
      <c r="H56" s="12" t="s">
        <v>136</v>
      </c>
      <c r="I56" s="7"/>
      <c r="J56" s="27" t="str">
        <f>IFERROR(VALUE(LEFT(R49,SEARCH("CD",R49)-1))+1/2,"")</f>
        <v/>
      </c>
      <c r="K56" s="7"/>
      <c r="L56" s="17" t="s">
        <v>137</v>
      </c>
      <c r="M56" s="17"/>
      <c r="N56" s="43" t="str">
        <f>IFERROR(N55/J55,"")</f>
        <v/>
      </c>
      <c r="O56" s="7"/>
      <c r="P56" s="337" t="str">
        <f>IF(ISBLANK(F50),"NEED AP INFO",IF(ISBLANK(F52),"NEED SLUG LGTH",IF(ISBLANK(F53),"NEED SLAVE INFO","")))</f>
        <v>NEED AP INFO</v>
      </c>
      <c r="Q56" s="338"/>
      <c r="R56" s="330" t="str">
        <f>IF(6-COUNTBLANK(P49:P54),"",IF(F49="Motovario","DD NOM SPEED: "&amp;INDEX(LrDirectDriveMotovario_Speed,MATCH(1,INDEX((F45&lt;=LrDirectDriveMotovario_Speed)*(H51&lt;=LrDirectDriveMotovario_Hp)*(H47&lt;=LrDirectDriveMotovario_Ebp),0,0),0)),IF(F49="Dodge","DD NOM SPEED: "&amp;INDEX(LrDirectDriveDodge_Speed,MATCH(1,INDEX((F45&lt;=LrDirectDriveDodge_Speed)*(H51&lt;=LrDirectDriveDodge_Hp)*(H47&lt;=LrDirectDriveDodge_Ebp),0,0),0)),"")))</f>
        <v/>
      </c>
      <c r="S56" s="331"/>
      <c r="T56" s="332"/>
      <c r="V56" s="38" t="s">
        <v>179</v>
      </c>
      <c r="W56" s="38" t="s">
        <v>138</v>
      </c>
      <c r="X56" s="38">
        <v>1.5</v>
      </c>
      <c r="Y56" s="38">
        <v>60</v>
      </c>
      <c r="Z56" s="34">
        <v>500</v>
      </c>
      <c r="AA56" s="82">
        <v>3194</v>
      </c>
      <c r="AB56" s="38">
        <v>60</v>
      </c>
      <c r="AC56" s="289" t="s">
        <v>180</v>
      </c>
      <c r="AD56" s="289"/>
      <c r="AE56" s="86" t="s">
        <v>181</v>
      </c>
    </row>
    <row r="57" spans="2:31" ht="13.5" customHeight="1" thickBot="1" x14ac:dyDescent="0.25">
      <c r="V57" s="38" t="s">
        <v>179</v>
      </c>
      <c r="W57" s="38" t="s">
        <v>138</v>
      </c>
      <c r="X57" s="38">
        <v>1.5</v>
      </c>
      <c r="Y57" s="38">
        <v>100</v>
      </c>
      <c r="Z57" s="34">
        <v>375</v>
      </c>
      <c r="AA57" s="82">
        <v>2324</v>
      </c>
      <c r="AB57" s="38">
        <v>40</v>
      </c>
      <c r="AC57" s="288" t="s">
        <v>182</v>
      </c>
      <c r="AD57" s="288"/>
      <c r="AE57" s="87" t="s">
        <v>183</v>
      </c>
    </row>
    <row r="58" spans="2:31" ht="13.5" customHeight="1" x14ac:dyDescent="0.2">
      <c r="B58" s="39"/>
      <c r="C58" s="320"/>
      <c r="D58" s="320"/>
      <c r="E58" s="320"/>
      <c r="F58" s="28"/>
      <c r="G58" s="30"/>
      <c r="H58" s="13" t="s">
        <v>30</v>
      </c>
      <c r="I58" s="10" t="s">
        <v>10</v>
      </c>
      <c r="J58" s="4" t="s">
        <v>110</v>
      </c>
      <c r="K58" s="4" t="s">
        <v>14</v>
      </c>
      <c r="L58" s="4" t="s">
        <v>111</v>
      </c>
      <c r="M58" s="4" t="s">
        <v>14</v>
      </c>
      <c r="N58" s="4" t="s">
        <v>112</v>
      </c>
      <c r="O58" s="4" t="s">
        <v>12</v>
      </c>
      <c r="P58" s="4" t="s">
        <v>110</v>
      </c>
      <c r="Q58" s="4" t="s">
        <v>14</v>
      </c>
      <c r="R58" s="4" t="s">
        <v>113</v>
      </c>
      <c r="S58" s="4" t="s">
        <v>14</v>
      </c>
      <c r="T58" s="5" t="s">
        <v>112</v>
      </c>
      <c r="V58" s="38" t="s">
        <v>179</v>
      </c>
      <c r="W58" s="38" t="s">
        <v>138</v>
      </c>
      <c r="X58" s="38">
        <v>1.5</v>
      </c>
      <c r="Y58" s="38">
        <v>120</v>
      </c>
      <c r="Z58" s="34">
        <v>300</v>
      </c>
      <c r="AA58" s="82">
        <v>2417</v>
      </c>
      <c r="AB58" s="38">
        <v>30</v>
      </c>
      <c r="AC58" s="288" t="s">
        <v>184</v>
      </c>
      <c r="AD58" s="288"/>
      <c r="AE58" s="87" t="s">
        <v>185</v>
      </c>
    </row>
    <row r="59" spans="2:31" ht="13.5" customHeight="1" thickBot="1" x14ac:dyDescent="0.25">
      <c r="B59" s="16"/>
      <c r="C59" s="2" t="s">
        <v>5</v>
      </c>
      <c r="D59" s="59"/>
      <c r="E59" s="59"/>
      <c r="F59" s="59"/>
      <c r="G59" s="32"/>
      <c r="H59" s="15">
        <f>J59*L59*N59+P59*R59*T59</f>
        <v>0</v>
      </c>
      <c r="I59" s="20"/>
      <c r="J59" s="20">
        <f>IF(F62=0,$E$7,F62)</f>
        <v>25</v>
      </c>
      <c r="K59" s="20"/>
      <c r="L59" s="20">
        <f>F60</f>
        <v>0</v>
      </c>
      <c r="M59" s="20"/>
      <c r="N59" s="20">
        <v>2.1000000000000001E-2</v>
      </c>
      <c r="O59" s="20"/>
      <c r="P59" s="20">
        <f>J59</f>
        <v>25</v>
      </c>
      <c r="Q59" s="20"/>
      <c r="R59" s="20">
        <f>F68</f>
        <v>0</v>
      </c>
      <c r="S59" s="20"/>
      <c r="T59" s="11">
        <v>3.5000000000000003E-2</v>
      </c>
      <c r="V59" s="38" t="s">
        <v>179</v>
      </c>
      <c r="W59" s="38" t="s">
        <v>138</v>
      </c>
      <c r="X59" s="38">
        <v>1.5</v>
      </c>
      <c r="Y59" s="38">
        <v>150</v>
      </c>
      <c r="Z59" s="34">
        <v>255</v>
      </c>
      <c r="AA59" s="82">
        <v>2284</v>
      </c>
      <c r="AB59" s="38">
        <v>25</v>
      </c>
      <c r="AC59" s="288" t="s">
        <v>186</v>
      </c>
      <c r="AD59" s="288"/>
      <c r="AE59" s="87" t="s">
        <v>187</v>
      </c>
    </row>
    <row r="60" spans="2:31" ht="13.5" customHeight="1" thickBot="1" x14ac:dyDescent="0.25">
      <c r="B60" s="16"/>
      <c r="C60" s="321"/>
      <c r="D60" s="323" t="s">
        <v>111</v>
      </c>
      <c r="E60" s="244"/>
      <c r="F60" s="6"/>
      <c r="G60" s="32"/>
      <c r="H60" s="18" t="s">
        <v>31</v>
      </c>
      <c r="I60" s="9" t="s">
        <v>10</v>
      </c>
      <c r="J60" s="9" t="s">
        <v>111</v>
      </c>
      <c r="K60" s="9" t="s">
        <v>14</v>
      </c>
      <c r="L60" s="9" t="s">
        <v>115</v>
      </c>
      <c r="M60" s="9" t="s">
        <v>14</v>
      </c>
      <c r="N60" s="9" t="s">
        <v>116</v>
      </c>
      <c r="O60" s="9"/>
      <c r="P60" s="9"/>
      <c r="Q60" s="9"/>
      <c r="R60" s="9"/>
      <c r="S60" s="21"/>
      <c r="T60" s="40"/>
      <c r="V60" s="38" t="s">
        <v>188</v>
      </c>
      <c r="W60" s="38" t="s">
        <v>138</v>
      </c>
      <c r="X60" s="38">
        <v>2</v>
      </c>
      <c r="Y60" s="38">
        <v>80</v>
      </c>
      <c r="Z60" s="34">
        <v>600</v>
      </c>
      <c r="AA60" s="82">
        <v>3485</v>
      </c>
      <c r="AB60" s="38">
        <v>50</v>
      </c>
      <c r="AC60" s="289" t="s">
        <v>189</v>
      </c>
      <c r="AD60" s="289"/>
      <c r="AE60" s="86" t="s">
        <v>190</v>
      </c>
    </row>
    <row r="61" spans="2:31" ht="13.5" customHeight="1" thickBot="1" x14ac:dyDescent="0.25">
      <c r="B61" s="16"/>
      <c r="C61" s="322"/>
      <c r="D61" s="323" t="s">
        <v>8</v>
      </c>
      <c r="E61" s="244"/>
      <c r="F61" s="6"/>
      <c r="G61" s="32"/>
      <c r="H61" s="15" t="e">
        <f>J61*L61*N61</f>
        <v>#N/A</v>
      </c>
      <c r="I61" s="20"/>
      <c r="J61" s="20">
        <f>F60</f>
        <v>0</v>
      </c>
      <c r="K61" s="20"/>
      <c r="L61" s="20">
        <f>INDEX(LrCfRf,MATCH("CF",LrCfRf_Header,0),MATCH(F61,LrCfRf_Speed,-1))</f>
        <v>0.4</v>
      </c>
      <c r="M61" s="20"/>
      <c r="N61" s="20" t="e">
        <f>INDEX(LrCfRf,MATCH("RLR "&amp;F63,LrCfRf_Header,0),MATCH(F61,LrCfRf_Speed,-1))</f>
        <v>#N/A</v>
      </c>
      <c r="O61" s="20"/>
      <c r="P61" s="20"/>
      <c r="Q61" s="20"/>
      <c r="R61" s="20"/>
      <c r="S61" s="20"/>
      <c r="T61" s="41"/>
      <c r="V61" s="38" t="s">
        <v>188</v>
      </c>
      <c r="W61" s="38" t="s">
        <v>138</v>
      </c>
      <c r="X61" s="38">
        <v>2</v>
      </c>
      <c r="Y61" s="38">
        <v>100</v>
      </c>
      <c r="Z61" s="34">
        <v>460</v>
      </c>
      <c r="AA61" s="82">
        <v>3622</v>
      </c>
      <c r="AB61" s="38">
        <v>40</v>
      </c>
      <c r="AC61" s="289" t="s">
        <v>191</v>
      </c>
      <c r="AD61" s="289"/>
      <c r="AE61" s="86" t="s">
        <v>192</v>
      </c>
    </row>
    <row r="62" spans="2:31" ht="13.5" customHeight="1" thickBot="1" x14ac:dyDescent="0.25">
      <c r="B62" s="16"/>
      <c r="C62" s="243" t="s">
        <v>24</v>
      </c>
      <c r="D62" s="243"/>
      <c r="E62" s="243"/>
      <c r="F62" s="6"/>
      <c r="G62" s="32"/>
      <c r="H62" s="14" t="s">
        <v>58</v>
      </c>
      <c r="I62" s="3" t="s">
        <v>10</v>
      </c>
      <c r="J62" s="3" t="s">
        <v>119</v>
      </c>
      <c r="K62" s="3" t="s">
        <v>14</v>
      </c>
      <c r="L62" s="3" t="s">
        <v>61</v>
      </c>
      <c r="M62" s="3" t="s">
        <v>12</v>
      </c>
      <c r="N62" s="3" t="s">
        <v>57</v>
      </c>
      <c r="T62" s="32"/>
      <c r="V62" s="38" t="s">
        <v>188</v>
      </c>
      <c r="W62" s="38" t="s">
        <v>138</v>
      </c>
      <c r="X62" s="38">
        <v>2</v>
      </c>
      <c r="Y62" s="38">
        <v>120</v>
      </c>
      <c r="Z62" s="34">
        <v>400</v>
      </c>
      <c r="AA62" s="82">
        <v>2417</v>
      </c>
      <c r="AB62" s="38">
        <v>30</v>
      </c>
      <c r="AC62" s="288" t="s">
        <v>193</v>
      </c>
      <c r="AD62" s="288"/>
      <c r="AE62" s="87" t="s">
        <v>185</v>
      </c>
    </row>
    <row r="63" spans="2:31" ht="13.5" customHeight="1" thickBot="1" x14ac:dyDescent="0.25">
      <c r="B63" s="16"/>
      <c r="C63" s="243" t="s">
        <v>47</v>
      </c>
      <c r="D63" s="243"/>
      <c r="E63" s="243"/>
      <c r="F63" s="6"/>
      <c r="G63" s="32"/>
      <c r="H63" s="15" t="e">
        <f>J63*L63+N63</f>
        <v>#N/A</v>
      </c>
      <c r="I63" s="20"/>
      <c r="J63" s="20" t="e">
        <f>H59+H61</f>
        <v>#N/A</v>
      </c>
      <c r="K63" s="20"/>
      <c r="L63" s="20">
        <f>IF(F66="Y",1.33*1.1,1.33)</f>
        <v>1.33</v>
      </c>
      <c r="M63" s="20"/>
      <c r="N63" s="20">
        <f>F69</f>
        <v>0</v>
      </c>
      <c r="O63" s="20"/>
      <c r="P63" s="26"/>
      <c r="Q63" s="26"/>
      <c r="R63" s="26"/>
      <c r="S63" s="26"/>
      <c r="T63" s="22"/>
      <c r="V63" s="38" t="s">
        <v>188</v>
      </c>
      <c r="W63" s="38" t="s">
        <v>138</v>
      </c>
      <c r="X63" s="38">
        <v>2</v>
      </c>
      <c r="Y63" s="38">
        <v>150</v>
      </c>
      <c r="Z63" s="34">
        <v>340</v>
      </c>
      <c r="AA63" s="82">
        <v>2284</v>
      </c>
      <c r="AB63" s="38">
        <v>25</v>
      </c>
      <c r="AC63" s="288" t="s">
        <v>194</v>
      </c>
      <c r="AD63" s="288"/>
      <c r="AE63" s="87" t="s">
        <v>187</v>
      </c>
    </row>
    <row r="64" spans="2:31" ht="13.5" customHeight="1" thickBot="1" x14ac:dyDescent="0.25">
      <c r="B64" s="16"/>
      <c r="C64" s="245"/>
      <c r="D64" s="245"/>
      <c r="E64" s="245"/>
      <c r="G64" s="32"/>
      <c r="H64" s="14" t="s">
        <v>122</v>
      </c>
      <c r="I64" s="3" t="s">
        <v>10</v>
      </c>
      <c r="J64" s="3" t="s">
        <v>111</v>
      </c>
      <c r="K64" s="3" t="s">
        <v>14</v>
      </c>
      <c r="L64" s="3" t="s">
        <v>123</v>
      </c>
      <c r="M64" s="3"/>
      <c r="N64" s="3"/>
      <c r="P64" s="298" t="s">
        <v>50</v>
      </c>
      <c r="Q64" s="299"/>
      <c r="R64" s="300" t="s">
        <v>51</v>
      </c>
      <c r="S64" s="301"/>
      <c r="T64" s="302"/>
      <c r="V64" s="38" t="s">
        <v>188</v>
      </c>
      <c r="W64" s="38" t="s">
        <v>138</v>
      </c>
      <c r="X64" s="38">
        <v>2</v>
      </c>
      <c r="Y64" s="38">
        <v>200</v>
      </c>
      <c r="Z64" s="34">
        <v>280</v>
      </c>
      <c r="AA64" s="82">
        <v>2345</v>
      </c>
      <c r="AB64" s="38">
        <v>20</v>
      </c>
      <c r="AC64" s="288" t="s">
        <v>195</v>
      </c>
      <c r="AD64" s="288"/>
      <c r="AE64" s="87" t="s">
        <v>196</v>
      </c>
    </row>
    <row r="65" spans="2:31" ht="13.5" customHeight="1" thickBot="1" x14ac:dyDescent="0.25">
      <c r="B65" s="16"/>
      <c r="C65" s="243" t="s">
        <v>124</v>
      </c>
      <c r="D65" s="243"/>
      <c r="E65" s="243"/>
      <c r="F65" s="1"/>
      <c r="G65" s="32"/>
      <c r="H65" s="15">
        <f>J65*L65</f>
        <v>0</v>
      </c>
      <c r="I65" s="20"/>
      <c r="J65" s="20">
        <f>F60</f>
        <v>0</v>
      </c>
      <c r="K65" s="20"/>
      <c r="L65" s="20">
        <f>INDEX(LrCfRf,MATCH("HSBP",LrCfRf_Header,0),MATCH(F61,LrCfRf_Speed,-1))</f>
        <v>6</v>
      </c>
      <c r="M65" s="20"/>
      <c r="N65" s="20"/>
      <c r="O65" s="20"/>
      <c r="P65" s="303" t="str">
        <f>IF(ISBLANK(F60),"NEED LENGTH",IF(F60&gt;200,"TOO LONG",""))</f>
        <v>NEED LENGTH</v>
      </c>
      <c r="Q65" s="304"/>
      <c r="R65" s="305" t="str">
        <f>IF(7-COUNTBLANK(P65:P71),"",IF(F65="Motovario",INDEX(LrDirectDriveMotovario_Cd,MATCH(1,INDEX((F61&lt;=LrDirectDriveMotovario_Speed)*(H67&lt;=LrDirectDriveMotovario_Hp)*(H63&lt;=LrDirectDriveMotovario_Ebp),0,0),0))&amp;" DIRECT DRIVE",IF(F65="Dodge",INDEX(LrDirectDriveDodge_Cd,MATCH(1,INDEX((F61&lt;=LrDirectDriveDodge_Speed)*(H67&lt;=LrDirectDriveDodge_Hp)*(H63&lt;=LrDirectDriveDodge_Ebp),0,0),0))&amp;" DIRECT DRIVE",INDEX(LrDriveCap_Cd,MATCH(1,INDEX((H63&lt;=LrDriveCap_Ebp)*(H67&lt;=LrDriveCap_Hp)*((F69&lt;&gt;0)=LrDriveCap_Slave)*(F60&lt;=LrDriveCap_Length),0,0),0)))))</f>
        <v/>
      </c>
      <c r="S65" s="306"/>
      <c r="T65" s="307"/>
      <c r="V65" s="38" t="s">
        <v>188</v>
      </c>
      <c r="W65" s="38" t="s">
        <v>138</v>
      </c>
      <c r="X65" s="38">
        <v>2</v>
      </c>
      <c r="Y65" s="38">
        <v>260</v>
      </c>
      <c r="Z65" s="38">
        <v>210</v>
      </c>
      <c r="AA65" s="82">
        <v>2371</v>
      </c>
      <c r="AB65" s="38">
        <v>15</v>
      </c>
      <c r="AC65" s="288" t="s">
        <v>197</v>
      </c>
      <c r="AD65" s="288"/>
      <c r="AE65" s="87" t="s">
        <v>198</v>
      </c>
    </row>
    <row r="66" spans="2:31" ht="13.5" customHeight="1" thickBot="1" x14ac:dyDescent="0.25">
      <c r="B66" s="16"/>
      <c r="C66" s="241" t="s">
        <v>125</v>
      </c>
      <c r="D66" s="241"/>
      <c r="E66" s="241"/>
      <c r="F66" s="1"/>
      <c r="G66" s="32"/>
      <c r="H66" s="18" t="s">
        <v>74</v>
      </c>
      <c r="I66" s="9" t="s">
        <v>10</v>
      </c>
      <c r="J66" s="9" t="s">
        <v>58</v>
      </c>
      <c r="K66" s="9" t="s">
        <v>14</v>
      </c>
      <c r="L66" s="9" t="s">
        <v>8</v>
      </c>
      <c r="M66" s="9" t="s">
        <v>75</v>
      </c>
      <c r="N66" s="19" t="s">
        <v>76</v>
      </c>
      <c r="O66" s="9"/>
      <c r="P66" s="327" t="str">
        <f>IF(ISBLANK(F61),"NEED SPEED","")</f>
        <v>NEED SPEED</v>
      </c>
      <c r="Q66" s="328"/>
      <c r="R66" s="324" t="str">
        <f>IF(7-COUNTBLANK(P65:P71),"",IF(F65="Motovario",INDEX(LrDirectDriveMotovario_Hp,MATCH(1,INDEX((F61&lt;=LrDirectDriveMotovario_Speed)*(H67&lt;=LrDirectDriveMotovario_Hp)*(H63&lt;=LrDirectDriveMotovario_Ebp),0,0),0)),IF(F65="Dodge",INDEX(LrDirectDriveDodge_Hp,MATCH(1,INDEX((F61&lt;=LrDirectDriveDodge_Speed)*(H67&lt;=LrDirectDriveDodge_Hp)*(H63&lt;=LrDirectDriveDodge_Ebp),0,0),0)),INDEX(LrDriveCap_Hp,MATCH(1,INDEX((H63&lt;=LrDriveCap_Ebp)*(H67&lt;=LrDriveCap_Hp)*((F69&lt;&gt;0)=LrDriveCap_Slave)*(F60&lt;=LrDriveCap_Length),0,0),0))))&amp;" HP")</f>
        <v/>
      </c>
      <c r="S66" s="325"/>
      <c r="T66" s="326"/>
      <c r="V66" s="38" t="s">
        <v>188</v>
      </c>
      <c r="W66" s="38" t="s">
        <v>138</v>
      </c>
      <c r="X66" s="38">
        <v>2</v>
      </c>
      <c r="Y66" s="38">
        <v>400</v>
      </c>
      <c r="Z66" s="38">
        <v>150</v>
      </c>
      <c r="AA66" s="82">
        <v>2347</v>
      </c>
      <c r="AB66" s="38">
        <v>10</v>
      </c>
      <c r="AC66" s="288" t="s">
        <v>199</v>
      </c>
      <c r="AD66" s="288"/>
      <c r="AE66" s="87" t="s">
        <v>200</v>
      </c>
    </row>
    <row r="67" spans="2:31" ht="13.5" customHeight="1" thickBot="1" x14ac:dyDescent="0.25">
      <c r="B67" s="16"/>
      <c r="G67" s="32"/>
      <c r="H67" s="15" t="e">
        <f>J67*L67/N67</f>
        <v>#N/A</v>
      </c>
      <c r="I67" s="20"/>
      <c r="J67" s="20" t="e">
        <f>H63</f>
        <v>#N/A</v>
      </c>
      <c r="K67" s="20"/>
      <c r="L67" s="20">
        <f>F61</f>
        <v>0</v>
      </c>
      <c r="M67" s="20"/>
      <c r="N67" s="8">
        <v>31350</v>
      </c>
      <c r="O67" s="20"/>
      <c r="P67" s="327" t="str">
        <f>IF(AND(ISBLANK($E$7),ISBLANK(F62)),"NEED LIVE LOAD","")</f>
        <v/>
      </c>
      <c r="Q67" s="328"/>
      <c r="R67" s="54" t="str">
        <f>IF(7-COUNTBLANK(P65:P71),"",IF(NOT(ISERROR(H63)),MAX(2,H63/200,IF(OR(AND(F60&gt;100,F69=0),AND(F60&gt;80,F69&lt;&gt;0)),3,0)),""))</f>
        <v/>
      </c>
      <c r="S67" s="324" t="str">
        <f>IF(7-COUNTBLANK(P65:P71),"","LONG SPRINGS")</f>
        <v/>
      </c>
      <c r="T67" s="326"/>
      <c r="V67" s="38" t="s">
        <v>201</v>
      </c>
      <c r="W67" s="38" t="s">
        <v>138</v>
      </c>
      <c r="X67" s="38">
        <v>3</v>
      </c>
      <c r="Y67" s="38">
        <v>120</v>
      </c>
      <c r="Z67" s="38">
        <v>600</v>
      </c>
      <c r="AA67" s="82">
        <v>3682</v>
      </c>
      <c r="AB67" s="38">
        <v>30</v>
      </c>
      <c r="AC67" s="289" t="s">
        <v>202</v>
      </c>
      <c r="AD67" s="289"/>
      <c r="AE67" s="86" t="s">
        <v>203</v>
      </c>
    </row>
    <row r="68" spans="2:31" ht="13.5" customHeight="1" thickBot="1" x14ac:dyDescent="0.25">
      <c r="B68" s="16"/>
      <c r="C68" s="243" t="s">
        <v>113</v>
      </c>
      <c r="D68" s="243"/>
      <c r="E68" s="243"/>
      <c r="F68" s="6"/>
      <c r="G68" s="32"/>
      <c r="H68" s="42"/>
      <c r="I68" s="21"/>
      <c r="J68" s="21"/>
      <c r="K68" s="21"/>
      <c r="L68" s="21"/>
      <c r="M68" s="21"/>
      <c r="N68" s="21"/>
      <c r="O68" s="40"/>
      <c r="P68" s="327" t="str">
        <f>IF(ISBLANK(F63),"NEED RLR CENT","")</f>
        <v>NEED RLR CENT</v>
      </c>
      <c r="Q68" s="328"/>
      <c r="R68" s="54" t="str">
        <f>IF(7-COUNTBLANK(P65:P71),"",IF(H63&lt;&gt;0,MAX(2,H63/160,IF(OR(AND(F60&gt;100,F69=0),AND(F60&gt;80,F69&lt;&gt;0)),3,0)),""))</f>
        <v/>
      </c>
      <c r="S68" s="324" t="str">
        <f>IF(7-COUNTBLANK(P65:P71),"","SHRT SPRINGS")</f>
        <v/>
      </c>
      <c r="T68" s="326"/>
      <c r="V68" s="38" t="s">
        <v>201</v>
      </c>
      <c r="W68" s="38" t="s">
        <v>138</v>
      </c>
      <c r="X68" s="38">
        <v>3</v>
      </c>
      <c r="Y68" s="38">
        <v>150</v>
      </c>
      <c r="Z68" s="38">
        <v>520</v>
      </c>
      <c r="AA68" s="82">
        <v>3586</v>
      </c>
      <c r="AB68" s="38">
        <v>25</v>
      </c>
      <c r="AC68" s="289" t="s">
        <v>204</v>
      </c>
      <c r="AD68" s="289"/>
      <c r="AE68" s="86" t="s">
        <v>205</v>
      </c>
    </row>
    <row r="69" spans="2:31" ht="13.5" customHeight="1" thickBot="1" x14ac:dyDescent="0.25">
      <c r="B69" s="16"/>
      <c r="C69" s="243" t="s">
        <v>131</v>
      </c>
      <c r="D69" s="243"/>
      <c r="E69" s="243"/>
      <c r="F69" s="6"/>
      <c r="G69" s="32"/>
      <c r="H69" s="56"/>
      <c r="I69" s="57"/>
      <c r="J69" s="57"/>
      <c r="K69" s="57"/>
      <c r="L69" s="57"/>
      <c r="M69" s="57"/>
      <c r="N69" s="57"/>
      <c r="O69" s="58"/>
      <c r="P69" s="327" t="str">
        <f>IFERROR(IF(H67&gt;MAX(LrDriveCap_Hp),"EXCEEDS MAX HP",""),"")</f>
        <v/>
      </c>
      <c r="Q69" s="328"/>
      <c r="R69" s="324" t="str">
        <f>IF(7-COUNTBLANK(P65:P71),"",IF(H63&gt;600,"6IN ENTRY TE REQUIRED",""))</f>
        <v/>
      </c>
      <c r="S69" s="325"/>
      <c r="T69" s="326"/>
      <c r="V69" s="38" t="s">
        <v>201</v>
      </c>
      <c r="W69" s="38" t="s">
        <v>138</v>
      </c>
      <c r="X69" s="38">
        <v>3</v>
      </c>
      <c r="Y69" s="38">
        <v>200</v>
      </c>
      <c r="Z69" s="38">
        <v>415</v>
      </c>
      <c r="AA69" s="82">
        <v>2345</v>
      </c>
      <c r="AB69" s="38">
        <v>20</v>
      </c>
      <c r="AC69" s="288" t="s">
        <v>206</v>
      </c>
      <c r="AD69" s="288"/>
      <c r="AE69" s="87" t="s">
        <v>207</v>
      </c>
    </row>
    <row r="70" spans="2:31" ht="13.5" customHeight="1" x14ac:dyDescent="0.2">
      <c r="B70" s="16"/>
      <c r="C70" s="240"/>
      <c r="D70" s="240"/>
      <c r="E70" s="240"/>
      <c r="G70" s="32"/>
      <c r="H70" s="290" t="s">
        <v>133</v>
      </c>
      <c r="I70" s="291"/>
      <c r="J70" s="291"/>
      <c r="K70" s="291"/>
      <c r="L70" s="291"/>
      <c r="M70" s="291"/>
      <c r="N70" s="291"/>
      <c r="O70" s="292"/>
      <c r="P70" s="327" t="str">
        <f>IFERROR(IF(H63&gt;MAX(LrDriveCap_Ebp),"EXCEEDS MAX EBP",""),"")</f>
        <v/>
      </c>
      <c r="Q70" s="328"/>
      <c r="R70" s="324"/>
      <c r="S70" s="325"/>
      <c r="T70" s="326"/>
      <c r="V70" s="38" t="s">
        <v>201</v>
      </c>
      <c r="W70" s="38" t="s">
        <v>138</v>
      </c>
      <c r="X70" s="38">
        <v>3</v>
      </c>
      <c r="Y70" s="38">
        <v>260</v>
      </c>
      <c r="Z70" s="38">
        <v>320</v>
      </c>
      <c r="AA70" s="82">
        <v>2371</v>
      </c>
      <c r="AB70" s="38">
        <v>15</v>
      </c>
      <c r="AC70" s="288" t="s">
        <v>208</v>
      </c>
      <c r="AD70" s="288"/>
      <c r="AE70" s="87" t="s">
        <v>209</v>
      </c>
    </row>
    <row r="71" spans="2:31" ht="13.5" customHeight="1" thickBot="1" x14ac:dyDescent="0.25">
      <c r="B71" s="12"/>
      <c r="C71" s="293"/>
      <c r="D71" s="293"/>
      <c r="E71" s="293"/>
      <c r="F71" s="7"/>
      <c r="G71" s="37"/>
      <c r="H71" s="16" t="s">
        <v>134</v>
      </c>
      <c r="J71" s="26" t="str">
        <f>IFERROR(H63*J72/2,"")</f>
        <v/>
      </c>
      <c r="L71" s="2" t="s">
        <v>135</v>
      </c>
      <c r="N71" s="26" t="str">
        <f>IF(F65="Motovario",INDEX(LrDirectDriveMotovario_MaxT,MATCH(1,INDEX((F61&lt;=LrDirectDriveMotovario_Speed)*(H67&lt;=LrDirectDriveMotovario_Hp)*(H63&lt;=LrDirectDriveMotovario_Ebp),0,0),0)),IF(F65="Dodge",INDEX(LrDirectDriveDodge_MaxT,MATCH(1,INDEX((F61&lt;=LrDirectDriveDodge_Speed)*(H67&lt;=LrDirectDriveDodge_Hp)*(H63&lt;=LrDirectDriveDodge_Ebp),0,0),0)),""))</f>
        <v/>
      </c>
      <c r="P71" s="327" t="str">
        <f>IFERROR(IF(AND(AND(F65&lt;&gt;"Motovario",F65&lt;&gt;"Dodge"),VALUE(RIGHT(R72,LEN(R72)-14))&lt;&gt;F61),"USE DD NOM SPD",""),"")</f>
        <v/>
      </c>
      <c r="Q71" s="328"/>
      <c r="R71" s="324" t="str">
        <f>IF(7-COUNTBLANK(P65:P71),"",IF(H65&gt;1100,"SOFT START REQUIRED",""))</f>
        <v/>
      </c>
      <c r="S71" s="325"/>
      <c r="T71" s="326"/>
      <c r="V71" s="38" t="s">
        <v>201</v>
      </c>
      <c r="W71" s="38" t="s">
        <v>138</v>
      </c>
      <c r="X71" s="38">
        <v>3</v>
      </c>
      <c r="Y71" s="38">
        <v>400</v>
      </c>
      <c r="Z71" s="38">
        <v>220</v>
      </c>
      <c r="AA71" s="82">
        <v>2347</v>
      </c>
      <c r="AB71" s="38">
        <v>10</v>
      </c>
      <c r="AC71" s="288" t="s">
        <v>210</v>
      </c>
      <c r="AD71" s="288"/>
      <c r="AE71" s="87" t="s">
        <v>211</v>
      </c>
    </row>
    <row r="72" spans="2:31" ht="13.5" customHeight="1" thickBot="1" x14ac:dyDescent="0.25">
      <c r="B72" s="294" t="s">
        <v>78</v>
      </c>
      <c r="C72" s="295"/>
      <c r="D72" s="262"/>
      <c r="E72" s="263"/>
      <c r="F72" s="263"/>
      <c r="G72" s="264"/>
      <c r="H72" s="12" t="s">
        <v>136</v>
      </c>
      <c r="I72" s="7"/>
      <c r="J72" s="27" t="str">
        <f>IFERROR(VALUE(LEFT(R65,SEARCH("CD",R65)-1))+1/2,"")</f>
        <v/>
      </c>
      <c r="K72" s="7"/>
      <c r="L72" s="17" t="s">
        <v>137</v>
      </c>
      <c r="M72" s="17"/>
      <c r="N72" s="43" t="str">
        <f>IFERROR(N71/J71,"")</f>
        <v/>
      </c>
      <c r="O72" s="7"/>
      <c r="P72" s="337" t="str">
        <f>IF(ISBLANK(F66),"NEED AP INFO",IF(ISBLANK(F68),"NEED SLUG LGTH",IF(ISBLANK(F69),"NEED SLAVE INFO","")))</f>
        <v>NEED AP INFO</v>
      </c>
      <c r="Q72" s="338"/>
      <c r="R72" s="330" t="str">
        <f>IF(6-COUNTBLANK(P65:P70),"",IF(F65="Motovario","DD NOM SPEED: "&amp;INDEX(LrDirectDriveMotovario_Speed,MATCH(1,INDEX((F61&lt;=LrDirectDriveMotovario_Speed)*(H67&lt;=LrDirectDriveMotovario_Hp)*(H63&lt;=LrDirectDriveMotovario_Ebp),0,0),0)),IF(F65="Dodge","DD NOM SPEED: "&amp;INDEX(LrDirectDriveDodge_Speed,MATCH(1,INDEX((F61&lt;=LrDirectDriveDodge_Speed)*(H67&lt;=LrDirectDriveDodge_Hp)*(H63&lt;=LrDirectDriveDodge_Ebp),0,0),0)),"")))</f>
        <v/>
      </c>
      <c r="S72" s="331"/>
      <c r="T72" s="332"/>
      <c r="V72" s="38" t="s">
        <v>212</v>
      </c>
      <c r="W72" s="38" t="s">
        <v>139</v>
      </c>
      <c r="X72" s="38">
        <v>2</v>
      </c>
      <c r="Y72" s="38">
        <v>100</v>
      </c>
      <c r="Z72" s="38">
        <v>490</v>
      </c>
      <c r="AA72" s="82">
        <v>3485</v>
      </c>
      <c r="AB72" s="38">
        <v>50</v>
      </c>
      <c r="AC72" s="289" t="s">
        <v>189</v>
      </c>
      <c r="AD72" s="289"/>
      <c r="AE72" s="86" t="s">
        <v>190</v>
      </c>
    </row>
    <row r="73" spans="2:31" ht="13.5" customHeight="1" thickBot="1" x14ac:dyDescent="0.25">
      <c r="V73" s="38" t="s">
        <v>212</v>
      </c>
      <c r="W73" s="38" t="s">
        <v>139</v>
      </c>
      <c r="X73" s="38">
        <v>2</v>
      </c>
      <c r="Y73" s="38">
        <v>120</v>
      </c>
      <c r="Z73" s="38">
        <v>410</v>
      </c>
      <c r="AA73" s="82">
        <v>3622</v>
      </c>
      <c r="AB73" s="38">
        <v>40</v>
      </c>
      <c r="AC73" s="289" t="s">
        <v>191</v>
      </c>
      <c r="AD73" s="289"/>
      <c r="AE73" s="86" t="s">
        <v>192</v>
      </c>
    </row>
    <row r="74" spans="2:31" ht="13.5" customHeight="1" x14ac:dyDescent="0.2">
      <c r="B74" s="39"/>
      <c r="C74" s="320"/>
      <c r="D74" s="320"/>
      <c r="E74" s="320"/>
      <c r="F74" s="28"/>
      <c r="G74" s="30"/>
      <c r="H74" s="13" t="s">
        <v>30</v>
      </c>
      <c r="I74" s="10" t="s">
        <v>10</v>
      </c>
      <c r="J74" s="4" t="s">
        <v>110</v>
      </c>
      <c r="K74" s="4" t="s">
        <v>14</v>
      </c>
      <c r="L74" s="4" t="s">
        <v>111</v>
      </c>
      <c r="M74" s="4" t="s">
        <v>14</v>
      </c>
      <c r="N74" s="4" t="s">
        <v>112</v>
      </c>
      <c r="O74" s="4" t="s">
        <v>12</v>
      </c>
      <c r="P74" s="4" t="s">
        <v>110</v>
      </c>
      <c r="Q74" s="4" t="s">
        <v>14</v>
      </c>
      <c r="R74" s="4" t="s">
        <v>113</v>
      </c>
      <c r="S74" s="4" t="s">
        <v>14</v>
      </c>
      <c r="T74" s="5" t="s">
        <v>112</v>
      </c>
      <c r="V74" s="38" t="s">
        <v>213</v>
      </c>
      <c r="W74" s="38" t="s">
        <v>139</v>
      </c>
      <c r="X74" s="38">
        <v>3</v>
      </c>
      <c r="Y74" s="38">
        <v>150</v>
      </c>
      <c r="Z74" s="38">
        <v>500</v>
      </c>
      <c r="AA74" s="82">
        <v>3682</v>
      </c>
      <c r="AB74" s="38">
        <v>30</v>
      </c>
      <c r="AC74" s="289" t="s">
        <v>202</v>
      </c>
      <c r="AD74" s="289"/>
      <c r="AE74" s="86" t="s">
        <v>203</v>
      </c>
    </row>
    <row r="75" spans="2:31" ht="13.5" customHeight="1" thickBot="1" x14ac:dyDescent="0.25">
      <c r="B75" s="16"/>
      <c r="C75" s="2" t="s">
        <v>5</v>
      </c>
      <c r="D75" s="59"/>
      <c r="E75" s="59"/>
      <c r="F75" s="59"/>
      <c r="G75" s="32"/>
      <c r="H75" s="15">
        <f>J75*L75*N75+P75*R75*T75</f>
        <v>0</v>
      </c>
      <c r="I75" s="20"/>
      <c r="J75" s="20">
        <f>IF(F78=0,$E$7,F78)</f>
        <v>25</v>
      </c>
      <c r="K75" s="20"/>
      <c r="L75" s="20">
        <f>F76</f>
        <v>0</v>
      </c>
      <c r="M75" s="20"/>
      <c r="N75" s="20">
        <v>2.1000000000000001E-2</v>
      </c>
      <c r="O75" s="20"/>
      <c r="P75" s="20">
        <f>J75</f>
        <v>25</v>
      </c>
      <c r="Q75" s="20"/>
      <c r="R75" s="20">
        <f>F84</f>
        <v>0</v>
      </c>
      <c r="S75" s="20"/>
      <c r="T75" s="11">
        <v>3.5000000000000003E-2</v>
      </c>
      <c r="V75" s="38" t="s">
        <v>213</v>
      </c>
      <c r="W75" s="38" t="s">
        <v>139</v>
      </c>
      <c r="X75" s="38">
        <v>3</v>
      </c>
      <c r="Y75" s="38">
        <v>200</v>
      </c>
      <c r="Z75" s="38">
        <v>430</v>
      </c>
      <c r="AA75" s="82">
        <v>3586</v>
      </c>
      <c r="AB75" s="38">
        <v>25</v>
      </c>
      <c r="AC75" s="289" t="s">
        <v>204</v>
      </c>
      <c r="AD75" s="289"/>
      <c r="AE75" s="86" t="s">
        <v>205</v>
      </c>
    </row>
    <row r="76" spans="2:31" ht="13.5" customHeight="1" thickBot="1" x14ac:dyDescent="0.25">
      <c r="B76" s="16"/>
      <c r="C76" s="321"/>
      <c r="D76" s="323" t="s">
        <v>111</v>
      </c>
      <c r="E76" s="244"/>
      <c r="F76" s="6"/>
      <c r="G76" s="32"/>
      <c r="H76" s="18" t="s">
        <v>31</v>
      </c>
      <c r="I76" s="9" t="s">
        <v>10</v>
      </c>
      <c r="J76" s="9" t="s">
        <v>111</v>
      </c>
      <c r="K76" s="9" t="s">
        <v>14</v>
      </c>
      <c r="L76" s="9" t="s">
        <v>115</v>
      </c>
      <c r="M76" s="9" t="s">
        <v>14</v>
      </c>
      <c r="N76" s="9" t="s">
        <v>116</v>
      </c>
      <c r="O76" s="9"/>
      <c r="P76" s="9"/>
      <c r="Q76" s="9"/>
      <c r="R76" s="9"/>
      <c r="S76" s="21"/>
      <c r="T76" s="40"/>
      <c r="V76" s="38" t="s">
        <v>213</v>
      </c>
      <c r="W76" s="38" t="s">
        <v>139</v>
      </c>
      <c r="X76" s="38">
        <v>3</v>
      </c>
      <c r="Y76" s="38">
        <v>240</v>
      </c>
      <c r="Z76" s="38">
        <v>340</v>
      </c>
      <c r="AA76" s="82">
        <v>2345</v>
      </c>
      <c r="AB76" s="38">
        <v>20</v>
      </c>
      <c r="AC76" s="288" t="s">
        <v>206</v>
      </c>
      <c r="AD76" s="288"/>
      <c r="AE76" s="87" t="s">
        <v>207</v>
      </c>
    </row>
    <row r="77" spans="2:31" ht="13.5" customHeight="1" thickBot="1" x14ac:dyDescent="0.25">
      <c r="B77" s="16"/>
      <c r="C77" s="322"/>
      <c r="D77" s="323" t="s">
        <v>8</v>
      </c>
      <c r="E77" s="244"/>
      <c r="F77" s="6"/>
      <c r="G77" s="32"/>
      <c r="H77" s="15" t="e">
        <f>J77*L77*N77</f>
        <v>#N/A</v>
      </c>
      <c r="I77" s="20"/>
      <c r="J77" s="20">
        <f>F76</f>
        <v>0</v>
      </c>
      <c r="K77" s="20"/>
      <c r="L77" s="20">
        <f>INDEX(LrCfRf,MATCH("CF",LrCfRf_Header,0),MATCH(F77,LrCfRf_Speed,-1))</f>
        <v>0.4</v>
      </c>
      <c r="M77" s="20"/>
      <c r="N77" s="20" t="e">
        <f>INDEX(LrCfRf,MATCH("RLR "&amp;F79,LrCfRf_Header,0),MATCH(F77,LrCfRf_Speed,-1))</f>
        <v>#N/A</v>
      </c>
      <c r="O77" s="20"/>
      <c r="P77" s="20"/>
      <c r="Q77" s="20"/>
      <c r="R77" s="20"/>
      <c r="S77" s="20"/>
      <c r="T77" s="41"/>
      <c r="V77" s="38" t="s">
        <v>213</v>
      </c>
      <c r="W77" s="38" t="s">
        <v>139</v>
      </c>
      <c r="X77" s="38">
        <v>3</v>
      </c>
      <c r="Y77" s="38">
        <v>260</v>
      </c>
      <c r="Z77" s="38">
        <v>260</v>
      </c>
      <c r="AA77" s="82">
        <v>2371</v>
      </c>
      <c r="AB77" s="38">
        <v>15</v>
      </c>
      <c r="AC77" s="288" t="s">
        <v>208</v>
      </c>
      <c r="AD77" s="288"/>
      <c r="AE77" s="87" t="s">
        <v>209</v>
      </c>
    </row>
    <row r="78" spans="2:31" ht="13.5" customHeight="1" thickBot="1" x14ac:dyDescent="0.25">
      <c r="B78" s="16"/>
      <c r="C78" s="243" t="s">
        <v>24</v>
      </c>
      <c r="D78" s="243"/>
      <c r="E78" s="243"/>
      <c r="F78" s="6"/>
      <c r="G78" s="32"/>
      <c r="H78" s="14" t="s">
        <v>58</v>
      </c>
      <c r="I78" s="3" t="s">
        <v>10</v>
      </c>
      <c r="J78" s="3" t="s">
        <v>119</v>
      </c>
      <c r="K78" s="3" t="s">
        <v>14</v>
      </c>
      <c r="L78" s="3" t="s">
        <v>61</v>
      </c>
      <c r="M78" s="3" t="s">
        <v>12</v>
      </c>
      <c r="N78" s="3" t="s">
        <v>57</v>
      </c>
      <c r="T78" s="32"/>
      <c r="V78" s="38" t="s">
        <v>213</v>
      </c>
      <c r="W78" s="38" t="s">
        <v>139</v>
      </c>
      <c r="X78" s="38">
        <v>3</v>
      </c>
      <c r="Y78" s="38">
        <v>400</v>
      </c>
      <c r="Z78" s="38">
        <v>180</v>
      </c>
      <c r="AA78" s="82">
        <v>2347</v>
      </c>
      <c r="AB78" s="38">
        <v>10</v>
      </c>
      <c r="AC78" s="288" t="s">
        <v>210</v>
      </c>
      <c r="AD78" s="288"/>
      <c r="AE78" s="87" t="s">
        <v>211</v>
      </c>
    </row>
    <row r="79" spans="2:31" ht="13.5" customHeight="1" thickBot="1" x14ac:dyDescent="0.25">
      <c r="B79" s="16"/>
      <c r="C79" s="243" t="s">
        <v>47</v>
      </c>
      <c r="D79" s="243"/>
      <c r="E79" s="243"/>
      <c r="F79" s="6"/>
      <c r="G79" s="32"/>
      <c r="H79" s="15" t="e">
        <f>J79*L79+N79</f>
        <v>#N/A</v>
      </c>
      <c r="I79" s="20"/>
      <c r="J79" s="20" t="e">
        <f>H75+H77</f>
        <v>#N/A</v>
      </c>
      <c r="K79" s="20"/>
      <c r="L79" s="20">
        <f>IF(F82="Y",1.33*1.1,1.33)</f>
        <v>1.33</v>
      </c>
      <c r="M79" s="20"/>
      <c r="N79" s="20">
        <f>F85</f>
        <v>0</v>
      </c>
      <c r="O79" s="20"/>
      <c r="P79" s="26"/>
      <c r="Q79" s="26"/>
      <c r="R79" s="26"/>
      <c r="S79" s="26"/>
      <c r="T79" s="22"/>
      <c r="V79" s="38" t="s">
        <v>214</v>
      </c>
      <c r="W79" s="38" t="s">
        <v>139</v>
      </c>
      <c r="X79" s="38">
        <v>5</v>
      </c>
      <c r="Y79" s="38">
        <v>260</v>
      </c>
      <c r="Z79" s="38">
        <v>440</v>
      </c>
      <c r="AA79" s="82">
        <v>3599</v>
      </c>
      <c r="AB79" s="38">
        <v>15</v>
      </c>
      <c r="AC79" s="289" t="s">
        <v>215</v>
      </c>
      <c r="AD79" s="289"/>
      <c r="AE79" s="86" t="s">
        <v>216</v>
      </c>
    </row>
    <row r="80" spans="2:31" ht="13.5" customHeight="1" thickBot="1" x14ac:dyDescent="0.25">
      <c r="B80" s="16"/>
      <c r="C80" s="245"/>
      <c r="D80" s="245"/>
      <c r="E80" s="245"/>
      <c r="G80" s="32"/>
      <c r="H80" s="14" t="s">
        <v>122</v>
      </c>
      <c r="I80" s="3" t="s">
        <v>10</v>
      </c>
      <c r="J80" s="3" t="s">
        <v>111</v>
      </c>
      <c r="K80" s="3" t="s">
        <v>14</v>
      </c>
      <c r="L80" s="3" t="s">
        <v>123</v>
      </c>
      <c r="M80" s="3"/>
      <c r="N80" s="3"/>
      <c r="P80" s="298" t="s">
        <v>50</v>
      </c>
      <c r="Q80" s="299"/>
      <c r="R80" s="300" t="s">
        <v>51</v>
      </c>
      <c r="S80" s="301"/>
      <c r="T80" s="302"/>
      <c r="V80" s="38" t="s">
        <v>214</v>
      </c>
      <c r="W80" s="38" t="s">
        <v>139</v>
      </c>
      <c r="X80" s="38">
        <v>5</v>
      </c>
      <c r="Y80" s="38">
        <v>400</v>
      </c>
      <c r="Z80" s="38">
        <v>300</v>
      </c>
      <c r="AA80" s="82">
        <v>3310</v>
      </c>
      <c r="AB80" s="38">
        <v>10</v>
      </c>
      <c r="AC80" s="289" t="s">
        <v>217</v>
      </c>
      <c r="AD80" s="289"/>
      <c r="AE80" s="86" t="s">
        <v>218</v>
      </c>
    </row>
    <row r="81" spans="2:31" ht="13.5" customHeight="1" thickBot="1" x14ac:dyDescent="0.25">
      <c r="B81" s="16"/>
      <c r="C81" s="243" t="s">
        <v>124</v>
      </c>
      <c r="D81" s="243"/>
      <c r="E81" s="243"/>
      <c r="F81" s="1"/>
      <c r="G81" s="32"/>
      <c r="H81" s="15">
        <f>J81*L81</f>
        <v>0</v>
      </c>
      <c r="I81" s="20"/>
      <c r="J81" s="20">
        <f>F76</f>
        <v>0</v>
      </c>
      <c r="K81" s="20"/>
      <c r="L81" s="20">
        <f>INDEX(LrCfRf,MATCH("HSBP",LrCfRf_Header,0),MATCH(F77,LrCfRf_Speed,-1))</f>
        <v>6</v>
      </c>
      <c r="M81" s="20"/>
      <c r="N81" s="20"/>
      <c r="O81" s="20"/>
      <c r="P81" s="303" t="str">
        <f>IF(ISBLANK(F76),"NEED LENGTH",IF(F76&gt;200,"TOO LONG",""))</f>
        <v>NEED LENGTH</v>
      </c>
      <c r="Q81" s="304"/>
      <c r="R81" s="305" t="str">
        <f>IF(7-COUNTBLANK(P81:P87),"",IF(F81="Motovario",INDEX(LrDirectDriveMotovario_Cd,MATCH(1,INDEX((F77&lt;=LrDirectDriveMotovario_Speed)*(H83&lt;=LrDirectDriveMotovario_Hp)*(H79&lt;=LrDirectDriveMotovario_Ebp),0,0),0))&amp;" DIRECT DRIVE",IF(F81="Dodge",INDEX(LrDirectDriveDodge_Cd,MATCH(1,INDEX((F77&lt;=LrDirectDriveDodge_Speed)*(H83&lt;=LrDirectDriveDodge_Hp)*(H79&lt;=LrDirectDriveDodge_Ebp),0,0),0))&amp;" DIRECT DRIVE",INDEX(LrDriveCap_Cd,MATCH(1,INDEX((H79&lt;=LrDriveCap_Ebp)*(H83&lt;=LrDriveCap_Hp)*((F85&lt;&gt;0)=LrDriveCap_Slave)*(F76&lt;=LrDriveCap_Length),0,0),0)))))</f>
        <v/>
      </c>
      <c r="S81" s="306"/>
      <c r="T81" s="307"/>
    </row>
    <row r="82" spans="2:31" ht="13.5" customHeight="1" thickBot="1" x14ac:dyDescent="0.25">
      <c r="B82" s="16"/>
      <c r="C82" s="241" t="s">
        <v>125</v>
      </c>
      <c r="D82" s="241"/>
      <c r="E82" s="241"/>
      <c r="F82" s="1"/>
      <c r="G82" s="32"/>
      <c r="H82" s="18" t="s">
        <v>74</v>
      </c>
      <c r="I82" s="9" t="s">
        <v>10</v>
      </c>
      <c r="J82" s="9" t="s">
        <v>58</v>
      </c>
      <c r="K82" s="9" t="s">
        <v>14</v>
      </c>
      <c r="L82" s="9" t="s">
        <v>8</v>
      </c>
      <c r="M82" s="9" t="s">
        <v>75</v>
      </c>
      <c r="N82" s="19" t="s">
        <v>76</v>
      </c>
      <c r="O82" s="9"/>
      <c r="P82" s="327" t="str">
        <f>IF(ISBLANK(F77),"NEED SPEED","")</f>
        <v>NEED SPEED</v>
      </c>
      <c r="Q82" s="328"/>
      <c r="R82" s="324" t="str">
        <f>IF(7-COUNTBLANK(P81:P87),"",IF(F81="Motovario",INDEX(LrDirectDriveMotovario_Hp,MATCH(1,INDEX((F77&lt;=LrDirectDriveMotovario_Speed)*(H83&lt;=LrDirectDriveMotovario_Hp)*(H79&lt;=LrDirectDriveMotovario_Ebp),0,0),0)),IF(F81="Dodge",INDEX(LrDirectDriveDodge_Hp,MATCH(1,INDEX((F77&lt;=LrDirectDriveDodge_Speed)*(H83&lt;=LrDirectDriveDodge_Hp)*(H79&lt;=LrDirectDriveDodge_Ebp),0,0),0)),INDEX(LrDriveCap_Hp,MATCH(1,INDEX((H79&lt;=LrDriveCap_Ebp)*(H83&lt;=LrDriveCap_Hp)*((F85&lt;&gt;0)=LrDriveCap_Slave)*(F76&lt;=LrDriveCap_Length),0,0),0))))&amp;" HP")</f>
        <v/>
      </c>
      <c r="S82" s="325"/>
      <c r="T82" s="326"/>
      <c r="V82" s="283" t="s">
        <v>219</v>
      </c>
      <c r="W82" s="283"/>
      <c r="X82" s="283"/>
      <c r="Y82" s="283"/>
      <c r="Z82" s="283"/>
      <c r="AA82" s="283"/>
      <c r="AB82" s="283"/>
      <c r="AC82" s="283"/>
      <c r="AD82" s="283"/>
      <c r="AE82" s="44"/>
    </row>
    <row r="83" spans="2:31" ht="13.5" customHeight="1" thickBot="1" x14ac:dyDescent="0.25">
      <c r="B83" s="16"/>
      <c r="G83" s="32"/>
      <c r="H83" s="15" t="e">
        <f>J83*L83/N83</f>
        <v>#N/A</v>
      </c>
      <c r="I83" s="20"/>
      <c r="J83" s="20" t="e">
        <f>H79</f>
        <v>#N/A</v>
      </c>
      <c r="K83" s="20"/>
      <c r="L83" s="20">
        <f>F77</f>
        <v>0</v>
      </c>
      <c r="M83" s="20"/>
      <c r="N83" s="8">
        <v>31350</v>
      </c>
      <c r="O83" s="20"/>
      <c r="P83" s="327" t="str">
        <f>IF(AND(ISBLANK($E$7),ISBLANK(F78)),"NEED LIVE LOAD","")</f>
        <v/>
      </c>
      <c r="Q83" s="328"/>
      <c r="R83" s="54" t="str">
        <f>IF(7-COUNTBLANK(P81:P87),"",IF(NOT(ISERROR(H79)),MAX(2,H79/200,IF(OR(AND(F76&gt;100,F85=0),AND(F76&gt;80,F85&lt;&gt;0)),3,0)),""))</f>
        <v/>
      </c>
      <c r="S83" s="324" t="str">
        <f>IF(7-COUNTBLANK(P81:P87),"","LONG SPRINGS")</f>
        <v/>
      </c>
      <c r="T83" s="326"/>
      <c r="V83" s="282" t="s">
        <v>220</v>
      </c>
      <c r="W83" s="282"/>
      <c r="X83" s="282"/>
      <c r="Y83" s="282"/>
      <c r="Z83" s="282"/>
      <c r="AA83" s="282"/>
      <c r="AB83" s="282"/>
      <c r="AC83" s="282"/>
      <c r="AD83" s="282"/>
      <c r="AE83" s="76"/>
    </row>
    <row r="84" spans="2:31" ht="13.5" customHeight="1" thickBot="1" x14ac:dyDescent="0.25">
      <c r="B84" s="16"/>
      <c r="C84" s="243" t="s">
        <v>113</v>
      </c>
      <c r="D84" s="243"/>
      <c r="E84" s="243"/>
      <c r="F84" s="6"/>
      <c r="G84" s="32"/>
      <c r="H84" s="42"/>
      <c r="I84" s="21"/>
      <c r="J84" s="21"/>
      <c r="K84" s="21"/>
      <c r="L84" s="21"/>
      <c r="M84" s="21"/>
      <c r="N84" s="21"/>
      <c r="O84" s="40"/>
      <c r="P84" s="327" t="str">
        <f>IF(ISBLANK(F79),"NEED RLR CENT","")</f>
        <v>NEED RLR CENT</v>
      </c>
      <c r="Q84" s="328"/>
      <c r="R84" s="54" t="str">
        <f>IF(7-COUNTBLANK(P81:P87),"",IF(H79&lt;&gt;0,MAX(2,H79/160,IF(OR(AND(F76&gt;100,F85=0),AND(F76&gt;80,F85&lt;&gt;0)),3,0)),""))</f>
        <v/>
      </c>
      <c r="S84" s="324" t="str">
        <f>IF(7-COUNTBLANK(P81:P87),"","SHRT SPRINGS")</f>
        <v/>
      </c>
      <c r="T84" s="326"/>
      <c r="V84" s="333" t="s">
        <v>221</v>
      </c>
      <c r="W84" s="333"/>
      <c r="X84" s="333"/>
      <c r="Y84" s="333"/>
      <c r="Z84" s="333"/>
      <c r="AA84" s="333"/>
      <c r="AB84" s="333"/>
      <c r="AC84" s="333"/>
      <c r="AD84" s="333"/>
      <c r="AE84" s="78"/>
    </row>
    <row r="85" spans="2:31" ht="13.5" customHeight="1" thickBot="1" x14ac:dyDescent="0.25">
      <c r="B85" s="16"/>
      <c r="C85" s="243" t="s">
        <v>131</v>
      </c>
      <c r="D85" s="243"/>
      <c r="E85" s="243"/>
      <c r="F85" s="6"/>
      <c r="G85" s="32"/>
      <c r="H85" s="56"/>
      <c r="I85" s="57"/>
      <c r="J85" s="57"/>
      <c r="K85" s="57"/>
      <c r="L85" s="57"/>
      <c r="M85" s="57"/>
      <c r="N85" s="57"/>
      <c r="O85" s="58"/>
      <c r="P85" s="327" t="str">
        <f>IFERROR(IF(H83&gt;MAX(LrDriveCap_Hp),"EXCEEDS MAX HP",""),"")</f>
        <v/>
      </c>
      <c r="Q85" s="328"/>
      <c r="R85" s="324" t="str">
        <f>IF(7-COUNTBLANK(P81:P87),"",IF(H79&gt;600,"6IN ENTRY TE REQUIRED",""))</f>
        <v/>
      </c>
      <c r="S85" s="325"/>
      <c r="T85" s="326"/>
      <c r="V85" s="329" t="s">
        <v>222</v>
      </c>
      <c r="W85" s="329"/>
      <c r="X85" s="329"/>
      <c r="Y85" s="329"/>
      <c r="Z85" s="329"/>
      <c r="AA85" s="329"/>
      <c r="AB85" s="329"/>
      <c r="AC85" s="329"/>
      <c r="AD85" s="329"/>
      <c r="AE85" s="77"/>
    </row>
    <row r="86" spans="2:31" ht="13.5" customHeight="1" thickBot="1" x14ac:dyDescent="0.25">
      <c r="B86" s="16"/>
      <c r="C86" s="240"/>
      <c r="D86" s="240"/>
      <c r="E86" s="240"/>
      <c r="G86" s="32"/>
      <c r="H86" s="290" t="s">
        <v>133</v>
      </c>
      <c r="I86" s="291"/>
      <c r="J86" s="291"/>
      <c r="K86" s="291"/>
      <c r="L86" s="291"/>
      <c r="M86" s="291"/>
      <c r="N86" s="291"/>
      <c r="O86" s="292"/>
      <c r="P86" s="327" t="str">
        <f>IFERROR(IF(H79&gt;MAX(LrDriveCap_Ebp),"EXCEEDS MAX EBP",""),"")</f>
        <v/>
      </c>
      <c r="Q86" s="328"/>
      <c r="R86" s="324"/>
      <c r="S86" s="325"/>
      <c r="T86" s="326"/>
      <c r="V86" s="33" t="s">
        <v>143</v>
      </c>
      <c r="W86" s="33" t="s">
        <v>128</v>
      </c>
      <c r="X86" s="33" t="s">
        <v>108</v>
      </c>
      <c r="Y86" s="33" t="s">
        <v>144</v>
      </c>
      <c r="Z86" s="33" t="s">
        <v>145</v>
      </c>
      <c r="AA86" s="33" t="s">
        <v>135</v>
      </c>
      <c r="AB86" s="33" t="s">
        <v>146</v>
      </c>
      <c r="AC86" s="33" t="s">
        <v>223</v>
      </c>
      <c r="AD86" s="33" t="s">
        <v>224</v>
      </c>
    </row>
    <row r="87" spans="2:31" ht="13.5" customHeight="1" thickBot="1" x14ac:dyDescent="0.25">
      <c r="B87" s="12"/>
      <c r="C87" s="293"/>
      <c r="D87" s="293"/>
      <c r="E87" s="293"/>
      <c r="F87" s="7"/>
      <c r="G87" s="37"/>
      <c r="H87" s="16" t="s">
        <v>134</v>
      </c>
      <c r="J87" s="26" t="str">
        <f>IFERROR(H79*J88/2,"")</f>
        <v/>
      </c>
      <c r="L87" s="2" t="s">
        <v>135</v>
      </c>
      <c r="N87" s="26" t="str">
        <f>IF(F81="Motovario",INDEX(LrDirectDriveMotovario_MaxT,MATCH(1,INDEX((F77&lt;=LrDirectDriveMotovario_Speed)*(H83&lt;=LrDirectDriveMotovario_Hp)*(H79&lt;=LrDirectDriveMotovario_Ebp),0,0),0)),IF(F81="Dodge",INDEX(LrDirectDriveDodge_MaxT,MATCH(1,INDEX((F77&lt;=LrDirectDriveDodge_Speed)*(H83&lt;=LrDirectDriveDodge_Hp)*(H79&lt;=LrDirectDriveDodge_Ebp),0,0),0)),""))</f>
        <v/>
      </c>
      <c r="P87" s="327" t="str">
        <f>IFERROR(IF(AND(AND(F81&lt;&gt;"Motovario",F81&lt;&gt;"Dodge"),VALUE(RIGHT(R88,LEN(R88)-14))&lt;&gt;F77),"USE DD NOM SPD",""),"")</f>
        <v/>
      </c>
      <c r="Q87" s="328"/>
      <c r="R87" s="324" t="str">
        <f>IF(7-COUNTBLANK(P81:P87),"",IF(H81&gt;1100,"SOFT START REQUIRED",""))</f>
        <v/>
      </c>
      <c r="S87" s="325"/>
      <c r="T87" s="326"/>
      <c r="V87" s="34" t="s">
        <v>149</v>
      </c>
      <c r="W87" s="34" t="s">
        <v>132</v>
      </c>
      <c r="X87" s="34">
        <v>1</v>
      </c>
      <c r="Y87" s="34">
        <v>60</v>
      </c>
      <c r="Z87" s="34">
        <v>375</v>
      </c>
      <c r="AA87" s="46">
        <v>1881</v>
      </c>
      <c r="AB87" s="34">
        <v>50</v>
      </c>
      <c r="AC87" s="34" t="s">
        <v>225</v>
      </c>
      <c r="AD87" s="34">
        <v>5650</v>
      </c>
    </row>
    <row r="88" spans="2:31" ht="13.5" customHeight="1" thickBot="1" x14ac:dyDescent="0.25">
      <c r="B88" s="294" t="s">
        <v>78</v>
      </c>
      <c r="C88" s="295"/>
      <c r="D88" s="262"/>
      <c r="E88" s="263"/>
      <c r="F88" s="263"/>
      <c r="G88" s="264"/>
      <c r="H88" s="12" t="s">
        <v>136</v>
      </c>
      <c r="I88" s="7"/>
      <c r="J88" s="27" t="str">
        <f>IFERROR(VALUE(LEFT(R81,SEARCH("CD",R81)-1))+1/2,"")</f>
        <v/>
      </c>
      <c r="K88" s="7"/>
      <c r="L88" s="17" t="s">
        <v>137</v>
      </c>
      <c r="M88" s="17"/>
      <c r="N88" s="43" t="str">
        <f>IFERROR(N87/J87,"")</f>
        <v/>
      </c>
      <c r="O88" s="7"/>
      <c r="P88" s="337" t="str">
        <f>IF(ISBLANK(F82),"NEED AP INFO",IF(ISBLANK(F84),"NEED SLUG LGTH",IF(ISBLANK(F85),"NEED SLAVE INFO","")))</f>
        <v>NEED AP INFO</v>
      </c>
      <c r="Q88" s="338"/>
      <c r="R88" s="330" t="str">
        <f>IF(6-COUNTBLANK(P81:P86),"",IF(F81="Motovario","DD NOM SPEED: "&amp;INDEX(LrDirectDriveMotovario_Speed,MATCH(1,INDEX((F77&lt;=LrDirectDriveMotovario_Speed)*(H83&lt;=LrDirectDriveMotovario_Hp)*(H79&lt;=LrDirectDriveMotovario_Ebp),0,0),0)),IF(F81="Dodge","DD NOM SPEED: "&amp;INDEX(LrDirectDriveDodge_Speed,MATCH(1,INDEX((F77&lt;=LrDirectDriveDodge_Speed)*(H83&lt;=LrDirectDriveDodge_Hp)*(H79&lt;=LrDirectDriveDodge_Ebp),0,0),0)),"")))</f>
        <v/>
      </c>
      <c r="S88" s="331"/>
      <c r="T88" s="332"/>
      <c r="V88" s="38" t="s">
        <v>149</v>
      </c>
      <c r="W88" s="38" t="s">
        <v>132</v>
      </c>
      <c r="X88" s="38">
        <v>1</v>
      </c>
      <c r="Y88" s="38">
        <v>75</v>
      </c>
      <c r="Z88" s="38">
        <v>315</v>
      </c>
      <c r="AA88" s="47">
        <v>2029</v>
      </c>
      <c r="AB88" s="38">
        <v>40</v>
      </c>
      <c r="AC88" s="38" t="s">
        <v>225</v>
      </c>
      <c r="AD88" s="38">
        <v>5640</v>
      </c>
    </row>
    <row r="89" spans="2:31" ht="13.5" customHeight="1" thickBot="1" x14ac:dyDescent="0.25">
      <c r="V89" s="38" t="s">
        <v>166</v>
      </c>
      <c r="W89" s="38" t="s">
        <v>132</v>
      </c>
      <c r="X89" s="38">
        <v>1.5</v>
      </c>
      <c r="Y89" s="38">
        <v>75</v>
      </c>
      <c r="Z89" s="38">
        <v>375</v>
      </c>
      <c r="AA89" s="47">
        <v>2029</v>
      </c>
      <c r="AB89" s="38">
        <v>40</v>
      </c>
      <c r="AC89" s="38" t="s">
        <v>225</v>
      </c>
      <c r="AD89" s="38">
        <v>5640</v>
      </c>
    </row>
    <row r="90" spans="2:31" ht="13.5" customHeight="1" x14ac:dyDescent="0.2">
      <c r="B90" s="39"/>
      <c r="C90" s="320"/>
      <c r="D90" s="320"/>
      <c r="E90" s="320"/>
      <c r="F90" s="28"/>
      <c r="G90" s="30"/>
      <c r="H90" s="13" t="s">
        <v>30</v>
      </c>
      <c r="I90" s="10" t="s">
        <v>10</v>
      </c>
      <c r="J90" s="4" t="s">
        <v>110</v>
      </c>
      <c r="K90" s="4" t="s">
        <v>14</v>
      </c>
      <c r="L90" s="4" t="s">
        <v>111</v>
      </c>
      <c r="M90" s="4" t="s">
        <v>14</v>
      </c>
      <c r="N90" s="4" t="s">
        <v>112</v>
      </c>
      <c r="O90" s="4" t="s">
        <v>12</v>
      </c>
      <c r="P90" s="4" t="s">
        <v>110</v>
      </c>
      <c r="Q90" s="4" t="s">
        <v>14</v>
      </c>
      <c r="R90" s="4" t="s">
        <v>113</v>
      </c>
      <c r="S90" s="4" t="s">
        <v>14</v>
      </c>
      <c r="T90" s="5" t="s">
        <v>112</v>
      </c>
      <c r="V90" s="38" t="s">
        <v>149</v>
      </c>
      <c r="W90" s="38" t="s">
        <v>132</v>
      </c>
      <c r="X90" s="38">
        <v>1</v>
      </c>
      <c r="Y90" s="38">
        <v>100</v>
      </c>
      <c r="Z90" s="38">
        <v>250</v>
      </c>
      <c r="AA90" s="47">
        <v>2028</v>
      </c>
      <c r="AB90" s="38">
        <v>30</v>
      </c>
      <c r="AC90" s="38" t="s">
        <v>225</v>
      </c>
      <c r="AD90" s="38">
        <v>5630</v>
      </c>
    </row>
    <row r="91" spans="2:31" ht="13.5" customHeight="1" thickBot="1" x14ac:dyDescent="0.25">
      <c r="B91" s="16"/>
      <c r="C91" s="2" t="s">
        <v>5</v>
      </c>
      <c r="D91" s="59"/>
      <c r="E91" s="59"/>
      <c r="F91" s="59"/>
      <c r="G91" s="32"/>
      <c r="H91" s="15">
        <f>J91*L91*N91+P91*R91*T91</f>
        <v>0</v>
      </c>
      <c r="I91" s="20"/>
      <c r="J91" s="20">
        <f>IF(F94=0,$E$7,F94)</f>
        <v>25</v>
      </c>
      <c r="K91" s="20"/>
      <c r="L91" s="20">
        <f>F92</f>
        <v>0</v>
      </c>
      <c r="M91" s="20"/>
      <c r="N91" s="20">
        <v>2.1000000000000001E-2</v>
      </c>
      <c r="O91" s="20"/>
      <c r="P91" s="20">
        <f>J91</f>
        <v>25</v>
      </c>
      <c r="Q91" s="20"/>
      <c r="R91" s="20">
        <f>F100</f>
        <v>0</v>
      </c>
      <c r="S91" s="20"/>
      <c r="T91" s="11">
        <v>3.5000000000000003E-2</v>
      </c>
      <c r="V91" s="38" t="s">
        <v>166</v>
      </c>
      <c r="W91" s="38" t="s">
        <v>132</v>
      </c>
      <c r="X91" s="38">
        <v>1.5</v>
      </c>
      <c r="Y91" s="38">
        <v>100</v>
      </c>
      <c r="Z91" s="45">
        <v>370</v>
      </c>
      <c r="AA91" s="47">
        <v>2028</v>
      </c>
      <c r="AB91" s="38">
        <v>30</v>
      </c>
      <c r="AC91" s="38" t="s">
        <v>225</v>
      </c>
      <c r="AD91" s="38">
        <v>5630</v>
      </c>
    </row>
    <row r="92" spans="2:31" ht="13.5" customHeight="1" thickBot="1" x14ac:dyDescent="0.25">
      <c r="B92" s="16"/>
      <c r="C92" s="321"/>
      <c r="D92" s="323" t="s">
        <v>111</v>
      </c>
      <c r="E92" s="244"/>
      <c r="F92" s="6"/>
      <c r="G92" s="32"/>
      <c r="H92" s="18" t="s">
        <v>31</v>
      </c>
      <c r="I92" s="9" t="s">
        <v>10</v>
      </c>
      <c r="J92" s="9" t="s">
        <v>111</v>
      </c>
      <c r="K92" s="9" t="s">
        <v>14</v>
      </c>
      <c r="L92" s="9" t="s">
        <v>115</v>
      </c>
      <c r="M92" s="9" t="s">
        <v>14</v>
      </c>
      <c r="N92" s="9" t="s">
        <v>116</v>
      </c>
      <c r="O92" s="9"/>
      <c r="P92" s="9"/>
      <c r="Q92" s="9"/>
      <c r="R92" s="9"/>
      <c r="S92" s="21"/>
      <c r="T92" s="40"/>
      <c r="V92" s="38" t="s">
        <v>149</v>
      </c>
      <c r="W92" s="38" t="s">
        <v>132</v>
      </c>
      <c r="X92" s="38">
        <v>1</v>
      </c>
      <c r="Y92" s="38">
        <v>120</v>
      </c>
      <c r="Z92" s="38">
        <v>220</v>
      </c>
      <c r="AA92" s="47">
        <v>1784</v>
      </c>
      <c r="AB92" s="38">
        <v>25</v>
      </c>
      <c r="AC92" s="38" t="s">
        <v>225</v>
      </c>
      <c r="AD92" s="38">
        <v>5625</v>
      </c>
    </row>
    <row r="93" spans="2:31" ht="13.5" customHeight="1" thickBot="1" x14ac:dyDescent="0.25">
      <c r="B93" s="16"/>
      <c r="C93" s="322"/>
      <c r="D93" s="323" t="s">
        <v>8</v>
      </c>
      <c r="E93" s="244"/>
      <c r="F93" s="6"/>
      <c r="G93" s="32"/>
      <c r="H93" s="15" t="e">
        <f>J93*L93*N93</f>
        <v>#N/A</v>
      </c>
      <c r="I93" s="20"/>
      <c r="J93" s="20">
        <f>F92</f>
        <v>0</v>
      </c>
      <c r="K93" s="20"/>
      <c r="L93" s="20">
        <f>INDEX(LrCfRf,MATCH("CF",LrCfRf_Header,0),MATCH(F93,LrCfRf_Speed,-1))</f>
        <v>0.4</v>
      </c>
      <c r="M93" s="20"/>
      <c r="N93" s="20" t="e">
        <f>INDEX(LrCfRf,MATCH("RLR "&amp;F95,LrCfRf_Header,0),MATCH(F93,LrCfRf_Speed,-1))</f>
        <v>#N/A</v>
      </c>
      <c r="O93" s="20"/>
      <c r="P93" s="20"/>
      <c r="Q93" s="20"/>
      <c r="R93" s="20"/>
      <c r="S93" s="20"/>
      <c r="T93" s="41"/>
      <c r="V93" s="38" t="s">
        <v>166</v>
      </c>
      <c r="W93" s="38" t="s">
        <v>132</v>
      </c>
      <c r="X93" s="38">
        <v>1.5</v>
      </c>
      <c r="Y93" s="38">
        <v>120</v>
      </c>
      <c r="Z93" s="45">
        <v>320</v>
      </c>
      <c r="AA93" s="47">
        <v>1784</v>
      </c>
      <c r="AB93" s="38">
        <v>25</v>
      </c>
      <c r="AC93" s="38" t="s">
        <v>225</v>
      </c>
      <c r="AD93" s="38">
        <v>5625</v>
      </c>
    </row>
    <row r="94" spans="2:31" ht="13.5" customHeight="1" thickBot="1" x14ac:dyDescent="0.25">
      <c r="B94" s="16"/>
      <c r="C94" s="243" t="s">
        <v>24</v>
      </c>
      <c r="D94" s="243"/>
      <c r="E94" s="243"/>
      <c r="F94" s="6"/>
      <c r="G94" s="32"/>
      <c r="H94" s="14" t="s">
        <v>58</v>
      </c>
      <c r="I94" s="3" t="s">
        <v>10</v>
      </c>
      <c r="J94" s="3" t="s">
        <v>119</v>
      </c>
      <c r="K94" s="3" t="s">
        <v>14</v>
      </c>
      <c r="L94" s="3" t="s">
        <v>61</v>
      </c>
      <c r="M94" s="3" t="s">
        <v>12</v>
      </c>
      <c r="N94" s="3" t="s">
        <v>57</v>
      </c>
      <c r="T94" s="32"/>
      <c r="V94" s="38" t="s">
        <v>149</v>
      </c>
      <c r="W94" s="38" t="s">
        <v>132</v>
      </c>
      <c r="X94" s="38">
        <v>1</v>
      </c>
      <c r="Y94" s="38">
        <v>150</v>
      </c>
      <c r="Z94" s="38">
        <v>180</v>
      </c>
      <c r="AA94" s="47">
        <v>1953</v>
      </c>
      <c r="AB94" s="38">
        <v>20</v>
      </c>
      <c r="AC94" s="38" t="s">
        <v>225</v>
      </c>
      <c r="AD94" s="38">
        <v>5620</v>
      </c>
    </row>
    <row r="95" spans="2:31" ht="13.5" customHeight="1" thickBot="1" x14ac:dyDescent="0.25">
      <c r="B95" s="16"/>
      <c r="C95" s="243" t="s">
        <v>47</v>
      </c>
      <c r="D95" s="243"/>
      <c r="E95" s="243"/>
      <c r="F95" s="6"/>
      <c r="G95" s="32"/>
      <c r="H95" s="15" t="e">
        <f>J95*L95+N95</f>
        <v>#N/A</v>
      </c>
      <c r="I95" s="20"/>
      <c r="J95" s="20" t="e">
        <f>H91+H93</f>
        <v>#N/A</v>
      </c>
      <c r="K95" s="20"/>
      <c r="L95" s="20">
        <f>IF(F98="Y",1.33*1.1,1.33)</f>
        <v>1.33</v>
      </c>
      <c r="M95" s="20"/>
      <c r="N95" s="20">
        <f>F101</f>
        <v>0</v>
      </c>
      <c r="O95" s="20"/>
      <c r="P95" s="26"/>
      <c r="Q95" s="26"/>
      <c r="R95" s="26"/>
      <c r="S95" s="26"/>
      <c r="T95" s="22"/>
      <c r="V95" s="38" t="s">
        <v>166</v>
      </c>
      <c r="W95" s="38" t="s">
        <v>132</v>
      </c>
      <c r="X95" s="38">
        <v>1.5</v>
      </c>
      <c r="Y95" s="38">
        <v>150</v>
      </c>
      <c r="Z95" s="38">
        <v>270</v>
      </c>
      <c r="AA95" s="47">
        <v>1953</v>
      </c>
      <c r="AB95" s="38">
        <v>20</v>
      </c>
      <c r="AC95" s="38" t="s">
        <v>225</v>
      </c>
      <c r="AD95" s="38">
        <v>5620</v>
      </c>
    </row>
    <row r="96" spans="2:31" ht="13.5" customHeight="1" thickBot="1" x14ac:dyDescent="0.25">
      <c r="B96" s="16"/>
      <c r="C96" s="245"/>
      <c r="D96" s="245"/>
      <c r="E96" s="245"/>
      <c r="G96" s="32"/>
      <c r="H96" s="14" t="s">
        <v>122</v>
      </c>
      <c r="I96" s="3" t="s">
        <v>10</v>
      </c>
      <c r="J96" s="3" t="s">
        <v>111</v>
      </c>
      <c r="K96" s="3" t="s">
        <v>14</v>
      </c>
      <c r="L96" s="3" t="s">
        <v>123</v>
      </c>
      <c r="M96" s="3"/>
      <c r="N96" s="3"/>
      <c r="P96" s="298" t="s">
        <v>50</v>
      </c>
      <c r="Q96" s="299"/>
      <c r="R96" s="300" t="s">
        <v>51</v>
      </c>
      <c r="S96" s="301"/>
      <c r="T96" s="302"/>
      <c r="V96" s="38" t="s">
        <v>149</v>
      </c>
      <c r="W96" s="38" t="s">
        <v>132</v>
      </c>
      <c r="X96" s="38">
        <v>1</v>
      </c>
      <c r="Y96" s="38">
        <v>200</v>
      </c>
      <c r="Z96" s="38">
        <v>140</v>
      </c>
      <c r="AA96" s="47">
        <v>1900</v>
      </c>
      <c r="AB96" s="38">
        <v>15</v>
      </c>
      <c r="AC96" s="38" t="s">
        <v>225</v>
      </c>
      <c r="AD96" s="38">
        <v>5615</v>
      </c>
    </row>
    <row r="97" spans="2:30" ht="13.5" customHeight="1" thickBot="1" x14ac:dyDescent="0.25">
      <c r="B97" s="16"/>
      <c r="C97" s="243" t="s">
        <v>124</v>
      </c>
      <c r="D97" s="243"/>
      <c r="E97" s="243"/>
      <c r="F97" s="1"/>
      <c r="G97" s="32"/>
      <c r="H97" s="15">
        <f>J97*L97</f>
        <v>0</v>
      </c>
      <c r="I97" s="20"/>
      <c r="J97" s="20">
        <f>F92</f>
        <v>0</v>
      </c>
      <c r="K97" s="20"/>
      <c r="L97" s="20">
        <f>INDEX(LrCfRf,MATCH("HSBP",LrCfRf_Header,0),MATCH(F93,LrCfRf_Speed,-1))</f>
        <v>6</v>
      </c>
      <c r="M97" s="20"/>
      <c r="N97" s="20"/>
      <c r="O97" s="20"/>
      <c r="P97" s="303" t="str">
        <f>IF(ISBLANK(F92),"NEED LENGTH",IF(F92&gt;200,"TOO LONG",""))</f>
        <v>NEED LENGTH</v>
      </c>
      <c r="Q97" s="304"/>
      <c r="R97" s="305" t="str">
        <f>IF(7-COUNTBLANK(P97:P103),"",IF(F97="Motovario",INDEX(LrDirectDriveMotovario_Cd,MATCH(1,INDEX((F93&lt;=LrDirectDriveMotovario_Speed)*(H99&lt;=LrDirectDriveMotovario_Hp)*(H95&lt;=LrDirectDriveMotovario_Ebp),0,0),0))&amp;" DIRECT DRIVE",IF(F97="Dodge",INDEX(LrDirectDriveDodge_Cd,MATCH(1,INDEX((F93&lt;=LrDirectDriveDodge_Speed)*(H99&lt;=LrDirectDriveDodge_Hp)*(H95&lt;=LrDirectDriveDodge_Ebp),0,0),0))&amp;" DIRECT DRIVE",INDEX(LrDriveCap_Cd,MATCH(1,INDEX((H95&lt;=LrDriveCap_Ebp)*(H99&lt;=LrDriveCap_Hp)*((F101&lt;&gt;0)=LrDriveCap_Slave)*(F92&lt;=LrDriveCap_Length),0,0),0)))))</f>
        <v/>
      </c>
      <c r="S97" s="306"/>
      <c r="T97" s="307"/>
      <c r="V97" s="38" t="s">
        <v>166</v>
      </c>
      <c r="W97" s="38" t="s">
        <v>132</v>
      </c>
      <c r="X97" s="38">
        <v>1.5</v>
      </c>
      <c r="Y97" s="38">
        <v>200</v>
      </c>
      <c r="Z97" s="38">
        <v>210</v>
      </c>
      <c r="AA97" s="47">
        <v>1900</v>
      </c>
      <c r="AB97" s="38">
        <v>15</v>
      </c>
      <c r="AC97" s="38" t="s">
        <v>225</v>
      </c>
      <c r="AD97" s="38">
        <v>5615</v>
      </c>
    </row>
    <row r="98" spans="2:30" ht="13.5" customHeight="1" thickBot="1" x14ac:dyDescent="0.25">
      <c r="B98" s="16"/>
      <c r="C98" s="241" t="s">
        <v>125</v>
      </c>
      <c r="D98" s="241"/>
      <c r="E98" s="241"/>
      <c r="F98" s="1"/>
      <c r="G98" s="32"/>
      <c r="H98" s="18" t="s">
        <v>74</v>
      </c>
      <c r="I98" s="9" t="s">
        <v>10</v>
      </c>
      <c r="J98" s="9" t="s">
        <v>58</v>
      </c>
      <c r="K98" s="9" t="s">
        <v>14</v>
      </c>
      <c r="L98" s="9" t="s">
        <v>8</v>
      </c>
      <c r="M98" s="9" t="s">
        <v>75</v>
      </c>
      <c r="N98" s="19" t="s">
        <v>76</v>
      </c>
      <c r="O98" s="9"/>
      <c r="P98" s="327" t="str">
        <f>IF(ISBLANK(F93),"NEED SPEED","")</f>
        <v>NEED SPEED</v>
      </c>
      <c r="Q98" s="328"/>
      <c r="R98" s="324" t="str">
        <f>IF(7-COUNTBLANK(P97:P103),"",IF(F97="Motovario",INDEX(LrDirectDriveMotovario_Hp,MATCH(1,INDEX((F93&lt;=LrDirectDriveMotovario_Speed)*(H99&lt;=LrDirectDriveMotovario_Hp)*(H95&lt;=LrDirectDriveMotovario_Ebp),0,0),0)),IF(F97="Dodge",INDEX(LrDirectDriveDodge_Hp,MATCH(1,INDEX((F93&lt;=LrDirectDriveDodge_Speed)*(H99&lt;=LrDirectDriveDodge_Hp)*(H95&lt;=LrDirectDriveDodge_Ebp),0,0),0)),INDEX(LrDriveCap_Hp,MATCH(1,INDEX((H95&lt;=LrDriveCap_Ebp)*(H99&lt;=LrDriveCap_Hp)*((F101&lt;&gt;0)=LrDriveCap_Slave)*(F92&lt;=LrDriveCap_Length),0,0),0))))&amp;" HP")</f>
        <v/>
      </c>
      <c r="S98" s="325"/>
      <c r="T98" s="326"/>
      <c r="V98" s="38" t="s">
        <v>149</v>
      </c>
      <c r="W98" s="38" t="s">
        <v>132</v>
      </c>
      <c r="X98" s="38">
        <v>1</v>
      </c>
      <c r="Y98" s="38">
        <v>300</v>
      </c>
      <c r="Z98" s="38">
        <v>90</v>
      </c>
      <c r="AA98" s="47">
        <v>1656</v>
      </c>
      <c r="AB98" s="38">
        <v>10</v>
      </c>
      <c r="AC98" s="38" t="s">
        <v>225</v>
      </c>
      <c r="AD98" s="38">
        <v>5610</v>
      </c>
    </row>
    <row r="99" spans="2:30" ht="13.5" customHeight="1" thickBot="1" x14ac:dyDescent="0.25">
      <c r="B99" s="16"/>
      <c r="G99" s="32"/>
      <c r="H99" s="15" t="e">
        <f>J99*L99/N99</f>
        <v>#N/A</v>
      </c>
      <c r="I99" s="20"/>
      <c r="J99" s="20" t="e">
        <f>H95</f>
        <v>#N/A</v>
      </c>
      <c r="K99" s="20"/>
      <c r="L99" s="20">
        <f>F93</f>
        <v>0</v>
      </c>
      <c r="M99" s="20"/>
      <c r="N99" s="8">
        <v>31350</v>
      </c>
      <c r="O99" s="20"/>
      <c r="P99" s="327" t="str">
        <f>IF(AND(ISBLANK($E$7),ISBLANK(F94)),"NEED LIVE LOAD","")</f>
        <v/>
      </c>
      <c r="Q99" s="328"/>
      <c r="R99" s="54" t="str">
        <f>IF(7-COUNTBLANK(P97:P103),"",IF(NOT(ISERROR(H95)),MAX(2,H95/200,IF(OR(AND(F92&gt;100,F101=0),AND(F92&gt;80,F101&lt;&gt;0)),3,0)),""))</f>
        <v/>
      </c>
      <c r="S99" s="324" t="str">
        <f>IF(7-COUNTBLANK(P97:P103),"","LONG SPRINGS")</f>
        <v/>
      </c>
      <c r="T99" s="326"/>
      <c r="V99" s="38" t="s">
        <v>166</v>
      </c>
      <c r="W99" s="38" t="s">
        <v>132</v>
      </c>
      <c r="X99" s="38">
        <v>1.5</v>
      </c>
      <c r="Y99" s="38">
        <v>300</v>
      </c>
      <c r="Z99" s="38">
        <v>140</v>
      </c>
      <c r="AA99" s="47">
        <v>1656</v>
      </c>
      <c r="AB99" s="38">
        <v>10</v>
      </c>
      <c r="AC99" s="38" t="s">
        <v>225</v>
      </c>
      <c r="AD99" s="38">
        <v>5610</v>
      </c>
    </row>
    <row r="100" spans="2:30" ht="13.5" customHeight="1" thickBot="1" x14ac:dyDescent="0.25">
      <c r="B100" s="16"/>
      <c r="C100" s="243" t="s">
        <v>113</v>
      </c>
      <c r="D100" s="243"/>
      <c r="E100" s="243"/>
      <c r="F100" s="6"/>
      <c r="G100" s="32"/>
      <c r="H100" s="42"/>
      <c r="I100" s="21"/>
      <c r="J100" s="21"/>
      <c r="K100" s="21"/>
      <c r="L100" s="21"/>
      <c r="M100" s="21"/>
      <c r="N100" s="21"/>
      <c r="O100" s="40"/>
      <c r="P100" s="327" t="str">
        <f>IF(ISBLANK(F95),"NEED RLR CENT","")</f>
        <v>NEED RLR CENT</v>
      </c>
      <c r="Q100" s="328"/>
      <c r="R100" s="54" t="str">
        <f>IF(7-COUNTBLANK(P97:P103),"",IF(H95&lt;&gt;0,MAX(2,H95/160,IF(OR(AND(F92&gt;100,F101=0),AND(F92&gt;80,F101&lt;&gt;0)),3,0)),""))</f>
        <v/>
      </c>
      <c r="S100" s="324" t="str">
        <f>IF(7-COUNTBLANK(P97:P103),"","SHRT SPRINGS")</f>
        <v/>
      </c>
      <c r="T100" s="326"/>
      <c r="V100" s="38" t="s">
        <v>149</v>
      </c>
      <c r="W100" s="38" t="s">
        <v>132</v>
      </c>
      <c r="X100" s="38">
        <v>1</v>
      </c>
      <c r="Y100" s="38">
        <v>400</v>
      </c>
      <c r="Z100" s="38">
        <v>72</v>
      </c>
      <c r="AA100" s="47">
        <v>1555</v>
      </c>
      <c r="AB100" s="38">
        <v>7.5</v>
      </c>
      <c r="AC100" s="38" t="s">
        <v>225</v>
      </c>
      <c r="AD100" s="38">
        <v>5675</v>
      </c>
    </row>
    <row r="101" spans="2:30" ht="13.5" customHeight="1" thickBot="1" x14ac:dyDescent="0.25">
      <c r="B101" s="16"/>
      <c r="C101" s="243" t="s">
        <v>131</v>
      </c>
      <c r="D101" s="243"/>
      <c r="E101" s="243"/>
      <c r="F101" s="6"/>
      <c r="G101" s="32"/>
      <c r="H101" s="56"/>
      <c r="I101" s="57"/>
      <c r="J101" s="57"/>
      <c r="K101" s="57"/>
      <c r="L101" s="57"/>
      <c r="M101" s="57"/>
      <c r="N101" s="57"/>
      <c r="O101" s="58"/>
      <c r="P101" s="327" t="str">
        <f>IFERROR(IF(H99&gt;MAX(LrDriveCap_Hp),"EXCEEDS MAX HP",""),"")</f>
        <v/>
      </c>
      <c r="Q101" s="328"/>
      <c r="R101" s="324" t="str">
        <f>IF(7-COUNTBLANK(P97:P103),"",IF(H95&gt;600,"6IN ENTRY TE REQUIRED",""))</f>
        <v/>
      </c>
      <c r="S101" s="325"/>
      <c r="T101" s="326"/>
      <c r="V101" s="38" t="s">
        <v>166</v>
      </c>
      <c r="W101" s="38" t="s">
        <v>132</v>
      </c>
      <c r="X101" s="38">
        <v>1.5</v>
      </c>
      <c r="Y101" s="38">
        <v>400</v>
      </c>
      <c r="Z101" s="38">
        <v>109</v>
      </c>
      <c r="AA101" s="47">
        <v>1555</v>
      </c>
      <c r="AB101" s="38">
        <v>7.5</v>
      </c>
      <c r="AC101" s="38" t="s">
        <v>225</v>
      </c>
      <c r="AD101" s="38">
        <v>5675</v>
      </c>
    </row>
    <row r="102" spans="2:30" ht="13.5" customHeight="1" x14ac:dyDescent="0.2">
      <c r="B102" s="16"/>
      <c r="C102" s="240"/>
      <c r="D102" s="240"/>
      <c r="E102" s="240"/>
      <c r="G102" s="32"/>
      <c r="H102" s="290" t="s">
        <v>133</v>
      </c>
      <c r="I102" s="291"/>
      <c r="J102" s="291"/>
      <c r="K102" s="291"/>
      <c r="L102" s="291"/>
      <c r="M102" s="291"/>
      <c r="N102" s="291"/>
      <c r="O102" s="292"/>
      <c r="P102" s="327" t="str">
        <f>IFERROR(IF(H95&gt;MAX(LrDriveCap_Ebp),"EXCEEDS MAX EBP",""),"")</f>
        <v/>
      </c>
      <c r="Q102" s="328"/>
      <c r="R102" s="324"/>
      <c r="S102" s="325"/>
      <c r="T102" s="326"/>
      <c r="V102" s="38" t="s">
        <v>179</v>
      </c>
      <c r="W102" s="38" t="s">
        <v>138</v>
      </c>
      <c r="X102" s="38">
        <v>1.5</v>
      </c>
      <c r="Y102" s="38">
        <v>60</v>
      </c>
      <c r="Z102" s="45">
        <v>520</v>
      </c>
      <c r="AA102" s="47">
        <v>2960</v>
      </c>
      <c r="AB102" s="38">
        <v>60</v>
      </c>
      <c r="AC102" s="38" t="s">
        <v>226</v>
      </c>
      <c r="AD102" s="38">
        <v>5660</v>
      </c>
    </row>
    <row r="103" spans="2:30" ht="13.5" customHeight="1" thickBot="1" x14ac:dyDescent="0.25">
      <c r="B103" s="12"/>
      <c r="C103" s="293"/>
      <c r="D103" s="293"/>
      <c r="E103" s="293"/>
      <c r="F103" s="7"/>
      <c r="G103" s="37"/>
      <c r="H103" s="16" t="s">
        <v>134</v>
      </c>
      <c r="J103" s="26" t="str">
        <f>IFERROR(H95*J104/2,"")</f>
        <v/>
      </c>
      <c r="L103" s="2" t="s">
        <v>135</v>
      </c>
      <c r="N103" s="26" t="str">
        <f>IF(F97="Motovario",INDEX(LrDirectDriveMotovario_MaxT,MATCH(1,INDEX((F93&lt;=LrDirectDriveMotovario_Speed)*(H99&lt;=LrDirectDriveMotovario_Hp)*(H95&lt;=LrDirectDriveMotovario_Ebp),0,0),0)),IF(F97="Dodge",INDEX(LrDirectDriveDodge_MaxT,MATCH(1,INDEX((F93&lt;=LrDirectDriveDodge_Speed)*(H99&lt;=LrDirectDriveDodge_Hp)*(H95&lt;=LrDirectDriveDodge_Ebp),0,0),0)),""))</f>
        <v/>
      </c>
      <c r="P103" s="327" t="str">
        <f>IFERROR(IF(AND(AND(F97&lt;&gt;"Motovario",F97&lt;&gt;"Dodge"),VALUE(RIGHT(R104,LEN(R104)-14))&lt;&gt;F93),"USE DD NOM SPD",""),"")</f>
        <v/>
      </c>
      <c r="Q103" s="328"/>
      <c r="R103" s="324" t="str">
        <f>IF(7-COUNTBLANK(P97:P103),"",IF(H97&gt;1100,"SOFT START REQUIRED",""))</f>
        <v/>
      </c>
      <c r="S103" s="325"/>
      <c r="T103" s="326"/>
      <c r="V103" s="38" t="s">
        <v>188</v>
      </c>
      <c r="W103" s="38" t="s">
        <v>138</v>
      </c>
      <c r="X103" s="38">
        <v>2</v>
      </c>
      <c r="Y103" s="38">
        <v>60</v>
      </c>
      <c r="Z103" s="38">
        <v>600</v>
      </c>
      <c r="AA103" s="47">
        <v>2960</v>
      </c>
      <c r="AB103" s="38">
        <v>60</v>
      </c>
      <c r="AC103" s="38" t="s">
        <v>226</v>
      </c>
      <c r="AD103" s="38">
        <v>1460</v>
      </c>
    </row>
    <row r="104" spans="2:30" ht="13.5" customHeight="1" thickBot="1" x14ac:dyDescent="0.25">
      <c r="B104" s="294" t="s">
        <v>78</v>
      </c>
      <c r="C104" s="295"/>
      <c r="D104" s="262"/>
      <c r="E104" s="263"/>
      <c r="F104" s="263"/>
      <c r="G104" s="264"/>
      <c r="H104" s="12" t="s">
        <v>136</v>
      </c>
      <c r="I104" s="7"/>
      <c r="J104" s="27" t="str">
        <f>IFERROR(VALUE(LEFT(R97,SEARCH("CD",R97)-1))+1/2,"")</f>
        <v/>
      </c>
      <c r="K104" s="7"/>
      <c r="L104" s="17" t="s">
        <v>137</v>
      </c>
      <c r="M104" s="17"/>
      <c r="N104" s="43" t="str">
        <f>IFERROR(N103/J103,"")</f>
        <v/>
      </c>
      <c r="O104" s="7"/>
      <c r="P104" s="337" t="str">
        <f>IF(ISBLANK(F98),"NEED AP INFO",IF(ISBLANK(F100),"NEED SLUG LGTH",IF(ISBLANK(F101),"NEED SLAVE INFO","")))</f>
        <v>NEED AP INFO</v>
      </c>
      <c r="Q104" s="338"/>
      <c r="R104" s="330" t="str">
        <f>IF(6-COUNTBLANK(P97:P102),"",IF(F97="Motovario","DD NOM SPEED: "&amp;INDEX(LrDirectDriveMotovario_Speed,MATCH(1,INDEX((F93&lt;=LrDirectDriveMotovario_Speed)*(H99&lt;=LrDirectDriveMotovario_Hp)*(H95&lt;=LrDirectDriveMotovario_Ebp),0,0),0)),IF(F97="Dodge","DD NOM SPEED: "&amp;INDEX(LrDirectDriveDodge_Speed,MATCH(1,INDEX((F93&lt;=LrDirectDriveDodge_Speed)*(H99&lt;=LrDirectDriveDodge_Hp)*(H95&lt;=LrDirectDriveDodge_Ebp),0,0),0)),"")))</f>
        <v/>
      </c>
      <c r="S104" s="331"/>
      <c r="T104" s="332"/>
      <c r="V104" s="38" t="s">
        <v>179</v>
      </c>
      <c r="W104" s="38" t="s">
        <v>138</v>
      </c>
      <c r="X104" s="38">
        <v>1.5</v>
      </c>
      <c r="Y104" s="38">
        <v>80</v>
      </c>
      <c r="Z104" s="45">
        <v>450</v>
      </c>
      <c r="AA104" s="47">
        <v>3145</v>
      </c>
      <c r="AB104" s="38">
        <v>50</v>
      </c>
      <c r="AC104" s="38" t="s">
        <v>226</v>
      </c>
      <c r="AD104" s="38">
        <v>5650</v>
      </c>
    </row>
    <row r="105" spans="2:30" ht="13.5" customHeight="1" thickBot="1" x14ac:dyDescent="0.25">
      <c r="V105" s="38" t="s">
        <v>188</v>
      </c>
      <c r="W105" s="38" t="s">
        <v>138</v>
      </c>
      <c r="X105" s="38">
        <v>2</v>
      </c>
      <c r="Y105" s="38">
        <v>80</v>
      </c>
      <c r="Z105" s="38">
        <v>600</v>
      </c>
      <c r="AA105" s="47">
        <v>3145</v>
      </c>
      <c r="AB105" s="38">
        <v>50</v>
      </c>
      <c r="AC105" s="38" t="s">
        <v>226</v>
      </c>
      <c r="AD105" s="38">
        <v>1450</v>
      </c>
    </row>
    <row r="106" spans="2:30" ht="13.5" customHeight="1" x14ac:dyDescent="0.2">
      <c r="B106" s="39"/>
      <c r="C106" s="320"/>
      <c r="D106" s="320"/>
      <c r="E106" s="320"/>
      <c r="F106" s="28"/>
      <c r="G106" s="30"/>
      <c r="H106" s="13" t="s">
        <v>30</v>
      </c>
      <c r="I106" s="10" t="s">
        <v>10</v>
      </c>
      <c r="J106" s="4" t="s">
        <v>110</v>
      </c>
      <c r="K106" s="4" t="s">
        <v>14</v>
      </c>
      <c r="L106" s="4" t="s">
        <v>111</v>
      </c>
      <c r="M106" s="4" t="s">
        <v>14</v>
      </c>
      <c r="N106" s="4" t="s">
        <v>112</v>
      </c>
      <c r="O106" s="4" t="s">
        <v>12</v>
      </c>
      <c r="P106" s="4" t="s">
        <v>110</v>
      </c>
      <c r="Q106" s="4" t="s">
        <v>14</v>
      </c>
      <c r="R106" s="4" t="s">
        <v>113</v>
      </c>
      <c r="S106" s="4" t="s">
        <v>14</v>
      </c>
      <c r="T106" s="5" t="s">
        <v>112</v>
      </c>
      <c r="V106" s="38" t="s">
        <v>179</v>
      </c>
      <c r="W106" s="38" t="s">
        <v>138</v>
      </c>
      <c r="X106" s="38">
        <v>1.5</v>
      </c>
      <c r="Y106" s="38">
        <v>100</v>
      </c>
      <c r="Z106" s="45">
        <v>375</v>
      </c>
      <c r="AA106" s="47">
        <v>3330</v>
      </c>
      <c r="AB106" s="38">
        <v>40</v>
      </c>
      <c r="AC106" s="38" t="s">
        <v>226</v>
      </c>
      <c r="AD106" s="38">
        <v>5640</v>
      </c>
    </row>
    <row r="107" spans="2:30" ht="13.5" customHeight="1" thickBot="1" x14ac:dyDescent="0.25">
      <c r="B107" s="16"/>
      <c r="C107" s="2" t="s">
        <v>5</v>
      </c>
      <c r="D107" s="59"/>
      <c r="E107" s="59"/>
      <c r="F107" s="59"/>
      <c r="G107" s="32"/>
      <c r="H107" s="15">
        <f>J107*L107*N107+P107*R107*T107</f>
        <v>0</v>
      </c>
      <c r="I107" s="20"/>
      <c r="J107" s="20">
        <f>IF(F110=0,$E$7,F110)</f>
        <v>25</v>
      </c>
      <c r="K107" s="20"/>
      <c r="L107" s="20">
        <f>F108</f>
        <v>0</v>
      </c>
      <c r="M107" s="20"/>
      <c r="N107" s="20">
        <v>2.1000000000000001E-2</v>
      </c>
      <c r="O107" s="20"/>
      <c r="P107" s="20">
        <f>J107</f>
        <v>25</v>
      </c>
      <c r="Q107" s="20"/>
      <c r="R107" s="20">
        <f>F116</f>
        <v>0</v>
      </c>
      <c r="S107" s="20"/>
      <c r="T107" s="11">
        <v>3.5000000000000003E-2</v>
      </c>
      <c r="V107" s="38" t="s">
        <v>188</v>
      </c>
      <c r="W107" s="38" t="s">
        <v>138</v>
      </c>
      <c r="X107" s="38">
        <v>2</v>
      </c>
      <c r="Y107" s="38">
        <v>100</v>
      </c>
      <c r="Z107" s="45">
        <v>510</v>
      </c>
      <c r="AA107" s="47">
        <v>3330</v>
      </c>
      <c r="AB107" s="38">
        <v>40</v>
      </c>
      <c r="AC107" s="38" t="s">
        <v>226</v>
      </c>
      <c r="AD107" s="38">
        <v>1440</v>
      </c>
    </row>
    <row r="108" spans="2:30" ht="13.5" customHeight="1" thickBot="1" x14ac:dyDescent="0.25">
      <c r="B108" s="16"/>
      <c r="C108" s="321"/>
      <c r="D108" s="323" t="s">
        <v>111</v>
      </c>
      <c r="E108" s="244"/>
      <c r="F108" s="6"/>
      <c r="G108" s="32"/>
      <c r="H108" s="18" t="s">
        <v>31</v>
      </c>
      <c r="I108" s="9" t="s">
        <v>10</v>
      </c>
      <c r="J108" s="9" t="s">
        <v>111</v>
      </c>
      <c r="K108" s="9" t="s">
        <v>14</v>
      </c>
      <c r="L108" s="9" t="s">
        <v>115</v>
      </c>
      <c r="M108" s="9" t="s">
        <v>14</v>
      </c>
      <c r="N108" s="9" t="s">
        <v>116</v>
      </c>
      <c r="O108" s="9"/>
      <c r="P108" s="9"/>
      <c r="Q108" s="9"/>
      <c r="R108" s="9"/>
      <c r="S108" s="21"/>
      <c r="T108" s="40"/>
      <c r="V108" s="38" t="s">
        <v>201</v>
      </c>
      <c r="W108" s="38" t="s">
        <v>138</v>
      </c>
      <c r="X108" s="38">
        <v>3</v>
      </c>
      <c r="Y108" s="38">
        <v>100</v>
      </c>
      <c r="Z108" s="45">
        <v>470</v>
      </c>
      <c r="AA108" s="47">
        <v>3330</v>
      </c>
      <c r="AB108" s="38">
        <v>40</v>
      </c>
      <c r="AC108" s="38" t="s">
        <v>226</v>
      </c>
      <c r="AD108" s="38">
        <v>1840</v>
      </c>
    </row>
    <row r="109" spans="2:30" ht="13.5" customHeight="1" thickBot="1" x14ac:dyDescent="0.25">
      <c r="B109" s="16"/>
      <c r="C109" s="322"/>
      <c r="D109" s="323" t="s">
        <v>8</v>
      </c>
      <c r="E109" s="244"/>
      <c r="F109" s="6"/>
      <c r="G109" s="32"/>
      <c r="H109" s="15" t="e">
        <f>J109*L109*N109</f>
        <v>#N/A</v>
      </c>
      <c r="I109" s="20"/>
      <c r="J109" s="20">
        <f>F108</f>
        <v>0</v>
      </c>
      <c r="K109" s="20"/>
      <c r="L109" s="20">
        <f>INDEX(LrCfRf,MATCH("CF",LrCfRf_Header,0),MATCH(F109,LrCfRf_Speed,-1))</f>
        <v>0.4</v>
      </c>
      <c r="M109" s="20"/>
      <c r="N109" s="20" t="e">
        <f>INDEX(LrCfRf,MATCH("RLR "&amp;F111,LrCfRf_Header,0),MATCH(F109,LrCfRf_Speed,-1))</f>
        <v>#N/A</v>
      </c>
      <c r="O109" s="20"/>
      <c r="P109" s="20"/>
      <c r="Q109" s="20"/>
      <c r="R109" s="20"/>
      <c r="S109" s="20"/>
      <c r="T109" s="41"/>
      <c r="V109" s="38" t="s">
        <v>179</v>
      </c>
      <c r="W109" s="38" t="s">
        <v>138</v>
      </c>
      <c r="X109" s="38">
        <v>1.5</v>
      </c>
      <c r="Y109" s="38">
        <v>130</v>
      </c>
      <c r="Z109" s="45">
        <v>290</v>
      </c>
      <c r="AA109" s="47">
        <v>3632</v>
      </c>
      <c r="AB109" s="38">
        <v>30</v>
      </c>
      <c r="AC109" s="38" t="s">
        <v>226</v>
      </c>
      <c r="AD109" s="38">
        <v>5630</v>
      </c>
    </row>
    <row r="110" spans="2:30" ht="13.5" customHeight="1" thickBot="1" x14ac:dyDescent="0.25">
      <c r="B110" s="16"/>
      <c r="C110" s="243" t="s">
        <v>24</v>
      </c>
      <c r="D110" s="243"/>
      <c r="E110" s="243"/>
      <c r="F110" s="6"/>
      <c r="G110" s="32"/>
      <c r="H110" s="14" t="s">
        <v>58</v>
      </c>
      <c r="I110" s="3" t="s">
        <v>10</v>
      </c>
      <c r="J110" s="3" t="s">
        <v>119</v>
      </c>
      <c r="K110" s="3" t="s">
        <v>14</v>
      </c>
      <c r="L110" s="3" t="s">
        <v>61</v>
      </c>
      <c r="M110" s="3" t="s">
        <v>12</v>
      </c>
      <c r="N110" s="3" t="s">
        <v>57</v>
      </c>
      <c r="T110" s="32"/>
      <c r="V110" s="38" t="s">
        <v>188</v>
      </c>
      <c r="W110" s="38" t="s">
        <v>138</v>
      </c>
      <c r="X110" s="38">
        <v>2</v>
      </c>
      <c r="Y110" s="38">
        <v>130</v>
      </c>
      <c r="Z110" s="45">
        <v>400</v>
      </c>
      <c r="AA110" s="47">
        <v>3632</v>
      </c>
      <c r="AB110" s="38">
        <v>30</v>
      </c>
      <c r="AC110" s="38" t="s">
        <v>226</v>
      </c>
      <c r="AD110" s="38">
        <v>1430</v>
      </c>
    </row>
    <row r="111" spans="2:30" ht="13.5" customHeight="1" thickBot="1" x14ac:dyDescent="0.25">
      <c r="B111" s="16"/>
      <c r="C111" s="243" t="s">
        <v>47</v>
      </c>
      <c r="D111" s="243"/>
      <c r="E111" s="243"/>
      <c r="F111" s="6"/>
      <c r="G111" s="32"/>
      <c r="H111" s="15" t="e">
        <f>J111*L111+N111</f>
        <v>#N/A</v>
      </c>
      <c r="I111" s="20"/>
      <c r="J111" s="20" t="e">
        <f>H107+H109</f>
        <v>#N/A</v>
      </c>
      <c r="K111" s="20"/>
      <c r="L111" s="20">
        <f>IF(F114="Y",1.33*1.1,1.33)</f>
        <v>1.33</v>
      </c>
      <c r="M111" s="20"/>
      <c r="N111" s="20">
        <f>F117</f>
        <v>0</v>
      </c>
      <c r="O111" s="20"/>
      <c r="P111" s="26"/>
      <c r="Q111" s="26"/>
      <c r="R111" s="26"/>
      <c r="S111" s="26"/>
      <c r="T111" s="22"/>
      <c r="V111" s="38" t="s">
        <v>201</v>
      </c>
      <c r="W111" s="38" t="s">
        <v>138</v>
      </c>
      <c r="X111" s="38">
        <v>3</v>
      </c>
      <c r="Y111" s="38">
        <v>130</v>
      </c>
      <c r="Z111" s="45">
        <v>580</v>
      </c>
      <c r="AA111" s="47">
        <v>3632</v>
      </c>
      <c r="AB111" s="38">
        <v>30</v>
      </c>
      <c r="AC111" s="38" t="s">
        <v>226</v>
      </c>
      <c r="AD111" s="38">
        <v>1830</v>
      </c>
    </row>
    <row r="112" spans="2:30" ht="13.5" customHeight="1" thickBot="1" x14ac:dyDescent="0.25">
      <c r="B112" s="16"/>
      <c r="C112" s="245"/>
      <c r="D112" s="245"/>
      <c r="E112" s="245"/>
      <c r="G112" s="32"/>
      <c r="H112" s="14" t="s">
        <v>122</v>
      </c>
      <c r="I112" s="3" t="s">
        <v>10</v>
      </c>
      <c r="J112" s="3" t="s">
        <v>111</v>
      </c>
      <c r="K112" s="3" t="s">
        <v>14</v>
      </c>
      <c r="L112" s="3" t="s">
        <v>123</v>
      </c>
      <c r="M112" s="3"/>
      <c r="N112" s="3"/>
      <c r="P112" s="298" t="s">
        <v>50</v>
      </c>
      <c r="Q112" s="299"/>
      <c r="R112" s="300" t="s">
        <v>51</v>
      </c>
      <c r="S112" s="301"/>
      <c r="T112" s="302"/>
      <c r="V112" s="38" t="s">
        <v>179</v>
      </c>
      <c r="W112" s="38" t="s">
        <v>138</v>
      </c>
      <c r="X112" s="38">
        <v>1.5</v>
      </c>
      <c r="Y112" s="38">
        <v>160</v>
      </c>
      <c r="Z112" s="45">
        <v>250</v>
      </c>
      <c r="AA112" s="47">
        <v>3145</v>
      </c>
      <c r="AB112" s="38">
        <v>25</v>
      </c>
      <c r="AC112" s="38" t="s">
        <v>226</v>
      </c>
      <c r="AD112" s="38">
        <v>5625</v>
      </c>
    </row>
    <row r="113" spans="2:30" ht="13.5" customHeight="1" thickBot="1" x14ac:dyDescent="0.25">
      <c r="B113" s="16"/>
      <c r="C113" s="243" t="s">
        <v>124</v>
      </c>
      <c r="D113" s="243"/>
      <c r="E113" s="243"/>
      <c r="F113" s="1"/>
      <c r="G113" s="32"/>
      <c r="H113" s="15">
        <f>J113*L113</f>
        <v>0</v>
      </c>
      <c r="I113" s="20"/>
      <c r="J113" s="20">
        <f>F108</f>
        <v>0</v>
      </c>
      <c r="K113" s="20"/>
      <c r="L113" s="20">
        <f>INDEX(LrCfRf,MATCH("HSBP",LrCfRf_Header,0),MATCH(F109,LrCfRf_Speed,-1))</f>
        <v>6</v>
      </c>
      <c r="M113" s="20"/>
      <c r="N113" s="20"/>
      <c r="O113" s="20"/>
      <c r="P113" s="303" t="str">
        <f>IF(ISBLANK(F108),"NEED LENGTH",IF(F108&gt;200,"TOO LONG",""))</f>
        <v>NEED LENGTH</v>
      </c>
      <c r="Q113" s="304"/>
      <c r="R113" s="305" t="str">
        <f>IF(7-COUNTBLANK(P113:P119),"",IF(F113="Motovario",INDEX(LrDirectDriveMotovario_Cd,MATCH(1,INDEX((F109&lt;=LrDirectDriveMotovario_Speed)*(H115&lt;=LrDirectDriveMotovario_Hp)*(H111&lt;=LrDirectDriveMotovario_Ebp),0,0),0))&amp;" DIRECT DRIVE",IF(F113="Dodge",INDEX(LrDirectDriveDodge_Cd,MATCH(1,INDEX((F109&lt;=LrDirectDriveDodge_Speed)*(H115&lt;=LrDirectDriveDodge_Hp)*(H111&lt;=LrDirectDriveDodge_Ebp),0,0),0))&amp;" DIRECT DRIVE",INDEX(LrDriveCap_Cd,MATCH(1,INDEX((H111&lt;=LrDriveCap_Ebp)*(H115&lt;=LrDriveCap_Hp)*((F117&lt;&gt;0)=LrDriveCap_Slave)*(F108&lt;=LrDriveCap_Length),0,0),0)))))</f>
        <v/>
      </c>
      <c r="S113" s="306"/>
      <c r="T113" s="307"/>
      <c r="V113" s="38" t="s">
        <v>188</v>
      </c>
      <c r="W113" s="38" t="s">
        <v>138</v>
      </c>
      <c r="X113" s="38">
        <v>2</v>
      </c>
      <c r="Y113" s="38">
        <v>160</v>
      </c>
      <c r="Z113" s="45">
        <v>350</v>
      </c>
      <c r="AA113" s="47">
        <v>3145</v>
      </c>
      <c r="AB113" s="38">
        <v>25</v>
      </c>
      <c r="AC113" s="38" t="s">
        <v>226</v>
      </c>
      <c r="AD113" s="38">
        <v>1425</v>
      </c>
    </row>
    <row r="114" spans="2:30" ht="13.5" customHeight="1" thickBot="1" x14ac:dyDescent="0.25">
      <c r="B114" s="16"/>
      <c r="C114" s="241" t="s">
        <v>125</v>
      </c>
      <c r="D114" s="241"/>
      <c r="E114" s="241"/>
      <c r="F114" s="1"/>
      <c r="G114" s="32"/>
      <c r="H114" s="18" t="s">
        <v>74</v>
      </c>
      <c r="I114" s="9" t="s">
        <v>10</v>
      </c>
      <c r="J114" s="9" t="s">
        <v>58</v>
      </c>
      <c r="K114" s="9" t="s">
        <v>14</v>
      </c>
      <c r="L114" s="9" t="s">
        <v>8</v>
      </c>
      <c r="M114" s="9" t="s">
        <v>75</v>
      </c>
      <c r="N114" s="19" t="s">
        <v>76</v>
      </c>
      <c r="O114" s="9"/>
      <c r="P114" s="327" t="str">
        <f>IF(ISBLANK(F109),"NEED SPEED","")</f>
        <v>NEED SPEED</v>
      </c>
      <c r="Q114" s="328"/>
      <c r="R114" s="324" t="str">
        <f>IF(7-COUNTBLANK(P113:P119),"",IF(F113="Motovario",INDEX(LrDirectDriveMotovario_Hp,MATCH(1,INDEX((F109&lt;=LrDirectDriveMotovario_Speed)*(H115&lt;=LrDirectDriveMotovario_Hp)*(H111&lt;=LrDirectDriveMotovario_Ebp),0,0),0)),IF(F113="Dodge",INDEX(LrDirectDriveDodge_Hp,MATCH(1,INDEX((F109&lt;=LrDirectDriveDodge_Speed)*(H115&lt;=LrDirectDriveDodge_Hp)*(H111&lt;=LrDirectDriveDodge_Ebp),0,0),0)),INDEX(LrDriveCap_Hp,MATCH(1,INDEX((H111&lt;=LrDriveCap_Ebp)*(H115&lt;=LrDriveCap_Hp)*((F117&lt;&gt;0)=LrDriveCap_Slave)*(F108&lt;=LrDriveCap_Length),0,0),0))))&amp;" HP")</f>
        <v/>
      </c>
      <c r="S114" s="325"/>
      <c r="T114" s="326"/>
      <c r="V114" s="38" t="s">
        <v>201</v>
      </c>
      <c r="W114" s="38" t="s">
        <v>138</v>
      </c>
      <c r="X114" s="38">
        <v>3</v>
      </c>
      <c r="Y114" s="38">
        <v>160</v>
      </c>
      <c r="Z114" s="45">
        <v>510</v>
      </c>
      <c r="AA114" s="47">
        <v>3145</v>
      </c>
      <c r="AB114" s="38">
        <v>25</v>
      </c>
      <c r="AC114" s="38" t="s">
        <v>226</v>
      </c>
      <c r="AD114" s="38">
        <v>1825</v>
      </c>
    </row>
    <row r="115" spans="2:30" ht="13.5" customHeight="1" thickBot="1" x14ac:dyDescent="0.25">
      <c r="B115" s="16"/>
      <c r="G115" s="32"/>
      <c r="H115" s="15" t="e">
        <f>J115*L115/N115</f>
        <v>#N/A</v>
      </c>
      <c r="I115" s="20"/>
      <c r="J115" s="20" t="e">
        <f>H111</f>
        <v>#N/A</v>
      </c>
      <c r="K115" s="20"/>
      <c r="L115" s="20">
        <f>F109</f>
        <v>0</v>
      </c>
      <c r="M115" s="20"/>
      <c r="N115" s="8">
        <v>31350</v>
      </c>
      <c r="O115" s="20"/>
      <c r="P115" s="327" t="str">
        <f>IF(AND(ISBLANK($E$7),ISBLANK(F110)),"NEED LIVE LOAD","")</f>
        <v/>
      </c>
      <c r="Q115" s="328"/>
      <c r="R115" s="54" t="str">
        <f>IF(7-COUNTBLANK(P113:P119),"",IF(NOT(ISERROR(H111)),MAX(2,H111/200,IF(OR(AND(F108&gt;100,F117=0),AND(F108&gt;80,F117&lt;&gt;0)),3,0)),""))</f>
        <v/>
      </c>
      <c r="S115" s="324" t="str">
        <f>IF(7-COUNTBLANK(P113:P119),"","LONG SPRINGS")</f>
        <v/>
      </c>
      <c r="T115" s="326"/>
      <c r="V115" s="38" t="s">
        <v>188</v>
      </c>
      <c r="W115" s="38" t="s">
        <v>138</v>
      </c>
      <c r="X115" s="38">
        <v>2</v>
      </c>
      <c r="Y115" s="38">
        <v>200</v>
      </c>
      <c r="Z115" s="45">
        <v>285</v>
      </c>
      <c r="AA115" s="47">
        <v>3288</v>
      </c>
      <c r="AB115" s="38">
        <v>20</v>
      </c>
      <c r="AC115" s="38" t="s">
        <v>226</v>
      </c>
      <c r="AD115" s="38">
        <v>1420</v>
      </c>
    </row>
    <row r="116" spans="2:30" ht="13.5" customHeight="1" thickBot="1" x14ac:dyDescent="0.25">
      <c r="B116" s="16"/>
      <c r="C116" s="243" t="s">
        <v>113</v>
      </c>
      <c r="D116" s="243"/>
      <c r="E116" s="243"/>
      <c r="F116" s="6"/>
      <c r="G116" s="32"/>
      <c r="H116" s="42"/>
      <c r="I116" s="21"/>
      <c r="J116" s="21"/>
      <c r="K116" s="21"/>
      <c r="L116" s="21"/>
      <c r="M116" s="21"/>
      <c r="N116" s="21"/>
      <c r="O116" s="40"/>
      <c r="P116" s="327" t="str">
        <f>IF(ISBLANK(F111),"NEED RLR CENT","")</f>
        <v>NEED RLR CENT</v>
      </c>
      <c r="Q116" s="328"/>
      <c r="R116" s="54" t="str">
        <f>IF(7-COUNTBLANK(P113:P119),"",IF(H111&lt;&gt;0,MAX(2,H111/160,IF(OR(AND(F108&gt;100,F117=0),AND(F108&gt;80,F117&lt;&gt;0)),3,0)),""))</f>
        <v/>
      </c>
      <c r="S116" s="324" t="str">
        <f>IF(7-COUNTBLANK(P113:P119),"","SHRT SPRINGS")</f>
        <v/>
      </c>
      <c r="T116" s="326"/>
      <c r="V116" s="38" t="s">
        <v>201</v>
      </c>
      <c r="W116" s="38" t="s">
        <v>138</v>
      </c>
      <c r="X116" s="38">
        <v>3</v>
      </c>
      <c r="Y116" s="38">
        <v>200</v>
      </c>
      <c r="Z116" s="45">
        <v>415</v>
      </c>
      <c r="AA116" s="47">
        <v>3288</v>
      </c>
      <c r="AB116" s="38">
        <v>20</v>
      </c>
      <c r="AC116" s="38" t="s">
        <v>226</v>
      </c>
      <c r="AD116" s="38">
        <v>1820</v>
      </c>
    </row>
    <row r="117" spans="2:30" ht="13.5" customHeight="1" thickBot="1" x14ac:dyDescent="0.25">
      <c r="B117" s="16"/>
      <c r="C117" s="243" t="s">
        <v>131</v>
      </c>
      <c r="D117" s="243"/>
      <c r="E117" s="243"/>
      <c r="F117" s="6"/>
      <c r="G117" s="32"/>
      <c r="H117" s="56"/>
      <c r="I117" s="57"/>
      <c r="J117" s="57"/>
      <c r="K117" s="57"/>
      <c r="L117" s="57"/>
      <c r="M117" s="57"/>
      <c r="N117" s="57"/>
      <c r="O117" s="58"/>
      <c r="P117" s="327" t="str">
        <f>IFERROR(IF(H115&gt;MAX(LrDriveCap_Hp),"EXCEEDS MAX HP",""),"")</f>
        <v/>
      </c>
      <c r="Q117" s="328"/>
      <c r="R117" s="324" t="str">
        <f>IF(7-COUNTBLANK(P113:P119),"",IF(H111&gt;600,"6IN ENTRY TE REQUIRED",""))</f>
        <v/>
      </c>
      <c r="S117" s="325"/>
      <c r="T117" s="326"/>
      <c r="V117" s="38" t="s">
        <v>188</v>
      </c>
      <c r="W117" s="38" t="s">
        <v>138</v>
      </c>
      <c r="X117" s="38">
        <v>2</v>
      </c>
      <c r="Y117" s="38">
        <v>260</v>
      </c>
      <c r="Z117" s="45">
        <v>215</v>
      </c>
      <c r="AA117" s="47">
        <v>3330</v>
      </c>
      <c r="AB117" s="38">
        <v>15</v>
      </c>
      <c r="AC117" s="38" t="s">
        <v>226</v>
      </c>
      <c r="AD117" s="38">
        <v>1415</v>
      </c>
    </row>
    <row r="118" spans="2:30" ht="13.5" customHeight="1" x14ac:dyDescent="0.2">
      <c r="B118" s="16"/>
      <c r="C118" s="240"/>
      <c r="D118" s="240"/>
      <c r="E118" s="240"/>
      <c r="G118" s="32"/>
      <c r="H118" s="290" t="s">
        <v>133</v>
      </c>
      <c r="I118" s="291"/>
      <c r="J118" s="291"/>
      <c r="K118" s="291"/>
      <c r="L118" s="291"/>
      <c r="M118" s="291"/>
      <c r="N118" s="291"/>
      <c r="O118" s="292"/>
      <c r="P118" s="327" t="str">
        <f>IFERROR(IF(H111&gt;MAX(LrDriveCap_Ebp),"EXCEEDS MAX EBP",""),"")</f>
        <v/>
      </c>
      <c r="Q118" s="328"/>
      <c r="R118" s="324"/>
      <c r="S118" s="325"/>
      <c r="T118" s="326"/>
      <c r="V118" s="38" t="s">
        <v>201</v>
      </c>
      <c r="W118" s="38" t="s">
        <v>138</v>
      </c>
      <c r="X118" s="38">
        <v>3</v>
      </c>
      <c r="Y118" s="38">
        <v>260</v>
      </c>
      <c r="Z118" s="45">
        <v>320</v>
      </c>
      <c r="AA118" s="47">
        <v>3330</v>
      </c>
      <c r="AB118" s="38">
        <v>15</v>
      </c>
      <c r="AC118" s="38" t="s">
        <v>226</v>
      </c>
      <c r="AD118" s="38">
        <v>1815</v>
      </c>
    </row>
    <row r="119" spans="2:30" ht="13.5" customHeight="1" thickBot="1" x14ac:dyDescent="0.25">
      <c r="B119" s="12"/>
      <c r="C119" s="293"/>
      <c r="D119" s="293"/>
      <c r="E119" s="293"/>
      <c r="F119" s="7"/>
      <c r="G119" s="37"/>
      <c r="H119" s="16" t="s">
        <v>134</v>
      </c>
      <c r="J119" s="26" t="str">
        <f>IFERROR(H111*J120/2,"")</f>
        <v/>
      </c>
      <c r="L119" s="2" t="s">
        <v>135</v>
      </c>
      <c r="N119" s="26" t="str">
        <f>IF(F113="Motovario",INDEX(LrDirectDriveMotovario_MaxT,MATCH(1,INDEX((F109&lt;=LrDirectDriveMotovario_Speed)*(H115&lt;=LrDirectDriveMotovario_Hp)*(H111&lt;=LrDirectDriveMotovario_Ebp),0,0),0)),IF(F113="Dodge",INDEX(LrDirectDriveDodge_MaxT,MATCH(1,INDEX((F109&lt;=LrDirectDriveDodge_Speed)*(H115&lt;=LrDirectDriveDodge_Hp)*(H111&lt;=LrDirectDriveDodge_Ebp),0,0),0)),""))</f>
        <v/>
      </c>
      <c r="P119" s="327" t="str">
        <f>IFERROR(IF(AND(AND(F113&lt;&gt;"Motovario",F113&lt;&gt;"Dodge"),VALUE(RIGHT(R120,LEN(R120)-14))&lt;&gt;F109),"USE DD NOM SPD",""),"")</f>
        <v/>
      </c>
      <c r="Q119" s="328"/>
      <c r="R119" s="324" t="str">
        <f>IF(7-COUNTBLANK(P113:P119),"",IF(H113&gt;1100,"SOFT START REQUIRED",""))</f>
        <v/>
      </c>
      <c r="S119" s="325"/>
      <c r="T119" s="326"/>
      <c r="V119" s="38" t="s">
        <v>188</v>
      </c>
      <c r="W119" s="38" t="s">
        <v>138</v>
      </c>
      <c r="X119" s="38">
        <v>2</v>
      </c>
      <c r="Y119" s="38">
        <v>400</v>
      </c>
      <c r="Z119" s="45">
        <v>150</v>
      </c>
      <c r="AA119" s="47">
        <v>2867</v>
      </c>
      <c r="AB119" s="38">
        <v>10</v>
      </c>
      <c r="AC119" s="38" t="s">
        <v>226</v>
      </c>
      <c r="AD119" s="38">
        <v>1410</v>
      </c>
    </row>
    <row r="120" spans="2:30" ht="13.5" customHeight="1" thickBot="1" x14ac:dyDescent="0.25">
      <c r="B120" s="294" t="s">
        <v>78</v>
      </c>
      <c r="C120" s="295"/>
      <c r="D120" s="262"/>
      <c r="E120" s="263"/>
      <c r="F120" s="263"/>
      <c r="G120" s="264"/>
      <c r="H120" s="12" t="s">
        <v>136</v>
      </c>
      <c r="I120" s="7"/>
      <c r="J120" s="27" t="str">
        <f>IFERROR(VALUE(LEFT(R113,SEARCH("CD",R113)-1))+1/2,"")</f>
        <v/>
      </c>
      <c r="K120" s="7"/>
      <c r="L120" s="17" t="s">
        <v>137</v>
      </c>
      <c r="M120" s="17"/>
      <c r="N120" s="43" t="str">
        <f>IFERROR(N119/J119,"")</f>
        <v/>
      </c>
      <c r="O120" s="7"/>
      <c r="P120" s="337" t="str">
        <f>IF(ISBLANK(F114),"NEED AP INFO",IF(ISBLANK(F116),"NEED SLUG LGTH",IF(ISBLANK(F117),"NEED SLAVE INFO","")))</f>
        <v>NEED AP INFO</v>
      </c>
      <c r="Q120" s="338"/>
      <c r="R120" s="330" t="str">
        <f>IF(6-COUNTBLANK(P113:P118),"",IF(F113="Motovario","DD NOM SPEED: "&amp;INDEX(LrDirectDriveMotovario_Speed,MATCH(1,INDEX((F109&lt;=LrDirectDriveMotovario_Speed)*(H115&lt;=LrDirectDriveMotovario_Hp)*(H111&lt;=LrDirectDriveMotovario_Ebp),0,0),0)),IF(F113="Dodge","DD NOM SPEED: "&amp;INDEX(LrDirectDriveDodge_Speed,MATCH(1,INDEX((F109&lt;=LrDirectDriveDodge_Speed)*(H115&lt;=LrDirectDriveDodge_Hp)*(H111&lt;=LrDirectDriveDodge_Ebp),0,0),0)),"")))</f>
        <v/>
      </c>
      <c r="S120" s="331"/>
      <c r="T120" s="332"/>
      <c r="V120" s="38" t="s">
        <v>201</v>
      </c>
      <c r="W120" s="38" t="s">
        <v>138</v>
      </c>
      <c r="X120" s="38">
        <v>3</v>
      </c>
      <c r="Y120" s="38">
        <v>400</v>
      </c>
      <c r="Z120" s="45">
        <v>220</v>
      </c>
      <c r="AA120" s="47">
        <v>2867</v>
      </c>
      <c r="AB120" s="38">
        <v>10</v>
      </c>
      <c r="AC120" s="38" t="s">
        <v>226</v>
      </c>
      <c r="AD120" s="38">
        <v>1810</v>
      </c>
    </row>
    <row r="121" spans="2:30" ht="13.5" customHeight="1" thickBot="1" x14ac:dyDescent="0.25">
      <c r="V121" s="38" t="s">
        <v>212</v>
      </c>
      <c r="W121" s="38" t="s">
        <v>139</v>
      </c>
      <c r="X121" s="38">
        <v>2</v>
      </c>
      <c r="Y121" s="38">
        <v>80</v>
      </c>
      <c r="Z121" s="45">
        <v>600</v>
      </c>
      <c r="AA121" s="47">
        <v>5744</v>
      </c>
      <c r="AB121" s="38">
        <v>60</v>
      </c>
      <c r="AC121" s="38" t="s">
        <v>227</v>
      </c>
      <c r="AD121" s="38">
        <v>1460</v>
      </c>
    </row>
    <row r="122" spans="2:30" ht="13.5" customHeight="1" x14ac:dyDescent="0.2">
      <c r="B122" s="39"/>
      <c r="C122" s="320"/>
      <c r="D122" s="320"/>
      <c r="E122" s="320"/>
      <c r="F122" s="28"/>
      <c r="G122" s="30"/>
      <c r="H122" s="13" t="s">
        <v>30</v>
      </c>
      <c r="I122" s="10" t="s">
        <v>10</v>
      </c>
      <c r="J122" s="4" t="s">
        <v>110</v>
      </c>
      <c r="K122" s="4" t="s">
        <v>14</v>
      </c>
      <c r="L122" s="4" t="s">
        <v>111</v>
      </c>
      <c r="M122" s="4" t="s">
        <v>14</v>
      </c>
      <c r="N122" s="4" t="s">
        <v>112</v>
      </c>
      <c r="O122" s="4" t="s">
        <v>12</v>
      </c>
      <c r="P122" s="4" t="s">
        <v>110</v>
      </c>
      <c r="Q122" s="4" t="s">
        <v>14</v>
      </c>
      <c r="R122" s="4" t="s">
        <v>113</v>
      </c>
      <c r="S122" s="4" t="s">
        <v>14</v>
      </c>
      <c r="T122" s="5" t="s">
        <v>112</v>
      </c>
      <c r="V122" s="38" t="s">
        <v>213</v>
      </c>
      <c r="W122" s="38" t="s">
        <v>139</v>
      </c>
      <c r="X122" s="38">
        <v>3</v>
      </c>
      <c r="Y122" s="38">
        <v>80</v>
      </c>
      <c r="Z122" s="38">
        <v>680</v>
      </c>
      <c r="AA122" s="47">
        <v>5744</v>
      </c>
      <c r="AB122" s="38">
        <v>60</v>
      </c>
      <c r="AC122" s="38" t="s">
        <v>227</v>
      </c>
      <c r="AD122" s="38">
        <v>1860</v>
      </c>
    </row>
    <row r="123" spans="2:30" ht="13.5" customHeight="1" thickBot="1" x14ac:dyDescent="0.25">
      <c r="B123" s="16"/>
      <c r="C123" s="2" t="s">
        <v>5</v>
      </c>
      <c r="D123" s="59"/>
      <c r="E123" s="59"/>
      <c r="F123" s="59"/>
      <c r="G123" s="32"/>
      <c r="H123" s="15">
        <f>J123*L123*N123+P123*R123*T123</f>
        <v>0</v>
      </c>
      <c r="I123" s="20"/>
      <c r="J123" s="20">
        <f>IF(F126=0,$E$7,F126)</f>
        <v>25</v>
      </c>
      <c r="K123" s="20"/>
      <c r="L123" s="20">
        <f>F124</f>
        <v>0</v>
      </c>
      <c r="M123" s="20"/>
      <c r="N123" s="20">
        <v>2.1000000000000001E-2</v>
      </c>
      <c r="O123" s="20"/>
      <c r="P123" s="20">
        <f>J123</f>
        <v>25</v>
      </c>
      <c r="Q123" s="20"/>
      <c r="R123" s="20">
        <f>F132</f>
        <v>0</v>
      </c>
      <c r="S123" s="20"/>
      <c r="T123" s="11">
        <v>3.5000000000000003E-2</v>
      </c>
      <c r="V123" s="38" t="s">
        <v>212</v>
      </c>
      <c r="W123" s="38" t="s">
        <v>139</v>
      </c>
      <c r="X123" s="38">
        <v>2</v>
      </c>
      <c r="Y123" s="38">
        <v>100</v>
      </c>
      <c r="Z123" s="45">
        <v>520</v>
      </c>
      <c r="AA123" s="47">
        <v>6231</v>
      </c>
      <c r="AB123" s="38">
        <v>50</v>
      </c>
      <c r="AC123" s="38" t="s">
        <v>227</v>
      </c>
      <c r="AD123" s="38">
        <v>1450</v>
      </c>
    </row>
    <row r="124" spans="2:30" ht="13.5" customHeight="1" thickBot="1" x14ac:dyDescent="0.25">
      <c r="B124" s="16"/>
      <c r="C124" s="321"/>
      <c r="D124" s="323" t="s">
        <v>111</v>
      </c>
      <c r="E124" s="244"/>
      <c r="F124" s="6"/>
      <c r="G124" s="32"/>
      <c r="H124" s="18" t="s">
        <v>31</v>
      </c>
      <c r="I124" s="9" t="s">
        <v>10</v>
      </c>
      <c r="J124" s="9" t="s">
        <v>111</v>
      </c>
      <c r="K124" s="9" t="s">
        <v>14</v>
      </c>
      <c r="L124" s="9" t="s">
        <v>115</v>
      </c>
      <c r="M124" s="9" t="s">
        <v>14</v>
      </c>
      <c r="N124" s="9" t="s">
        <v>116</v>
      </c>
      <c r="O124" s="9"/>
      <c r="P124" s="9"/>
      <c r="Q124" s="9"/>
      <c r="R124" s="9"/>
      <c r="S124" s="21"/>
      <c r="T124" s="40"/>
      <c r="V124" s="38" t="s">
        <v>213</v>
      </c>
      <c r="W124" s="38" t="s">
        <v>139</v>
      </c>
      <c r="X124" s="38">
        <v>3</v>
      </c>
      <c r="Y124" s="38">
        <v>100</v>
      </c>
      <c r="Z124" s="38">
        <v>680</v>
      </c>
      <c r="AA124" s="47">
        <v>6231</v>
      </c>
      <c r="AB124" s="38">
        <v>50</v>
      </c>
      <c r="AC124" s="38" t="s">
        <v>227</v>
      </c>
      <c r="AD124" s="38">
        <v>1850</v>
      </c>
    </row>
    <row r="125" spans="2:30" ht="13.5" customHeight="1" thickBot="1" x14ac:dyDescent="0.25">
      <c r="B125" s="16"/>
      <c r="C125" s="322"/>
      <c r="D125" s="323" t="s">
        <v>8</v>
      </c>
      <c r="E125" s="244"/>
      <c r="F125" s="6"/>
      <c r="G125" s="32"/>
      <c r="H125" s="15" t="e">
        <f>J125*L125*N125</f>
        <v>#N/A</v>
      </c>
      <c r="I125" s="20"/>
      <c r="J125" s="20">
        <f>F124</f>
        <v>0</v>
      </c>
      <c r="K125" s="20"/>
      <c r="L125" s="20">
        <f>INDEX(LrCfRf,MATCH("CF",LrCfRf_Header,0),MATCH(F125,LrCfRf_Speed,-1))</f>
        <v>0.4</v>
      </c>
      <c r="M125" s="20"/>
      <c r="N125" s="20" t="e">
        <f>INDEX(LrCfRf,MATCH("RLR "&amp;F127,LrCfRf_Header,0),MATCH(F125,LrCfRf_Speed,-1))</f>
        <v>#N/A</v>
      </c>
      <c r="O125" s="20"/>
      <c r="P125" s="20"/>
      <c r="Q125" s="20"/>
      <c r="R125" s="20"/>
      <c r="S125" s="20"/>
      <c r="T125" s="41"/>
      <c r="V125" s="38" t="s">
        <v>212</v>
      </c>
      <c r="W125" s="38" t="s">
        <v>139</v>
      </c>
      <c r="X125" s="38">
        <v>2</v>
      </c>
      <c r="Y125" s="38">
        <v>120</v>
      </c>
      <c r="Z125" s="45">
        <v>430</v>
      </c>
      <c r="AA125" s="47">
        <v>6620</v>
      </c>
      <c r="AB125" s="38">
        <v>40</v>
      </c>
      <c r="AC125" s="38" t="s">
        <v>227</v>
      </c>
      <c r="AD125" s="38">
        <v>1440</v>
      </c>
    </row>
    <row r="126" spans="2:30" ht="13.5" customHeight="1" thickBot="1" x14ac:dyDescent="0.25">
      <c r="B126" s="16"/>
      <c r="C126" s="243" t="s">
        <v>24</v>
      </c>
      <c r="D126" s="243"/>
      <c r="E126" s="243"/>
      <c r="F126" s="6"/>
      <c r="G126" s="32"/>
      <c r="H126" s="14" t="s">
        <v>58</v>
      </c>
      <c r="I126" s="3" t="s">
        <v>10</v>
      </c>
      <c r="J126" s="3" t="s">
        <v>119</v>
      </c>
      <c r="K126" s="3" t="s">
        <v>14</v>
      </c>
      <c r="L126" s="3" t="s">
        <v>61</v>
      </c>
      <c r="M126" s="3" t="s">
        <v>12</v>
      </c>
      <c r="N126" s="3" t="s">
        <v>57</v>
      </c>
      <c r="T126" s="32"/>
      <c r="V126" s="38" t="s">
        <v>213</v>
      </c>
      <c r="W126" s="38" t="s">
        <v>139</v>
      </c>
      <c r="X126" s="38">
        <v>3</v>
      </c>
      <c r="Y126" s="38">
        <v>120</v>
      </c>
      <c r="Z126" s="45">
        <v>650</v>
      </c>
      <c r="AA126" s="47">
        <v>6620</v>
      </c>
      <c r="AB126" s="38">
        <v>40</v>
      </c>
      <c r="AC126" s="38" t="s">
        <v>227</v>
      </c>
      <c r="AD126" s="38">
        <v>1840</v>
      </c>
    </row>
    <row r="127" spans="2:30" ht="13.5" customHeight="1" thickBot="1" x14ac:dyDescent="0.25">
      <c r="B127" s="16"/>
      <c r="C127" s="243" t="s">
        <v>47</v>
      </c>
      <c r="D127" s="243"/>
      <c r="E127" s="243"/>
      <c r="F127" s="6"/>
      <c r="G127" s="32"/>
      <c r="H127" s="15" t="e">
        <f>J127*L127+N127</f>
        <v>#N/A</v>
      </c>
      <c r="I127" s="20"/>
      <c r="J127" s="20" t="e">
        <f>H123+H125</f>
        <v>#N/A</v>
      </c>
      <c r="K127" s="20"/>
      <c r="L127" s="20">
        <f>IF(F130="Y",1.33*1.1,1.33)</f>
        <v>1.33</v>
      </c>
      <c r="M127" s="20"/>
      <c r="N127" s="20">
        <f>F133</f>
        <v>0</v>
      </c>
      <c r="O127" s="20"/>
      <c r="P127" s="26"/>
      <c r="Q127" s="26"/>
      <c r="R127" s="26"/>
      <c r="S127" s="26"/>
      <c r="T127" s="22"/>
      <c r="V127" s="38" t="s">
        <v>214</v>
      </c>
      <c r="W127" s="38" t="s">
        <v>139</v>
      </c>
      <c r="X127" s="38">
        <v>5</v>
      </c>
      <c r="Y127" s="38">
        <v>120</v>
      </c>
      <c r="Z127" s="45">
        <v>650</v>
      </c>
      <c r="AA127" s="47">
        <v>6620</v>
      </c>
      <c r="AB127" s="38">
        <v>40</v>
      </c>
      <c r="AC127" s="38" t="s">
        <v>227</v>
      </c>
      <c r="AD127" s="38">
        <v>1840</v>
      </c>
    </row>
    <row r="128" spans="2:30" ht="13.5" customHeight="1" thickBot="1" x14ac:dyDescent="0.25">
      <c r="B128" s="16"/>
      <c r="C128" s="245"/>
      <c r="D128" s="245"/>
      <c r="E128" s="245"/>
      <c r="G128" s="32"/>
      <c r="H128" s="14" t="s">
        <v>122</v>
      </c>
      <c r="I128" s="3" t="s">
        <v>10</v>
      </c>
      <c r="J128" s="3" t="s">
        <v>111</v>
      </c>
      <c r="K128" s="3" t="s">
        <v>14</v>
      </c>
      <c r="L128" s="3" t="s">
        <v>123</v>
      </c>
      <c r="M128" s="3"/>
      <c r="N128" s="3"/>
      <c r="P128" s="298" t="s">
        <v>50</v>
      </c>
      <c r="Q128" s="299"/>
      <c r="R128" s="300" t="s">
        <v>51</v>
      </c>
      <c r="S128" s="301"/>
      <c r="T128" s="302"/>
      <c r="V128" s="38" t="s">
        <v>212</v>
      </c>
      <c r="W128" s="38" t="s">
        <v>139</v>
      </c>
      <c r="X128" s="38">
        <v>2</v>
      </c>
      <c r="Y128" s="38">
        <v>160</v>
      </c>
      <c r="Z128" s="45">
        <v>330</v>
      </c>
      <c r="AA128" s="47">
        <v>6926</v>
      </c>
      <c r="AB128" s="38">
        <v>30</v>
      </c>
      <c r="AC128" s="38" t="s">
        <v>227</v>
      </c>
      <c r="AD128" s="38">
        <v>1430</v>
      </c>
    </row>
    <row r="129" spans="2:30" ht="13.5" customHeight="1" thickBot="1" x14ac:dyDescent="0.25">
      <c r="B129" s="16"/>
      <c r="C129" s="243" t="s">
        <v>124</v>
      </c>
      <c r="D129" s="243"/>
      <c r="E129" s="243"/>
      <c r="F129" s="1"/>
      <c r="G129" s="32"/>
      <c r="H129" s="15">
        <f>J129*L129</f>
        <v>0</v>
      </c>
      <c r="I129" s="20"/>
      <c r="J129" s="20">
        <f>F124</f>
        <v>0</v>
      </c>
      <c r="K129" s="20"/>
      <c r="L129" s="20">
        <f>INDEX(LrCfRf,MATCH("HSBP",LrCfRf_Header,0),MATCH(F125,LrCfRf_Speed,-1))</f>
        <v>6</v>
      </c>
      <c r="M129" s="20"/>
      <c r="N129" s="20"/>
      <c r="O129" s="20"/>
      <c r="P129" s="303" t="str">
        <f>IF(ISBLANK(F124),"NEED LENGTH",IF(F124&gt;200,"TOO LONG",""))</f>
        <v>NEED LENGTH</v>
      </c>
      <c r="Q129" s="304"/>
      <c r="R129" s="305" t="str">
        <f>IF(7-COUNTBLANK(P129:P135),"",IF(F129="Motovario",INDEX(LrDirectDriveMotovario_Cd,MATCH(1,INDEX((F125&lt;=LrDirectDriveMotovario_Speed)*(H131&lt;=LrDirectDriveMotovario_Hp)*(H127&lt;=LrDirectDriveMotovario_Ebp),0,0),0))&amp;" DIRECT DRIVE",IF(F129="Dodge",INDEX(LrDirectDriveDodge_Cd,MATCH(1,INDEX((F125&lt;=LrDirectDriveDodge_Speed)*(H131&lt;=LrDirectDriveDodge_Hp)*(H127&lt;=LrDirectDriveDodge_Ebp),0,0),0))&amp;" DIRECT DRIVE",INDEX(LrDriveCap_Cd,MATCH(1,INDEX((H127&lt;=LrDriveCap_Ebp)*(H131&lt;=LrDriveCap_Hp)*((F133&lt;&gt;0)=LrDriveCap_Slave)*(F124&lt;=LrDriveCap_Length),0,0),0)))))</f>
        <v/>
      </c>
      <c r="S129" s="306"/>
      <c r="T129" s="307"/>
      <c r="V129" s="38" t="s">
        <v>213</v>
      </c>
      <c r="W129" s="38" t="s">
        <v>139</v>
      </c>
      <c r="X129" s="38">
        <v>3</v>
      </c>
      <c r="Y129" s="38">
        <v>160</v>
      </c>
      <c r="Z129" s="45">
        <v>500</v>
      </c>
      <c r="AA129" s="47">
        <v>6926</v>
      </c>
      <c r="AB129" s="38">
        <v>30</v>
      </c>
      <c r="AC129" s="38" t="s">
        <v>227</v>
      </c>
      <c r="AD129" s="38">
        <v>1830</v>
      </c>
    </row>
    <row r="130" spans="2:30" ht="13.5" customHeight="1" thickBot="1" x14ac:dyDescent="0.25">
      <c r="B130" s="16"/>
      <c r="C130" s="241" t="s">
        <v>125</v>
      </c>
      <c r="D130" s="241"/>
      <c r="E130" s="241"/>
      <c r="F130" s="1"/>
      <c r="G130" s="32"/>
      <c r="H130" s="18" t="s">
        <v>74</v>
      </c>
      <c r="I130" s="9" t="s">
        <v>10</v>
      </c>
      <c r="J130" s="9" t="s">
        <v>58</v>
      </c>
      <c r="K130" s="9" t="s">
        <v>14</v>
      </c>
      <c r="L130" s="9" t="s">
        <v>8</v>
      </c>
      <c r="M130" s="9" t="s">
        <v>75</v>
      </c>
      <c r="N130" s="19" t="s">
        <v>76</v>
      </c>
      <c r="O130" s="9"/>
      <c r="P130" s="327" t="str">
        <f>IF(ISBLANK(F125),"NEED SPEED","")</f>
        <v>NEED SPEED</v>
      </c>
      <c r="Q130" s="328"/>
      <c r="R130" s="324" t="str">
        <f>IF(7-COUNTBLANK(P129:P135),"",IF(F129="Motovario",INDEX(LrDirectDriveMotovario_Hp,MATCH(1,INDEX((F125&lt;=LrDirectDriveMotovario_Speed)*(H131&lt;=LrDirectDriveMotovario_Hp)*(H127&lt;=LrDirectDriveMotovario_Ebp),0,0),0)),IF(F129="Dodge",INDEX(LrDirectDriveDodge_Hp,MATCH(1,INDEX((F125&lt;=LrDirectDriveDodge_Speed)*(H131&lt;=LrDirectDriveDodge_Hp)*(H127&lt;=LrDirectDriveDodge_Ebp),0,0),0)),INDEX(LrDriveCap_Hp,MATCH(1,INDEX((H127&lt;=LrDriveCap_Ebp)*(H131&lt;=LrDriveCap_Hp)*((F133&lt;&gt;0)=LrDriveCap_Slave)*(F124&lt;=LrDriveCap_Length),0,0),0))))&amp;" HP")</f>
        <v/>
      </c>
      <c r="S130" s="325"/>
      <c r="T130" s="326"/>
      <c r="V130" s="38" t="s">
        <v>214</v>
      </c>
      <c r="W130" s="38" t="s">
        <v>139</v>
      </c>
      <c r="X130" s="38">
        <v>5</v>
      </c>
      <c r="Y130" s="38">
        <v>160</v>
      </c>
      <c r="Z130" s="38">
        <v>680</v>
      </c>
      <c r="AA130" s="47">
        <v>6926</v>
      </c>
      <c r="AB130" s="38">
        <v>30</v>
      </c>
      <c r="AC130" s="38" t="s">
        <v>227</v>
      </c>
      <c r="AD130" s="38">
        <v>1830</v>
      </c>
    </row>
    <row r="131" spans="2:30" ht="13.5" customHeight="1" thickBot="1" x14ac:dyDescent="0.25">
      <c r="B131" s="16"/>
      <c r="G131" s="32"/>
      <c r="H131" s="15" t="e">
        <f>J131*L131/N131</f>
        <v>#N/A</v>
      </c>
      <c r="I131" s="20"/>
      <c r="J131" s="20" t="e">
        <f>H127</f>
        <v>#N/A</v>
      </c>
      <c r="K131" s="20"/>
      <c r="L131" s="20">
        <f>F125</f>
        <v>0</v>
      </c>
      <c r="M131" s="20"/>
      <c r="N131" s="8">
        <v>31350</v>
      </c>
      <c r="O131" s="20"/>
      <c r="P131" s="327" t="str">
        <f>IF(AND(ISBLANK($E$7),ISBLANK(F126)),"NEED LIVE LOAD","")</f>
        <v/>
      </c>
      <c r="Q131" s="328"/>
      <c r="R131" s="54" t="str">
        <f>IF(7-COUNTBLANK(P129:P135),"",IF(NOT(ISERROR(H127)),MAX(2,H127/200,IF(OR(AND(F124&gt;100,F133=0),AND(F124&gt;80,F133&lt;&gt;0)),3,0)),""))</f>
        <v/>
      </c>
      <c r="S131" s="324" t="str">
        <f>IF(7-COUNTBLANK(P129:P135),"","LONG SPRINGS")</f>
        <v/>
      </c>
      <c r="T131" s="326"/>
      <c r="V131" s="38" t="s">
        <v>212</v>
      </c>
      <c r="W131" s="38" t="s">
        <v>139</v>
      </c>
      <c r="X131" s="38">
        <v>2</v>
      </c>
      <c r="Y131" s="38">
        <v>200</v>
      </c>
      <c r="Z131" s="45">
        <v>290</v>
      </c>
      <c r="AA131" s="47">
        <v>6364</v>
      </c>
      <c r="AB131" s="38">
        <v>25</v>
      </c>
      <c r="AC131" s="38" t="s">
        <v>227</v>
      </c>
      <c r="AD131" s="38">
        <v>1425</v>
      </c>
    </row>
    <row r="132" spans="2:30" ht="13.5" customHeight="1" thickBot="1" x14ac:dyDescent="0.25">
      <c r="B132" s="16"/>
      <c r="C132" s="243" t="s">
        <v>113</v>
      </c>
      <c r="D132" s="243"/>
      <c r="E132" s="243"/>
      <c r="F132" s="6"/>
      <c r="G132" s="32"/>
      <c r="H132" s="42"/>
      <c r="I132" s="21"/>
      <c r="J132" s="21"/>
      <c r="K132" s="21"/>
      <c r="L132" s="21"/>
      <c r="M132" s="21"/>
      <c r="N132" s="21"/>
      <c r="O132" s="40"/>
      <c r="P132" s="327" t="str">
        <f>IF(ISBLANK(F127),"NEED RLR CENT","")</f>
        <v>NEED RLR CENT</v>
      </c>
      <c r="Q132" s="328"/>
      <c r="R132" s="54" t="str">
        <f>IF(7-COUNTBLANK(P129:P135),"",IF(H127&lt;&gt;0,MAX(2,H127/160,IF(OR(AND(F124&gt;100,F133=0),AND(F124&gt;80,F133&lt;&gt;0)),3,0)),""))</f>
        <v/>
      </c>
      <c r="S132" s="324" t="str">
        <f>IF(7-COUNTBLANK(P129:P135),"","SHRT SPRINGS")</f>
        <v/>
      </c>
      <c r="T132" s="326"/>
      <c r="V132" s="38" t="s">
        <v>213</v>
      </c>
      <c r="W132" s="38" t="s">
        <v>139</v>
      </c>
      <c r="X132" s="38">
        <v>3</v>
      </c>
      <c r="Y132" s="38">
        <v>200</v>
      </c>
      <c r="Z132" s="45">
        <v>440</v>
      </c>
      <c r="AA132" s="47">
        <v>6364</v>
      </c>
      <c r="AB132" s="38">
        <v>25</v>
      </c>
      <c r="AC132" s="38" t="s">
        <v>227</v>
      </c>
      <c r="AD132" s="38">
        <v>1825</v>
      </c>
    </row>
    <row r="133" spans="2:30" ht="13.5" customHeight="1" thickBot="1" x14ac:dyDescent="0.25">
      <c r="B133" s="16"/>
      <c r="C133" s="243" t="s">
        <v>131</v>
      </c>
      <c r="D133" s="243"/>
      <c r="E133" s="243"/>
      <c r="F133" s="6"/>
      <c r="G133" s="32"/>
      <c r="H133" s="56"/>
      <c r="I133" s="57"/>
      <c r="J133" s="57"/>
      <c r="K133" s="57"/>
      <c r="L133" s="57"/>
      <c r="M133" s="57"/>
      <c r="N133" s="57"/>
      <c r="O133" s="58"/>
      <c r="P133" s="327" t="str">
        <f>IFERROR(IF(H131&gt;MAX(LrDriveCap_Hp),"EXCEEDS MAX HP",""),"")</f>
        <v/>
      </c>
      <c r="Q133" s="328"/>
      <c r="R133" s="324" t="str">
        <f>IF(7-COUNTBLANK(P129:P135),"",IF(H127&gt;600,"6IN ENTRY TE REQUIRED",""))</f>
        <v/>
      </c>
      <c r="S133" s="325"/>
      <c r="T133" s="326"/>
      <c r="V133" s="38" t="s">
        <v>214</v>
      </c>
      <c r="W133" s="38" t="s">
        <v>139</v>
      </c>
      <c r="X133" s="38">
        <v>5</v>
      </c>
      <c r="Y133" s="38">
        <v>200</v>
      </c>
      <c r="Z133" s="38">
        <v>680</v>
      </c>
      <c r="AA133" s="47">
        <v>6364</v>
      </c>
      <c r="AB133" s="38">
        <v>25</v>
      </c>
      <c r="AC133" s="38" t="s">
        <v>227</v>
      </c>
      <c r="AD133" s="38">
        <v>1825</v>
      </c>
    </row>
    <row r="134" spans="2:30" ht="13.5" customHeight="1" x14ac:dyDescent="0.2">
      <c r="B134" s="16"/>
      <c r="C134" s="240"/>
      <c r="D134" s="240"/>
      <c r="E134" s="240"/>
      <c r="G134" s="32"/>
      <c r="H134" s="290" t="s">
        <v>133</v>
      </c>
      <c r="I134" s="291"/>
      <c r="J134" s="291"/>
      <c r="K134" s="291"/>
      <c r="L134" s="291"/>
      <c r="M134" s="291"/>
      <c r="N134" s="291"/>
      <c r="O134" s="292"/>
      <c r="P134" s="327" t="str">
        <f>IFERROR(IF(H127&gt;MAX(LrDriveCap_Ebp),"EXCEEDS MAX EBP",""),"")</f>
        <v/>
      </c>
      <c r="Q134" s="328"/>
      <c r="R134" s="324"/>
      <c r="S134" s="325"/>
      <c r="T134" s="326"/>
      <c r="V134" s="38" t="s">
        <v>212</v>
      </c>
      <c r="W134" s="38" t="s">
        <v>139</v>
      </c>
      <c r="X134" s="38">
        <v>2</v>
      </c>
      <c r="Y134" s="38">
        <v>240</v>
      </c>
      <c r="Z134" s="45">
        <v>230</v>
      </c>
      <c r="AA134" s="47">
        <v>6059</v>
      </c>
      <c r="AB134" s="38">
        <v>20</v>
      </c>
      <c r="AC134" s="38" t="s">
        <v>227</v>
      </c>
      <c r="AD134" s="38">
        <v>1420</v>
      </c>
    </row>
    <row r="135" spans="2:30" ht="13.5" customHeight="1" thickBot="1" x14ac:dyDescent="0.25">
      <c r="B135" s="12"/>
      <c r="C135" s="293"/>
      <c r="D135" s="293"/>
      <c r="E135" s="293"/>
      <c r="F135" s="7"/>
      <c r="G135" s="37"/>
      <c r="H135" s="16" t="s">
        <v>134</v>
      </c>
      <c r="J135" s="26" t="str">
        <f>IFERROR(H127*J136/2,"")</f>
        <v/>
      </c>
      <c r="L135" s="2" t="s">
        <v>135</v>
      </c>
      <c r="N135" s="26" t="str">
        <f>IF(F129="Motovario",INDEX(LrDirectDriveMotovario_MaxT,MATCH(1,INDEX((F125&lt;=LrDirectDriveMotovario_Speed)*(H131&lt;=LrDirectDriveMotovario_Hp)*(H127&lt;=LrDirectDriveMotovario_Ebp),0,0),0)),IF(F129="Dodge",INDEX(LrDirectDriveDodge_MaxT,MATCH(1,INDEX((F125&lt;=LrDirectDriveDodge_Speed)*(H131&lt;=LrDirectDriveDodge_Hp)*(H127&lt;=LrDirectDriveDodge_Ebp),0,0),0)),""))</f>
        <v/>
      </c>
      <c r="P135" s="327" t="str">
        <f>IFERROR(IF(AND(AND(F129&lt;&gt;"Motovario",F129&lt;&gt;"Dodge"),VALUE(RIGHT(R136,LEN(R136)-14))&lt;&gt;F125),"USE DD NOM SPD",""),"")</f>
        <v/>
      </c>
      <c r="Q135" s="328"/>
      <c r="R135" s="324" t="str">
        <f>IF(7-COUNTBLANK(P129:P135),"",IF(H129&gt;1100,"SOFT START REQUIRED",""))</f>
        <v/>
      </c>
      <c r="S135" s="325"/>
      <c r="T135" s="326"/>
      <c r="V135" s="38" t="s">
        <v>213</v>
      </c>
      <c r="W135" s="38" t="s">
        <v>139</v>
      </c>
      <c r="X135" s="38">
        <v>3</v>
      </c>
      <c r="Y135" s="38">
        <v>240</v>
      </c>
      <c r="Z135" s="45">
        <v>350</v>
      </c>
      <c r="AA135" s="47">
        <v>6059</v>
      </c>
      <c r="AB135" s="38">
        <v>20</v>
      </c>
      <c r="AC135" s="38" t="s">
        <v>227</v>
      </c>
      <c r="AD135" s="38">
        <v>1820</v>
      </c>
    </row>
    <row r="136" spans="2:30" ht="13.5" customHeight="1" thickBot="1" x14ac:dyDescent="0.25">
      <c r="B136" s="294" t="s">
        <v>78</v>
      </c>
      <c r="C136" s="295"/>
      <c r="D136" s="262"/>
      <c r="E136" s="263"/>
      <c r="F136" s="263"/>
      <c r="G136" s="264"/>
      <c r="H136" s="12" t="s">
        <v>136</v>
      </c>
      <c r="I136" s="7"/>
      <c r="J136" s="27" t="str">
        <f>IFERROR(VALUE(LEFT(R129,SEARCH("CD",R129)-1))+1/2,"")</f>
        <v/>
      </c>
      <c r="K136" s="7"/>
      <c r="L136" s="17" t="s">
        <v>137</v>
      </c>
      <c r="M136" s="17"/>
      <c r="N136" s="43" t="str">
        <f>IFERROR(N135/J135,"")</f>
        <v/>
      </c>
      <c r="O136" s="7"/>
      <c r="P136" s="337" t="str">
        <f>IF(ISBLANK(F130),"NEED AP INFO",IF(ISBLANK(F132),"NEED SLUG LGTH",IF(ISBLANK(F133),"NEED SLAVE INFO","")))</f>
        <v>NEED AP INFO</v>
      </c>
      <c r="Q136" s="338"/>
      <c r="R136" s="330" t="str">
        <f>IF(6-COUNTBLANK(P129:P134),"",IF(F129="Motovario","DD NOM SPEED: "&amp;INDEX(LrDirectDriveMotovario_Speed,MATCH(1,INDEX((F125&lt;=LrDirectDriveMotovario_Speed)*(H131&lt;=LrDirectDriveMotovario_Hp)*(H127&lt;=LrDirectDriveMotovario_Ebp),0,0),0)),IF(F129="Dodge","DD NOM SPEED: "&amp;INDEX(LrDirectDriveDodge_Speed,MATCH(1,INDEX((F125&lt;=LrDirectDriveDodge_Speed)*(H131&lt;=LrDirectDriveDodge_Hp)*(H127&lt;=LrDirectDriveDodge_Ebp),0,0),0)),"")))</f>
        <v/>
      </c>
      <c r="S136" s="331"/>
      <c r="T136" s="332"/>
      <c r="V136" s="38" t="s">
        <v>214</v>
      </c>
      <c r="W136" s="38" t="s">
        <v>139</v>
      </c>
      <c r="X136" s="38">
        <v>5</v>
      </c>
      <c r="Y136" s="38">
        <v>240</v>
      </c>
      <c r="Z136" s="45">
        <v>620</v>
      </c>
      <c r="AA136" s="47">
        <v>6059</v>
      </c>
      <c r="AB136" s="38">
        <v>20</v>
      </c>
      <c r="AC136" s="38" t="s">
        <v>227</v>
      </c>
      <c r="AD136" s="38">
        <v>1820</v>
      </c>
    </row>
    <row r="137" spans="2:30" ht="13.5" customHeight="1" thickBot="1" x14ac:dyDescent="0.25">
      <c r="V137" s="38" t="s">
        <v>213</v>
      </c>
      <c r="W137" s="38" t="s">
        <v>139</v>
      </c>
      <c r="X137" s="38">
        <v>3</v>
      </c>
      <c r="Y137" s="38">
        <v>320</v>
      </c>
      <c r="Z137" s="45">
        <v>270</v>
      </c>
      <c r="AA137" s="47">
        <v>6262</v>
      </c>
      <c r="AB137" s="38">
        <v>15</v>
      </c>
      <c r="AC137" s="38" t="s">
        <v>227</v>
      </c>
      <c r="AD137" s="38">
        <v>1815</v>
      </c>
    </row>
    <row r="138" spans="2:30" ht="13.5" customHeight="1" x14ac:dyDescent="0.2">
      <c r="B138" s="39"/>
      <c r="C138" s="320"/>
      <c r="D138" s="320"/>
      <c r="E138" s="320"/>
      <c r="F138" s="28"/>
      <c r="G138" s="30"/>
      <c r="H138" s="13" t="s">
        <v>30</v>
      </c>
      <c r="I138" s="10" t="s">
        <v>10</v>
      </c>
      <c r="J138" s="4" t="s">
        <v>110</v>
      </c>
      <c r="K138" s="4" t="s">
        <v>14</v>
      </c>
      <c r="L138" s="4" t="s">
        <v>111</v>
      </c>
      <c r="M138" s="4" t="s">
        <v>14</v>
      </c>
      <c r="N138" s="4" t="s">
        <v>112</v>
      </c>
      <c r="O138" s="4" t="s">
        <v>12</v>
      </c>
      <c r="P138" s="4" t="s">
        <v>110</v>
      </c>
      <c r="Q138" s="4" t="s">
        <v>14</v>
      </c>
      <c r="R138" s="4" t="s">
        <v>113</v>
      </c>
      <c r="S138" s="4" t="s">
        <v>14</v>
      </c>
      <c r="T138" s="5" t="s">
        <v>112</v>
      </c>
      <c r="V138" s="38" t="s">
        <v>214</v>
      </c>
      <c r="W138" s="38" t="s">
        <v>139</v>
      </c>
      <c r="X138" s="38">
        <v>5</v>
      </c>
      <c r="Y138" s="38">
        <v>320</v>
      </c>
      <c r="Z138" s="45">
        <v>470</v>
      </c>
      <c r="AA138" s="47">
        <v>6262</v>
      </c>
      <c r="AB138" s="38">
        <v>15</v>
      </c>
      <c r="AC138" s="38" t="s">
        <v>227</v>
      </c>
      <c r="AD138" s="38">
        <v>1815</v>
      </c>
    </row>
    <row r="139" spans="2:30" ht="13.5" customHeight="1" thickBot="1" x14ac:dyDescent="0.25">
      <c r="B139" s="16"/>
      <c r="C139" s="2" t="s">
        <v>5</v>
      </c>
      <c r="D139" s="59"/>
      <c r="E139" s="59"/>
      <c r="F139" s="59"/>
      <c r="G139" s="32"/>
      <c r="H139" s="15">
        <f>J139*L139*N139+P139*R139*T139</f>
        <v>0</v>
      </c>
      <c r="I139" s="20"/>
      <c r="J139" s="20">
        <f>IF(F142=0,$E$7,F142)</f>
        <v>25</v>
      </c>
      <c r="K139" s="20"/>
      <c r="L139" s="20">
        <f>F140</f>
        <v>0</v>
      </c>
      <c r="M139" s="20"/>
      <c r="N139" s="20">
        <v>2.1000000000000001E-2</v>
      </c>
      <c r="O139" s="20"/>
      <c r="P139" s="20">
        <f>J139</f>
        <v>25</v>
      </c>
      <c r="Q139" s="20"/>
      <c r="R139" s="20">
        <f>F148</f>
        <v>0</v>
      </c>
      <c r="S139" s="20"/>
      <c r="T139" s="11">
        <v>3.5000000000000003E-2</v>
      </c>
      <c r="V139" s="38" t="s">
        <v>213</v>
      </c>
      <c r="W139" s="38" t="s">
        <v>139</v>
      </c>
      <c r="X139" s="38">
        <v>3</v>
      </c>
      <c r="Y139" s="38">
        <v>480</v>
      </c>
      <c r="Z139" s="45">
        <v>180</v>
      </c>
      <c r="AA139" s="47">
        <v>5802</v>
      </c>
      <c r="AB139" s="38">
        <v>10</v>
      </c>
      <c r="AC139" s="38" t="s">
        <v>227</v>
      </c>
      <c r="AD139" s="38">
        <v>1810</v>
      </c>
    </row>
    <row r="140" spans="2:30" ht="13.5" customHeight="1" thickBot="1" x14ac:dyDescent="0.25">
      <c r="B140" s="16"/>
      <c r="C140" s="321"/>
      <c r="D140" s="323" t="s">
        <v>111</v>
      </c>
      <c r="E140" s="244"/>
      <c r="F140" s="6"/>
      <c r="G140" s="32"/>
      <c r="H140" s="18" t="s">
        <v>31</v>
      </c>
      <c r="I140" s="9" t="s">
        <v>10</v>
      </c>
      <c r="J140" s="9" t="s">
        <v>111</v>
      </c>
      <c r="K140" s="9" t="s">
        <v>14</v>
      </c>
      <c r="L140" s="9" t="s">
        <v>115</v>
      </c>
      <c r="M140" s="9" t="s">
        <v>14</v>
      </c>
      <c r="N140" s="9" t="s">
        <v>116</v>
      </c>
      <c r="O140" s="9"/>
      <c r="P140" s="9"/>
      <c r="Q140" s="9"/>
      <c r="R140" s="9"/>
      <c r="S140" s="21"/>
      <c r="T140" s="40"/>
      <c r="V140" s="38" t="s">
        <v>214</v>
      </c>
      <c r="W140" s="38" t="s">
        <v>139</v>
      </c>
      <c r="X140" s="38">
        <v>5</v>
      </c>
      <c r="Y140" s="38">
        <v>480</v>
      </c>
      <c r="Z140" s="45">
        <v>320</v>
      </c>
      <c r="AA140" s="47">
        <v>5802</v>
      </c>
      <c r="AB140" s="38">
        <v>10</v>
      </c>
      <c r="AC140" s="38" t="s">
        <v>227</v>
      </c>
      <c r="AD140" s="38">
        <v>1810</v>
      </c>
    </row>
    <row r="141" spans="2:30" ht="13.5" customHeight="1" thickBot="1" x14ac:dyDescent="0.25">
      <c r="B141" s="16"/>
      <c r="C141" s="322"/>
      <c r="D141" s="323" t="s">
        <v>8</v>
      </c>
      <c r="E141" s="244"/>
      <c r="F141" s="6"/>
      <c r="G141" s="32"/>
      <c r="H141" s="15" t="e">
        <f>J141*L141*N141</f>
        <v>#N/A</v>
      </c>
      <c r="I141" s="20"/>
      <c r="J141" s="20">
        <f>F140</f>
        <v>0</v>
      </c>
      <c r="K141" s="20"/>
      <c r="L141" s="20">
        <f>INDEX(LrCfRf,MATCH("CF",LrCfRf_Header,0),MATCH(F141,LrCfRf_Speed,-1))</f>
        <v>0.4</v>
      </c>
      <c r="M141" s="20"/>
      <c r="N141" s="20" t="e">
        <f>INDEX(LrCfRf,MATCH("RLR "&amp;F143,LrCfRf_Header,0),MATCH(F141,LrCfRf_Speed,-1))</f>
        <v>#N/A</v>
      </c>
      <c r="O141" s="20"/>
      <c r="P141" s="20"/>
      <c r="Q141" s="20"/>
      <c r="R141" s="20"/>
      <c r="S141" s="20"/>
      <c r="T141" s="41"/>
    </row>
    <row r="142" spans="2:30" ht="13.5" customHeight="1" thickBot="1" x14ac:dyDescent="0.25">
      <c r="B142" s="16"/>
      <c r="C142" s="243" t="s">
        <v>24</v>
      </c>
      <c r="D142" s="243"/>
      <c r="E142" s="243"/>
      <c r="F142" s="6"/>
      <c r="G142" s="32"/>
      <c r="H142" s="14" t="s">
        <v>58</v>
      </c>
      <c r="I142" s="3" t="s">
        <v>10</v>
      </c>
      <c r="J142" s="3" t="s">
        <v>119</v>
      </c>
      <c r="K142" s="3" t="s">
        <v>14</v>
      </c>
      <c r="L142" s="3" t="s">
        <v>61</v>
      </c>
      <c r="M142" s="3" t="s">
        <v>12</v>
      </c>
      <c r="N142" s="3" t="s">
        <v>57</v>
      </c>
      <c r="T142" s="32"/>
    </row>
    <row r="143" spans="2:30" ht="13.5" customHeight="1" thickBot="1" x14ac:dyDescent="0.25">
      <c r="B143" s="16"/>
      <c r="C143" s="243" t="s">
        <v>47</v>
      </c>
      <c r="D143" s="243"/>
      <c r="E143" s="243"/>
      <c r="F143" s="6"/>
      <c r="G143" s="32"/>
      <c r="H143" s="15" t="e">
        <f>J143*L143+N143</f>
        <v>#N/A</v>
      </c>
      <c r="I143" s="20"/>
      <c r="J143" s="20" t="e">
        <f>H139+H141</f>
        <v>#N/A</v>
      </c>
      <c r="K143" s="20"/>
      <c r="L143" s="20">
        <f>IF(F146="Y",1.33*1.1,1.33)</f>
        <v>1.33</v>
      </c>
      <c r="M143" s="20"/>
      <c r="N143" s="20">
        <f>F149</f>
        <v>0</v>
      </c>
      <c r="O143" s="20"/>
      <c r="P143" s="26"/>
      <c r="Q143" s="26"/>
      <c r="R143" s="26"/>
      <c r="S143" s="26"/>
      <c r="T143" s="22"/>
    </row>
    <row r="144" spans="2:30" ht="13.5" customHeight="1" thickBot="1" x14ac:dyDescent="0.25">
      <c r="B144" s="16"/>
      <c r="C144" s="245"/>
      <c r="D144" s="245"/>
      <c r="E144" s="245"/>
      <c r="G144" s="32"/>
      <c r="H144" s="14" t="s">
        <v>122</v>
      </c>
      <c r="I144" s="3" t="s">
        <v>10</v>
      </c>
      <c r="J144" s="3" t="s">
        <v>111</v>
      </c>
      <c r="K144" s="3" t="s">
        <v>14</v>
      </c>
      <c r="L144" s="3" t="s">
        <v>123</v>
      </c>
      <c r="M144" s="3"/>
      <c r="N144" s="3"/>
      <c r="P144" s="298" t="s">
        <v>50</v>
      </c>
      <c r="Q144" s="299"/>
      <c r="R144" s="300" t="s">
        <v>51</v>
      </c>
      <c r="S144" s="301"/>
      <c r="T144" s="302"/>
    </row>
    <row r="145" spans="2:20" ht="13.5" customHeight="1" thickBot="1" x14ac:dyDescent="0.25">
      <c r="B145" s="16"/>
      <c r="C145" s="243" t="s">
        <v>124</v>
      </c>
      <c r="D145" s="243"/>
      <c r="E145" s="243"/>
      <c r="F145" s="1"/>
      <c r="G145" s="32"/>
      <c r="H145" s="15">
        <f>J145*L145</f>
        <v>0</v>
      </c>
      <c r="I145" s="20"/>
      <c r="J145" s="20">
        <f>F140</f>
        <v>0</v>
      </c>
      <c r="K145" s="20"/>
      <c r="L145" s="20">
        <f>INDEX(LrCfRf,MATCH("HSBP",LrCfRf_Header,0),MATCH(F141,LrCfRf_Speed,-1))</f>
        <v>6</v>
      </c>
      <c r="M145" s="20"/>
      <c r="N145" s="20"/>
      <c r="O145" s="20"/>
      <c r="P145" s="303" t="str">
        <f>IF(ISBLANK(F140),"NEED LENGTH",IF(F140&gt;200,"TOO LONG",""))</f>
        <v>NEED LENGTH</v>
      </c>
      <c r="Q145" s="304"/>
      <c r="R145" s="305" t="str">
        <f>IF(7-COUNTBLANK(P145:P151),"",IF(F145="Motovario",INDEX(LrDirectDriveMotovario_Cd,MATCH(1,INDEX((F141&lt;=LrDirectDriveMotovario_Speed)*(H147&lt;=LrDirectDriveMotovario_Hp)*(H143&lt;=LrDirectDriveMotovario_Ebp),0,0),0))&amp;" DIRECT DRIVE",IF(F145="Dodge",INDEX(LrDirectDriveDodge_Cd,MATCH(1,INDEX((F141&lt;=LrDirectDriveDodge_Speed)*(H147&lt;=LrDirectDriveDodge_Hp)*(H143&lt;=LrDirectDriveDodge_Ebp),0,0),0))&amp;" DIRECT DRIVE",INDEX(LrDriveCap_Cd,MATCH(1,INDEX((H143&lt;=LrDriveCap_Ebp)*(H147&lt;=LrDriveCap_Hp)*((F149&lt;&gt;0)=LrDriveCap_Slave)*(F140&lt;=LrDriveCap_Length),0,0),0)))))</f>
        <v/>
      </c>
      <c r="S145" s="306"/>
      <c r="T145" s="307"/>
    </row>
    <row r="146" spans="2:20" ht="13.5" customHeight="1" thickBot="1" x14ac:dyDescent="0.25">
      <c r="B146" s="16"/>
      <c r="C146" s="241" t="s">
        <v>125</v>
      </c>
      <c r="D146" s="241"/>
      <c r="E146" s="241"/>
      <c r="F146" s="1"/>
      <c r="G146" s="32"/>
      <c r="H146" s="18" t="s">
        <v>74</v>
      </c>
      <c r="I146" s="9" t="s">
        <v>10</v>
      </c>
      <c r="J146" s="9" t="s">
        <v>58</v>
      </c>
      <c r="K146" s="9" t="s">
        <v>14</v>
      </c>
      <c r="L146" s="9" t="s">
        <v>8</v>
      </c>
      <c r="M146" s="9" t="s">
        <v>75</v>
      </c>
      <c r="N146" s="19" t="s">
        <v>76</v>
      </c>
      <c r="O146" s="9"/>
      <c r="P146" s="327" t="str">
        <f>IF(ISBLANK(F141),"NEED SPEED","")</f>
        <v>NEED SPEED</v>
      </c>
      <c r="Q146" s="328"/>
      <c r="R146" s="324" t="str">
        <f>IF(7-COUNTBLANK(P145:P151),"",IF(F145="Motovario",INDEX(LrDirectDriveMotovario_Hp,MATCH(1,INDEX((F141&lt;=LrDirectDriveMotovario_Speed)*(H147&lt;=LrDirectDriveMotovario_Hp)*(H143&lt;=LrDirectDriveMotovario_Ebp),0,0),0)),IF(F145="Dodge",INDEX(LrDirectDriveDodge_Hp,MATCH(1,INDEX((F141&lt;=LrDirectDriveDodge_Speed)*(H147&lt;=LrDirectDriveDodge_Hp)*(H143&lt;=LrDirectDriveDodge_Ebp),0,0),0)),INDEX(LrDriveCap_Hp,MATCH(1,INDEX((H143&lt;=LrDriveCap_Ebp)*(H147&lt;=LrDriveCap_Hp)*((F149&lt;&gt;0)=LrDriveCap_Slave)*(F140&lt;=LrDriveCap_Length),0,0),0))))&amp;" HP")</f>
        <v/>
      </c>
      <c r="S146" s="325"/>
      <c r="T146" s="326"/>
    </row>
    <row r="147" spans="2:20" ht="13.5" customHeight="1" thickBot="1" x14ac:dyDescent="0.25">
      <c r="B147" s="16"/>
      <c r="G147" s="32"/>
      <c r="H147" s="15" t="e">
        <f>J147*L147/N147</f>
        <v>#N/A</v>
      </c>
      <c r="I147" s="20"/>
      <c r="J147" s="20" t="e">
        <f>H143</f>
        <v>#N/A</v>
      </c>
      <c r="K147" s="20"/>
      <c r="L147" s="20">
        <f>F141</f>
        <v>0</v>
      </c>
      <c r="M147" s="20"/>
      <c r="N147" s="8">
        <v>31350</v>
      </c>
      <c r="O147" s="20"/>
      <c r="P147" s="327" t="str">
        <f>IF(AND(ISBLANK($E$7),ISBLANK(F142)),"NEED LIVE LOAD","")</f>
        <v/>
      </c>
      <c r="Q147" s="328"/>
      <c r="R147" s="54" t="str">
        <f>IF(7-COUNTBLANK(P145:P151),"",IF(NOT(ISERROR(H143)),MAX(2,H143/200,IF(OR(AND(F140&gt;100,F149=0),AND(F140&gt;80,F149&lt;&gt;0)),3,0)),""))</f>
        <v/>
      </c>
      <c r="S147" s="324" t="str">
        <f>IF(7-COUNTBLANK(P145:P151),"","LONG SPRINGS")</f>
        <v/>
      </c>
      <c r="T147" s="326"/>
    </row>
    <row r="148" spans="2:20" ht="13.5" customHeight="1" thickBot="1" x14ac:dyDescent="0.25">
      <c r="B148" s="16"/>
      <c r="C148" s="243" t="s">
        <v>113</v>
      </c>
      <c r="D148" s="243"/>
      <c r="E148" s="243"/>
      <c r="F148" s="6"/>
      <c r="G148" s="32"/>
      <c r="H148" s="42"/>
      <c r="I148" s="21"/>
      <c r="J148" s="21"/>
      <c r="K148" s="21"/>
      <c r="L148" s="21"/>
      <c r="M148" s="21"/>
      <c r="N148" s="21"/>
      <c r="O148" s="40"/>
      <c r="P148" s="327" t="str">
        <f>IF(ISBLANK(F143),"NEED RLR CENT","")</f>
        <v>NEED RLR CENT</v>
      </c>
      <c r="Q148" s="328"/>
      <c r="R148" s="54" t="str">
        <f>IF(7-COUNTBLANK(P145:P151),"",IF(H143&lt;&gt;0,MAX(2,H143/160,IF(OR(AND(F140&gt;100,F149=0),AND(F140&gt;80,F149&lt;&gt;0)),3,0)),""))</f>
        <v/>
      </c>
      <c r="S148" s="324" t="str">
        <f>IF(7-COUNTBLANK(P145:P151),"","SHRT SPRINGS")</f>
        <v/>
      </c>
      <c r="T148" s="326"/>
    </row>
    <row r="149" spans="2:20" ht="13.5" customHeight="1" thickBot="1" x14ac:dyDescent="0.25">
      <c r="B149" s="16"/>
      <c r="C149" s="243" t="s">
        <v>131</v>
      </c>
      <c r="D149" s="243"/>
      <c r="E149" s="243"/>
      <c r="F149" s="6"/>
      <c r="G149" s="32"/>
      <c r="H149" s="56"/>
      <c r="I149" s="57"/>
      <c r="J149" s="57"/>
      <c r="K149" s="57"/>
      <c r="L149" s="57"/>
      <c r="M149" s="57"/>
      <c r="N149" s="57"/>
      <c r="O149" s="58"/>
      <c r="P149" s="327" t="str">
        <f>IFERROR(IF(H147&gt;MAX(LrDriveCap_Hp),"EXCEEDS MAX HP",""),"")</f>
        <v/>
      </c>
      <c r="Q149" s="328"/>
      <c r="R149" s="324" t="str">
        <f>IF(7-COUNTBLANK(P145:P151),"",IF(H143&gt;600,"6IN ENTRY TE REQUIRED",""))</f>
        <v/>
      </c>
      <c r="S149" s="325"/>
      <c r="T149" s="326"/>
    </row>
    <row r="150" spans="2:20" ht="13.5" customHeight="1" x14ac:dyDescent="0.2">
      <c r="B150" s="16"/>
      <c r="C150" s="240"/>
      <c r="D150" s="240"/>
      <c r="E150" s="240"/>
      <c r="G150" s="32"/>
      <c r="H150" s="290" t="s">
        <v>133</v>
      </c>
      <c r="I150" s="291"/>
      <c r="J150" s="291"/>
      <c r="K150" s="291"/>
      <c r="L150" s="291"/>
      <c r="M150" s="291"/>
      <c r="N150" s="291"/>
      <c r="O150" s="292"/>
      <c r="P150" s="327" t="str">
        <f>IFERROR(IF(H143&gt;MAX(LrDriveCap_Ebp),"EXCEEDS MAX EBP",""),"")</f>
        <v/>
      </c>
      <c r="Q150" s="328"/>
      <c r="R150" s="324"/>
      <c r="S150" s="325"/>
      <c r="T150" s="326"/>
    </row>
    <row r="151" spans="2:20" ht="13.5" customHeight="1" thickBot="1" x14ac:dyDescent="0.25">
      <c r="B151" s="12"/>
      <c r="C151" s="293"/>
      <c r="D151" s="293"/>
      <c r="E151" s="293"/>
      <c r="F151" s="7"/>
      <c r="G151" s="37"/>
      <c r="H151" s="16" t="s">
        <v>134</v>
      </c>
      <c r="J151" s="26" t="str">
        <f>IFERROR(H143*J152/2,"")</f>
        <v/>
      </c>
      <c r="L151" s="2" t="s">
        <v>135</v>
      </c>
      <c r="N151" s="26" t="str">
        <f>IF(F145="Motovario",INDEX(LrDirectDriveMotovario_MaxT,MATCH(1,INDEX((F141&lt;=LrDirectDriveMotovario_Speed)*(H147&lt;=LrDirectDriveMotovario_Hp)*(H143&lt;=LrDirectDriveMotovario_Ebp),0,0),0)),IF(F145="Dodge",INDEX(LrDirectDriveDodge_MaxT,MATCH(1,INDEX((F141&lt;=LrDirectDriveDodge_Speed)*(H147&lt;=LrDirectDriveDodge_Hp)*(H143&lt;=LrDirectDriveDodge_Ebp),0,0),0)),""))</f>
        <v/>
      </c>
      <c r="P151" s="327" t="str">
        <f>IFERROR(IF(AND(AND(F145&lt;&gt;"Motovario",F145&lt;&gt;"Dodge"),VALUE(RIGHT(R152,LEN(R152)-14))&lt;&gt;F141),"USE DD NOM SPD",""),"")</f>
        <v/>
      </c>
      <c r="Q151" s="328"/>
      <c r="R151" s="324" t="str">
        <f>IF(7-COUNTBLANK(P145:P151),"",IF(H145&gt;1100,"SOFT START REQUIRED",""))</f>
        <v/>
      </c>
      <c r="S151" s="325"/>
      <c r="T151" s="326"/>
    </row>
    <row r="152" spans="2:20" ht="13.5" customHeight="1" thickBot="1" x14ac:dyDescent="0.25">
      <c r="B152" s="294" t="s">
        <v>78</v>
      </c>
      <c r="C152" s="295"/>
      <c r="D152" s="262"/>
      <c r="E152" s="263"/>
      <c r="F152" s="263"/>
      <c r="G152" s="264"/>
      <c r="H152" s="12" t="s">
        <v>136</v>
      </c>
      <c r="I152" s="7"/>
      <c r="J152" s="27" t="str">
        <f>IFERROR(VALUE(LEFT(R145,SEARCH("CD",R145)-1))+1/2,"")</f>
        <v/>
      </c>
      <c r="K152" s="7"/>
      <c r="L152" s="17" t="s">
        <v>137</v>
      </c>
      <c r="M152" s="17"/>
      <c r="N152" s="43" t="str">
        <f>IFERROR(N151/J151,"")</f>
        <v/>
      </c>
      <c r="O152" s="7"/>
      <c r="P152" s="337" t="str">
        <f>IF(ISBLANK(F146),"NEED AP INFO",IF(ISBLANK(F148),"NEED SLUG LGTH",IF(ISBLANK(F149),"NEED SLAVE INFO","")))</f>
        <v>NEED AP INFO</v>
      </c>
      <c r="Q152" s="338"/>
      <c r="R152" s="330" t="str">
        <f>IF(6-COUNTBLANK(P145:P150),"",IF(F145="Motovario","DD NOM SPEED: "&amp;INDEX(LrDirectDriveMotovario_Speed,MATCH(1,INDEX((F141&lt;=LrDirectDriveMotovario_Speed)*(H147&lt;=LrDirectDriveMotovario_Hp)*(H143&lt;=LrDirectDriveMotovario_Ebp),0,0),0)),IF(F145="Dodge","DD NOM SPEED: "&amp;INDEX(LrDirectDriveDodge_Speed,MATCH(1,INDEX((F141&lt;=LrDirectDriveDodge_Speed)*(H147&lt;=LrDirectDriveDodge_Hp)*(H143&lt;=LrDirectDriveDodge_Ebp),0,0),0)),"")))</f>
        <v/>
      </c>
      <c r="S152" s="331"/>
      <c r="T152" s="332"/>
    </row>
    <row r="153" spans="2:20" ht="13.5" customHeight="1" thickBot="1" x14ac:dyDescent="0.25"/>
    <row r="154" spans="2:20" ht="13.5" customHeight="1" x14ac:dyDescent="0.2">
      <c r="B154" s="39"/>
      <c r="C154" s="320"/>
      <c r="D154" s="320"/>
      <c r="E154" s="320"/>
      <c r="F154" s="28"/>
      <c r="G154" s="30"/>
      <c r="H154" s="13" t="s">
        <v>30</v>
      </c>
      <c r="I154" s="10" t="s">
        <v>10</v>
      </c>
      <c r="J154" s="4" t="s">
        <v>110</v>
      </c>
      <c r="K154" s="4" t="s">
        <v>14</v>
      </c>
      <c r="L154" s="4" t="s">
        <v>111</v>
      </c>
      <c r="M154" s="4" t="s">
        <v>14</v>
      </c>
      <c r="N154" s="4" t="s">
        <v>112</v>
      </c>
      <c r="O154" s="4" t="s">
        <v>12</v>
      </c>
      <c r="P154" s="4" t="s">
        <v>110</v>
      </c>
      <c r="Q154" s="4" t="s">
        <v>14</v>
      </c>
      <c r="R154" s="4" t="s">
        <v>113</v>
      </c>
      <c r="S154" s="4" t="s">
        <v>14</v>
      </c>
      <c r="T154" s="5" t="s">
        <v>112</v>
      </c>
    </row>
    <row r="155" spans="2:20" ht="13.5" customHeight="1" thickBot="1" x14ac:dyDescent="0.25">
      <c r="B155" s="16"/>
      <c r="C155" s="2" t="s">
        <v>5</v>
      </c>
      <c r="D155" s="59"/>
      <c r="E155" s="59"/>
      <c r="F155" s="59"/>
      <c r="G155" s="32"/>
      <c r="H155" s="15">
        <f>J155*L155*N155+P155*R155*T155</f>
        <v>0</v>
      </c>
      <c r="I155" s="20"/>
      <c r="J155" s="20">
        <f>IF(F158=0,$E$7,F158)</f>
        <v>25</v>
      </c>
      <c r="K155" s="20"/>
      <c r="L155" s="20">
        <f>F156</f>
        <v>0</v>
      </c>
      <c r="M155" s="20"/>
      <c r="N155" s="20">
        <v>2.1000000000000001E-2</v>
      </c>
      <c r="O155" s="20"/>
      <c r="P155" s="20">
        <f>J155</f>
        <v>25</v>
      </c>
      <c r="Q155" s="20"/>
      <c r="R155" s="20">
        <f>F164</f>
        <v>0</v>
      </c>
      <c r="S155" s="20"/>
      <c r="T155" s="11">
        <v>3.5000000000000003E-2</v>
      </c>
    </row>
    <row r="156" spans="2:20" ht="13.5" customHeight="1" thickBot="1" x14ac:dyDescent="0.25">
      <c r="B156" s="16"/>
      <c r="C156" s="321"/>
      <c r="D156" s="323" t="s">
        <v>111</v>
      </c>
      <c r="E156" s="244"/>
      <c r="F156" s="6"/>
      <c r="G156" s="32"/>
      <c r="H156" s="18" t="s">
        <v>31</v>
      </c>
      <c r="I156" s="9" t="s">
        <v>10</v>
      </c>
      <c r="J156" s="9" t="s">
        <v>111</v>
      </c>
      <c r="K156" s="9" t="s">
        <v>14</v>
      </c>
      <c r="L156" s="9" t="s">
        <v>115</v>
      </c>
      <c r="M156" s="9" t="s">
        <v>14</v>
      </c>
      <c r="N156" s="9" t="s">
        <v>116</v>
      </c>
      <c r="O156" s="9"/>
      <c r="P156" s="9"/>
      <c r="Q156" s="9"/>
      <c r="R156" s="9"/>
      <c r="S156" s="21"/>
      <c r="T156" s="40"/>
    </row>
    <row r="157" spans="2:20" ht="13.5" customHeight="1" thickBot="1" x14ac:dyDescent="0.25">
      <c r="B157" s="16"/>
      <c r="C157" s="322"/>
      <c r="D157" s="323" t="s">
        <v>8</v>
      </c>
      <c r="E157" s="244"/>
      <c r="F157" s="6"/>
      <c r="G157" s="32"/>
      <c r="H157" s="15" t="e">
        <f>J157*L157*N157</f>
        <v>#N/A</v>
      </c>
      <c r="I157" s="20"/>
      <c r="J157" s="20">
        <f>F156</f>
        <v>0</v>
      </c>
      <c r="K157" s="20"/>
      <c r="L157" s="20">
        <f>INDEX(LrCfRf,MATCH("CF",LrCfRf_Header,0),MATCH(F157,LrCfRf_Speed,-1))</f>
        <v>0.4</v>
      </c>
      <c r="M157" s="20"/>
      <c r="N157" s="20" t="e">
        <f>INDEX(LrCfRf,MATCH("RLR "&amp;F159,LrCfRf_Header,0),MATCH(F157,LrCfRf_Speed,-1))</f>
        <v>#N/A</v>
      </c>
      <c r="O157" s="20"/>
      <c r="P157" s="20"/>
      <c r="Q157" s="20"/>
      <c r="R157" s="20"/>
      <c r="S157" s="20"/>
      <c r="T157" s="41"/>
    </row>
    <row r="158" spans="2:20" ht="13.5" customHeight="1" thickBot="1" x14ac:dyDescent="0.25">
      <c r="B158" s="16"/>
      <c r="C158" s="243" t="s">
        <v>24</v>
      </c>
      <c r="D158" s="243"/>
      <c r="E158" s="243"/>
      <c r="F158" s="6"/>
      <c r="G158" s="32"/>
      <c r="H158" s="14" t="s">
        <v>58</v>
      </c>
      <c r="I158" s="3" t="s">
        <v>10</v>
      </c>
      <c r="J158" s="3" t="s">
        <v>119</v>
      </c>
      <c r="K158" s="3" t="s">
        <v>14</v>
      </c>
      <c r="L158" s="3" t="s">
        <v>61</v>
      </c>
      <c r="M158" s="3" t="s">
        <v>12</v>
      </c>
      <c r="N158" s="3" t="s">
        <v>57</v>
      </c>
      <c r="T158" s="32"/>
    </row>
    <row r="159" spans="2:20" ht="13.5" customHeight="1" thickBot="1" x14ac:dyDescent="0.25">
      <c r="B159" s="16"/>
      <c r="C159" s="243" t="s">
        <v>47</v>
      </c>
      <c r="D159" s="243"/>
      <c r="E159" s="243"/>
      <c r="F159" s="6"/>
      <c r="G159" s="32"/>
      <c r="H159" s="15" t="e">
        <f>J159*L159+N159</f>
        <v>#N/A</v>
      </c>
      <c r="I159" s="20"/>
      <c r="J159" s="20" t="e">
        <f>H155+H157</f>
        <v>#N/A</v>
      </c>
      <c r="K159" s="20"/>
      <c r="L159" s="20">
        <f>IF(F162="Y",1.33*1.1,1.33)</f>
        <v>1.33</v>
      </c>
      <c r="M159" s="20"/>
      <c r="N159" s="20">
        <f>F165</f>
        <v>0</v>
      </c>
      <c r="O159" s="20"/>
      <c r="P159" s="26"/>
      <c r="Q159" s="26"/>
      <c r="R159" s="26"/>
      <c r="S159" s="26"/>
      <c r="T159" s="22"/>
    </row>
    <row r="160" spans="2:20" ht="13.5" customHeight="1" thickBot="1" x14ac:dyDescent="0.25">
      <c r="B160" s="16"/>
      <c r="C160" s="245"/>
      <c r="D160" s="245"/>
      <c r="E160" s="245"/>
      <c r="G160" s="32"/>
      <c r="H160" s="14" t="s">
        <v>122</v>
      </c>
      <c r="I160" s="3" t="s">
        <v>10</v>
      </c>
      <c r="J160" s="3" t="s">
        <v>111</v>
      </c>
      <c r="K160" s="3" t="s">
        <v>14</v>
      </c>
      <c r="L160" s="3" t="s">
        <v>123</v>
      </c>
      <c r="M160" s="3"/>
      <c r="N160" s="3"/>
      <c r="P160" s="298" t="s">
        <v>50</v>
      </c>
      <c r="Q160" s="299"/>
      <c r="R160" s="300" t="s">
        <v>51</v>
      </c>
      <c r="S160" s="301"/>
      <c r="T160" s="302"/>
    </row>
    <row r="161" spans="2:20" ht="13.5" customHeight="1" thickBot="1" x14ac:dyDescent="0.25">
      <c r="B161" s="16"/>
      <c r="C161" s="243" t="s">
        <v>124</v>
      </c>
      <c r="D161" s="243"/>
      <c r="E161" s="243"/>
      <c r="F161" s="1"/>
      <c r="G161" s="32"/>
      <c r="H161" s="15">
        <f>J161*L161</f>
        <v>0</v>
      </c>
      <c r="I161" s="20"/>
      <c r="J161" s="20">
        <f>F156</f>
        <v>0</v>
      </c>
      <c r="K161" s="20"/>
      <c r="L161" s="20">
        <f>INDEX(LrCfRf,MATCH("HSBP",LrCfRf_Header,0),MATCH(F157,LrCfRf_Speed,-1))</f>
        <v>6</v>
      </c>
      <c r="M161" s="20"/>
      <c r="N161" s="20"/>
      <c r="O161" s="20"/>
      <c r="P161" s="303" t="str">
        <f>IF(ISBLANK(F156),"NEED LENGTH",IF(F156&gt;200,"TOO LONG",""))</f>
        <v>NEED LENGTH</v>
      </c>
      <c r="Q161" s="304"/>
      <c r="R161" s="305" t="str">
        <f>IF(7-COUNTBLANK(P161:P167),"",IF(F161="Motovario",INDEX(LrDirectDriveMotovario_Cd,MATCH(1,INDEX((F157&lt;=LrDirectDriveMotovario_Speed)*(H163&lt;=LrDirectDriveMotovario_Hp)*(H159&lt;=LrDirectDriveMotovario_Ebp),0,0),0))&amp;" DIRECT DRIVE",IF(F161="Dodge",INDEX(LrDirectDriveDodge_Cd,MATCH(1,INDEX((F157&lt;=LrDirectDriveDodge_Speed)*(H163&lt;=LrDirectDriveDodge_Hp)*(H159&lt;=LrDirectDriveDodge_Ebp),0,0),0))&amp;" DIRECT DRIVE",INDEX(LrDriveCap_Cd,MATCH(1,INDEX((H159&lt;=LrDriveCap_Ebp)*(H163&lt;=LrDriveCap_Hp)*((F165&lt;&gt;0)=LrDriveCap_Slave)*(F156&lt;=LrDriveCap_Length),0,0),0)))))</f>
        <v/>
      </c>
      <c r="S161" s="306"/>
      <c r="T161" s="307"/>
    </row>
    <row r="162" spans="2:20" ht="13.5" customHeight="1" thickBot="1" x14ac:dyDescent="0.25">
      <c r="B162" s="16"/>
      <c r="C162" s="241" t="s">
        <v>125</v>
      </c>
      <c r="D162" s="241"/>
      <c r="E162" s="241"/>
      <c r="F162" s="1"/>
      <c r="G162" s="32"/>
      <c r="H162" s="18" t="s">
        <v>74</v>
      </c>
      <c r="I162" s="9" t="s">
        <v>10</v>
      </c>
      <c r="J162" s="9" t="s">
        <v>58</v>
      </c>
      <c r="K162" s="9" t="s">
        <v>14</v>
      </c>
      <c r="L162" s="9" t="s">
        <v>8</v>
      </c>
      <c r="M162" s="9" t="s">
        <v>75</v>
      </c>
      <c r="N162" s="19" t="s">
        <v>76</v>
      </c>
      <c r="O162" s="9"/>
      <c r="P162" s="327" t="str">
        <f>IF(ISBLANK(F157),"NEED SPEED","")</f>
        <v>NEED SPEED</v>
      </c>
      <c r="Q162" s="328"/>
      <c r="R162" s="324" t="str">
        <f>IF(7-COUNTBLANK(P161:P167),"",IF(F161="Motovario",INDEX(LrDirectDriveMotovario_Hp,MATCH(1,INDEX((F157&lt;=LrDirectDriveMotovario_Speed)*(H163&lt;=LrDirectDriveMotovario_Hp)*(H159&lt;=LrDirectDriveMotovario_Ebp),0,0),0)),IF(F161="Dodge",INDEX(LrDirectDriveDodge_Hp,MATCH(1,INDEX((F157&lt;=LrDirectDriveDodge_Speed)*(H163&lt;=LrDirectDriveDodge_Hp)*(H159&lt;=LrDirectDriveDodge_Ebp),0,0),0)),INDEX(LrDriveCap_Hp,MATCH(1,INDEX((H159&lt;=LrDriveCap_Ebp)*(H163&lt;=LrDriveCap_Hp)*((F165&lt;&gt;0)=LrDriveCap_Slave)*(F156&lt;=LrDriveCap_Length),0,0),0))))&amp;" HP")</f>
        <v/>
      </c>
      <c r="S162" s="325"/>
      <c r="T162" s="326"/>
    </row>
    <row r="163" spans="2:20" ht="13.5" customHeight="1" thickBot="1" x14ac:dyDescent="0.25">
      <c r="B163" s="16"/>
      <c r="G163" s="32"/>
      <c r="H163" s="15" t="e">
        <f>J163*L163/N163</f>
        <v>#N/A</v>
      </c>
      <c r="I163" s="20"/>
      <c r="J163" s="20" t="e">
        <f>H159</f>
        <v>#N/A</v>
      </c>
      <c r="K163" s="20"/>
      <c r="L163" s="20">
        <f>F157</f>
        <v>0</v>
      </c>
      <c r="M163" s="20"/>
      <c r="N163" s="8">
        <v>31350</v>
      </c>
      <c r="O163" s="20"/>
      <c r="P163" s="327" t="str">
        <f>IF(AND(ISBLANK($E$7),ISBLANK(F158)),"NEED LIVE LOAD","")</f>
        <v/>
      </c>
      <c r="Q163" s="328"/>
      <c r="R163" s="54" t="str">
        <f>IF(7-COUNTBLANK(P161:P167),"",IF(NOT(ISERROR(H159)),MAX(2,H159/200,IF(OR(AND(F156&gt;100,F165=0),AND(F156&gt;80,F165&lt;&gt;0)),3,0)),""))</f>
        <v/>
      </c>
      <c r="S163" s="324" t="str">
        <f>IF(7-COUNTBLANK(P161:P167),"","LONG SPRINGS")</f>
        <v/>
      </c>
      <c r="T163" s="326"/>
    </row>
    <row r="164" spans="2:20" ht="13.5" customHeight="1" thickBot="1" x14ac:dyDescent="0.25">
      <c r="B164" s="16"/>
      <c r="C164" s="243" t="s">
        <v>113</v>
      </c>
      <c r="D164" s="243"/>
      <c r="E164" s="243"/>
      <c r="F164" s="6"/>
      <c r="G164" s="32"/>
      <c r="H164" s="42"/>
      <c r="I164" s="21"/>
      <c r="J164" s="21"/>
      <c r="K164" s="21"/>
      <c r="L164" s="21"/>
      <c r="M164" s="21"/>
      <c r="N164" s="21"/>
      <c r="O164" s="40"/>
      <c r="P164" s="327" t="str">
        <f>IF(ISBLANK(F159),"NEED RLR CENT","")</f>
        <v>NEED RLR CENT</v>
      </c>
      <c r="Q164" s="328"/>
      <c r="R164" s="54" t="str">
        <f>IF(7-COUNTBLANK(P161:P167),"",IF(H159&lt;&gt;0,MAX(2,H159/160,IF(OR(AND(F156&gt;100,F165=0),AND(F156&gt;80,F165&lt;&gt;0)),3,0)),""))</f>
        <v/>
      </c>
      <c r="S164" s="324" t="str">
        <f>IF(7-COUNTBLANK(P161:P167),"","SHRT SPRINGS")</f>
        <v/>
      </c>
      <c r="T164" s="326"/>
    </row>
    <row r="165" spans="2:20" ht="13.5" customHeight="1" thickBot="1" x14ac:dyDescent="0.25">
      <c r="B165" s="16"/>
      <c r="C165" s="243" t="s">
        <v>131</v>
      </c>
      <c r="D165" s="243"/>
      <c r="E165" s="243"/>
      <c r="F165" s="6"/>
      <c r="G165" s="32"/>
      <c r="H165" s="56"/>
      <c r="I165" s="57"/>
      <c r="J165" s="57"/>
      <c r="K165" s="57"/>
      <c r="L165" s="57"/>
      <c r="M165" s="57"/>
      <c r="N165" s="57"/>
      <c r="O165" s="58"/>
      <c r="P165" s="327" t="str">
        <f>IFERROR(IF(H163&gt;MAX(LrDriveCap_Hp),"EXCEEDS MAX HP",""),"")</f>
        <v/>
      </c>
      <c r="Q165" s="328"/>
      <c r="R165" s="324" t="str">
        <f>IF(7-COUNTBLANK(P161:P167),"",IF(H159&gt;600,"6IN ENTRY TE REQUIRED",""))</f>
        <v/>
      </c>
      <c r="S165" s="325"/>
      <c r="T165" s="326"/>
    </row>
    <row r="166" spans="2:20" ht="13.5" customHeight="1" x14ac:dyDescent="0.2">
      <c r="B166" s="16"/>
      <c r="C166" s="240"/>
      <c r="D166" s="240"/>
      <c r="E166" s="240"/>
      <c r="G166" s="32"/>
      <c r="H166" s="290" t="s">
        <v>133</v>
      </c>
      <c r="I166" s="291"/>
      <c r="J166" s="291"/>
      <c r="K166" s="291"/>
      <c r="L166" s="291"/>
      <c r="M166" s="291"/>
      <c r="N166" s="291"/>
      <c r="O166" s="292"/>
      <c r="P166" s="327" t="str">
        <f>IFERROR(IF(H159&gt;MAX(LrDriveCap_Ebp),"EXCEEDS MAX EBP",""),"")</f>
        <v/>
      </c>
      <c r="Q166" s="328"/>
      <c r="R166" s="324"/>
      <c r="S166" s="325"/>
      <c r="T166" s="326"/>
    </row>
    <row r="167" spans="2:20" ht="13.5" customHeight="1" thickBot="1" x14ac:dyDescent="0.25">
      <c r="B167" s="12"/>
      <c r="C167" s="293"/>
      <c r="D167" s="293"/>
      <c r="E167" s="293"/>
      <c r="F167" s="7"/>
      <c r="G167" s="37"/>
      <c r="H167" s="16" t="s">
        <v>134</v>
      </c>
      <c r="J167" s="26" t="str">
        <f>IFERROR(H159*J168/2,"")</f>
        <v/>
      </c>
      <c r="L167" s="2" t="s">
        <v>135</v>
      </c>
      <c r="N167" s="26" t="str">
        <f>IF(F161="Motovario",INDEX(LrDirectDriveMotovario_MaxT,MATCH(1,INDEX((F157&lt;=LrDirectDriveMotovario_Speed)*(H163&lt;=LrDirectDriveMotovario_Hp)*(H159&lt;=LrDirectDriveMotovario_Ebp),0,0),0)),IF(F161="Dodge",INDEX(LrDirectDriveDodge_MaxT,MATCH(1,INDEX((F157&lt;=LrDirectDriveDodge_Speed)*(H163&lt;=LrDirectDriveDodge_Hp)*(H159&lt;=LrDirectDriveDodge_Ebp),0,0),0)),""))</f>
        <v/>
      </c>
      <c r="P167" s="327" t="str">
        <f>IFERROR(IF(AND(AND(F161&lt;&gt;"Motovario",F161&lt;&gt;"Dodge"),VALUE(RIGHT(R168,LEN(R168)-14))&lt;&gt;F157),"USE DD NOM SPD",""),"")</f>
        <v/>
      </c>
      <c r="Q167" s="328"/>
      <c r="R167" s="324" t="str">
        <f>IF(7-COUNTBLANK(P161:P167),"",IF(H161&gt;1100,"SOFT START REQUIRED",""))</f>
        <v/>
      </c>
      <c r="S167" s="325"/>
      <c r="T167" s="326"/>
    </row>
    <row r="168" spans="2:20" ht="13.5" customHeight="1" thickBot="1" x14ac:dyDescent="0.25">
      <c r="B168" s="294" t="s">
        <v>78</v>
      </c>
      <c r="C168" s="295"/>
      <c r="D168" s="262"/>
      <c r="E168" s="263"/>
      <c r="F168" s="263"/>
      <c r="G168" s="264"/>
      <c r="H168" s="12" t="s">
        <v>136</v>
      </c>
      <c r="I168" s="7"/>
      <c r="J168" s="27" t="str">
        <f>IFERROR(VALUE(LEFT(R161,SEARCH("CD",R161)-1))+1/2,"")</f>
        <v/>
      </c>
      <c r="K168" s="7"/>
      <c r="L168" s="17" t="s">
        <v>137</v>
      </c>
      <c r="M168" s="17"/>
      <c r="N168" s="43" t="str">
        <f>IFERROR(N167/J167,"")</f>
        <v/>
      </c>
      <c r="O168" s="7"/>
      <c r="P168" s="337" t="str">
        <f>IF(ISBLANK(F162),"NEED AP INFO",IF(ISBLANK(F164),"NEED SLUG LGTH",IF(ISBLANK(F165),"NEED SLAVE INFO","")))</f>
        <v>NEED AP INFO</v>
      </c>
      <c r="Q168" s="338"/>
      <c r="R168" s="330" t="str">
        <f>IF(6-COUNTBLANK(P161:P166),"",IF(F161="Motovario","DD NOM SPEED: "&amp;INDEX(LrDirectDriveMotovario_Speed,MATCH(1,INDEX((F157&lt;=LrDirectDriveMotovario_Speed)*(H163&lt;=LrDirectDriveMotovario_Hp)*(H159&lt;=LrDirectDriveMotovario_Ebp),0,0),0)),IF(F161="Dodge","DD NOM SPEED: "&amp;INDEX(LrDirectDriveDodge_Speed,MATCH(1,INDEX((F157&lt;=LrDirectDriveDodge_Speed)*(H163&lt;=LrDirectDriveDodge_Hp)*(H159&lt;=LrDirectDriveDodge_Ebp),0,0),0)),"")))</f>
        <v/>
      </c>
      <c r="S168" s="331"/>
      <c r="T168" s="332"/>
    </row>
    <row r="169" spans="2:20" ht="13.5" customHeight="1" thickBot="1" x14ac:dyDescent="0.25"/>
    <row r="170" spans="2:20" ht="13.5" customHeight="1" x14ac:dyDescent="0.2">
      <c r="B170" s="39"/>
      <c r="C170" s="320"/>
      <c r="D170" s="320"/>
      <c r="E170" s="320"/>
      <c r="F170" s="28"/>
      <c r="G170" s="30"/>
      <c r="H170" s="13" t="s">
        <v>30</v>
      </c>
      <c r="I170" s="10" t="s">
        <v>10</v>
      </c>
      <c r="J170" s="4" t="s">
        <v>110</v>
      </c>
      <c r="K170" s="4" t="s">
        <v>14</v>
      </c>
      <c r="L170" s="4" t="s">
        <v>111</v>
      </c>
      <c r="M170" s="4" t="s">
        <v>14</v>
      </c>
      <c r="N170" s="4" t="s">
        <v>112</v>
      </c>
      <c r="O170" s="4" t="s">
        <v>12</v>
      </c>
      <c r="P170" s="4" t="s">
        <v>110</v>
      </c>
      <c r="Q170" s="4" t="s">
        <v>14</v>
      </c>
      <c r="R170" s="4" t="s">
        <v>113</v>
      </c>
      <c r="S170" s="4" t="s">
        <v>14</v>
      </c>
      <c r="T170" s="5" t="s">
        <v>112</v>
      </c>
    </row>
    <row r="171" spans="2:20" ht="13.5" customHeight="1" thickBot="1" x14ac:dyDescent="0.25">
      <c r="B171" s="16"/>
      <c r="C171" s="2" t="s">
        <v>5</v>
      </c>
      <c r="D171" s="59"/>
      <c r="E171" s="59"/>
      <c r="F171" s="59"/>
      <c r="G171" s="32"/>
      <c r="H171" s="15">
        <f>J171*L171*N171+P171*R171*T171</f>
        <v>0</v>
      </c>
      <c r="I171" s="20"/>
      <c r="J171" s="20">
        <f>IF(F174=0,$E$7,F174)</f>
        <v>25</v>
      </c>
      <c r="K171" s="20"/>
      <c r="L171" s="20">
        <f>F172</f>
        <v>0</v>
      </c>
      <c r="M171" s="20"/>
      <c r="N171" s="20">
        <v>2.1000000000000001E-2</v>
      </c>
      <c r="O171" s="20"/>
      <c r="P171" s="20">
        <f>J171</f>
        <v>25</v>
      </c>
      <c r="Q171" s="20"/>
      <c r="R171" s="20">
        <f>F180</f>
        <v>0</v>
      </c>
      <c r="S171" s="20"/>
      <c r="T171" s="11">
        <v>3.5000000000000003E-2</v>
      </c>
    </row>
    <row r="172" spans="2:20" ht="13.5" customHeight="1" thickBot="1" x14ac:dyDescent="0.25">
      <c r="B172" s="16"/>
      <c r="C172" s="321"/>
      <c r="D172" s="323" t="s">
        <v>111</v>
      </c>
      <c r="E172" s="244"/>
      <c r="F172" s="6"/>
      <c r="G172" s="32"/>
      <c r="H172" s="18" t="s">
        <v>31</v>
      </c>
      <c r="I172" s="9" t="s">
        <v>10</v>
      </c>
      <c r="J172" s="9" t="s">
        <v>111</v>
      </c>
      <c r="K172" s="9" t="s">
        <v>14</v>
      </c>
      <c r="L172" s="9" t="s">
        <v>115</v>
      </c>
      <c r="M172" s="9" t="s">
        <v>14</v>
      </c>
      <c r="N172" s="9" t="s">
        <v>116</v>
      </c>
      <c r="O172" s="9"/>
      <c r="P172" s="9"/>
      <c r="Q172" s="9"/>
      <c r="R172" s="9"/>
      <c r="S172" s="21"/>
      <c r="T172" s="40"/>
    </row>
    <row r="173" spans="2:20" ht="13.5" customHeight="1" thickBot="1" x14ac:dyDescent="0.25">
      <c r="B173" s="16"/>
      <c r="C173" s="322"/>
      <c r="D173" s="323" t="s">
        <v>8</v>
      </c>
      <c r="E173" s="244"/>
      <c r="F173" s="6"/>
      <c r="G173" s="32"/>
      <c r="H173" s="15" t="e">
        <f>J173*L173*N173</f>
        <v>#N/A</v>
      </c>
      <c r="I173" s="20"/>
      <c r="J173" s="20">
        <f>F172</f>
        <v>0</v>
      </c>
      <c r="K173" s="20"/>
      <c r="L173" s="20">
        <f>INDEX(LrCfRf,MATCH("CF",LrCfRf_Header,0),MATCH(F173,LrCfRf_Speed,-1))</f>
        <v>0.4</v>
      </c>
      <c r="M173" s="20"/>
      <c r="N173" s="20" t="e">
        <f>INDEX(LrCfRf,MATCH("RLR "&amp;F175,LrCfRf_Header,0),MATCH(F173,LrCfRf_Speed,-1))</f>
        <v>#N/A</v>
      </c>
      <c r="O173" s="20"/>
      <c r="P173" s="20"/>
      <c r="Q173" s="20"/>
      <c r="R173" s="20"/>
      <c r="S173" s="20"/>
      <c r="T173" s="41"/>
    </row>
    <row r="174" spans="2:20" ht="13.5" customHeight="1" thickBot="1" x14ac:dyDescent="0.25">
      <c r="B174" s="16"/>
      <c r="C174" s="243" t="s">
        <v>24</v>
      </c>
      <c r="D174" s="243"/>
      <c r="E174" s="243"/>
      <c r="F174" s="6"/>
      <c r="G174" s="32"/>
      <c r="H174" s="14" t="s">
        <v>58</v>
      </c>
      <c r="I174" s="3" t="s">
        <v>10</v>
      </c>
      <c r="J174" s="3" t="s">
        <v>119</v>
      </c>
      <c r="K174" s="3" t="s">
        <v>14</v>
      </c>
      <c r="L174" s="3" t="s">
        <v>61</v>
      </c>
      <c r="M174" s="3" t="s">
        <v>12</v>
      </c>
      <c r="N174" s="3" t="s">
        <v>57</v>
      </c>
      <c r="T174" s="32"/>
    </row>
    <row r="175" spans="2:20" ht="13.5" customHeight="1" thickBot="1" x14ac:dyDescent="0.25">
      <c r="B175" s="16"/>
      <c r="C175" s="243" t="s">
        <v>47</v>
      </c>
      <c r="D175" s="243"/>
      <c r="E175" s="243"/>
      <c r="F175" s="6"/>
      <c r="G175" s="32"/>
      <c r="H175" s="15" t="e">
        <f>J175*L175+N175</f>
        <v>#N/A</v>
      </c>
      <c r="I175" s="20"/>
      <c r="J175" s="20" t="e">
        <f>H171+H173</f>
        <v>#N/A</v>
      </c>
      <c r="K175" s="20"/>
      <c r="L175" s="20">
        <f>IF(F178="Y",1.33*1.1,1.33)</f>
        <v>1.33</v>
      </c>
      <c r="M175" s="20"/>
      <c r="N175" s="20">
        <f>F181</f>
        <v>0</v>
      </c>
      <c r="O175" s="20"/>
      <c r="P175" s="26"/>
      <c r="Q175" s="26"/>
      <c r="R175" s="26"/>
      <c r="S175" s="26"/>
      <c r="T175" s="22"/>
    </row>
    <row r="176" spans="2:20" ht="13.5" customHeight="1" thickBot="1" x14ac:dyDescent="0.25">
      <c r="B176" s="16"/>
      <c r="C176" s="245"/>
      <c r="D176" s="245"/>
      <c r="E176" s="245"/>
      <c r="G176" s="32"/>
      <c r="H176" s="14" t="s">
        <v>122</v>
      </c>
      <c r="I176" s="3" t="s">
        <v>10</v>
      </c>
      <c r="J176" s="3" t="s">
        <v>111</v>
      </c>
      <c r="K176" s="3" t="s">
        <v>14</v>
      </c>
      <c r="L176" s="3" t="s">
        <v>123</v>
      </c>
      <c r="M176" s="3"/>
      <c r="N176" s="3"/>
      <c r="P176" s="298" t="s">
        <v>50</v>
      </c>
      <c r="Q176" s="299"/>
      <c r="R176" s="300" t="s">
        <v>51</v>
      </c>
      <c r="S176" s="301"/>
      <c r="T176" s="302"/>
    </row>
    <row r="177" spans="2:20" ht="13.5" customHeight="1" thickBot="1" x14ac:dyDescent="0.25">
      <c r="B177" s="16"/>
      <c r="C177" s="243" t="s">
        <v>124</v>
      </c>
      <c r="D177" s="243"/>
      <c r="E177" s="243"/>
      <c r="F177" s="1"/>
      <c r="G177" s="32"/>
      <c r="H177" s="15">
        <f>J177*L177</f>
        <v>0</v>
      </c>
      <c r="I177" s="20"/>
      <c r="J177" s="20">
        <f>F172</f>
        <v>0</v>
      </c>
      <c r="K177" s="20"/>
      <c r="L177" s="20">
        <f>INDEX(LrCfRf,MATCH("HSBP",LrCfRf_Header,0),MATCH(F173,LrCfRf_Speed,-1))</f>
        <v>6</v>
      </c>
      <c r="M177" s="20"/>
      <c r="N177" s="20"/>
      <c r="O177" s="20"/>
      <c r="P177" s="303" t="str">
        <f>IF(ISBLANK(F172),"NEED LENGTH",IF(F172&gt;200,"TOO LONG",""))</f>
        <v>NEED LENGTH</v>
      </c>
      <c r="Q177" s="304"/>
      <c r="R177" s="305" t="str">
        <f>IF(7-COUNTBLANK(P177:P183),"",IF(F177="Motovario",INDEX(LrDirectDriveMotovario_Cd,MATCH(1,INDEX((F173&lt;=LrDirectDriveMotovario_Speed)*(H179&lt;=LrDirectDriveMotovario_Hp)*(H175&lt;=LrDirectDriveMotovario_Ebp),0,0),0))&amp;" DIRECT DRIVE",IF(F177="Dodge",INDEX(LrDirectDriveDodge_Cd,MATCH(1,INDEX((F173&lt;=LrDirectDriveDodge_Speed)*(H179&lt;=LrDirectDriveDodge_Hp)*(H175&lt;=LrDirectDriveDodge_Ebp),0,0),0))&amp;" DIRECT DRIVE",INDEX(LrDriveCap_Cd,MATCH(1,INDEX((H175&lt;=LrDriveCap_Ebp)*(H179&lt;=LrDriveCap_Hp)*((F181&lt;&gt;0)=LrDriveCap_Slave)*(F172&lt;=LrDriveCap_Length),0,0),0)))))</f>
        <v/>
      </c>
      <c r="S177" s="306"/>
      <c r="T177" s="307"/>
    </row>
    <row r="178" spans="2:20" ht="13.5" customHeight="1" thickBot="1" x14ac:dyDescent="0.25">
      <c r="B178" s="16"/>
      <c r="C178" s="241" t="s">
        <v>125</v>
      </c>
      <c r="D178" s="241"/>
      <c r="E178" s="241"/>
      <c r="F178" s="1"/>
      <c r="G178" s="32"/>
      <c r="H178" s="18" t="s">
        <v>74</v>
      </c>
      <c r="I178" s="9" t="s">
        <v>10</v>
      </c>
      <c r="J178" s="9" t="s">
        <v>58</v>
      </c>
      <c r="K178" s="9" t="s">
        <v>14</v>
      </c>
      <c r="L178" s="9" t="s">
        <v>8</v>
      </c>
      <c r="M178" s="9" t="s">
        <v>75</v>
      </c>
      <c r="N178" s="19" t="s">
        <v>76</v>
      </c>
      <c r="O178" s="9"/>
      <c r="P178" s="327" t="str">
        <f>IF(ISBLANK(F173),"NEED SPEED","")</f>
        <v>NEED SPEED</v>
      </c>
      <c r="Q178" s="328"/>
      <c r="R178" s="324" t="str">
        <f>IF(7-COUNTBLANK(P177:P183),"",IF(F177="Motovario",INDEX(LrDirectDriveMotovario_Hp,MATCH(1,INDEX((F173&lt;=LrDirectDriveMotovario_Speed)*(H179&lt;=LrDirectDriveMotovario_Hp)*(H175&lt;=LrDirectDriveMotovario_Ebp),0,0),0)),IF(F177="Dodge",INDEX(LrDirectDriveDodge_Hp,MATCH(1,INDEX((F173&lt;=LrDirectDriveDodge_Speed)*(H179&lt;=LrDirectDriveDodge_Hp)*(H175&lt;=LrDirectDriveDodge_Ebp),0,0),0)),INDEX(LrDriveCap_Hp,MATCH(1,INDEX((H175&lt;=LrDriveCap_Ebp)*(H179&lt;=LrDriveCap_Hp)*((F181&lt;&gt;0)=LrDriveCap_Slave)*(F172&lt;=LrDriveCap_Length),0,0),0))))&amp;" HP")</f>
        <v/>
      </c>
      <c r="S178" s="325"/>
      <c r="T178" s="326"/>
    </row>
    <row r="179" spans="2:20" ht="13.5" customHeight="1" thickBot="1" x14ac:dyDescent="0.25">
      <c r="B179" s="16"/>
      <c r="G179" s="32"/>
      <c r="H179" s="15" t="e">
        <f>J179*L179/N179</f>
        <v>#N/A</v>
      </c>
      <c r="I179" s="20"/>
      <c r="J179" s="20" t="e">
        <f>H175</f>
        <v>#N/A</v>
      </c>
      <c r="K179" s="20"/>
      <c r="L179" s="20">
        <f>F173</f>
        <v>0</v>
      </c>
      <c r="M179" s="20"/>
      <c r="N179" s="8">
        <v>31350</v>
      </c>
      <c r="O179" s="20"/>
      <c r="P179" s="327" t="str">
        <f>IF(AND(ISBLANK($E$7),ISBLANK(F174)),"NEED LIVE LOAD","")</f>
        <v/>
      </c>
      <c r="Q179" s="328"/>
      <c r="R179" s="54" t="str">
        <f>IF(7-COUNTBLANK(P177:P183),"",IF(NOT(ISERROR(H175)),MAX(2,H175/200,IF(OR(AND(F172&gt;100,F181=0),AND(F172&gt;80,F181&lt;&gt;0)),3,0)),""))</f>
        <v/>
      </c>
      <c r="S179" s="324" t="str">
        <f>IF(7-COUNTBLANK(P177:P183),"","LONG SPRINGS")</f>
        <v/>
      </c>
      <c r="T179" s="326"/>
    </row>
    <row r="180" spans="2:20" ht="13.5" customHeight="1" thickBot="1" x14ac:dyDescent="0.25">
      <c r="B180" s="16"/>
      <c r="C180" s="243" t="s">
        <v>113</v>
      </c>
      <c r="D180" s="243"/>
      <c r="E180" s="243"/>
      <c r="F180" s="6"/>
      <c r="G180" s="32"/>
      <c r="H180" s="42"/>
      <c r="I180" s="21"/>
      <c r="J180" s="21"/>
      <c r="K180" s="21"/>
      <c r="L180" s="21"/>
      <c r="M180" s="21"/>
      <c r="N180" s="21"/>
      <c r="O180" s="40"/>
      <c r="P180" s="327" t="str">
        <f>IF(ISBLANK(F175),"NEED RLR CENT","")</f>
        <v>NEED RLR CENT</v>
      </c>
      <c r="Q180" s="328"/>
      <c r="R180" s="54" t="str">
        <f>IF(7-COUNTBLANK(P177:P183),"",IF(H175&lt;&gt;0,MAX(2,H175/160,IF(OR(AND(F172&gt;100,F181=0),AND(F172&gt;80,F181&lt;&gt;0)),3,0)),""))</f>
        <v/>
      </c>
      <c r="S180" s="324" t="str">
        <f>IF(7-COUNTBLANK(P177:P183),"","SHRT SPRINGS")</f>
        <v/>
      </c>
      <c r="T180" s="326"/>
    </row>
    <row r="181" spans="2:20" ht="13.5" customHeight="1" thickBot="1" x14ac:dyDescent="0.25">
      <c r="B181" s="16"/>
      <c r="C181" s="243" t="s">
        <v>131</v>
      </c>
      <c r="D181" s="243"/>
      <c r="E181" s="243"/>
      <c r="F181" s="6"/>
      <c r="G181" s="32"/>
      <c r="H181" s="56"/>
      <c r="I181" s="57"/>
      <c r="J181" s="57"/>
      <c r="K181" s="57"/>
      <c r="L181" s="57"/>
      <c r="M181" s="57"/>
      <c r="N181" s="57"/>
      <c r="O181" s="58"/>
      <c r="P181" s="327" t="str">
        <f>IFERROR(IF(H179&gt;MAX(LrDriveCap_Hp),"EXCEEDS MAX HP",""),"")</f>
        <v/>
      </c>
      <c r="Q181" s="328"/>
      <c r="R181" s="324" t="str">
        <f>IF(7-COUNTBLANK(P177:P183),"",IF(H175&gt;600,"6IN ENTRY TE REQUIRED",""))</f>
        <v/>
      </c>
      <c r="S181" s="325"/>
      <c r="T181" s="326"/>
    </row>
    <row r="182" spans="2:20" ht="13.5" customHeight="1" x14ac:dyDescent="0.2">
      <c r="B182" s="16"/>
      <c r="C182" s="240"/>
      <c r="D182" s="240"/>
      <c r="E182" s="240"/>
      <c r="G182" s="32"/>
      <c r="H182" s="290" t="s">
        <v>133</v>
      </c>
      <c r="I182" s="291"/>
      <c r="J182" s="291"/>
      <c r="K182" s="291"/>
      <c r="L182" s="291"/>
      <c r="M182" s="291"/>
      <c r="N182" s="291"/>
      <c r="O182" s="292"/>
      <c r="P182" s="327" t="str">
        <f>IFERROR(IF(H175&gt;MAX(LrDriveCap_Ebp),"EXCEEDS MAX EBP",""),"")</f>
        <v/>
      </c>
      <c r="Q182" s="328"/>
      <c r="R182" s="324"/>
      <c r="S182" s="325"/>
      <c r="T182" s="326"/>
    </row>
    <row r="183" spans="2:20" ht="13.5" customHeight="1" thickBot="1" x14ac:dyDescent="0.25">
      <c r="B183" s="12"/>
      <c r="C183" s="293"/>
      <c r="D183" s="293"/>
      <c r="E183" s="293"/>
      <c r="F183" s="7"/>
      <c r="G183" s="37"/>
      <c r="H183" s="16" t="s">
        <v>134</v>
      </c>
      <c r="J183" s="26" t="str">
        <f>IFERROR(H175*J184/2,"")</f>
        <v/>
      </c>
      <c r="L183" s="2" t="s">
        <v>135</v>
      </c>
      <c r="N183" s="26" t="str">
        <f>IF(F177="Motovario",INDEX(LrDirectDriveMotovario_MaxT,MATCH(1,INDEX((F173&lt;=LrDirectDriveMotovario_Speed)*(H179&lt;=LrDirectDriveMotovario_Hp)*(H175&lt;=LrDirectDriveMotovario_Ebp),0,0),0)),IF(F177="Dodge",INDEX(LrDirectDriveDodge_MaxT,MATCH(1,INDEX((F173&lt;=LrDirectDriveDodge_Speed)*(H179&lt;=LrDirectDriveDodge_Hp)*(H175&lt;=LrDirectDriveDodge_Ebp),0,0),0)),""))</f>
        <v/>
      </c>
      <c r="P183" s="327" t="str">
        <f>IFERROR(IF(AND(AND(F177&lt;&gt;"Motovario",F177&lt;&gt;"Dodge"),VALUE(RIGHT(R184,LEN(R184)-14))&lt;&gt;F173),"USE DD NOM SPD",""),"")</f>
        <v/>
      </c>
      <c r="Q183" s="328"/>
      <c r="R183" s="324" t="str">
        <f>IF(7-COUNTBLANK(P177:P183),"",IF(H177&gt;1100,"SOFT START REQUIRED",""))</f>
        <v/>
      </c>
      <c r="S183" s="325"/>
      <c r="T183" s="326"/>
    </row>
    <row r="184" spans="2:20" ht="13.5" customHeight="1" thickBot="1" x14ac:dyDescent="0.25">
      <c r="B184" s="294" t="s">
        <v>78</v>
      </c>
      <c r="C184" s="295"/>
      <c r="D184" s="262"/>
      <c r="E184" s="263"/>
      <c r="F184" s="263"/>
      <c r="G184" s="264"/>
      <c r="H184" s="12" t="s">
        <v>136</v>
      </c>
      <c r="I184" s="7"/>
      <c r="J184" s="27" t="str">
        <f>IFERROR(VALUE(LEFT(R177,SEARCH("CD",R177)-1))+1/2,"")</f>
        <v/>
      </c>
      <c r="K184" s="7"/>
      <c r="L184" s="17" t="s">
        <v>137</v>
      </c>
      <c r="M184" s="17"/>
      <c r="N184" s="43" t="str">
        <f>IFERROR(N183/J183,"")</f>
        <v/>
      </c>
      <c r="O184" s="7"/>
      <c r="P184" s="337" t="str">
        <f>IF(ISBLANK(F178),"NEED AP INFO",IF(ISBLANK(F180),"NEED SLUG LGTH",IF(ISBLANK(F181),"NEED SLAVE INFO","")))</f>
        <v>NEED AP INFO</v>
      </c>
      <c r="Q184" s="338"/>
      <c r="R184" s="330" t="str">
        <f>IF(6-COUNTBLANK(P177:P182),"",IF(F177="Motovario","DD NOM SPEED: "&amp;INDEX(LrDirectDriveMotovario_Speed,MATCH(1,INDEX((F173&lt;=LrDirectDriveMotovario_Speed)*(H179&lt;=LrDirectDriveMotovario_Hp)*(H175&lt;=LrDirectDriveMotovario_Ebp),0,0),0)),IF(F177="Dodge","DD NOM SPEED: "&amp;INDEX(LrDirectDriveDodge_Speed,MATCH(1,INDEX((F173&lt;=LrDirectDriveDodge_Speed)*(H179&lt;=LrDirectDriveDodge_Hp)*(H175&lt;=LrDirectDriveDodge_Ebp),0,0),0)),"")))</f>
        <v/>
      </c>
      <c r="S184" s="331"/>
      <c r="T184" s="332"/>
    </row>
    <row r="185" spans="2:20" ht="13.5" customHeight="1" thickBot="1" x14ac:dyDescent="0.25"/>
    <row r="186" spans="2:20" ht="13.5" customHeight="1" x14ac:dyDescent="0.2">
      <c r="B186" s="39"/>
      <c r="C186" s="320"/>
      <c r="D186" s="320"/>
      <c r="E186" s="320"/>
      <c r="F186" s="28"/>
      <c r="G186" s="30"/>
      <c r="H186" s="13" t="s">
        <v>30</v>
      </c>
      <c r="I186" s="10" t="s">
        <v>10</v>
      </c>
      <c r="J186" s="4" t="s">
        <v>110</v>
      </c>
      <c r="K186" s="4" t="s">
        <v>14</v>
      </c>
      <c r="L186" s="4" t="s">
        <v>111</v>
      </c>
      <c r="M186" s="4" t="s">
        <v>14</v>
      </c>
      <c r="N186" s="4" t="s">
        <v>112</v>
      </c>
      <c r="O186" s="4" t="s">
        <v>12</v>
      </c>
      <c r="P186" s="4" t="s">
        <v>110</v>
      </c>
      <c r="Q186" s="4" t="s">
        <v>14</v>
      </c>
      <c r="R186" s="4" t="s">
        <v>113</v>
      </c>
      <c r="S186" s="4" t="s">
        <v>14</v>
      </c>
      <c r="T186" s="5" t="s">
        <v>112</v>
      </c>
    </row>
    <row r="187" spans="2:20" ht="13.5" customHeight="1" thickBot="1" x14ac:dyDescent="0.25">
      <c r="B187" s="16"/>
      <c r="C187" s="2" t="s">
        <v>5</v>
      </c>
      <c r="D187" s="59"/>
      <c r="E187" s="59"/>
      <c r="F187" s="59"/>
      <c r="G187" s="32"/>
      <c r="H187" s="15">
        <f>J187*L187*N187+P187*R187*T187</f>
        <v>0</v>
      </c>
      <c r="I187" s="20"/>
      <c r="J187" s="20">
        <f>IF(F190=0,$E$7,F190)</f>
        <v>25</v>
      </c>
      <c r="K187" s="20"/>
      <c r="L187" s="20">
        <f>F188</f>
        <v>0</v>
      </c>
      <c r="M187" s="20"/>
      <c r="N187" s="20">
        <v>2.1000000000000001E-2</v>
      </c>
      <c r="O187" s="20"/>
      <c r="P187" s="20">
        <f>J187</f>
        <v>25</v>
      </c>
      <c r="Q187" s="20"/>
      <c r="R187" s="20">
        <f>F196</f>
        <v>0</v>
      </c>
      <c r="S187" s="20"/>
      <c r="T187" s="11">
        <v>3.5000000000000003E-2</v>
      </c>
    </row>
    <row r="188" spans="2:20" ht="13.5" customHeight="1" thickBot="1" x14ac:dyDescent="0.25">
      <c r="B188" s="16"/>
      <c r="C188" s="321"/>
      <c r="D188" s="323" t="s">
        <v>111</v>
      </c>
      <c r="E188" s="244"/>
      <c r="F188" s="6"/>
      <c r="G188" s="32"/>
      <c r="H188" s="18" t="s">
        <v>31</v>
      </c>
      <c r="I188" s="9" t="s">
        <v>10</v>
      </c>
      <c r="J188" s="9" t="s">
        <v>111</v>
      </c>
      <c r="K188" s="9" t="s">
        <v>14</v>
      </c>
      <c r="L188" s="9" t="s">
        <v>115</v>
      </c>
      <c r="M188" s="9" t="s">
        <v>14</v>
      </c>
      <c r="N188" s="9" t="s">
        <v>116</v>
      </c>
      <c r="O188" s="9"/>
      <c r="P188" s="9"/>
      <c r="Q188" s="9"/>
      <c r="R188" s="9"/>
      <c r="S188" s="21"/>
      <c r="T188" s="40"/>
    </row>
    <row r="189" spans="2:20" ht="13.5" customHeight="1" thickBot="1" x14ac:dyDescent="0.25">
      <c r="B189" s="16"/>
      <c r="C189" s="322"/>
      <c r="D189" s="323" t="s">
        <v>8</v>
      </c>
      <c r="E189" s="244"/>
      <c r="F189" s="6"/>
      <c r="G189" s="32"/>
      <c r="H189" s="15" t="e">
        <f>J189*L189*N189</f>
        <v>#N/A</v>
      </c>
      <c r="I189" s="20"/>
      <c r="J189" s="20">
        <f>F188</f>
        <v>0</v>
      </c>
      <c r="K189" s="20"/>
      <c r="L189" s="20">
        <f>INDEX(LrCfRf,MATCH("CF",LrCfRf_Header,0),MATCH(F189,LrCfRf_Speed,-1))</f>
        <v>0.4</v>
      </c>
      <c r="M189" s="20"/>
      <c r="N189" s="20" t="e">
        <f>INDEX(LrCfRf,MATCH("RLR "&amp;F191,LrCfRf_Header,0),MATCH(F189,LrCfRf_Speed,-1))</f>
        <v>#N/A</v>
      </c>
      <c r="O189" s="20"/>
      <c r="P189" s="20"/>
      <c r="Q189" s="20"/>
      <c r="R189" s="20"/>
      <c r="S189" s="20"/>
      <c r="T189" s="41"/>
    </row>
    <row r="190" spans="2:20" ht="13.5" customHeight="1" thickBot="1" x14ac:dyDescent="0.25">
      <c r="B190" s="16"/>
      <c r="C190" s="243" t="s">
        <v>24</v>
      </c>
      <c r="D190" s="243"/>
      <c r="E190" s="243"/>
      <c r="F190" s="6"/>
      <c r="G190" s="32"/>
      <c r="H190" s="14" t="s">
        <v>58</v>
      </c>
      <c r="I190" s="3" t="s">
        <v>10</v>
      </c>
      <c r="J190" s="3" t="s">
        <v>119</v>
      </c>
      <c r="K190" s="3" t="s">
        <v>14</v>
      </c>
      <c r="L190" s="3" t="s">
        <v>61</v>
      </c>
      <c r="M190" s="3" t="s">
        <v>12</v>
      </c>
      <c r="N190" s="3" t="s">
        <v>57</v>
      </c>
      <c r="T190" s="32"/>
    </row>
    <row r="191" spans="2:20" ht="13.5" customHeight="1" thickBot="1" x14ac:dyDescent="0.25">
      <c r="B191" s="16"/>
      <c r="C191" s="243" t="s">
        <v>47</v>
      </c>
      <c r="D191" s="243"/>
      <c r="E191" s="243"/>
      <c r="F191" s="6"/>
      <c r="G191" s="32"/>
      <c r="H191" s="15" t="e">
        <f>J191*L191+N191</f>
        <v>#N/A</v>
      </c>
      <c r="I191" s="20"/>
      <c r="J191" s="20" t="e">
        <f>H187+H189</f>
        <v>#N/A</v>
      </c>
      <c r="K191" s="20"/>
      <c r="L191" s="20">
        <f>IF(F194="Y",1.33*1.1,1.33)</f>
        <v>1.33</v>
      </c>
      <c r="M191" s="20"/>
      <c r="N191" s="20">
        <f>F197</f>
        <v>0</v>
      </c>
      <c r="O191" s="20"/>
      <c r="P191" s="26"/>
      <c r="Q191" s="26"/>
      <c r="R191" s="26"/>
      <c r="S191" s="26"/>
      <c r="T191" s="22"/>
    </row>
    <row r="192" spans="2:20" ht="13.5" customHeight="1" thickBot="1" x14ac:dyDescent="0.25">
      <c r="B192" s="16"/>
      <c r="C192" s="245"/>
      <c r="D192" s="245"/>
      <c r="E192" s="245"/>
      <c r="G192" s="32"/>
      <c r="H192" s="14" t="s">
        <v>122</v>
      </c>
      <c r="I192" s="3" t="s">
        <v>10</v>
      </c>
      <c r="J192" s="3" t="s">
        <v>111</v>
      </c>
      <c r="K192" s="3" t="s">
        <v>14</v>
      </c>
      <c r="L192" s="3" t="s">
        <v>123</v>
      </c>
      <c r="M192" s="3"/>
      <c r="N192" s="3"/>
      <c r="P192" s="298" t="s">
        <v>50</v>
      </c>
      <c r="Q192" s="299"/>
      <c r="R192" s="300" t="s">
        <v>51</v>
      </c>
      <c r="S192" s="301"/>
      <c r="T192" s="302"/>
    </row>
    <row r="193" spans="2:20" ht="13.5" customHeight="1" thickBot="1" x14ac:dyDescent="0.25">
      <c r="B193" s="16"/>
      <c r="C193" s="243" t="s">
        <v>124</v>
      </c>
      <c r="D193" s="243"/>
      <c r="E193" s="243"/>
      <c r="F193" s="1"/>
      <c r="G193" s="32"/>
      <c r="H193" s="15">
        <f>J193*L193</f>
        <v>0</v>
      </c>
      <c r="I193" s="20"/>
      <c r="J193" s="20">
        <f>F188</f>
        <v>0</v>
      </c>
      <c r="K193" s="20"/>
      <c r="L193" s="20">
        <f>INDEX(LrCfRf,MATCH("HSBP",LrCfRf_Header,0),MATCH(F189,LrCfRf_Speed,-1))</f>
        <v>6</v>
      </c>
      <c r="M193" s="20"/>
      <c r="N193" s="20"/>
      <c r="O193" s="20"/>
      <c r="P193" s="303" t="str">
        <f>IF(ISBLANK(F188),"NEED LENGTH",IF(F188&gt;200,"TOO LONG",""))</f>
        <v>NEED LENGTH</v>
      </c>
      <c r="Q193" s="304"/>
      <c r="R193" s="305" t="str">
        <f>IF(7-COUNTBLANK(P193:P199),"",IF(F193="Motovario",INDEX(LrDirectDriveMotovario_Cd,MATCH(1,INDEX((F189&lt;=LrDirectDriveMotovario_Speed)*(H195&lt;=LrDirectDriveMotovario_Hp)*(H191&lt;=LrDirectDriveMotovario_Ebp),0,0),0))&amp;" DIRECT DRIVE",IF(F193="Dodge",INDEX(LrDirectDriveDodge_Cd,MATCH(1,INDEX((F189&lt;=LrDirectDriveDodge_Speed)*(H195&lt;=LrDirectDriveDodge_Hp)*(H191&lt;=LrDirectDriveDodge_Ebp),0,0),0))&amp;" DIRECT DRIVE",INDEX(LrDriveCap_Cd,MATCH(1,INDEX((H191&lt;=LrDriveCap_Ebp)*(H195&lt;=LrDriveCap_Hp)*((F197&lt;&gt;0)=LrDriveCap_Slave)*(F188&lt;=LrDriveCap_Length),0,0),0)))))</f>
        <v/>
      </c>
      <c r="S193" s="306"/>
      <c r="T193" s="307"/>
    </row>
    <row r="194" spans="2:20" ht="13.5" customHeight="1" thickBot="1" x14ac:dyDescent="0.25">
      <c r="B194" s="16"/>
      <c r="C194" s="241" t="s">
        <v>125</v>
      </c>
      <c r="D194" s="241"/>
      <c r="E194" s="241"/>
      <c r="F194" s="1"/>
      <c r="G194" s="32"/>
      <c r="H194" s="18" t="s">
        <v>74</v>
      </c>
      <c r="I194" s="9" t="s">
        <v>10</v>
      </c>
      <c r="J194" s="9" t="s">
        <v>58</v>
      </c>
      <c r="K194" s="9" t="s">
        <v>14</v>
      </c>
      <c r="L194" s="9" t="s">
        <v>8</v>
      </c>
      <c r="M194" s="9" t="s">
        <v>75</v>
      </c>
      <c r="N194" s="19" t="s">
        <v>76</v>
      </c>
      <c r="O194" s="9"/>
      <c r="P194" s="327" t="str">
        <f>IF(ISBLANK(F189),"NEED SPEED","")</f>
        <v>NEED SPEED</v>
      </c>
      <c r="Q194" s="328"/>
      <c r="R194" s="324" t="str">
        <f>IF(7-COUNTBLANK(P193:P199),"",IF(F193="Motovario",INDEX(LrDirectDriveMotovario_Hp,MATCH(1,INDEX((F189&lt;=LrDirectDriveMotovario_Speed)*(H195&lt;=LrDirectDriveMotovario_Hp)*(H191&lt;=LrDirectDriveMotovario_Ebp),0,0),0)),IF(F193="Dodge",INDEX(LrDirectDriveDodge_Hp,MATCH(1,INDEX((F189&lt;=LrDirectDriveDodge_Speed)*(H195&lt;=LrDirectDriveDodge_Hp)*(H191&lt;=LrDirectDriveDodge_Ebp),0,0),0)),INDEX(LrDriveCap_Hp,MATCH(1,INDEX((H191&lt;=LrDriveCap_Ebp)*(H195&lt;=LrDriveCap_Hp)*((F197&lt;&gt;0)=LrDriveCap_Slave)*(F188&lt;=LrDriveCap_Length),0,0),0))))&amp;" HP")</f>
        <v/>
      </c>
      <c r="S194" s="325"/>
      <c r="T194" s="326"/>
    </row>
    <row r="195" spans="2:20" ht="13.5" customHeight="1" thickBot="1" x14ac:dyDescent="0.25">
      <c r="B195" s="16"/>
      <c r="G195" s="32"/>
      <c r="H195" s="15" t="e">
        <f>J195*L195/N195</f>
        <v>#N/A</v>
      </c>
      <c r="I195" s="20"/>
      <c r="J195" s="20" t="e">
        <f>H191</f>
        <v>#N/A</v>
      </c>
      <c r="K195" s="20"/>
      <c r="L195" s="20">
        <f>F189</f>
        <v>0</v>
      </c>
      <c r="M195" s="20"/>
      <c r="N195" s="8">
        <v>31350</v>
      </c>
      <c r="O195" s="20"/>
      <c r="P195" s="327" t="str">
        <f>IF(AND(ISBLANK($E$7),ISBLANK(F190)),"NEED LIVE LOAD","")</f>
        <v/>
      </c>
      <c r="Q195" s="328"/>
      <c r="R195" s="54" t="str">
        <f>IF(7-COUNTBLANK(P193:P199),"",IF(NOT(ISERROR(H191)),MAX(2,H191/200,IF(OR(AND(F188&gt;100,F197=0),AND(F188&gt;80,F197&lt;&gt;0)),3,0)),""))</f>
        <v/>
      </c>
      <c r="S195" s="324" t="str">
        <f>IF(7-COUNTBLANK(P193:P199),"","LONG SPRINGS")</f>
        <v/>
      </c>
      <c r="T195" s="326"/>
    </row>
    <row r="196" spans="2:20" ht="13.5" customHeight="1" thickBot="1" x14ac:dyDescent="0.25">
      <c r="B196" s="16"/>
      <c r="C196" s="243" t="s">
        <v>113</v>
      </c>
      <c r="D196" s="243"/>
      <c r="E196" s="243"/>
      <c r="F196" s="6"/>
      <c r="G196" s="32"/>
      <c r="H196" s="42"/>
      <c r="I196" s="21"/>
      <c r="J196" s="21"/>
      <c r="K196" s="21"/>
      <c r="L196" s="21"/>
      <c r="M196" s="21"/>
      <c r="N196" s="21"/>
      <c r="O196" s="40"/>
      <c r="P196" s="327" t="str">
        <f>IF(ISBLANK(F191),"NEED RLR CENT","")</f>
        <v>NEED RLR CENT</v>
      </c>
      <c r="Q196" s="328"/>
      <c r="R196" s="54" t="str">
        <f>IF(7-COUNTBLANK(P193:P199),"",IF(H191&lt;&gt;0,MAX(2,H191/160,IF(OR(AND(F188&gt;100,F197=0),AND(F188&gt;80,F197&lt;&gt;0)),3,0)),""))</f>
        <v/>
      </c>
      <c r="S196" s="324" t="str">
        <f>IF(7-COUNTBLANK(P193:P199),"","SHRT SPRINGS")</f>
        <v/>
      </c>
      <c r="T196" s="326"/>
    </row>
    <row r="197" spans="2:20" ht="13.5" customHeight="1" thickBot="1" x14ac:dyDescent="0.25">
      <c r="B197" s="16"/>
      <c r="C197" s="243" t="s">
        <v>131</v>
      </c>
      <c r="D197" s="243"/>
      <c r="E197" s="243"/>
      <c r="F197" s="6"/>
      <c r="G197" s="32"/>
      <c r="H197" s="56"/>
      <c r="I197" s="57"/>
      <c r="J197" s="57"/>
      <c r="K197" s="57"/>
      <c r="L197" s="57"/>
      <c r="M197" s="57"/>
      <c r="N197" s="57"/>
      <c r="O197" s="58"/>
      <c r="P197" s="327" t="str">
        <f>IFERROR(IF(H195&gt;MAX(LrDriveCap_Hp),"EXCEEDS MAX HP",""),"")</f>
        <v/>
      </c>
      <c r="Q197" s="328"/>
      <c r="R197" s="324" t="str">
        <f>IF(7-COUNTBLANK(P193:P199),"",IF(H191&gt;600,"6IN ENTRY TE REQUIRED",""))</f>
        <v/>
      </c>
      <c r="S197" s="325"/>
      <c r="T197" s="326"/>
    </row>
    <row r="198" spans="2:20" ht="13.5" customHeight="1" x14ac:dyDescent="0.2">
      <c r="B198" s="16"/>
      <c r="C198" s="240"/>
      <c r="D198" s="240"/>
      <c r="E198" s="240"/>
      <c r="G198" s="32"/>
      <c r="H198" s="290" t="s">
        <v>133</v>
      </c>
      <c r="I198" s="291"/>
      <c r="J198" s="291"/>
      <c r="K198" s="291"/>
      <c r="L198" s="291"/>
      <c r="M198" s="291"/>
      <c r="N198" s="291"/>
      <c r="O198" s="292"/>
      <c r="P198" s="327" t="str">
        <f>IFERROR(IF(H191&gt;MAX(LrDriveCap_Ebp),"EXCEEDS MAX EBP",""),"")</f>
        <v/>
      </c>
      <c r="Q198" s="328"/>
      <c r="R198" s="324"/>
      <c r="S198" s="325"/>
      <c r="T198" s="326"/>
    </row>
    <row r="199" spans="2:20" ht="13.5" customHeight="1" thickBot="1" x14ac:dyDescent="0.25">
      <c r="B199" s="12"/>
      <c r="C199" s="293"/>
      <c r="D199" s="293"/>
      <c r="E199" s="293"/>
      <c r="F199" s="7"/>
      <c r="G199" s="37"/>
      <c r="H199" s="16" t="s">
        <v>134</v>
      </c>
      <c r="J199" s="26" t="str">
        <f>IFERROR(H191*J200/2,"")</f>
        <v/>
      </c>
      <c r="L199" s="2" t="s">
        <v>135</v>
      </c>
      <c r="N199" s="26" t="str">
        <f>IF(F193="Motovario",INDEX(LrDirectDriveMotovario_MaxT,MATCH(1,INDEX((F189&lt;=LrDirectDriveMotovario_Speed)*(H195&lt;=LrDirectDriveMotovario_Hp)*(H191&lt;=LrDirectDriveMotovario_Ebp),0,0),0)),IF(F193="Dodge",INDEX(LrDirectDriveDodge_MaxT,MATCH(1,INDEX((F189&lt;=LrDirectDriveDodge_Speed)*(H195&lt;=LrDirectDriveDodge_Hp)*(H191&lt;=LrDirectDriveDodge_Ebp),0,0),0)),""))</f>
        <v/>
      </c>
      <c r="P199" s="327" t="str">
        <f>IFERROR(IF(AND(AND(F193&lt;&gt;"Motovario",F193&lt;&gt;"Dodge"),VALUE(RIGHT(R200,LEN(R200)-14))&lt;&gt;F189),"USE DD NOM SPD",""),"")</f>
        <v/>
      </c>
      <c r="Q199" s="328"/>
      <c r="R199" s="324" t="str">
        <f>IF(7-COUNTBLANK(P193:P199),"",IF(H193&gt;1100,"SOFT START REQUIRED",""))</f>
        <v/>
      </c>
      <c r="S199" s="325"/>
      <c r="T199" s="326"/>
    </row>
    <row r="200" spans="2:20" ht="13.5" customHeight="1" thickBot="1" x14ac:dyDescent="0.25">
      <c r="B200" s="294" t="s">
        <v>78</v>
      </c>
      <c r="C200" s="295"/>
      <c r="D200" s="262"/>
      <c r="E200" s="263"/>
      <c r="F200" s="263"/>
      <c r="G200" s="264"/>
      <c r="H200" s="12" t="s">
        <v>136</v>
      </c>
      <c r="I200" s="7"/>
      <c r="J200" s="27" t="str">
        <f>IFERROR(VALUE(LEFT(R193,SEARCH("CD",R193)-1))+1/2,"")</f>
        <v/>
      </c>
      <c r="K200" s="7"/>
      <c r="L200" s="17" t="s">
        <v>137</v>
      </c>
      <c r="M200" s="17"/>
      <c r="N200" s="43" t="str">
        <f>IFERROR(N199/J199,"")</f>
        <v/>
      </c>
      <c r="O200" s="7"/>
      <c r="P200" s="337" t="str">
        <f>IF(ISBLANK(F194),"NEED AP INFO",IF(ISBLANK(F196),"NEED SLUG LGTH",IF(ISBLANK(F197),"NEED SLAVE INFO","")))</f>
        <v>NEED AP INFO</v>
      </c>
      <c r="Q200" s="338"/>
      <c r="R200" s="330" t="str">
        <f>IF(6-COUNTBLANK(P193:P198),"",IF(F193="Motovario","DD NOM SPEED: "&amp;INDEX(LrDirectDriveMotovario_Speed,MATCH(1,INDEX((F189&lt;=LrDirectDriveMotovario_Speed)*(H195&lt;=LrDirectDriveMotovario_Hp)*(H191&lt;=LrDirectDriveMotovario_Ebp),0,0),0)),IF(F193="Dodge","DD NOM SPEED: "&amp;INDEX(LrDirectDriveDodge_Speed,MATCH(1,INDEX((F189&lt;=LrDirectDriveDodge_Speed)*(H195&lt;=LrDirectDriveDodge_Hp)*(H191&lt;=LrDirectDriveDodge_Ebp),0,0),0)),"")))</f>
        <v/>
      </c>
      <c r="S200" s="331"/>
      <c r="T200" s="332"/>
    </row>
    <row r="201" spans="2:20" ht="13.5" customHeight="1" thickBot="1" x14ac:dyDescent="0.25"/>
    <row r="202" spans="2:20" ht="13.5" customHeight="1" x14ac:dyDescent="0.2">
      <c r="B202" s="39"/>
      <c r="C202" s="320"/>
      <c r="D202" s="320"/>
      <c r="E202" s="320"/>
      <c r="F202" s="28"/>
      <c r="G202" s="30"/>
      <c r="H202" s="13" t="s">
        <v>30</v>
      </c>
      <c r="I202" s="10" t="s">
        <v>10</v>
      </c>
      <c r="J202" s="4" t="s">
        <v>110</v>
      </c>
      <c r="K202" s="4" t="s">
        <v>14</v>
      </c>
      <c r="L202" s="4" t="s">
        <v>111</v>
      </c>
      <c r="M202" s="4" t="s">
        <v>14</v>
      </c>
      <c r="N202" s="4" t="s">
        <v>112</v>
      </c>
      <c r="O202" s="4" t="s">
        <v>12</v>
      </c>
      <c r="P202" s="4" t="s">
        <v>110</v>
      </c>
      <c r="Q202" s="4" t="s">
        <v>14</v>
      </c>
      <c r="R202" s="4" t="s">
        <v>113</v>
      </c>
      <c r="S202" s="4" t="s">
        <v>14</v>
      </c>
      <c r="T202" s="5" t="s">
        <v>112</v>
      </c>
    </row>
    <row r="203" spans="2:20" ht="13.5" customHeight="1" thickBot="1" x14ac:dyDescent="0.25">
      <c r="B203" s="16"/>
      <c r="C203" s="2" t="s">
        <v>5</v>
      </c>
      <c r="D203" s="59"/>
      <c r="E203" s="59"/>
      <c r="F203" s="59"/>
      <c r="G203" s="32"/>
      <c r="H203" s="15">
        <f>J203*L203*N203+P203*R203*T203</f>
        <v>0</v>
      </c>
      <c r="I203" s="20"/>
      <c r="J203" s="20">
        <f>IF(F206=0,$E$7,F206)</f>
        <v>25</v>
      </c>
      <c r="K203" s="20"/>
      <c r="L203" s="20">
        <f>F204</f>
        <v>0</v>
      </c>
      <c r="M203" s="20"/>
      <c r="N203" s="20">
        <v>2.1000000000000001E-2</v>
      </c>
      <c r="O203" s="20"/>
      <c r="P203" s="20">
        <f>J203</f>
        <v>25</v>
      </c>
      <c r="Q203" s="20"/>
      <c r="R203" s="20">
        <f>F212</f>
        <v>0</v>
      </c>
      <c r="S203" s="20"/>
      <c r="T203" s="11">
        <v>3.5000000000000003E-2</v>
      </c>
    </row>
    <row r="204" spans="2:20" ht="13.5" customHeight="1" thickBot="1" x14ac:dyDescent="0.25">
      <c r="B204" s="16"/>
      <c r="C204" s="321"/>
      <c r="D204" s="323" t="s">
        <v>111</v>
      </c>
      <c r="E204" s="244"/>
      <c r="F204" s="6"/>
      <c r="G204" s="32"/>
      <c r="H204" s="18" t="s">
        <v>31</v>
      </c>
      <c r="I204" s="9" t="s">
        <v>10</v>
      </c>
      <c r="J204" s="9" t="s">
        <v>111</v>
      </c>
      <c r="K204" s="9" t="s">
        <v>14</v>
      </c>
      <c r="L204" s="9" t="s">
        <v>115</v>
      </c>
      <c r="M204" s="9" t="s">
        <v>14</v>
      </c>
      <c r="N204" s="9" t="s">
        <v>116</v>
      </c>
      <c r="O204" s="9"/>
      <c r="P204" s="9"/>
      <c r="Q204" s="9"/>
      <c r="R204" s="9"/>
      <c r="S204" s="21"/>
      <c r="T204" s="40"/>
    </row>
    <row r="205" spans="2:20" ht="13.5" customHeight="1" thickBot="1" x14ac:dyDescent="0.25">
      <c r="B205" s="16"/>
      <c r="C205" s="322"/>
      <c r="D205" s="323" t="s">
        <v>8</v>
      </c>
      <c r="E205" s="244"/>
      <c r="F205" s="6"/>
      <c r="G205" s="32"/>
      <c r="H205" s="15" t="e">
        <f>J205*L205*N205</f>
        <v>#N/A</v>
      </c>
      <c r="I205" s="20"/>
      <c r="J205" s="20">
        <f>F204</f>
        <v>0</v>
      </c>
      <c r="K205" s="20"/>
      <c r="L205" s="20">
        <f>INDEX(LrCfRf,MATCH("CF",LrCfRf_Header,0),MATCH(F205,LrCfRf_Speed,-1))</f>
        <v>0.4</v>
      </c>
      <c r="M205" s="20"/>
      <c r="N205" s="20" t="e">
        <f>INDEX(LrCfRf,MATCH("RLR "&amp;F207,LrCfRf_Header,0),MATCH(F205,LrCfRf_Speed,-1))</f>
        <v>#N/A</v>
      </c>
      <c r="O205" s="20"/>
      <c r="P205" s="20"/>
      <c r="Q205" s="20"/>
      <c r="R205" s="20"/>
      <c r="S205" s="20"/>
      <c r="T205" s="41"/>
    </row>
    <row r="206" spans="2:20" ht="13.5" customHeight="1" thickBot="1" x14ac:dyDescent="0.25">
      <c r="B206" s="16"/>
      <c r="C206" s="243" t="s">
        <v>24</v>
      </c>
      <c r="D206" s="243"/>
      <c r="E206" s="243"/>
      <c r="F206" s="6"/>
      <c r="G206" s="32"/>
      <c r="H206" s="14" t="s">
        <v>58</v>
      </c>
      <c r="I206" s="3" t="s">
        <v>10</v>
      </c>
      <c r="J206" s="3" t="s">
        <v>119</v>
      </c>
      <c r="K206" s="3" t="s">
        <v>14</v>
      </c>
      <c r="L206" s="3" t="s">
        <v>61</v>
      </c>
      <c r="M206" s="3" t="s">
        <v>12</v>
      </c>
      <c r="N206" s="3" t="s">
        <v>57</v>
      </c>
      <c r="T206" s="32"/>
    </row>
    <row r="207" spans="2:20" ht="13.5" customHeight="1" thickBot="1" x14ac:dyDescent="0.25">
      <c r="B207" s="16"/>
      <c r="C207" s="243" t="s">
        <v>47</v>
      </c>
      <c r="D207" s="243"/>
      <c r="E207" s="243"/>
      <c r="F207" s="6"/>
      <c r="G207" s="32"/>
      <c r="H207" s="15" t="e">
        <f>J207*L207+N207</f>
        <v>#N/A</v>
      </c>
      <c r="I207" s="20"/>
      <c r="J207" s="20" t="e">
        <f>H203+H205</f>
        <v>#N/A</v>
      </c>
      <c r="K207" s="20"/>
      <c r="L207" s="20">
        <f>IF(F210="Y",1.33*1.1,1.33)</f>
        <v>1.33</v>
      </c>
      <c r="M207" s="20"/>
      <c r="N207" s="20">
        <f>F213</f>
        <v>0</v>
      </c>
      <c r="O207" s="20"/>
      <c r="P207" s="26"/>
      <c r="Q207" s="26"/>
      <c r="R207" s="26"/>
      <c r="S207" s="26"/>
      <c r="T207" s="22"/>
    </row>
    <row r="208" spans="2:20" ht="13.5" customHeight="1" thickBot="1" x14ac:dyDescent="0.25">
      <c r="B208" s="16"/>
      <c r="C208" s="245"/>
      <c r="D208" s="245"/>
      <c r="E208" s="245"/>
      <c r="G208" s="32"/>
      <c r="H208" s="14" t="s">
        <v>122</v>
      </c>
      <c r="I208" s="3" t="s">
        <v>10</v>
      </c>
      <c r="J208" s="3" t="s">
        <v>111</v>
      </c>
      <c r="K208" s="3" t="s">
        <v>14</v>
      </c>
      <c r="L208" s="3" t="s">
        <v>123</v>
      </c>
      <c r="M208" s="3"/>
      <c r="N208" s="3"/>
      <c r="P208" s="298" t="s">
        <v>50</v>
      </c>
      <c r="Q208" s="299"/>
      <c r="R208" s="300" t="s">
        <v>51</v>
      </c>
      <c r="S208" s="301"/>
      <c r="T208" s="302"/>
    </row>
    <row r="209" spans="2:20" ht="13.5" customHeight="1" thickBot="1" x14ac:dyDescent="0.25">
      <c r="B209" s="16"/>
      <c r="C209" s="243" t="s">
        <v>124</v>
      </c>
      <c r="D209" s="243"/>
      <c r="E209" s="243"/>
      <c r="F209" s="1"/>
      <c r="G209" s="32"/>
      <c r="H209" s="15">
        <f>J209*L209</f>
        <v>0</v>
      </c>
      <c r="I209" s="20"/>
      <c r="J209" s="20">
        <f>F204</f>
        <v>0</v>
      </c>
      <c r="K209" s="20"/>
      <c r="L209" s="20">
        <f>INDEX(LrCfRf,MATCH("HSBP",LrCfRf_Header,0),MATCH(F205,LrCfRf_Speed,-1))</f>
        <v>6</v>
      </c>
      <c r="M209" s="20"/>
      <c r="N209" s="20"/>
      <c r="O209" s="20"/>
      <c r="P209" s="303" t="str">
        <f>IF(ISBLANK(F204),"NEED LENGTH",IF(F204&gt;200,"TOO LONG",""))</f>
        <v>NEED LENGTH</v>
      </c>
      <c r="Q209" s="304"/>
      <c r="R209" s="305" t="str">
        <f>IF(7-COUNTBLANK(P209:P215),"",IF(F209="Motovario",INDEX(LrDirectDriveMotovario_Cd,MATCH(1,INDEX((F205&lt;=LrDirectDriveMotovario_Speed)*(H211&lt;=LrDirectDriveMotovario_Hp)*(H207&lt;=LrDirectDriveMotovario_Ebp),0,0),0))&amp;" DIRECT DRIVE",IF(F209="Dodge",INDEX(LrDirectDriveDodge_Cd,MATCH(1,INDEX((F205&lt;=LrDirectDriveDodge_Speed)*(H211&lt;=LrDirectDriveDodge_Hp)*(H207&lt;=LrDirectDriveDodge_Ebp),0,0),0))&amp;" DIRECT DRIVE",INDEX(LrDriveCap_Cd,MATCH(1,INDEX((H207&lt;=LrDriveCap_Ebp)*(H211&lt;=LrDriveCap_Hp)*((F213&lt;&gt;0)=LrDriveCap_Slave)*(F204&lt;=LrDriveCap_Length),0,0),0)))))</f>
        <v/>
      </c>
      <c r="S209" s="306"/>
      <c r="T209" s="307"/>
    </row>
    <row r="210" spans="2:20" ht="13.5" customHeight="1" thickBot="1" x14ac:dyDescent="0.25">
      <c r="B210" s="16"/>
      <c r="C210" s="241" t="s">
        <v>125</v>
      </c>
      <c r="D210" s="241"/>
      <c r="E210" s="241"/>
      <c r="F210" s="1"/>
      <c r="G210" s="32"/>
      <c r="H210" s="18" t="s">
        <v>74</v>
      </c>
      <c r="I210" s="9" t="s">
        <v>10</v>
      </c>
      <c r="J210" s="9" t="s">
        <v>58</v>
      </c>
      <c r="K210" s="9" t="s">
        <v>14</v>
      </c>
      <c r="L210" s="9" t="s">
        <v>8</v>
      </c>
      <c r="M210" s="9" t="s">
        <v>75</v>
      </c>
      <c r="N210" s="19" t="s">
        <v>76</v>
      </c>
      <c r="O210" s="9"/>
      <c r="P210" s="327" t="str">
        <f>IF(ISBLANK(F205),"NEED SPEED","")</f>
        <v>NEED SPEED</v>
      </c>
      <c r="Q210" s="328"/>
      <c r="R210" s="324" t="str">
        <f>IF(7-COUNTBLANK(P209:P215),"",IF(F209="Motovario",INDEX(LrDirectDriveMotovario_Hp,MATCH(1,INDEX((F205&lt;=LrDirectDriveMotovario_Speed)*(H211&lt;=LrDirectDriveMotovario_Hp)*(H207&lt;=LrDirectDriveMotovario_Ebp),0,0),0)),IF(F209="Dodge",INDEX(LrDirectDriveDodge_Hp,MATCH(1,INDEX((F205&lt;=LrDirectDriveDodge_Speed)*(H211&lt;=LrDirectDriveDodge_Hp)*(H207&lt;=LrDirectDriveDodge_Ebp),0,0),0)),INDEX(LrDriveCap_Hp,MATCH(1,INDEX((H207&lt;=LrDriveCap_Ebp)*(H211&lt;=LrDriveCap_Hp)*((F213&lt;&gt;0)=LrDriveCap_Slave)*(F204&lt;=LrDriveCap_Length),0,0),0))))&amp;" HP")</f>
        <v/>
      </c>
      <c r="S210" s="325"/>
      <c r="T210" s="326"/>
    </row>
    <row r="211" spans="2:20" ht="13.5" customHeight="1" thickBot="1" x14ac:dyDescent="0.25">
      <c r="B211" s="16"/>
      <c r="G211" s="32"/>
      <c r="H211" s="15" t="e">
        <f>J211*L211/N211</f>
        <v>#N/A</v>
      </c>
      <c r="I211" s="20"/>
      <c r="J211" s="20" t="e">
        <f>H207</f>
        <v>#N/A</v>
      </c>
      <c r="K211" s="20"/>
      <c r="L211" s="20">
        <f>F205</f>
        <v>0</v>
      </c>
      <c r="M211" s="20"/>
      <c r="N211" s="8">
        <v>31350</v>
      </c>
      <c r="O211" s="20"/>
      <c r="P211" s="327" t="str">
        <f>IF(AND(ISBLANK($E$7),ISBLANK(F206)),"NEED LIVE LOAD","")</f>
        <v/>
      </c>
      <c r="Q211" s="328"/>
      <c r="R211" s="54" t="str">
        <f>IF(7-COUNTBLANK(P209:P215),"",IF(NOT(ISERROR(H207)),MAX(2,H207/200,IF(OR(AND(F204&gt;100,F213=0),AND(F204&gt;80,F213&lt;&gt;0)),3,0)),""))</f>
        <v/>
      </c>
      <c r="S211" s="324" t="str">
        <f>IF(7-COUNTBLANK(P209:P215),"","LONG SPRINGS")</f>
        <v/>
      </c>
      <c r="T211" s="326"/>
    </row>
    <row r="212" spans="2:20" ht="13.5" customHeight="1" thickBot="1" x14ac:dyDescent="0.25">
      <c r="B212" s="16"/>
      <c r="C212" s="243" t="s">
        <v>113</v>
      </c>
      <c r="D212" s="243"/>
      <c r="E212" s="243"/>
      <c r="F212" s="6"/>
      <c r="G212" s="32"/>
      <c r="H212" s="42"/>
      <c r="I212" s="21"/>
      <c r="J212" s="21"/>
      <c r="K212" s="21"/>
      <c r="L212" s="21"/>
      <c r="M212" s="21"/>
      <c r="N212" s="21"/>
      <c r="O212" s="40"/>
      <c r="P212" s="327" t="str">
        <f>IF(ISBLANK(F207),"NEED RLR CENT","")</f>
        <v>NEED RLR CENT</v>
      </c>
      <c r="Q212" s="328"/>
      <c r="R212" s="54" t="str">
        <f>IF(7-COUNTBLANK(P209:P215),"",IF(H207&lt;&gt;0,MAX(2,H207/160,IF(OR(AND(F204&gt;100,F213=0),AND(F204&gt;80,F213&lt;&gt;0)),3,0)),""))</f>
        <v/>
      </c>
      <c r="S212" s="324" t="str">
        <f>IF(7-COUNTBLANK(P209:P215),"","SHRT SPRINGS")</f>
        <v/>
      </c>
      <c r="T212" s="326"/>
    </row>
    <row r="213" spans="2:20" ht="13.5" customHeight="1" thickBot="1" x14ac:dyDescent="0.25">
      <c r="B213" s="16"/>
      <c r="C213" s="243" t="s">
        <v>131</v>
      </c>
      <c r="D213" s="243"/>
      <c r="E213" s="243"/>
      <c r="F213" s="6"/>
      <c r="G213" s="32"/>
      <c r="H213" s="56"/>
      <c r="I213" s="57"/>
      <c r="J213" s="57"/>
      <c r="K213" s="57"/>
      <c r="L213" s="57"/>
      <c r="M213" s="57"/>
      <c r="N213" s="57"/>
      <c r="O213" s="58"/>
      <c r="P213" s="327" t="str">
        <f>IFERROR(IF(H211&gt;MAX(LrDriveCap_Hp),"EXCEEDS MAX HP",""),"")</f>
        <v/>
      </c>
      <c r="Q213" s="328"/>
      <c r="R213" s="324" t="str">
        <f>IF(7-COUNTBLANK(P209:P215),"",IF(H207&gt;600,"6IN ENTRY TE REQUIRED",""))</f>
        <v/>
      </c>
      <c r="S213" s="325"/>
      <c r="T213" s="326"/>
    </row>
    <row r="214" spans="2:20" ht="13.5" customHeight="1" x14ac:dyDescent="0.2">
      <c r="B214" s="16"/>
      <c r="C214" s="240"/>
      <c r="D214" s="240"/>
      <c r="E214" s="240"/>
      <c r="G214" s="32"/>
      <c r="H214" s="290" t="s">
        <v>133</v>
      </c>
      <c r="I214" s="291"/>
      <c r="J214" s="291"/>
      <c r="K214" s="291"/>
      <c r="L214" s="291"/>
      <c r="M214" s="291"/>
      <c r="N214" s="291"/>
      <c r="O214" s="292"/>
      <c r="P214" s="327" t="str">
        <f>IFERROR(IF(H207&gt;MAX(LrDriveCap_Ebp),"EXCEEDS MAX EBP",""),"")</f>
        <v/>
      </c>
      <c r="Q214" s="328"/>
      <c r="R214" s="324"/>
      <c r="S214" s="325"/>
      <c r="T214" s="326"/>
    </row>
    <row r="215" spans="2:20" ht="13.5" customHeight="1" thickBot="1" x14ac:dyDescent="0.25">
      <c r="B215" s="12"/>
      <c r="C215" s="293"/>
      <c r="D215" s="293"/>
      <c r="E215" s="293"/>
      <c r="F215" s="7"/>
      <c r="G215" s="37"/>
      <c r="H215" s="16" t="s">
        <v>134</v>
      </c>
      <c r="J215" s="26" t="str">
        <f>IFERROR(H207*J216/2,"")</f>
        <v/>
      </c>
      <c r="L215" s="2" t="s">
        <v>135</v>
      </c>
      <c r="N215" s="26" t="str">
        <f>IF(F209="Motovario",INDEX(LrDirectDriveMotovario_MaxT,MATCH(1,INDEX((F205&lt;=LrDirectDriveMotovario_Speed)*(H211&lt;=LrDirectDriveMotovario_Hp)*(H207&lt;=LrDirectDriveMotovario_Ebp),0,0),0)),IF(F209="Dodge",INDEX(LrDirectDriveDodge_MaxT,MATCH(1,INDEX((F205&lt;=LrDirectDriveDodge_Speed)*(H211&lt;=LrDirectDriveDodge_Hp)*(H207&lt;=LrDirectDriveDodge_Ebp),0,0),0)),""))</f>
        <v/>
      </c>
      <c r="P215" s="327" t="str">
        <f>IFERROR(IF(AND(AND(F209&lt;&gt;"Motovario",F209&lt;&gt;"Dodge"),VALUE(RIGHT(R216,LEN(R216)-14))&lt;&gt;F205),"USE DD NOM SPD",""),"")</f>
        <v/>
      </c>
      <c r="Q215" s="328"/>
      <c r="R215" s="324" t="str">
        <f>IF(7-COUNTBLANK(P209:P215),"",IF(H209&gt;1100,"SOFT START REQUIRED",""))</f>
        <v/>
      </c>
      <c r="S215" s="325"/>
      <c r="T215" s="326"/>
    </row>
    <row r="216" spans="2:20" ht="13.5" customHeight="1" thickBot="1" x14ac:dyDescent="0.25">
      <c r="B216" s="294" t="s">
        <v>78</v>
      </c>
      <c r="C216" s="295"/>
      <c r="D216" s="262"/>
      <c r="E216" s="263"/>
      <c r="F216" s="263"/>
      <c r="G216" s="264"/>
      <c r="H216" s="12" t="s">
        <v>136</v>
      </c>
      <c r="I216" s="7"/>
      <c r="J216" s="27" t="str">
        <f>IFERROR(VALUE(LEFT(R209,SEARCH("CD",R209)-1))+1/2,"")</f>
        <v/>
      </c>
      <c r="K216" s="7"/>
      <c r="L216" s="17" t="s">
        <v>137</v>
      </c>
      <c r="M216" s="17"/>
      <c r="N216" s="43" t="str">
        <f>IFERROR(N215/J215,"")</f>
        <v/>
      </c>
      <c r="O216" s="7"/>
      <c r="P216" s="337" t="str">
        <f>IF(ISBLANK(F210),"NEED AP INFO",IF(ISBLANK(F212),"NEED SLUG LGTH",IF(ISBLANK(F213),"NEED SLAVE INFO","")))</f>
        <v>NEED AP INFO</v>
      </c>
      <c r="Q216" s="338"/>
      <c r="R216" s="330" t="str">
        <f>IF(6-COUNTBLANK(P209:P214),"",IF(F209="Motovario","DD NOM SPEED: "&amp;INDEX(LrDirectDriveMotovario_Speed,MATCH(1,INDEX((F205&lt;=LrDirectDriveMotovario_Speed)*(H211&lt;=LrDirectDriveMotovario_Hp)*(H207&lt;=LrDirectDriveMotovario_Ebp),0,0),0)),IF(F209="Dodge","DD NOM SPEED: "&amp;INDEX(LrDirectDriveDodge_Speed,MATCH(1,INDEX((F205&lt;=LrDirectDriveDodge_Speed)*(H211&lt;=LrDirectDriveDodge_Hp)*(H207&lt;=LrDirectDriveDodge_Ebp),0,0),0)),"")))</f>
        <v/>
      </c>
      <c r="S216" s="331"/>
      <c r="T216" s="332"/>
    </row>
    <row r="217" spans="2:20" ht="13.5" customHeight="1" thickBot="1" x14ac:dyDescent="0.25"/>
    <row r="218" spans="2:20" ht="13.5" customHeight="1" x14ac:dyDescent="0.2">
      <c r="B218" s="39"/>
      <c r="C218" s="320"/>
      <c r="D218" s="320"/>
      <c r="E218" s="320"/>
      <c r="F218" s="28"/>
      <c r="G218" s="30"/>
      <c r="H218" s="13" t="s">
        <v>30</v>
      </c>
      <c r="I218" s="10" t="s">
        <v>10</v>
      </c>
      <c r="J218" s="4" t="s">
        <v>110</v>
      </c>
      <c r="K218" s="4" t="s">
        <v>14</v>
      </c>
      <c r="L218" s="4" t="s">
        <v>111</v>
      </c>
      <c r="M218" s="4" t="s">
        <v>14</v>
      </c>
      <c r="N218" s="4" t="s">
        <v>112</v>
      </c>
      <c r="O218" s="4" t="s">
        <v>12</v>
      </c>
      <c r="P218" s="4" t="s">
        <v>110</v>
      </c>
      <c r="Q218" s="4" t="s">
        <v>14</v>
      </c>
      <c r="R218" s="4" t="s">
        <v>113</v>
      </c>
      <c r="S218" s="4" t="s">
        <v>14</v>
      </c>
      <c r="T218" s="5" t="s">
        <v>112</v>
      </c>
    </row>
    <row r="219" spans="2:20" ht="13.5" customHeight="1" thickBot="1" x14ac:dyDescent="0.25">
      <c r="B219" s="16"/>
      <c r="C219" s="2" t="s">
        <v>5</v>
      </c>
      <c r="D219" s="59"/>
      <c r="E219" s="59"/>
      <c r="F219" s="59"/>
      <c r="G219" s="32"/>
      <c r="H219" s="15">
        <f>J219*L219*N219+P219*R219*T219</f>
        <v>0</v>
      </c>
      <c r="I219" s="20"/>
      <c r="J219" s="20">
        <f>IF(F222=0,$E$7,F222)</f>
        <v>25</v>
      </c>
      <c r="K219" s="20"/>
      <c r="L219" s="20">
        <f>F220</f>
        <v>0</v>
      </c>
      <c r="M219" s="20"/>
      <c r="N219" s="20">
        <v>2.1000000000000001E-2</v>
      </c>
      <c r="O219" s="20"/>
      <c r="P219" s="20">
        <f>J219</f>
        <v>25</v>
      </c>
      <c r="Q219" s="20"/>
      <c r="R219" s="20">
        <f>F228</f>
        <v>0</v>
      </c>
      <c r="S219" s="20"/>
      <c r="T219" s="11">
        <v>3.5000000000000003E-2</v>
      </c>
    </row>
    <row r="220" spans="2:20" ht="13.5" customHeight="1" thickBot="1" x14ac:dyDescent="0.25">
      <c r="B220" s="16"/>
      <c r="C220" s="321"/>
      <c r="D220" s="323" t="s">
        <v>111</v>
      </c>
      <c r="E220" s="244"/>
      <c r="F220" s="6"/>
      <c r="G220" s="32"/>
      <c r="H220" s="18" t="s">
        <v>31</v>
      </c>
      <c r="I220" s="9" t="s">
        <v>10</v>
      </c>
      <c r="J220" s="9" t="s">
        <v>111</v>
      </c>
      <c r="K220" s="9" t="s">
        <v>14</v>
      </c>
      <c r="L220" s="9" t="s">
        <v>115</v>
      </c>
      <c r="M220" s="9" t="s">
        <v>14</v>
      </c>
      <c r="N220" s="9" t="s">
        <v>116</v>
      </c>
      <c r="O220" s="9"/>
      <c r="P220" s="9"/>
      <c r="Q220" s="9"/>
      <c r="R220" s="9"/>
      <c r="S220" s="21"/>
      <c r="T220" s="40"/>
    </row>
    <row r="221" spans="2:20" ht="13.5" customHeight="1" thickBot="1" x14ac:dyDescent="0.25">
      <c r="B221" s="16"/>
      <c r="C221" s="322"/>
      <c r="D221" s="323" t="s">
        <v>8</v>
      </c>
      <c r="E221" s="244"/>
      <c r="F221" s="6"/>
      <c r="G221" s="32"/>
      <c r="H221" s="15" t="e">
        <f>J221*L221*N221</f>
        <v>#N/A</v>
      </c>
      <c r="I221" s="20"/>
      <c r="J221" s="20">
        <f>F220</f>
        <v>0</v>
      </c>
      <c r="K221" s="20"/>
      <c r="L221" s="20">
        <f>INDEX(LrCfRf,MATCH("CF",LrCfRf_Header,0),MATCH(F221,LrCfRf_Speed,-1))</f>
        <v>0.4</v>
      </c>
      <c r="M221" s="20"/>
      <c r="N221" s="20" t="e">
        <f>INDEX(LrCfRf,MATCH("RLR "&amp;F223,LrCfRf_Header,0),MATCH(F221,LrCfRf_Speed,-1))</f>
        <v>#N/A</v>
      </c>
      <c r="O221" s="20"/>
      <c r="P221" s="20"/>
      <c r="Q221" s="20"/>
      <c r="R221" s="20"/>
      <c r="S221" s="20"/>
      <c r="T221" s="41"/>
    </row>
    <row r="222" spans="2:20" ht="13.5" customHeight="1" thickBot="1" x14ac:dyDescent="0.25">
      <c r="B222" s="16"/>
      <c r="C222" s="243" t="s">
        <v>24</v>
      </c>
      <c r="D222" s="243"/>
      <c r="E222" s="243"/>
      <c r="F222" s="6"/>
      <c r="G222" s="32"/>
      <c r="H222" s="14" t="s">
        <v>58</v>
      </c>
      <c r="I222" s="3" t="s">
        <v>10</v>
      </c>
      <c r="J222" s="3" t="s">
        <v>119</v>
      </c>
      <c r="K222" s="3" t="s">
        <v>14</v>
      </c>
      <c r="L222" s="3" t="s">
        <v>61</v>
      </c>
      <c r="M222" s="3" t="s">
        <v>12</v>
      </c>
      <c r="N222" s="3" t="s">
        <v>57</v>
      </c>
      <c r="T222" s="32"/>
    </row>
    <row r="223" spans="2:20" ht="13.5" customHeight="1" thickBot="1" x14ac:dyDescent="0.25">
      <c r="B223" s="16"/>
      <c r="C223" s="243" t="s">
        <v>47</v>
      </c>
      <c r="D223" s="243"/>
      <c r="E223" s="243"/>
      <c r="F223" s="6"/>
      <c r="G223" s="32"/>
      <c r="H223" s="15" t="e">
        <f>J223*L223+N223</f>
        <v>#N/A</v>
      </c>
      <c r="I223" s="20"/>
      <c r="J223" s="20" t="e">
        <f>H219+H221</f>
        <v>#N/A</v>
      </c>
      <c r="K223" s="20"/>
      <c r="L223" s="20">
        <f>IF(F226="Y",1.33*1.1,1.33)</f>
        <v>1.33</v>
      </c>
      <c r="M223" s="20"/>
      <c r="N223" s="20">
        <f>F229</f>
        <v>0</v>
      </c>
      <c r="O223" s="20"/>
      <c r="P223" s="26"/>
      <c r="Q223" s="26"/>
      <c r="R223" s="26"/>
      <c r="S223" s="26"/>
      <c r="T223" s="22"/>
    </row>
    <row r="224" spans="2:20" ht="13.5" customHeight="1" thickBot="1" x14ac:dyDescent="0.25">
      <c r="B224" s="16"/>
      <c r="C224" s="245"/>
      <c r="D224" s="245"/>
      <c r="E224" s="245"/>
      <c r="G224" s="32"/>
      <c r="H224" s="14" t="s">
        <v>122</v>
      </c>
      <c r="I224" s="3" t="s">
        <v>10</v>
      </c>
      <c r="J224" s="3" t="s">
        <v>111</v>
      </c>
      <c r="K224" s="3" t="s">
        <v>14</v>
      </c>
      <c r="L224" s="3" t="s">
        <v>123</v>
      </c>
      <c r="M224" s="3"/>
      <c r="N224" s="3"/>
      <c r="P224" s="298" t="s">
        <v>50</v>
      </c>
      <c r="Q224" s="299"/>
      <c r="R224" s="300" t="s">
        <v>51</v>
      </c>
      <c r="S224" s="301"/>
      <c r="T224" s="302"/>
    </row>
    <row r="225" spans="2:20" ht="13.5" customHeight="1" thickBot="1" x14ac:dyDescent="0.25">
      <c r="B225" s="16"/>
      <c r="C225" s="243" t="s">
        <v>124</v>
      </c>
      <c r="D225" s="243"/>
      <c r="E225" s="243"/>
      <c r="F225" s="1"/>
      <c r="G225" s="32"/>
      <c r="H225" s="15">
        <f>J225*L225</f>
        <v>0</v>
      </c>
      <c r="I225" s="20"/>
      <c r="J225" s="20">
        <f>F220</f>
        <v>0</v>
      </c>
      <c r="K225" s="20"/>
      <c r="L225" s="20">
        <f>INDEX(LrCfRf,MATCH("HSBP",LrCfRf_Header,0),MATCH(F221,LrCfRf_Speed,-1))</f>
        <v>6</v>
      </c>
      <c r="M225" s="20"/>
      <c r="N225" s="20"/>
      <c r="O225" s="20"/>
      <c r="P225" s="303" t="str">
        <f>IF(ISBLANK(F220),"NEED LENGTH",IF(F220&gt;200,"TOO LONG",""))</f>
        <v>NEED LENGTH</v>
      </c>
      <c r="Q225" s="304"/>
      <c r="R225" s="305" t="str">
        <f>IF(7-COUNTBLANK(P225:P231),"",IF(F225="Motovario",INDEX(LrDirectDriveMotovario_Cd,MATCH(1,INDEX((F221&lt;=LrDirectDriveMotovario_Speed)*(H227&lt;=LrDirectDriveMotovario_Hp)*(H223&lt;=LrDirectDriveMotovario_Ebp),0,0),0))&amp;" DIRECT DRIVE",IF(F225="Dodge",INDEX(LrDirectDriveDodge_Cd,MATCH(1,INDEX((F221&lt;=LrDirectDriveDodge_Speed)*(H227&lt;=LrDirectDriveDodge_Hp)*(H223&lt;=LrDirectDriveDodge_Ebp),0,0),0))&amp;" DIRECT DRIVE",INDEX(LrDriveCap_Cd,MATCH(1,INDEX((H223&lt;=LrDriveCap_Ebp)*(H227&lt;=LrDriveCap_Hp)*((F229&lt;&gt;0)=LrDriveCap_Slave)*(F220&lt;=LrDriveCap_Length),0,0),0)))))</f>
        <v/>
      </c>
      <c r="S225" s="306"/>
      <c r="T225" s="307"/>
    </row>
    <row r="226" spans="2:20" ht="13.5" customHeight="1" thickBot="1" x14ac:dyDescent="0.25">
      <c r="B226" s="16"/>
      <c r="C226" s="241" t="s">
        <v>125</v>
      </c>
      <c r="D226" s="241"/>
      <c r="E226" s="241"/>
      <c r="F226" s="1"/>
      <c r="G226" s="32"/>
      <c r="H226" s="18" t="s">
        <v>74</v>
      </c>
      <c r="I226" s="9" t="s">
        <v>10</v>
      </c>
      <c r="J226" s="9" t="s">
        <v>58</v>
      </c>
      <c r="K226" s="9" t="s">
        <v>14</v>
      </c>
      <c r="L226" s="9" t="s">
        <v>8</v>
      </c>
      <c r="M226" s="9" t="s">
        <v>75</v>
      </c>
      <c r="N226" s="19" t="s">
        <v>76</v>
      </c>
      <c r="O226" s="9"/>
      <c r="P226" s="327" t="str">
        <f>IF(ISBLANK(F221),"NEED SPEED","")</f>
        <v>NEED SPEED</v>
      </c>
      <c r="Q226" s="328"/>
      <c r="R226" s="324" t="str">
        <f>IF(7-COUNTBLANK(P225:P231),"",IF(F225="Motovario",INDEX(LrDirectDriveMotovario_Hp,MATCH(1,INDEX((F221&lt;=LrDirectDriveMotovario_Speed)*(H227&lt;=LrDirectDriveMotovario_Hp)*(H223&lt;=LrDirectDriveMotovario_Ebp),0,0),0)),IF(F225="Dodge",INDEX(LrDirectDriveDodge_Hp,MATCH(1,INDEX((F221&lt;=LrDirectDriveDodge_Speed)*(H227&lt;=LrDirectDriveDodge_Hp)*(H223&lt;=LrDirectDriveDodge_Ebp),0,0),0)),INDEX(LrDriveCap_Hp,MATCH(1,INDEX((H223&lt;=LrDriveCap_Ebp)*(H227&lt;=LrDriveCap_Hp)*((F229&lt;&gt;0)=LrDriveCap_Slave)*(F220&lt;=LrDriveCap_Length),0,0),0))))&amp;" HP")</f>
        <v/>
      </c>
      <c r="S226" s="325"/>
      <c r="T226" s="326"/>
    </row>
    <row r="227" spans="2:20" ht="13.5" customHeight="1" thickBot="1" x14ac:dyDescent="0.25">
      <c r="B227" s="16"/>
      <c r="G227" s="32"/>
      <c r="H227" s="15" t="e">
        <f>J227*L227/N227</f>
        <v>#N/A</v>
      </c>
      <c r="I227" s="20"/>
      <c r="J227" s="20" t="e">
        <f>H223</f>
        <v>#N/A</v>
      </c>
      <c r="K227" s="20"/>
      <c r="L227" s="20">
        <f>F221</f>
        <v>0</v>
      </c>
      <c r="M227" s="20"/>
      <c r="N227" s="8">
        <v>31350</v>
      </c>
      <c r="O227" s="20"/>
      <c r="P227" s="327" t="str">
        <f>IF(AND(ISBLANK($E$7),ISBLANK(F222)),"NEED LIVE LOAD","")</f>
        <v/>
      </c>
      <c r="Q227" s="328"/>
      <c r="R227" s="54" t="str">
        <f>IF(7-COUNTBLANK(P225:P231),"",IF(NOT(ISERROR(H223)),MAX(2,H223/200,IF(OR(AND(F220&gt;100,F229=0),AND(F220&gt;80,F229&lt;&gt;0)),3,0)),""))</f>
        <v/>
      </c>
      <c r="S227" s="324" t="str">
        <f>IF(7-COUNTBLANK(P225:P231),"","LONG SPRINGS")</f>
        <v/>
      </c>
      <c r="T227" s="326"/>
    </row>
    <row r="228" spans="2:20" ht="13.5" customHeight="1" thickBot="1" x14ac:dyDescent="0.25">
      <c r="B228" s="16"/>
      <c r="C228" s="243" t="s">
        <v>113</v>
      </c>
      <c r="D228" s="243"/>
      <c r="E228" s="243"/>
      <c r="F228" s="6"/>
      <c r="G228" s="32"/>
      <c r="H228" s="42"/>
      <c r="I228" s="21"/>
      <c r="J228" s="21"/>
      <c r="K228" s="21"/>
      <c r="L228" s="21"/>
      <c r="M228" s="21"/>
      <c r="N228" s="21"/>
      <c r="O228" s="40"/>
      <c r="P228" s="327" t="str">
        <f>IF(ISBLANK(F223),"NEED RLR CENT","")</f>
        <v>NEED RLR CENT</v>
      </c>
      <c r="Q228" s="328"/>
      <c r="R228" s="54" t="str">
        <f>IF(7-COUNTBLANK(P225:P231),"",IF(H223&lt;&gt;0,MAX(2,H223/160,IF(OR(AND(F220&gt;100,F229=0),AND(F220&gt;80,F229&lt;&gt;0)),3,0)),""))</f>
        <v/>
      </c>
      <c r="S228" s="324" t="str">
        <f>IF(7-COUNTBLANK(P225:P231),"","SHRT SPRINGS")</f>
        <v/>
      </c>
      <c r="T228" s="326"/>
    </row>
    <row r="229" spans="2:20" ht="13.5" customHeight="1" thickBot="1" x14ac:dyDescent="0.25">
      <c r="B229" s="16"/>
      <c r="C229" s="243" t="s">
        <v>131</v>
      </c>
      <c r="D229" s="243"/>
      <c r="E229" s="243"/>
      <c r="F229" s="6"/>
      <c r="G229" s="32"/>
      <c r="H229" s="56"/>
      <c r="I229" s="57"/>
      <c r="J229" s="57"/>
      <c r="K229" s="57"/>
      <c r="L229" s="57"/>
      <c r="M229" s="57"/>
      <c r="N229" s="57"/>
      <c r="O229" s="58"/>
      <c r="P229" s="327" t="str">
        <f>IFERROR(IF(H227&gt;MAX(LrDriveCap_Hp),"EXCEEDS MAX HP",""),"")</f>
        <v/>
      </c>
      <c r="Q229" s="328"/>
      <c r="R229" s="324" t="str">
        <f>IF(7-COUNTBLANK(P225:P231),"",IF(H223&gt;600,"6IN ENTRY TE REQUIRED",""))</f>
        <v/>
      </c>
      <c r="S229" s="325"/>
      <c r="T229" s="326"/>
    </row>
    <row r="230" spans="2:20" ht="13.5" customHeight="1" x14ac:dyDescent="0.2">
      <c r="B230" s="16"/>
      <c r="C230" s="240"/>
      <c r="D230" s="240"/>
      <c r="E230" s="240"/>
      <c r="G230" s="32"/>
      <c r="H230" s="290" t="s">
        <v>133</v>
      </c>
      <c r="I230" s="291"/>
      <c r="J230" s="291"/>
      <c r="K230" s="291"/>
      <c r="L230" s="291"/>
      <c r="M230" s="291"/>
      <c r="N230" s="291"/>
      <c r="O230" s="292"/>
      <c r="P230" s="327" t="str">
        <f>IFERROR(IF(H223&gt;MAX(LrDriveCap_Ebp),"EXCEEDS MAX EBP",""),"")</f>
        <v/>
      </c>
      <c r="Q230" s="328"/>
      <c r="R230" s="324"/>
      <c r="S230" s="325"/>
      <c r="T230" s="326"/>
    </row>
    <row r="231" spans="2:20" ht="13.5" customHeight="1" thickBot="1" x14ac:dyDescent="0.25">
      <c r="B231" s="12"/>
      <c r="C231" s="293"/>
      <c r="D231" s="293"/>
      <c r="E231" s="293"/>
      <c r="F231" s="7"/>
      <c r="G231" s="37"/>
      <c r="H231" s="16" t="s">
        <v>134</v>
      </c>
      <c r="J231" s="26" t="str">
        <f>IFERROR(H223*J232/2,"")</f>
        <v/>
      </c>
      <c r="L231" s="2" t="s">
        <v>135</v>
      </c>
      <c r="N231" s="26" t="str">
        <f>IF(F225="Motovario",INDEX(LrDirectDriveMotovario_MaxT,MATCH(1,INDEX((F221&lt;=LrDirectDriveMotovario_Speed)*(H227&lt;=LrDirectDriveMotovario_Hp)*(H223&lt;=LrDirectDriveMotovario_Ebp),0,0),0)),IF(F225="Dodge",INDEX(LrDirectDriveDodge_MaxT,MATCH(1,INDEX((F221&lt;=LrDirectDriveDodge_Speed)*(H227&lt;=LrDirectDriveDodge_Hp)*(H223&lt;=LrDirectDriveDodge_Ebp),0,0),0)),""))</f>
        <v/>
      </c>
      <c r="P231" s="327" t="str">
        <f>IFERROR(IF(AND(AND(F225&lt;&gt;"Motovario",F225&lt;&gt;"Dodge"),VALUE(RIGHT(R232,LEN(R232)-14))&lt;&gt;F221),"USE DD NOM SPD",""),"")</f>
        <v/>
      </c>
      <c r="Q231" s="328"/>
      <c r="R231" s="324" t="str">
        <f>IF(7-COUNTBLANK(P225:P231),"",IF(H225&gt;1100,"SOFT START REQUIRED",""))</f>
        <v/>
      </c>
      <c r="S231" s="325"/>
      <c r="T231" s="326"/>
    </row>
    <row r="232" spans="2:20" ht="13.5" customHeight="1" thickBot="1" x14ac:dyDescent="0.25">
      <c r="B232" s="294" t="s">
        <v>78</v>
      </c>
      <c r="C232" s="295"/>
      <c r="D232" s="262"/>
      <c r="E232" s="263"/>
      <c r="F232" s="263"/>
      <c r="G232" s="264"/>
      <c r="H232" s="12" t="s">
        <v>136</v>
      </c>
      <c r="I232" s="7"/>
      <c r="J232" s="27" t="str">
        <f>IFERROR(VALUE(LEFT(R225,SEARCH("CD",R225)-1))+1/2,"")</f>
        <v/>
      </c>
      <c r="K232" s="7"/>
      <c r="L232" s="17" t="s">
        <v>137</v>
      </c>
      <c r="M232" s="17"/>
      <c r="N232" s="43" t="str">
        <f>IFERROR(N231/J231,"")</f>
        <v/>
      </c>
      <c r="O232" s="7"/>
      <c r="P232" s="337" t="str">
        <f>IF(ISBLANK(F226),"NEED AP INFO",IF(ISBLANK(F228),"NEED SLUG LGTH",IF(ISBLANK(F229),"NEED SLAVE INFO","")))</f>
        <v>NEED AP INFO</v>
      </c>
      <c r="Q232" s="338"/>
      <c r="R232" s="330" t="str">
        <f>IF(6-COUNTBLANK(P225:P230),"",IF(F225="Motovario","DD NOM SPEED: "&amp;INDEX(LrDirectDriveMotovario_Speed,MATCH(1,INDEX((F221&lt;=LrDirectDriveMotovario_Speed)*(H227&lt;=LrDirectDriveMotovario_Hp)*(H223&lt;=LrDirectDriveMotovario_Ebp),0,0),0)),IF(F225="Dodge","DD NOM SPEED: "&amp;INDEX(LrDirectDriveDodge_Speed,MATCH(1,INDEX((F221&lt;=LrDirectDriveDodge_Speed)*(H227&lt;=LrDirectDriveDodge_Hp)*(H223&lt;=LrDirectDriveDodge_Ebp),0,0),0)),"")))</f>
        <v/>
      </c>
      <c r="S232" s="331"/>
      <c r="T232" s="332"/>
    </row>
    <row r="233" spans="2:20" ht="13.5" customHeight="1" thickBot="1" x14ac:dyDescent="0.25"/>
    <row r="234" spans="2:20" ht="13.5" customHeight="1" x14ac:dyDescent="0.2">
      <c r="B234" s="39"/>
      <c r="C234" s="320"/>
      <c r="D234" s="320"/>
      <c r="E234" s="320"/>
      <c r="F234" s="28"/>
      <c r="G234" s="30"/>
      <c r="H234" s="13" t="s">
        <v>30</v>
      </c>
      <c r="I234" s="10" t="s">
        <v>10</v>
      </c>
      <c r="J234" s="4" t="s">
        <v>110</v>
      </c>
      <c r="K234" s="4" t="s">
        <v>14</v>
      </c>
      <c r="L234" s="4" t="s">
        <v>111</v>
      </c>
      <c r="M234" s="4" t="s">
        <v>14</v>
      </c>
      <c r="N234" s="4" t="s">
        <v>112</v>
      </c>
      <c r="O234" s="4" t="s">
        <v>12</v>
      </c>
      <c r="P234" s="4" t="s">
        <v>110</v>
      </c>
      <c r="Q234" s="4" t="s">
        <v>14</v>
      </c>
      <c r="R234" s="4" t="s">
        <v>113</v>
      </c>
      <c r="S234" s="4" t="s">
        <v>14</v>
      </c>
      <c r="T234" s="5" t="s">
        <v>112</v>
      </c>
    </row>
    <row r="235" spans="2:20" ht="13.5" customHeight="1" thickBot="1" x14ac:dyDescent="0.25">
      <c r="B235" s="16"/>
      <c r="C235" s="2" t="s">
        <v>5</v>
      </c>
      <c r="D235" s="59"/>
      <c r="E235" s="59"/>
      <c r="F235" s="59"/>
      <c r="G235" s="32"/>
      <c r="H235" s="15">
        <f>J235*L235*N235+P235*R235*T235</f>
        <v>0</v>
      </c>
      <c r="I235" s="20"/>
      <c r="J235" s="20">
        <f>IF(F238=0,$E$7,F238)</f>
        <v>25</v>
      </c>
      <c r="K235" s="20"/>
      <c r="L235" s="20">
        <f>F236</f>
        <v>0</v>
      </c>
      <c r="M235" s="20"/>
      <c r="N235" s="20">
        <v>2.1000000000000001E-2</v>
      </c>
      <c r="O235" s="20"/>
      <c r="P235" s="20">
        <f>J235</f>
        <v>25</v>
      </c>
      <c r="Q235" s="20"/>
      <c r="R235" s="20">
        <f>F244</f>
        <v>0</v>
      </c>
      <c r="S235" s="20"/>
      <c r="T235" s="11">
        <v>3.5000000000000003E-2</v>
      </c>
    </row>
    <row r="236" spans="2:20" ht="13.5" customHeight="1" thickBot="1" x14ac:dyDescent="0.25">
      <c r="B236" s="16"/>
      <c r="C236" s="321"/>
      <c r="D236" s="323" t="s">
        <v>111</v>
      </c>
      <c r="E236" s="244"/>
      <c r="F236" s="6"/>
      <c r="G236" s="32"/>
      <c r="H236" s="18" t="s">
        <v>31</v>
      </c>
      <c r="I236" s="9" t="s">
        <v>10</v>
      </c>
      <c r="J236" s="9" t="s">
        <v>111</v>
      </c>
      <c r="K236" s="9" t="s">
        <v>14</v>
      </c>
      <c r="L236" s="9" t="s">
        <v>115</v>
      </c>
      <c r="M236" s="9" t="s">
        <v>14</v>
      </c>
      <c r="N236" s="9" t="s">
        <v>116</v>
      </c>
      <c r="O236" s="9"/>
      <c r="P236" s="9"/>
      <c r="Q236" s="9"/>
      <c r="R236" s="9"/>
      <c r="S236" s="21"/>
      <c r="T236" s="40"/>
    </row>
    <row r="237" spans="2:20" ht="13.5" customHeight="1" thickBot="1" x14ac:dyDescent="0.25">
      <c r="B237" s="16"/>
      <c r="C237" s="322"/>
      <c r="D237" s="323" t="s">
        <v>8</v>
      </c>
      <c r="E237" s="244"/>
      <c r="F237" s="6"/>
      <c r="G237" s="32"/>
      <c r="H237" s="15" t="e">
        <f>J237*L237*N237</f>
        <v>#N/A</v>
      </c>
      <c r="I237" s="20"/>
      <c r="J237" s="20">
        <f>F236</f>
        <v>0</v>
      </c>
      <c r="K237" s="20"/>
      <c r="L237" s="20">
        <f>INDEX(LrCfRf,MATCH("CF",LrCfRf_Header,0),MATCH(F237,LrCfRf_Speed,-1))</f>
        <v>0.4</v>
      </c>
      <c r="M237" s="20"/>
      <c r="N237" s="20" t="e">
        <f>INDEX(LrCfRf,MATCH("RLR "&amp;F239,LrCfRf_Header,0),MATCH(F237,LrCfRf_Speed,-1))</f>
        <v>#N/A</v>
      </c>
      <c r="O237" s="20"/>
      <c r="P237" s="20"/>
      <c r="Q237" s="20"/>
      <c r="R237" s="20"/>
      <c r="S237" s="20"/>
      <c r="T237" s="41"/>
    </row>
    <row r="238" spans="2:20" ht="13.5" customHeight="1" thickBot="1" x14ac:dyDescent="0.25">
      <c r="B238" s="16"/>
      <c r="C238" s="243" t="s">
        <v>24</v>
      </c>
      <c r="D238" s="243"/>
      <c r="E238" s="243"/>
      <c r="F238" s="6"/>
      <c r="G238" s="32"/>
      <c r="H238" s="14" t="s">
        <v>58</v>
      </c>
      <c r="I238" s="3" t="s">
        <v>10</v>
      </c>
      <c r="J238" s="3" t="s">
        <v>119</v>
      </c>
      <c r="K238" s="3" t="s">
        <v>14</v>
      </c>
      <c r="L238" s="3" t="s">
        <v>61</v>
      </c>
      <c r="M238" s="3" t="s">
        <v>12</v>
      </c>
      <c r="N238" s="3" t="s">
        <v>57</v>
      </c>
      <c r="T238" s="32"/>
    </row>
    <row r="239" spans="2:20" ht="13.5" customHeight="1" thickBot="1" x14ac:dyDescent="0.25">
      <c r="B239" s="16"/>
      <c r="C239" s="243" t="s">
        <v>47</v>
      </c>
      <c r="D239" s="243"/>
      <c r="E239" s="243"/>
      <c r="F239" s="6"/>
      <c r="G239" s="32"/>
      <c r="H239" s="15" t="e">
        <f>J239*L239+N239</f>
        <v>#N/A</v>
      </c>
      <c r="I239" s="20"/>
      <c r="J239" s="20" t="e">
        <f>H235+H237</f>
        <v>#N/A</v>
      </c>
      <c r="K239" s="20"/>
      <c r="L239" s="20">
        <f>IF(F242="Y",1.33*1.1,1.33)</f>
        <v>1.33</v>
      </c>
      <c r="M239" s="20"/>
      <c r="N239" s="20">
        <f>F245</f>
        <v>0</v>
      </c>
      <c r="O239" s="20"/>
      <c r="P239" s="26"/>
      <c r="Q239" s="26"/>
      <c r="R239" s="26"/>
      <c r="S239" s="26"/>
      <c r="T239" s="22"/>
    </row>
    <row r="240" spans="2:20" ht="13.5" customHeight="1" thickBot="1" x14ac:dyDescent="0.25">
      <c r="B240" s="16"/>
      <c r="C240" s="245"/>
      <c r="D240" s="245"/>
      <c r="E240" s="245"/>
      <c r="G240" s="32"/>
      <c r="H240" s="14" t="s">
        <v>122</v>
      </c>
      <c r="I240" s="3" t="s">
        <v>10</v>
      </c>
      <c r="J240" s="3" t="s">
        <v>111</v>
      </c>
      <c r="K240" s="3" t="s">
        <v>14</v>
      </c>
      <c r="L240" s="3" t="s">
        <v>123</v>
      </c>
      <c r="M240" s="3"/>
      <c r="N240" s="3"/>
      <c r="P240" s="298" t="s">
        <v>50</v>
      </c>
      <c r="Q240" s="299"/>
      <c r="R240" s="300" t="s">
        <v>51</v>
      </c>
      <c r="S240" s="301"/>
      <c r="T240" s="302"/>
    </row>
    <row r="241" spans="2:20" ht="13.5" customHeight="1" thickBot="1" x14ac:dyDescent="0.25">
      <c r="B241" s="16"/>
      <c r="C241" s="243" t="s">
        <v>124</v>
      </c>
      <c r="D241" s="243"/>
      <c r="E241" s="243"/>
      <c r="F241" s="1"/>
      <c r="G241" s="32"/>
      <c r="H241" s="15">
        <f>J241*L241</f>
        <v>0</v>
      </c>
      <c r="I241" s="20"/>
      <c r="J241" s="20">
        <f>F236</f>
        <v>0</v>
      </c>
      <c r="K241" s="20"/>
      <c r="L241" s="20">
        <f>INDEX(LrCfRf,MATCH("HSBP",LrCfRf_Header,0),MATCH(F237,LrCfRf_Speed,-1))</f>
        <v>6</v>
      </c>
      <c r="M241" s="20"/>
      <c r="N241" s="20"/>
      <c r="O241" s="20"/>
      <c r="P241" s="303" t="str">
        <f>IF(ISBLANK(F236),"NEED LENGTH",IF(F236&gt;200,"TOO LONG",""))</f>
        <v>NEED LENGTH</v>
      </c>
      <c r="Q241" s="304"/>
      <c r="R241" s="305" t="str">
        <f>IF(7-COUNTBLANK(P241:P247),"",IF(F241="Motovario",INDEX(LrDirectDriveMotovario_Cd,MATCH(1,INDEX((F237&lt;=LrDirectDriveMotovario_Speed)*(H243&lt;=LrDirectDriveMotovario_Hp)*(H239&lt;=LrDirectDriveMotovario_Ebp),0,0),0))&amp;" DIRECT DRIVE",IF(F241="Dodge",INDEX(LrDirectDriveDodge_Cd,MATCH(1,INDEX((F237&lt;=LrDirectDriveDodge_Speed)*(H243&lt;=LrDirectDriveDodge_Hp)*(H239&lt;=LrDirectDriveDodge_Ebp),0,0),0))&amp;" DIRECT DRIVE",INDEX(LrDriveCap_Cd,MATCH(1,INDEX((H239&lt;=LrDriveCap_Ebp)*(H243&lt;=LrDriveCap_Hp)*((F245&lt;&gt;0)=LrDriveCap_Slave)*(F236&lt;=LrDriveCap_Length),0,0),0)))))</f>
        <v/>
      </c>
      <c r="S241" s="306"/>
      <c r="T241" s="307"/>
    </row>
    <row r="242" spans="2:20" ht="13.5" customHeight="1" thickBot="1" x14ac:dyDescent="0.25">
      <c r="B242" s="16"/>
      <c r="C242" s="241" t="s">
        <v>125</v>
      </c>
      <c r="D242" s="241"/>
      <c r="E242" s="241"/>
      <c r="F242" s="1"/>
      <c r="G242" s="32"/>
      <c r="H242" s="18" t="s">
        <v>74</v>
      </c>
      <c r="I242" s="9" t="s">
        <v>10</v>
      </c>
      <c r="J242" s="9" t="s">
        <v>58</v>
      </c>
      <c r="K242" s="9" t="s">
        <v>14</v>
      </c>
      <c r="L242" s="9" t="s">
        <v>8</v>
      </c>
      <c r="M242" s="9" t="s">
        <v>75</v>
      </c>
      <c r="N242" s="19" t="s">
        <v>76</v>
      </c>
      <c r="O242" s="9"/>
      <c r="P242" s="327" t="str">
        <f>IF(ISBLANK(F237),"NEED SPEED","")</f>
        <v>NEED SPEED</v>
      </c>
      <c r="Q242" s="328"/>
      <c r="R242" s="324" t="str">
        <f>IF(7-COUNTBLANK(P241:P247),"",IF(F241="Motovario",INDEX(LrDirectDriveMotovario_Hp,MATCH(1,INDEX((F237&lt;=LrDirectDriveMotovario_Speed)*(H243&lt;=LrDirectDriveMotovario_Hp)*(H239&lt;=LrDirectDriveMotovario_Ebp),0,0),0)),IF(F241="Dodge",INDEX(LrDirectDriveDodge_Hp,MATCH(1,INDEX((F237&lt;=LrDirectDriveDodge_Speed)*(H243&lt;=LrDirectDriveDodge_Hp)*(H239&lt;=LrDirectDriveDodge_Ebp),0,0),0)),INDEX(LrDriveCap_Hp,MATCH(1,INDEX((H239&lt;=LrDriveCap_Ebp)*(H243&lt;=LrDriveCap_Hp)*((F245&lt;&gt;0)=LrDriveCap_Slave)*(F236&lt;=LrDriveCap_Length),0,0),0))))&amp;" HP")</f>
        <v/>
      </c>
      <c r="S242" s="325"/>
      <c r="T242" s="326"/>
    </row>
    <row r="243" spans="2:20" ht="13.5" customHeight="1" thickBot="1" x14ac:dyDescent="0.25">
      <c r="B243" s="16"/>
      <c r="G243" s="32"/>
      <c r="H243" s="15" t="e">
        <f>J243*L243/N243</f>
        <v>#N/A</v>
      </c>
      <c r="I243" s="20"/>
      <c r="J243" s="20" t="e">
        <f>H239</f>
        <v>#N/A</v>
      </c>
      <c r="K243" s="20"/>
      <c r="L243" s="20">
        <f>F237</f>
        <v>0</v>
      </c>
      <c r="M243" s="20"/>
      <c r="N243" s="8">
        <v>31350</v>
      </c>
      <c r="O243" s="20"/>
      <c r="P243" s="327" t="str">
        <f>IF(AND(ISBLANK($E$7),ISBLANK(F238)),"NEED LIVE LOAD","")</f>
        <v/>
      </c>
      <c r="Q243" s="328"/>
      <c r="R243" s="54" t="str">
        <f>IF(7-COUNTBLANK(P241:P247),"",IF(NOT(ISERROR(H239)),MAX(2,H239/200,IF(OR(AND(F236&gt;100,F245=0),AND(F236&gt;80,F245&lt;&gt;0)),3,0)),""))</f>
        <v/>
      </c>
      <c r="S243" s="324" t="str">
        <f>IF(7-COUNTBLANK(P241:P247),"","LONG SPRINGS")</f>
        <v/>
      </c>
      <c r="T243" s="326"/>
    </row>
    <row r="244" spans="2:20" ht="13.5" customHeight="1" thickBot="1" x14ac:dyDescent="0.25">
      <c r="B244" s="16"/>
      <c r="C244" s="243" t="s">
        <v>113</v>
      </c>
      <c r="D244" s="243"/>
      <c r="E244" s="243"/>
      <c r="F244" s="6"/>
      <c r="G244" s="32"/>
      <c r="H244" s="42"/>
      <c r="I244" s="21"/>
      <c r="J244" s="21"/>
      <c r="K244" s="21"/>
      <c r="L244" s="21"/>
      <c r="M244" s="21"/>
      <c r="N244" s="21"/>
      <c r="O244" s="40"/>
      <c r="P244" s="327" t="str">
        <f>IF(ISBLANK(F239),"NEED RLR CENT","")</f>
        <v>NEED RLR CENT</v>
      </c>
      <c r="Q244" s="328"/>
      <c r="R244" s="54" t="str">
        <f>IF(7-COUNTBLANK(P241:P247),"",IF(H239&lt;&gt;0,MAX(2,H239/160,IF(OR(AND(F236&gt;100,F245=0),AND(F236&gt;80,F245&lt;&gt;0)),3,0)),""))</f>
        <v/>
      </c>
      <c r="S244" s="324" t="str">
        <f>IF(7-COUNTBLANK(P241:P247),"","SHRT SPRINGS")</f>
        <v/>
      </c>
      <c r="T244" s="326"/>
    </row>
    <row r="245" spans="2:20" ht="13.5" customHeight="1" thickBot="1" x14ac:dyDescent="0.25">
      <c r="B245" s="16"/>
      <c r="C245" s="243" t="s">
        <v>131</v>
      </c>
      <c r="D245" s="243"/>
      <c r="E245" s="243"/>
      <c r="F245" s="6"/>
      <c r="G245" s="32"/>
      <c r="H245" s="56"/>
      <c r="I245" s="57"/>
      <c r="J245" s="57"/>
      <c r="K245" s="57"/>
      <c r="L245" s="57"/>
      <c r="M245" s="57"/>
      <c r="N245" s="57"/>
      <c r="O245" s="58"/>
      <c r="P245" s="327" t="str">
        <f>IFERROR(IF(H243&gt;MAX(LrDriveCap_Hp),"EXCEEDS MAX HP",""),"")</f>
        <v/>
      </c>
      <c r="Q245" s="328"/>
      <c r="R245" s="324" t="str">
        <f>IF(7-COUNTBLANK(P241:P247),"",IF(H239&gt;600,"6IN ENTRY TE REQUIRED",""))</f>
        <v/>
      </c>
      <c r="S245" s="325"/>
      <c r="T245" s="326"/>
    </row>
    <row r="246" spans="2:20" ht="13.5" customHeight="1" x14ac:dyDescent="0.2">
      <c r="B246" s="16"/>
      <c r="C246" s="240"/>
      <c r="D246" s="240"/>
      <c r="E246" s="240"/>
      <c r="G246" s="32"/>
      <c r="H246" s="290" t="s">
        <v>133</v>
      </c>
      <c r="I246" s="291"/>
      <c r="J246" s="291"/>
      <c r="K246" s="291"/>
      <c r="L246" s="291"/>
      <c r="M246" s="291"/>
      <c r="N246" s="291"/>
      <c r="O246" s="292"/>
      <c r="P246" s="327" t="str">
        <f>IFERROR(IF(H239&gt;MAX(LrDriveCap_Ebp),"EXCEEDS MAX EBP",""),"")</f>
        <v/>
      </c>
      <c r="Q246" s="328"/>
      <c r="R246" s="324"/>
      <c r="S246" s="325"/>
      <c r="T246" s="326"/>
    </row>
    <row r="247" spans="2:20" ht="13.5" customHeight="1" thickBot="1" x14ac:dyDescent="0.25">
      <c r="B247" s="12"/>
      <c r="C247" s="293"/>
      <c r="D247" s="293"/>
      <c r="E247" s="293"/>
      <c r="F247" s="7"/>
      <c r="G247" s="37"/>
      <c r="H247" s="16" t="s">
        <v>134</v>
      </c>
      <c r="J247" s="26" t="str">
        <f>IFERROR(H239*J248/2,"")</f>
        <v/>
      </c>
      <c r="L247" s="2" t="s">
        <v>135</v>
      </c>
      <c r="N247" s="26" t="str">
        <f>IF(F241="Motovario",INDEX(LrDirectDriveMotovario_MaxT,MATCH(1,INDEX((F237&lt;=LrDirectDriveMotovario_Speed)*(H243&lt;=LrDirectDriveMotovario_Hp)*(H239&lt;=LrDirectDriveMotovario_Ebp),0,0),0)),IF(F241="Dodge",INDEX(LrDirectDriveDodge_MaxT,MATCH(1,INDEX((F237&lt;=LrDirectDriveDodge_Speed)*(H243&lt;=LrDirectDriveDodge_Hp)*(H239&lt;=LrDirectDriveDodge_Ebp),0,0),0)),""))</f>
        <v/>
      </c>
      <c r="P247" s="327" t="str">
        <f>IFERROR(IF(AND(AND(F241&lt;&gt;"Motovario",F241&lt;&gt;"Dodge"),VALUE(RIGHT(R248,LEN(R248)-14))&lt;&gt;F237),"USE DD NOM SPD",""),"")</f>
        <v/>
      </c>
      <c r="Q247" s="328"/>
      <c r="R247" s="324" t="str">
        <f>IF(7-COUNTBLANK(P241:P247),"",IF(H241&gt;1100,"SOFT START REQUIRED",""))</f>
        <v/>
      </c>
      <c r="S247" s="325"/>
      <c r="T247" s="326"/>
    </row>
    <row r="248" spans="2:20" ht="13.5" customHeight="1" thickBot="1" x14ac:dyDescent="0.25">
      <c r="B248" s="294" t="s">
        <v>78</v>
      </c>
      <c r="C248" s="295"/>
      <c r="D248" s="262"/>
      <c r="E248" s="263"/>
      <c r="F248" s="263"/>
      <c r="G248" s="264"/>
      <c r="H248" s="12" t="s">
        <v>136</v>
      </c>
      <c r="I248" s="7"/>
      <c r="J248" s="27" t="str">
        <f>IFERROR(VALUE(LEFT(R241,SEARCH("CD",R241)-1))+1/2,"")</f>
        <v/>
      </c>
      <c r="K248" s="7"/>
      <c r="L248" s="17" t="s">
        <v>137</v>
      </c>
      <c r="M248" s="17"/>
      <c r="N248" s="43" t="str">
        <f>IFERROR(N247/J247,"")</f>
        <v/>
      </c>
      <c r="O248" s="7"/>
      <c r="P248" s="337" t="str">
        <f>IF(ISBLANK(F242),"NEED AP INFO",IF(ISBLANK(F244),"NEED SLUG LGTH",IF(ISBLANK(F245),"NEED SLAVE INFO","")))</f>
        <v>NEED AP INFO</v>
      </c>
      <c r="Q248" s="338"/>
      <c r="R248" s="330" t="str">
        <f>IF(6-COUNTBLANK(P241:P246),"",IF(F241="Motovario","DD NOM SPEED: "&amp;INDEX(LrDirectDriveMotovario_Speed,MATCH(1,INDEX((F237&lt;=LrDirectDriveMotovario_Speed)*(H243&lt;=LrDirectDriveMotovario_Hp)*(H239&lt;=LrDirectDriveMotovario_Ebp),0,0),0)),IF(F241="Dodge","DD NOM SPEED: "&amp;INDEX(LrDirectDriveDodge_Speed,MATCH(1,INDEX((F237&lt;=LrDirectDriveDodge_Speed)*(H243&lt;=LrDirectDriveDodge_Hp)*(H239&lt;=LrDirectDriveDodge_Ebp),0,0),0)),"")))</f>
        <v/>
      </c>
      <c r="S248" s="331"/>
      <c r="T248" s="332"/>
    </row>
    <row r="249" spans="2:20" ht="13.5" customHeight="1" thickBot="1" x14ac:dyDescent="0.25"/>
    <row r="250" spans="2:20" ht="13.5" customHeight="1" x14ac:dyDescent="0.2">
      <c r="B250" s="39"/>
      <c r="C250" s="320"/>
      <c r="D250" s="320"/>
      <c r="E250" s="320"/>
      <c r="F250" s="28"/>
      <c r="G250" s="30"/>
      <c r="H250" s="13" t="s">
        <v>30</v>
      </c>
      <c r="I250" s="10" t="s">
        <v>10</v>
      </c>
      <c r="J250" s="4" t="s">
        <v>110</v>
      </c>
      <c r="K250" s="4" t="s">
        <v>14</v>
      </c>
      <c r="L250" s="4" t="s">
        <v>111</v>
      </c>
      <c r="M250" s="4" t="s">
        <v>14</v>
      </c>
      <c r="N250" s="4" t="s">
        <v>112</v>
      </c>
      <c r="O250" s="4" t="s">
        <v>12</v>
      </c>
      <c r="P250" s="4" t="s">
        <v>110</v>
      </c>
      <c r="Q250" s="4" t="s">
        <v>14</v>
      </c>
      <c r="R250" s="4" t="s">
        <v>113</v>
      </c>
      <c r="S250" s="4" t="s">
        <v>14</v>
      </c>
      <c r="T250" s="5" t="s">
        <v>112</v>
      </c>
    </row>
    <row r="251" spans="2:20" ht="13.5" customHeight="1" thickBot="1" x14ac:dyDescent="0.25">
      <c r="B251" s="16"/>
      <c r="C251" s="2" t="s">
        <v>5</v>
      </c>
      <c r="D251" s="59"/>
      <c r="E251" s="59"/>
      <c r="F251" s="59"/>
      <c r="G251" s="32"/>
      <c r="H251" s="15">
        <f>J251*L251*N251+P251*R251*T251</f>
        <v>0</v>
      </c>
      <c r="I251" s="20"/>
      <c r="J251" s="20">
        <f>IF(F254=0,$E$7,F254)</f>
        <v>25</v>
      </c>
      <c r="K251" s="20"/>
      <c r="L251" s="20">
        <f>F252</f>
        <v>0</v>
      </c>
      <c r="M251" s="20"/>
      <c r="N251" s="20">
        <v>2.1000000000000001E-2</v>
      </c>
      <c r="O251" s="20"/>
      <c r="P251" s="20">
        <f>J251</f>
        <v>25</v>
      </c>
      <c r="Q251" s="20"/>
      <c r="R251" s="20">
        <f>F260</f>
        <v>0</v>
      </c>
      <c r="S251" s="20"/>
      <c r="T251" s="11">
        <v>3.5000000000000003E-2</v>
      </c>
    </row>
    <row r="252" spans="2:20" ht="13.5" customHeight="1" thickBot="1" x14ac:dyDescent="0.25">
      <c r="B252" s="16"/>
      <c r="C252" s="321"/>
      <c r="D252" s="323" t="s">
        <v>111</v>
      </c>
      <c r="E252" s="244"/>
      <c r="F252" s="6"/>
      <c r="G252" s="32"/>
      <c r="H252" s="18" t="s">
        <v>31</v>
      </c>
      <c r="I252" s="9" t="s">
        <v>10</v>
      </c>
      <c r="J252" s="9" t="s">
        <v>111</v>
      </c>
      <c r="K252" s="9" t="s">
        <v>14</v>
      </c>
      <c r="L252" s="9" t="s">
        <v>115</v>
      </c>
      <c r="M252" s="9" t="s">
        <v>14</v>
      </c>
      <c r="N252" s="9" t="s">
        <v>116</v>
      </c>
      <c r="O252" s="9"/>
      <c r="P252" s="9"/>
      <c r="Q252" s="9"/>
      <c r="R252" s="9"/>
      <c r="S252" s="21"/>
      <c r="T252" s="40"/>
    </row>
    <row r="253" spans="2:20" ht="13.5" customHeight="1" thickBot="1" x14ac:dyDescent="0.25">
      <c r="B253" s="16"/>
      <c r="C253" s="322"/>
      <c r="D253" s="323" t="s">
        <v>8</v>
      </c>
      <c r="E253" s="244"/>
      <c r="F253" s="6"/>
      <c r="G253" s="32"/>
      <c r="H253" s="15" t="e">
        <f>J253*L253*N253</f>
        <v>#N/A</v>
      </c>
      <c r="I253" s="20"/>
      <c r="J253" s="20">
        <f>F252</f>
        <v>0</v>
      </c>
      <c r="K253" s="20"/>
      <c r="L253" s="20">
        <f>INDEX(LrCfRf,MATCH("CF",LrCfRf_Header,0),MATCH(F253,LrCfRf_Speed,-1))</f>
        <v>0.4</v>
      </c>
      <c r="M253" s="20"/>
      <c r="N253" s="20" t="e">
        <f>INDEX(LrCfRf,MATCH("RLR "&amp;F255,LrCfRf_Header,0),MATCH(F253,LrCfRf_Speed,-1))</f>
        <v>#N/A</v>
      </c>
      <c r="O253" s="20"/>
      <c r="P253" s="20"/>
      <c r="Q253" s="20"/>
      <c r="R253" s="20"/>
      <c r="S253" s="20"/>
      <c r="T253" s="41"/>
    </row>
    <row r="254" spans="2:20" ht="13.5" customHeight="1" thickBot="1" x14ac:dyDescent="0.25">
      <c r="B254" s="16"/>
      <c r="C254" s="243" t="s">
        <v>24</v>
      </c>
      <c r="D254" s="243"/>
      <c r="E254" s="243"/>
      <c r="F254" s="6"/>
      <c r="G254" s="32"/>
      <c r="H254" s="14" t="s">
        <v>58</v>
      </c>
      <c r="I254" s="3" t="s">
        <v>10</v>
      </c>
      <c r="J254" s="3" t="s">
        <v>119</v>
      </c>
      <c r="K254" s="3" t="s">
        <v>14</v>
      </c>
      <c r="L254" s="3" t="s">
        <v>61</v>
      </c>
      <c r="M254" s="3" t="s">
        <v>12</v>
      </c>
      <c r="N254" s="3" t="s">
        <v>57</v>
      </c>
      <c r="T254" s="32"/>
    </row>
    <row r="255" spans="2:20" ht="13.5" customHeight="1" thickBot="1" x14ac:dyDescent="0.25">
      <c r="B255" s="16"/>
      <c r="C255" s="243" t="s">
        <v>47</v>
      </c>
      <c r="D255" s="243"/>
      <c r="E255" s="243"/>
      <c r="F255" s="6"/>
      <c r="G255" s="32"/>
      <c r="H255" s="15" t="e">
        <f>J255*L255+N255</f>
        <v>#N/A</v>
      </c>
      <c r="I255" s="20"/>
      <c r="J255" s="20" t="e">
        <f>H251+H253</f>
        <v>#N/A</v>
      </c>
      <c r="K255" s="20"/>
      <c r="L255" s="20">
        <f>IF(F258="Y",1.33*1.1,1.33)</f>
        <v>1.33</v>
      </c>
      <c r="M255" s="20"/>
      <c r="N255" s="20">
        <f>F261</f>
        <v>0</v>
      </c>
      <c r="O255" s="20"/>
      <c r="P255" s="26"/>
      <c r="Q255" s="26"/>
      <c r="R255" s="26"/>
      <c r="S255" s="26"/>
      <c r="T255" s="22"/>
    </row>
    <row r="256" spans="2:20" ht="13.5" customHeight="1" thickBot="1" x14ac:dyDescent="0.25">
      <c r="B256" s="16"/>
      <c r="C256" s="245"/>
      <c r="D256" s="245"/>
      <c r="E256" s="245"/>
      <c r="G256" s="32"/>
      <c r="H256" s="14" t="s">
        <v>122</v>
      </c>
      <c r="I256" s="3" t="s">
        <v>10</v>
      </c>
      <c r="J256" s="3" t="s">
        <v>111</v>
      </c>
      <c r="K256" s="3" t="s">
        <v>14</v>
      </c>
      <c r="L256" s="3" t="s">
        <v>123</v>
      </c>
      <c r="M256" s="3"/>
      <c r="N256" s="3"/>
      <c r="P256" s="298" t="s">
        <v>50</v>
      </c>
      <c r="Q256" s="299"/>
      <c r="R256" s="300" t="s">
        <v>51</v>
      </c>
      <c r="S256" s="301"/>
      <c r="T256" s="302"/>
    </row>
    <row r="257" spans="2:20" ht="13.5" customHeight="1" thickBot="1" x14ac:dyDescent="0.25">
      <c r="B257" s="16"/>
      <c r="C257" s="243" t="s">
        <v>124</v>
      </c>
      <c r="D257" s="243"/>
      <c r="E257" s="243"/>
      <c r="F257" s="1"/>
      <c r="G257" s="32"/>
      <c r="H257" s="15">
        <f>J257*L257</f>
        <v>0</v>
      </c>
      <c r="I257" s="20"/>
      <c r="J257" s="20">
        <f>F252</f>
        <v>0</v>
      </c>
      <c r="K257" s="20"/>
      <c r="L257" s="20">
        <f>INDEX(LrCfRf,MATCH("HSBP",LrCfRf_Header,0),MATCH(F253,LrCfRf_Speed,-1))</f>
        <v>6</v>
      </c>
      <c r="M257" s="20"/>
      <c r="N257" s="20"/>
      <c r="O257" s="20"/>
      <c r="P257" s="303" t="str">
        <f>IF(ISBLANK(F252),"NEED LENGTH",IF(F252&gt;200,"TOO LONG",""))</f>
        <v>NEED LENGTH</v>
      </c>
      <c r="Q257" s="304"/>
      <c r="R257" s="305" t="str">
        <f>IF(7-COUNTBLANK(P257:P263),"",IF(F257="Motovario",INDEX(LrDirectDriveMotovario_Cd,MATCH(1,INDEX((F253&lt;=LrDirectDriveMotovario_Speed)*(H259&lt;=LrDirectDriveMotovario_Hp)*(H255&lt;=LrDirectDriveMotovario_Ebp),0,0),0))&amp;" DIRECT DRIVE",IF(F257="Dodge",INDEX(LrDirectDriveDodge_Cd,MATCH(1,INDEX((F253&lt;=LrDirectDriveDodge_Speed)*(H259&lt;=LrDirectDriveDodge_Hp)*(H255&lt;=LrDirectDriveDodge_Ebp),0,0),0))&amp;" DIRECT DRIVE",INDEX(LrDriveCap_Cd,MATCH(1,INDEX((H255&lt;=LrDriveCap_Ebp)*(H259&lt;=LrDriveCap_Hp)*((F261&lt;&gt;0)=LrDriveCap_Slave)*(F252&lt;=LrDriveCap_Length),0,0),0)))))</f>
        <v/>
      </c>
      <c r="S257" s="306"/>
      <c r="T257" s="307"/>
    </row>
    <row r="258" spans="2:20" ht="13.5" customHeight="1" thickBot="1" x14ac:dyDescent="0.25">
      <c r="B258" s="16"/>
      <c r="C258" s="241" t="s">
        <v>125</v>
      </c>
      <c r="D258" s="241"/>
      <c r="E258" s="241"/>
      <c r="F258" s="1"/>
      <c r="G258" s="32"/>
      <c r="H258" s="18" t="s">
        <v>74</v>
      </c>
      <c r="I258" s="9" t="s">
        <v>10</v>
      </c>
      <c r="J258" s="9" t="s">
        <v>58</v>
      </c>
      <c r="K258" s="9" t="s">
        <v>14</v>
      </c>
      <c r="L258" s="9" t="s">
        <v>8</v>
      </c>
      <c r="M258" s="9" t="s">
        <v>75</v>
      </c>
      <c r="N258" s="19" t="s">
        <v>76</v>
      </c>
      <c r="O258" s="9"/>
      <c r="P258" s="327" t="str">
        <f>IF(ISBLANK(F253),"NEED SPEED","")</f>
        <v>NEED SPEED</v>
      </c>
      <c r="Q258" s="328"/>
      <c r="R258" s="324" t="str">
        <f>IF(7-COUNTBLANK(P257:P263),"",IF(F257="Motovario",INDEX(LrDirectDriveMotovario_Hp,MATCH(1,INDEX((F253&lt;=LrDirectDriveMotovario_Speed)*(H259&lt;=LrDirectDriveMotovario_Hp)*(H255&lt;=LrDirectDriveMotovario_Ebp),0,0),0)),IF(F257="Dodge",INDEX(LrDirectDriveDodge_Hp,MATCH(1,INDEX((F253&lt;=LrDirectDriveDodge_Speed)*(H259&lt;=LrDirectDriveDodge_Hp)*(H255&lt;=LrDirectDriveDodge_Ebp),0,0),0)),INDEX(LrDriveCap_Hp,MATCH(1,INDEX((H255&lt;=LrDriveCap_Ebp)*(H259&lt;=LrDriveCap_Hp)*((F261&lt;&gt;0)=LrDriveCap_Slave)*(F252&lt;=LrDriveCap_Length),0,0),0))))&amp;" HP")</f>
        <v/>
      </c>
      <c r="S258" s="325"/>
      <c r="T258" s="326"/>
    </row>
    <row r="259" spans="2:20" ht="13.5" customHeight="1" thickBot="1" x14ac:dyDescent="0.25">
      <c r="B259" s="16"/>
      <c r="G259" s="32"/>
      <c r="H259" s="15" t="e">
        <f>J259*L259/N259</f>
        <v>#N/A</v>
      </c>
      <c r="I259" s="20"/>
      <c r="J259" s="20" t="e">
        <f>H255</f>
        <v>#N/A</v>
      </c>
      <c r="K259" s="20"/>
      <c r="L259" s="20">
        <f>F253</f>
        <v>0</v>
      </c>
      <c r="M259" s="20"/>
      <c r="N259" s="8">
        <v>31350</v>
      </c>
      <c r="O259" s="20"/>
      <c r="P259" s="327" t="str">
        <f>IF(AND(ISBLANK($E$7),ISBLANK(F254)),"NEED LIVE LOAD","")</f>
        <v/>
      </c>
      <c r="Q259" s="328"/>
      <c r="R259" s="54" t="str">
        <f>IF(7-COUNTBLANK(P257:P263),"",IF(NOT(ISERROR(H255)),MAX(2,H255/200,IF(OR(AND(F252&gt;100,F261=0),AND(F252&gt;80,F261&lt;&gt;0)),3,0)),""))</f>
        <v/>
      </c>
      <c r="S259" s="324" t="str">
        <f>IF(7-COUNTBLANK(P257:P263),"","LONG SPRINGS")</f>
        <v/>
      </c>
      <c r="T259" s="326"/>
    </row>
    <row r="260" spans="2:20" ht="13.5" customHeight="1" thickBot="1" x14ac:dyDescent="0.25">
      <c r="B260" s="16"/>
      <c r="C260" s="243" t="s">
        <v>113</v>
      </c>
      <c r="D260" s="243"/>
      <c r="E260" s="243"/>
      <c r="F260" s="6"/>
      <c r="G260" s="32"/>
      <c r="H260" s="42"/>
      <c r="I260" s="21"/>
      <c r="J260" s="21"/>
      <c r="K260" s="21"/>
      <c r="L260" s="21"/>
      <c r="M260" s="21"/>
      <c r="N260" s="21"/>
      <c r="O260" s="40"/>
      <c r="P260" s="327" t="str">
        <f>IF(ISBLANK(F255),"NEED RLR CENT","")</f>
        <v>NEED RLR CENT</v>
      </c>
      <c r="Q260" s="328"/>
      <c r="R260" s="54" t="str">
        <f>IF(7-COUNTBLANK(P257:P263),"",IF(H255&lt;&gt;0,MAX(2,H255/160,IF(OR(AND(F252&gt;100,F261=0),AND(F252&gt;80,F261&lt;&gt;0)),3,0)),""))</f>
        <v/>
      </c>
      <c r="S260" s="324" t="str">
        <f>IF(7-COUNTBLANK(P257:P263),"","SHRT SPRINGS")</f>
        <v/>
      </c>
      <c r="T260" s="326"/>
    </row>
    <row r="261" spans="2:20" ht="13.5" customHeight="1" thickBot="1" x14ac:dyDescent="0.25">
      <c r="B261" s="16"/>
      <c r="C261" s="243" t="s">
        <v>131</v>
      </c>
      <c r="D261" s="243"/>
      <c r="E261" s="243"/>
      <c r="F261" s="6"/>
      <c r="G261" s="32"/>
      <c r="H261" s="56"/>
      <c r="I261" s="57"/>
      <c r="J261" s="57"/>
      <c r="K261" s="57"/>
      <c r="L261" s="57"/>
      <c r="M261" s="57"/>
      <c r="N261" s="57"/>
      <c r="O261" s="58"/>
      <c r="P261" s="327" t="str">
        <f>IFERROR(IF(H259&gt;MAX(LrDriveCap_Hp),"EXCEEDS MAX HP",""),"")</f>
        <v/>
      </c>
      <c r="Q261" s="328"/>
      <c r="R261" s="324" t="str">
        <f>IF(7-COUNTBLANK(P257:P263),"",IF(H255&gt;600,"6IN ENTRY TE REQUIRED",""))</f>
        <v/>
      </c>
      <c r="S261" s="325"/>
      <c r="T261" s="326"/>
    </row>
    <row r="262" spans="2:20" ht="13.5" customHeight="1" x14ac:dyDescent="0.2">
      <c r="B262" s="16"/>
      <c r="C262" s="240"/>
      <c r="D262" s="240"/>
      <c r="E262" s="240"/>
      <c r="G262" s="32"/>
      <c r="H262" s="290" t="s">
        <v>133</v>
      </c>
      <c r="I262" s="291"/>
      <c r="J262" s="291"/>
      <c r="K262" s="291"/>
      <c r="L262" s="291"/>
      <c r="M262" s="291"/>
      <c r="N262" s="291"/>
      <c r="O262" s="292"/>
      <c r="P262" s="327" t="str">
        <f>IFERROR(IF(H255&gt;MAX(LrDriveCap_Ebp),"EXCEEDS MAX EBP",""),"")</f>
        <v/>
      </c>
      <c r="Q262" s="328"/>
      <c r="R262" s="324"/>
      <c r="S262" s="325"/>
      <c r="T262" s="326"/>
    </row>
    <row r="263" spans="2:20" ht="13.5" customHeight="1" thickBot="1" x14ac:dyDescent="0.25">
      <c r="B263" s="12"/>
      <c r="C263" s="293"/>
      <c r="D263" s="293"/>
      <c r="E263" s="293"/>
      <c r="F263" s="7"/>
      <c r="G263" s="37"/>
      <c r="H263" s="16" t="s">
        <v>134</v>
      </c>
      <c r="J263" s="26" t="str">
        <f>IFERROR(H255*J264/2,"")</f>
        <v/>
      </c>
      <c r="L263" s="2" t="s">
        <v>135</v>
      </c>
      <c r="N263" s="26" t="str">
        <f>IF(F257="Motovario",INDEX(LrDirectDriveMotovario_MaxT,MATCH(1,INDEX((F253&lt;=LrDirectDriveMotovario_Speed)*(H259&lt;=LrDirectDriveMotovario_Hp)*(H255&lt;=LrDirectDriveMotovario_Ebp),0,0),0)),IF(F257="Dodge",INDEX(LrDirectDriveDodge_MaxT,MATCH(1,INDEX((F253&lt;=LrDirectDriveDodge_Speed)*(H259&lt;=LrDirectDriveDodge_Hp)*(H255&lt;=LrDirectDriveDodge_Ebp),0,0),0)),""))</f>
        <v/>
      </c>
      <c r="P263" s="327" t="str">
        <f>IFERROR(IF(AND(AND(F257&lt;&gt;"Motovario",F257&lt;&gt;"Dodge"),VALUE(RIGHT(R264,LEN(R264)-14))&lt;&gt;F253),"USE DD NOM SPD",""),"")</f>
        <v/>
      </c>
      <c r="Q263" s="328"/>
      <c r="R263" s="324" t="str">
        <f>IF(7-COUNTBLANK(P257:P263),"",IF(H257&gt;1100,"SOFT START REQUIRED",""))</f>
        <v/>
      </c>
      <c r="S263" s="325"/>
      <c r="T263" s="326"/>
    </row>
    <row r="264" spans="2:20" ht="13.5" customHeight="1" thickBot="1" x14ac:dyDescent="0.25">
      <c r="B264" s="294" t="s">
        <v>78</v>
      </c>
      <c r="C264" s="295"/>
      <c r="D264" s="262"/>
      <c r="E264" s="263"/>
      <c r="F264" s="263"/>
      <c r="G264" s="264"/>
      <c r="H264" s="12" t="s">
        <v>136</v>
      </c>
      <c r="I264" s="7"/>
      <c r="J264" s="27" t="str">
        <f>IFERROR(VALUE(LEFT(R257,SEARCH("CD",R257)-1))+1/2,"")</f>
        <v/>
      </c>
      <c r="K264" s="7"/>
      <c r="L264" s="17" t="s">
        <v>137</v>
      </c>
      <c r="M264" s="17"/>
      <c r="N264" s="43" t="str">
        <f>IFERROR(N263/J263,"")</f>
        <v/>
      </c>
      <c r="O264" s="7"/>
      <c r="P264" s="337" t="str">
        <f>IF(ISBLANK(F258),"NEED AP INFO",IF(ISBLANK(F260),"NEED SLUG LGTH",IF(ISBLANK(F261),"NEED SLAVE INFO","")))</f>
        <v>NEED AP INFO</v>
      </c>
      <c r="Q264" s="338"/>
      <c r="R264" s="330" t="str">
        <f>IF(6-COUNTBLANK(P257:P262),"",IF(F257="Motovario","DD NOM SPEED: "&amp;INDEX(LrDirectDriveMotovario_Speed,MATCH(1,INDEX((F253&lt;=LrDirectDriveMotovario_Speed)*(H259&lt;=LrDirectDriveMotovario_Hp)*(H255&lt;=LrDirectDriveMotovario_Ebp),0,0),0)),IF(F257="Dodge","DD NOM SPEED: "&amp;INDEX(LrDirectDriveDodge_Speed,MATCH(1,INDEX((F253&lt;=LrDirectDriveDodge_Speed)*(H259&lt;=LrDirectDriveDodge_Hp)*(H255&lt;=LrDirectDriveDodge_Ebp),0,0),0)),"")))</f>
        <v/>
      </c>
      <c r="S264" s="331"/>
      <c r="T264" s="332"/>
    </row>
    <row r="265" spans="2:20" ht="13.5" customHeight="1" thickBot="1" x14ac:dyDescent="0.25"/>
    <row r="266" spans="2:20" ht="13.5" customHeight="1" x14ac:dyDescent="0.2">
      <c r="B266" s="39"/>
      <c r="C266" s="320"/>
      <c r="D266" s="320"/>
      <c r="E266" s="320"/>
      <c r="F266" s="28"/>
      <c r="G266" s="30"/>
      <c r="H266" s="13" t="s">
        <v>30</v>
      </c>
      <c r="I266" s="10" t="s">
        <v>10</v>
      </c>
      <c r="J266" s="4" t="s">
        <v>110</v>
      </c>
      <c r="K266" s="4" t="s">
        <v>14</v>
      </c>
      <c r="L266" s="4" t="s">
        <v>111</v>
      </c>
      <c r="M266" s="4" t="s">
        <v>14</v>
      </c>
      <c r="N266" s="4" t="s">
        <v>112</v>
      </c>
      <c r="O266" s="4" t="s">
        <v>12</v>
      </c>
      <c r="P266" s="4" t="s">
        <v>110</v>
      </c>
      <c r="Q266" s="4" t="s">
        <v>14</v>
      </c>
      <c r="R266" s="4" t="s">
        <v>113</v>
      </c>
      <c r="S266" s="4" t="s">
        <v>14</v>
      </c>
      <c r="T266" s="5" t="s">
        <v>112</v>
      </c>
    </row>
    <row r="267" spans="2:20" ht="13.5" customHeight="1" thickBot="1" x14ac:dyDescent="0.25">
      <c r="B267" s="16"/>
      <c r="C267" s="2" t="s">
        <v>5</v>
      </c>
      <c r="D267" s="59"/>
      <c r="E267" s="59"/>
      <c r="F267" s="59"/>
      <c r="G267" s="32"/>
      <c r="H267" s="15">
        <f>J267*L267*N267+P267*R267*T267</f>
        <v>0</v>
      </c>
      <c r="I267" s="20"/>
      <c r="J267" s="20">
        <f>IF(F270=0,$E$7,F270)</f>
        <v>25</v>
      </c>
      <c r="K267" s="20"/>
      <c r="L267" s="20">
        <f>F268</f>
        <v>0</v>
      </c>
      <c r="M267" s="20"/>
      <c r="N267" s="20">
        <v>2.1000000000000001E-2</v>
      </c>
      <c r="O267" s="20"/>
      <c r="P267" s="20">
        <f>J267</f>
        <v>25</v>
      </c>
      <c r="Q267" s="20"/>
      <c r="R267" s="20">
        <f>F276</f>
        <v>0</v>
      </c>
      <c r="S267" s="20"/>
      <c r="T267" s="11">
        <v>3.5000000000000003E-2</v>
      </c>
    </row>
    <row r="268" spans="2:20" ht="13.5" customHeight="1" thickBot="1" x14ac:dyDescent="0.25">
      <c r="B268" s="16"/>
      <c r="C268" s="321"/>
      <c r="D268" s="323" t="s">
        <v>111</v>
      </c>
      <c r="E268" s="244"/>
      <c r="F268" s="6"/>
      <c r="G268" s="32"/>
      <c r="H268" s="18" t="s">
        <v>31</v>
      </c>
      <c r="I268" s="9" t="s">
        <v>10</v>
      </c>
      <c r="J268" s="9" t="s">
        <v>111</v>
      </c>
      <c r="K268" s="9" t="s">
        <v>14</v>
      </c>
      <c r="L268" s="9" t="s">
        <v>115</v>
      </c>
      <c r="M268" s="9" t="s">
        <v>14</v>
      </c>
      <c r="N268" s="9" t="s">
        <v>116</v>
      </c>
      <c r="O268" s="9"/>
      <c r="P268" s="9"/>
      <c r="Q268" s="9"/>
      <c r="R268" s="9"/>
      <c r="S268" s="21"/>
      <c r="T268" s="40"/>
    </row>
    <row r="269" spans="2:20" ht="13.5" customHeight="1" thickBot="1" x14ac:dyDescent="0.25">
      <c r="B269" s="16"/>
      <c r="C269" s="322"/>
      <c r="D269" s="323" t="s">
        <v>8</v>
      </c>
      <c r="E269" s="244"/>
      <c r="F269" s="6"/>
      <c r="G269" s="32"/>
      <c r="H269" s="15" t="e">
        <f>J269*L269*N269</f>
        <v>#N/A</v>
      </c>
      <c r="I269" s="20"/>
      <c r="J269" s="20">
        <f>F268</f>
        <v>0</v>
      </c>
      <c r="K269" s="20"/>
      <c r="L269" s="20">
        <f>INDEX(LrCfRf,MATCH("CF",LrCfRf_Header,0),MATCH(F269,LrCfRf_Speed,-1))</f>
        <v>0.4</v>
      </c>
      <c r="M269" s="20"/>
      <c r="N269" s="20" t="e">
        <f>INDEX(LrCfRf,MATCH("RLR "&amp;F271,LrCfRf_Header,0),MATCH(F269,LrCfRf_Speed,-1))</f>
        <v>#N/A</v>
      </c>
      <c r="O269" s="20"/>
      <c r="P269" s="20"/>
      <c r="Q269" s="20"/>
      <c r="R269" s="20"/>
      <c r="S269" s="20"/>
      <c r="T269" s="41"/>
    </row>
    <row r="270" spans="2:20" ht="13.5" customHeight="1" thickBot="1" x14ac:dyDescent="0.25">
      <c r="B270" s="16"/>
      <c r="C270" s="243" t="s">
        <v>24</v>
      </c>
      <c r="D270" s="243"/>
      <c r="E270" s="243"/>
      <c r="F270" s="6"/>
      <c r="G270" s="32"/>
      <c r="H270" s="14" t="s">
        <v>58</v>
      </c>
      <c r="I270" s="3" t="s">
        <v>10</v>
      </c>
      <c r="J270" s="3" t="s">
        <v>119</v>
      </c>
      <c r="K270" s="3" t="s">
        <v>14</v>
      </c>
      <c r="L270" s="3" t="s">
        <v>61</v>
      </c>
      <c r="M270" s="3" t="s">
        <v>12</v>
      </c>
      <c r="N270" s="3" t="s">
        <v>57</v>
      </c>
      <c r="T270" s="32"/>
    </row>
    <row r="271" spans="2:20" ht="13.5" customHeight="1" thickBot="1" x14ac:dyDescent="0.25">
      <c r="B271" s="16"/>
      <c r="C271" s="243" t="s">
        <v>47</v>
      </c>
      <c r="D271" s="243"/>
      <c r="E271" s="243"/>
      <c r="F271" s="6"/>
      <c r="G271" s="32"/>
      <c r="H271" s="15" t="e">
        <f>J271*L271+N271</f>
        <v>#N/A</v>
      </c>
      <c r="I271" s="20"/>
      <c r="J271" s="20" t="e">
        <f>H267+H269</f>
        <v>#N/A</v>
      </c>
      <c r="K271" s="20"/>
      <c r="L271" s="20">
        <f>IF(F274="Y",1.33*1.1,1.33)</f>
        <v>1.33</v>
      </c>
      <c r="M271" s="20"/>
      <c r="N271" s="20">
        <f>F277</f>
        <v>0</v>
      </c>
      <c r="O271" s="20"/>
      <c r="P271" s="26"/>
      <c r="Q271" s="26"/>
      <c r="R271" s="26"/>
      <c r="S271" s="26"/>
      <c r="T271" s="22"/>
    </row>
    <row r="272" spans="2:20" ht="13.5" customHeight="1" thickBot="1" x14ac:dyDescent="0.25">
      <c r="B272" s="16"/>
      <c r="C272" s="245"/>
      <c r="D272" s="245"/>
      <c r="E272" s="245"/>
      <c r="G272" s="32"/>
      <c r="H272" s="14" t="s">
        <v>122</v>
      </c>
      <c r="I272" s="3" t="s">
        <v>10</v>
      </c>
      <c r="J272" s="3" t="s">
        <v>111</v>
      </c>
      <c r="K272" s="3" t="s">
        <v>14</v>
      </c>
      <c r="L272" s="3" t="s">
        <v>123</v>
      </c>
      <c r="M272" s="3"/>
      <c r="N272" s="3"/>
      <c r="P272" s="298" t="s">
        <v>50</v>
      </c>
      <c r="Q272" s="299"/>
      <c r="R272" s="300" t="s">
        <v>51</v>
      </c>
      <c r="S272" s="301"/>
      <c r="T272" s="302"/>
    </row>
    <row r="273" spans="2:20" ht="13.5" customHeight="1" thickBot="1" x14ac:dyDescent="0.25">
      <c r="B273" s="16"/>
      <c r="C273" s="243" t="s">
        <v>124</v>
      </c>
      <c r="D273" s="243"/>
      <c r="E273" s="243"/>
      <c r="F273" s="1"/>
      <c r="G273" s="32"/>
      <c r="H273" s="15">
        <f>J273*L273</f>
        <v>0</v>
      </c>
      <c r="I273" s="20"/>
      <c r="J273" s="20">
        <f>F268</f>
        <v>0</v>
      </c>
      <c r="K273" s="20"/>
      <c r="L273" s="20">
        <f>INDEX(LrCfRf,MATCH("HSBP",LrCfRf_Header,0),MATCH(F269,LrCfRf_Speed,-1))</f>
        <v>6</v>
      </c>
      <c r="M273" s="20"/>
      <c r="N273" s="20"/>
      <c r="O273" s="20"/>
      <c r="P273" s="303" t="str">
        <f>IF(ISBLANK(F268),"NEED LENGTH",IF(F268&gt;200,"TOO LONG",""))</f>
        <v>NEED LENGTH</v>
      </c>
      <c r="Q273" s="304"/>
      <c r="R273" s="305" t="str">
        <f>IF(7-COUNTBLANK(P273:P279),"",IF(F273="Motovario",INDEX(LrDirectDriveMotovario_Cd,MATCH(1,INDEX((F269&lt;=LrDirectDriveMotovario_Speed)*(H275&lt;=LrDirectDriveMotovario_Hp)*(H271&lt;=LrDirectDriveMotovario_Ebp),0,0),0))&amp;" DIRECT DRIVE",IF(F273="Dodge",INDEX(LrDirectDriveDodge_Cd,MATCH(1,INDEX((F269&lt;=LrDirectDriveDodge_Speed)*(H275&lt;=LrDirectDriveDodge_Hp)*(H271&lt;=LrDirectDriveDodge_Ebp),0,0),0))&amp;" DIRECT DRIVE",INDEX(LrDriveCap_Cd,MATCH(1,INDEX((H271&lt;=LrDriveCap_Ebp)*(H275&lt;=LrDriveCap_Hp)*((F277&lt;&gt;0)=LrDriveCap_Slave)*(F268&lt;=LrDriveCap_Length),0,0),0)))))</f>
        <v/>
      </c>
      <c r="S273" s="306"/>
      <c r="T273" s="307"/>
    </row>
    <row r="274" spans="2:20" ht="13.5" customHeight="1" thickBot="1" x14ac:dyDescent="0.25">
      <c r="B274" s="16"/>
      <c r="C274" s="241" t="s">
        <v>125</v>
      </c>
      <c r="D274" s="241"/>
      <c r="E274" s="241"/>
      <c r="F274" s="1"/>
      <c r="G274" s="32"/>
      <c r="H274" s="18" t="s">
        <v>74</v>
      </c>
      <c r="I274" s="9" t="s">
        <v>10</v>
      </c>
      <c r="J274" s="9" t="s">
        <v>58</v>
      </c>
      <c r="K274" s="9" t="s">
        <v>14</v>
      </c>
      <c r="L274" s="9" t="s">
        <v>8</v>
      </c>
      <c r="M274" s="9" t="s">
        <v>75</v>
      </c>
      <c r="N274" s="19" t="s">
        <v>76</v>
      </c>
      <c r="O274" s="9"/>
      <c r="P274" s="327" t="str">
        <f>IF(ISBLANK(F269),"NEED SPEED","")</f>
        <v>NEED SPEED</v>
      </c>
      <c r="Q274" s="328"/>
      <c r="R274" s="324" t="str">
        <f>IF(7-COUNTBLANK(P273:P279),"",IF(F273="Motovario",INDEX(LrDirectDriveMotovario_Hp,MATCH(1,INDEX((F269&lt;=LrDirectDriveMotovario_Speed)*(H275&lt;=LrDirectDriveMotovario_Hp)*(H271&lt;=LrDirectDriveMotovario_Ebp),0,0),0)),IF(F273="Dodge",INDEX(LrDirectDriveDodge_Hp,MATCH(1,INDEX((F269&lt;=LrDirectDriveDodge_Speed)*(H275&lt;=LrDirectDriveDodge_Hp)*(H271&lt;=LrDirectDriveDodge_Ebp),0,0),0)),INDEX(LrDriveCap_Hp,MATCH(1,INDEX((H271&lt;=LrDriveCap_Ebp)*(H275&lt;=LrDriveCap_Hp)*((F277&lt;&gt;0)=LrDriveCap_Slave)*(F268&lt;=LrDriveCap_Length),0,0),0))))&amp;" HP")</f>
        <v/>
      </c>
      <c r="S274" s="325"/>
      <c r="T274" s="326"/>
    </row>
    <row r="275" spans="2:20" ht="13.5" customHeight="1" thickBot="1" x14ac:dyDescent="0.25">
      <c r="B275" s="16"/>
      <c r="G275" s="32"/>
      <c r="H275" s="15" t="e">
        <f>J275*L275/N275</f>
        <v>#N/A</v>
      </c>
      <c r="I275" s="20"/>
      <c r="J275" s="20" t="e">
        <f>H271</f>
        <v>#N/A</v>
      </c>
      <c r="K275" s="20"/>
      <c r="L275" s="20">
        <f>F269</f>
        <v>0</v>
      </c>
      <c r="M275" s="20"/>
      <c r="N275" s="8">
        <v>31350</v>
      </c>
      <c r="O275" s="20"/>
      <c r="P275" s="327" t="str">
        <f>IF(AND(ISBLANK($E$7),ISBLANK(F270)),"NEED LIVE LOAD","")</f>
        <v/>
      </c>
      <c r="Q275" s="328"/>
      <c r="R275" s="54" t="str">
        <f>IF(7-COUNTBLANK(P273:P279),"",IF(NOT(ISERROR(H271)),MAX(2,H271/200,IF(OR(AND(F268&gt;100,F277=0),AND(F268&gt;80,F277&lt;&gt;0)),3,0)),""))</f>
        <v/>
      </c>
      <c r="S275" s="324" t="str">
        <f>IF(7-COUNTBLANK(P273:P279),"","LONG SPRINGS")</f>
        <v/>
      </c>
      <c r="T275" s="326"/>
    </row>
    <row r="276" spans="2:20" ht="13.5" customHeight="1" thickBot="1" x14ac:dyDescent="0.25">
      <c r="B276" s="16"/>
      <c r="C276" s="243" t="s">
        <v>113</v>
      </c>
      <c r="D276" s="243"/>
      <c r="E276" s="243"/>
      <c r="F276" s="6"/>
      <c r="G276" s="32"/>
      <c r="H276" s="42"/>
      <c r="I276" s="21"/>
      <c r="J276" s="21"/>
      <c r="K276" s="21"/>
      <c r="L276" s="21"/>
      <c r="M276" s="21"/>
      <c r="N276" s="21"/>
      <c r="O276" s="40"/>
      <c r="P276" s="327" t="str">
        <f>IF(ISBLANK(F271),"NEED RLR CENT","")</f>
        <v>NEED RLR CENT</v>
      </c>
      <c r="Q276" s="328"/>
      <c r="R276" s="54" t="str">
        <f>IF(7-COUNTBLANK(P273:P279),"",IF(H271&lt;&gt;0,MAX(2,H271/160,IF(OR(AND(F268&gt;100,F277=0),AND(F268&gt;80,F277&lt;&gt;0)),3,0)),""))</f>
        <v/>
      </c>
      <c r="S276" s="324" t="str">
        <f>IF(7-COUNTBLANK(P273:P279),"","SHRT SPRINGS")</f>
        <v/>
      </c>
      <c r="T276" s="326"/>
    </row>
    <row r="277" spans="2:20" ht="13.5" customHeight="1" thickBot="1" x14ac:dyDescent="0.25">
      <c r="B277" s="16"/>
      <c r="C277" s="243" t="s">
        <v>131</v>
      </c>
      <c r="D277" s="243"/>
      <c r="E277" s="243"/>
      <c r="F277" s="6"/>
      <c r="G277" s="32"/>
      <c r="H277" s="56"/>
      <c r="I277" s="57"/>
      <c r="J277" s="57"/>
      <c r="K277" s="57"/>
      <c r="L277" s="57"/>
      <c r="M277" s="57"/>
      <c r="N277" s="57"/>
      <c r="O277" s="58"/>
      <c r="P277" s="327" t="str">
        <f>IFERROR(IF(H275&gt;MAX(LrDriveCap_Hp),"EXCEEDS MAX HP",""),"")</f>
        <v/>
      </c>
      <c r="Q277" s="328"/>
      <c r="R277" s="324" t="str">
        <f>IF(7-COUNTBLANK(P273:P279),"",IF(H271&gt;600,"6IN ENTRY TE REQUIRED",""))</f>
        <v/>
      </c>
      <c r="S277" s="325"/>
      <c r="T277" s="326"/>
    </row>
    <row r="278" spans="2:20" ht="13.5" customHeight="1" x14ac:dyDescent="0.2">
      <c r="B278" s="16"/>
      <c r="C278" s="240"/>
      <c r="D278" s="240"/>
      <c r="E278" s="240"/>
      <c r="G278" s="32"/>
      <c r="H278" s="290" t="s">
        <v>133</v>
      </c>
      <c r="I278" s="291"/>
      <c r="J278" s="291"/>
      <c r="K278" s="291"/>
      <c r="L278" s="291"/>
      <c r="M278" s="291"/>
      <c r="N278" s="291"/>
      <c r="O278" s="292"/>
      <c r="P278" s="327" t="str">
        <f>IFERROR(IF(H271&gt;MAX(LrDriveCap_Ebp),"EXCEEDS MAX EBP",""),"")</f>
        <v/>
      </c>
      <c r="Q278" s="328"/>
      <c r="R278" s="324"/>
      <c r="S278" s="325"/>
      <c r="T278" s="326"/>
    </row>
    <row r="279" spans="2:20" ht="13.5" customHeight="1" thickBot="1" x14ac:dyDescent="0.25">
      <c r="B279" s="12"/>
      <c r="C279" s="293"/>
      <c r="D279" s="293"/>
      <c r="E279" s="293"/>
      <c r="F279" s="7"/>
      <c r="G279" s="37"/>
      <c r="H279" s="16" t="s">
        <v>134</v>
      </c>
      <c r="J279" s="26" t="str">
        <f>IFERROR(H271*J280/2,"")</f>
        <v/>
      </c>
      <c r="L279" s="2" t="s">
        <v>135</v>
      </c>
      <c r="N279" s="26" t="str">
        <f>IF(F273="Motovario",INDEX(LrDirectDriveMotovario_MaxT,MATCH(1,INDEX((F269&lt;=LrDirectDriveMotovario_Speed)*(H275&lt;=LrDirectDriveMotovario_Hp)*(H271&lt;=LrDirectDriveMotovario_Ebp),0,0),0)),IF(F273="Dodge",INDEX(LrDirectDriveDodge_MaxT,MATCH(1,INDEX((F269&lt;=LrDirectDriveDodge_Speed)*(H275&lt;=LrDirectDriveDodge_Hp)*(H271&lt;=LrDirectDriveDodge_Ebp),0,0),0)),""))</f>
        <v/>
      </c>
      <c r="P279" s="327" t="str">
        <f>IFERROR(IF(AND(AND(F273&lt;&gt;"Motovario",F273&lt;&gt;"Dodge"),VALUE(RIGHT(R280,LEN(R280)-14))&lt;&gt;F269),"USE DD NOM SPD",""),"")</f>
        <v/>
      </c>
      <c r="Q279" s="328"/>
      <c r="R279" s="324" t="str">
        <f>IF(7-COUNTBLANK(P273:P279),"",IF(H273&gt;1100,"SOFT START REQUIRED",""))</f>
        <v/>
      </c>
      <c r="S279" s="325"/>
      <c r="T279" s="326"/>
    </row>
    <row r="280" spans="2:20" ht="13.5" customHeight="1" thickBot="1" x14ac:dyDescent="0.25">
      <c r="B280" s="294" t="s">
        <v>78</v>
      </c>
      <c r="C280" s="295"/>
      <c r="D280" s="262"/>
      <c r="E280" s="263"/>
      <c r="F280" s="263"/>
      <c r="G280" s="264"/>
      <c r="H280" s="12" t="s">
        <v>136</v>
      </c>
      <c r="I280" s="7"/>
      <c r="J280" s="27" t="str">
        <f>IFERROR(VALUE(LEFT(R273,SEARCH("CD",R273)-1))+1/2,"")</f>
        <v/>
      </c>
      <c r="K280" s="7"/>
      <c r="L280" s="17" t="s">
        <v>137</v>
      </c>
      <c r="M280" s="17"/>
      <c r="N280" s="43" t="str">
        <f>IFERROR(N279/J279,"")</f>
        <v/>
      </c>
      <c r="O280" s="7"/>
      <c r="P280" s="337" t="str">
        <f>IF(ISBLANK(F274),"NEED AP INFO",IF(ISBLANK(F276),"NEED SLUG LGTH",IF(ISBLANK(F277),"NEED SLAVE INFO","")))</f>
        <v>NEED AP INFO</v>
      </c>
      <c r="Q280" s="338"/>
      <c r="R280" s="330" t="str">
        <f>IF(6-COUNTBLANK(P273:P278),"",IF(F273="Motovario","DD NOM SPEED: "&amp;INDEX(LrDirectDriveMotovario_Speed,MATCH(1,INDEX((F269&lt;=LrDirectDriveMotovario_Speed)*(H275&lt;=LrDirectDriveMotovario_Hp)*(H271&lt;=LrDirectDriveMotovario_Ebp),0,0),0)),IF(F273="Dodge","DD NOM SPEED: "&amp;INDEX(LrDirectDriveDodge_Speed,MATCH(1,INDEX((F269&lt;=LrDirectDriveDodge_Speed)*(H275&lt;=LrDirectDriveDodge_Hp)*(H271&lt;=LrDirectDriveDodge_Ebp),0,0),0)),"")))</f>
        <v/>
      </c>
      <c r="S280" s="331"/>
      <c r="T280" s="332"/>
    </row>
    <row r="281" spans="2:20" ht="13.5" customHeight="1" thickBot="1" x14ac:dyDescent="0.25"/>
    <row r="282" spans="2:20" ht="13.5" customHeight="1" x14ac:dyDescent="0.2">
      <c r="B282" s="39"/>
      <c r="C282" s="320"/>
      <c r="D282" s="320"/>
      <c r="E282" s="320"/>
      <c r="F282" s="28"/>
      <c r="G282" s="30"/>
      <c r="H282" s="13" t="s">
        <v>30</v>
      </c>
      <c r="I282" s="10" t="s">
        <v>10</v>
      </c>
      <c r="J282" s="4" t="s">
        <v>110</v>
      </c>
      <c r="K282" s="4" t="s">
        <v>14</v>
      </c>
      <c r="L282" s="4" t="s">
        <v>111</v>
      </c>
      <c r="M282" s="4" t="s">
        <v>14</v>
      </c>
      <c r="N282" s="4" t="s">
        <v>112</v>
      </c>
      <c r="O282" s="4" t="s">
        <v>12</v>
      </c>
      <c r="P282" s="4" t="s">
        <v>110</v>
      </c>
      <c r="Q282" s="4" t="s">
        <v>14</v>
      </c>
      <c r="R282" s="4" t="s">
        <v>113</v>
      </c>
      <c r="S282" s="4" t="s">
        <v>14</v>
      </c>
      <c r="T282" s="5" t="s">
        <v>112</v>
      </c>
    </row>
    <row r="283" spans="2:20" ht="13.5" customHeight="1" thickBot="1" x14ac:dyDescent="0.25">
      <c r="B283" s="16"/>
      <c r="C283" s="2" t="s">
        <v>5</v>
      </c>
      <c r="D283" s="59"/>
      <c r="E283" s="59"/>
      <c r="F283" s="59"/>
      <c r="G283" s="32"/>
      <c r="H283" s="15">
        <f>J283*L283*N283+P283*R283*T283</f>
        <v>0</v>
      </c>
      <c r="I283" s="20"/>
      <c r="J283" s="20">
        <f>IF(F286=0,$E$7,F286)</f>
        <v>25</v>
      </c>
      <c r="K283" s="20"/>
      <c r="L283" s="20">
        <f>F284</f>
        <v>0</v>
      </c>
      <c r="M283" s="20"/>
      <c r="N283" s="20">
        <v>2.1000000000000001E-2</v>
      </c>
      <c r="O283" s="20"/>
      <c r="P283" s="20">
        <f>J283</f>
        <v>25</v>
      </c>
      <c r="Q283" s="20"/>
      <c r="R283" s="20">
        <f>F292</f>
        <v>0</v>
      </c>
      <c r="S283" s="20"/>
      <c r="T283" s="11">
        <v>3.5000000000000003E-2</v>
      </c>
    </row>
    <row r="284" spans="2:20" ht="13.5" customHeight="1" thickBot="1" x14ac:dyDescent="0.25">
      <c r="B284" s="16"/>
      <c r="C284" s="321"/>
      <c r="D284" s="323" t="s">
        <v>111</v>
      </c>
      <c r="E284" s="244"/>
      <c r="F284" s="6"/>
      <c r="G284" s="32"/>
      <c r="H284" s="18" t="s">
        <v>31</v>
      </c>
      <c r="I284" s="9" t="s">
        <v>10</v>
      </c>
      <c r="J284" s="9" t="s">
        <v>111</v>
      </c>
      <c r="K284" s="9" t="s">
        <v>14</v>
      </c>
      <c r="L284" s="9" t="s">
        <v>115</v>
      </c>
      <c r="M284" s="9" t="s">
        <v>14</v>
      </c>
      <c r="N284" s="9" t="s">
        <v>116</v>
      </c>
      <c r="O284" s="9"/>
      <c r="P284" s="9"/>
      <c r="Q284" s="9"/>
      <c r="R284" s="9"/>
      <c r="S284" s="21"/>
      <c r="T284" s="40"/>
    </row>
    <row r="285" spans="2:20" ht="13.5" customHeight="1" thickBot="1" x14ac:dyDescent="0.25">
      <c r="B285" s="16"/>
      <c r="C285" s="322"/>
      <c r="D285" s="323" t="s">
        <v>8</v>
      </c>
      <c r="E285" s="244"/>
      <c r="F285" s="6"/>
      <c r="G285" s="32"/>
      <c r="H285" s="15" t="e">
        <f>J285*L285*N285</f>
        <v>#N/A</v>
      </c>
      <c r="I285" s="20"/>
      <c r="J285" s="20">
        <f>F284</f>
        <v>0</v>
      </c>
      <c r="K285" s="20"/>
      <c r="L285" s="20">
        <f>INDEX(LrCfRf,MATCH("CF",LrCfRf_Header,0),MATCH(F285,LrCfRf_Speed,-1))</f>
        <v>0.4</v>
      </c>
      <c r="M285" s="20"/>
      <c r="N285" s="20" t="e">
        <f>INDEX(LrCfRf,MATCH("RLR "&amp;F287,LrCfRf_Header,0),MATCH(F285,LrCfRf_Speed,-1))</f>
        <v>#N/A</v>
      </c>
      <c r="O285" s="20"/>
      <c r="P285" s="20"/>
      <c r="Q285" s="20"/>
      <c r="R285" s="20"/>
      <c r="S285" s="20"/>
      <c r="T285" s="41"/>
    </row>
    <row r="286" spans="2:20" ht="13.5" customHeight="1" thickBot="1" x14ac:dyDescent="0.25">
      <c r="B286" s="16"/>
      <c r="C286" s="243" t="s">
        <v>24</v>
      </c>
      <c r="D286" s="243"/>
      <c r="E286" s="243"/>
      <c r="F286" s="6"/>
      <c r="G286" s="32"/>
      <c r="H286" s="14" t="s">
        <v>58</v>
      </c>
      <c r="I286" s="3" t="s">
        <v>10</v>
      </c>
      <c r="J286" s="3" t="s">
        <v>119</v>
      </c>
      <c r="K286" s="3" t="s">
        <v>14</v>
      </c>
      <c r="L286" s="3" t="s">
        <v>61</v>
      </c>
      <c r="M286" s="3" t="s">
        <v>12</v>
      </c>
      <c r="N286" s="3" t="s">
        <v>57</v>
      </c>
      <c r="T286" s="32"/>
    </row>
    <row r="287" spans="2:20" ht="13.5" customHeight="1" thickBot="1" x14ac:dyDescent="0.25">
      <c r="B287" s="16"/>
      <c r="C287" s="243" t="s">
        <v>47</v>
      </c>
      <c r="D287" s="243"/>
      <c r="E287" s="243"/>
      <c r="F287" s="6"/>
      <c r="G287" s="32"/>
      <c r="H287" s="15" t="e">
        <f>J287*L287+N287</f>
        <v>#N/A</v>
      </c>
      <c r="I287" s="20"/>
      <c r="J287" s="20" t="e">
        <f>H283+H285</f>
        <v>#N/A</v>
      </c>
      <c r="K287" s="20"/>
      <c r="L287" s="20">
        <f>IF(F290="Y",1.33*1.1,1.33)</f>
        <v>1.33</v>
      </c>
      <c r="M287" s="20"/>
      <c r="N287" s="20">
        <f>F293</f>
        <v>0</v>
      </c>
      <c r="O287" s="20"/>
      <c r="P287" s="26"/>
      <c r="Q287" s="26"/>
      <c r="R287" s="26"/>
      <c r="S287" s="26"/>
      <c r="T287" s="22"/>
    </row>
    <row r="288" spans="2:20" ht="13.5" customHeight="1" thickBot="1" x14ac:dyDescent="0.25">
      <c r="B288" s="16"/>
      <c r="C288" s="245"/>
      <c r="D288" s="245"/>
      <c r="E288" s="245"/>
      <c r="G288" s="32"/>
      <c r="H288" s="14" t="s">
        <v>122</v>
      </c>
      <c r="I288" s="3" t="s">
        <v>10</v>
      </c>
      <c r="J288" s="3" t="s">
        <v>111</v>
      </c>
      <c r="K288" s="3" t="s">
        <v>14</v>
      </c>
      <c r="L288" s="3" t="s">
        <v>123</v>
      </c>
      <c r="M288" s="3"/>
      <c r="N288" s="3"/>
      <c r="P288" s="298" t="s">
        <v>50</v>
      </c>
      <c r="Q288" s="299"/>
      <c r="R288" s="300" t="s">
        <v>51</v>
      </c>
      <c r="S288" s="301"/>
      <c r="T288" s="302"/>
    </row>
    <row r="289" spans="2:20" ht="13.5" customHeight="1" thickBot="1" x14ac:dyDescent="0.25">
      <c r="B289" s="16"/>
      <c r="C289" s="243" t="s">
        <v>124</v>
      </c>
      <c r="D289" s="243"/>
      <c r="E289" s="243"/>
      <c r="F289" s="1"/>
      <c r="G289" s="32"/>
      <c r="H289" s="15">
        <f>J289*L289</f>
        <v>0</v>
      </c>
      <c r="I289" s="20"/>
      <c r="J289" s="20">
        <f>F284</f>
        <v>0</v>
      </c>
      <c r="K289" s="20"/>
      <c r="L289" s="20">
        <f>INDEX(LrCfRf,MATCH("HSBP",LrCfRf_Header,0),MATCH(F285,LrCfRf_Speed,-1))</f>
        <v>6</v>
      </c>
      <c r="M289" s="20"/>
      <c r="N289" s="20"/>
      <c r="O289" s="20"/>
      <c r="P289" s="303" t="str">
        <f>IF(ISBLANK(F284),"NEED LENGTH",IF(F284&gt;200,"TOO LONG",""))</f>
        <v>NEED LENGTH</v>
      </c>
      <c r="Q289" s="304"/>
      <c r="R289" s="305" t="str">
        <f>IF(7-COUNTBLANK(P289:P295),"",IF(F289="Motovario",INDEX(LrDirectDriveMotovario_Cd,MATCH(1,INDEX((F285&lt;=LrDirectDriveMotovario_Speed)*(H291&lt;=LrDirectDriveMotovario_Hp)*(H287&lt;=LrDirectDriveMotovario_Ebp),0,0),0))&amp;" DIRECT DRIVE",IF(F289="Dodge",INDEX(LrDirectDriveDodge_Cd,MATCH(1,INDEX((F285&lt;=LrDirectDriveDodge_Speed)*(H291&lt;=LrDirectDriveDodge_Hp)*(H287&lt;=LrDirectDriveDodge_Ebp),0,0),0))&amp;" DIRECT DRIVE",INDEX(LrDriveCap_Cd,MATCH(1,INDEX((H287&lt;=LrDriveCap_Ebp)*(H291&lt;=LrDriveCap_Hp)*((F293&lt;&gt;0)=LrDriveCap_Slave)*(F284&lt;=LrDriveCap_Length),0,0),0)))))</f>
        <v/>
      </c>
      <c r="S289" s="306"/>
      <c r="T289" s="307"/>
    </row>
    <row r="290" spans="2:20" ht="13.5" customHeight="1" thickBot="1" x14ac:dyDescent="0.25">
      <c r="B290" s="16"/>
      <c r="C290" s="241" t="s">
        <v>125</v>
      </c>
      <c r="D290" s="241"/>
      <c r="E290" s="241"/>
      <c r="F290" s="1"/>
      <c r="G290" s="32"/>
      <c r="H290" s="18" t="s">
        <v>74</v>
      </c>
      <c r="I290" s="9" t="s">
        <v>10</v>
      </c>
      <c r="J290" s="9" t="s">
        <v>58</v>
      </c>
      <c r="K290" s="9" t="s">
        <v>14</v>
      </c>
      <c r="L290" s="9" t="s">
        <v>8</v>
      </c>
      <c r="M290" s="9" t="s">
        <v>75</v>
      </c>
      <c r="N290" s="19" t="s">
        <v>76</v>
      </c>
      <c r="O290" s="9"/>
      <c r="P290" s="327" t="str">
        <f>IF(ISBLANK(F285),"NEED SPEED","")</f>
        <v>NEED SPEED</v>
      </c>
      <c r="Q290" s="328"/>
      <c r="R290" s="324" t="str">
        <f>IF(7-COUNTBLANK(P289:P295),"",IF(F289="Motovario",INDEX(LrDirectDriveMotovario_Hp,MATCH(1,INDEX((F285&lt;=LrDirectDriveMotovario_Speed)*(H291&lt;=LrDirectDriveMotovario_Hp)*(H287&lt;=LrDirectDriveMotovario_Ebp),0,0),0)),IF(F289="Dodge",INDEX(LrDirectDriveDodge_Hp,MATCH(1,INDEX((F285&lt;=LrDirectDriveDodge_Speed)*(H291&lt;=LrDirectDriveDodge_Hp)*(H287&lt;=LrDirectDriveDodge_Ebp),0,0),0)),INDEX(LrDriveCap_Hp,MATCH(1,INDEX((H287&lt;=LrDriveCap_Ebp)*(H291&lt;=LrDriveCap_Hp)*((F293&lt;&gt;0)=LrDriveCap_Slave)*(F284&lt;=LrDriveCap_Length),0,0),0))))&amp;" HP")</f>
        <v/>
      </c>
      <c r="S290" s="325"/>
      <c r="T290" s="326"/>
    </row>
    <row r="291" spans="2:20" ht="13.5" customHeight="1" thickBot="1" x14ac:dyDescent="0.25">
      <c r="B291" s="16"/>
      <c r="G291" s="32"/>
      <c r="H291" s="15" t="e">
        <f>J291*L291/N291</f>
        <v>#N/A</v>
      </c>
      <c r="I291" s="20"/>
      <c r="J291" s="20" t="e">
        <f>H287</f>
        <v>#N/A</v>
      </c>
      <c r="K291" s="20"/>
      <c r="L291" s="20">
        <f>F285</f>
        <v>0</v>
      </c>
      <c r="M291" s="20"/>
      <c r="N291" s="8">
        <v>31350</v>
      </c>
      <c r="O291" s="20"/>
      <c r="P291" s="327" t="str">
        <f>IF(AND(ISBLANK($E$7),ISBLANK(F286)),"NEED LIVE LOAD","")</f>
        <v/>
      </c>
      <c r="Q291" s="328"/>
      <c r="R291" s="54" t="str">
        <f>IF(7-COUNTBLANK(P289:P295),"",IF(NOT(ISERROR(H287)),MAX(2,H287/200,IF(OR(AND(F284&gt;100,F293=0),AND(F284&gt;80,F293&lt;&gt;0)),3,0)),""))</f>
        <v/>
      </c>
      <c r="S291" s="324" t="str">
        <f>IF(7-COUNTBLANK(P289:P295),"","LONG SPRINGS")</f>
        <v/>
      </c>
      <c r="T291" s="326"/>
    </row>
    <row r="292" spans="2:20" ht="13.5" customHeight="1" thickBot="1" x14ac:dyDescent="0.25">
      <c r="B292" s="16"/>
      <c r="C292" s="243" t="s">
        <v>113</v>
      </c>
      <c r="D292" s="243"/>
      <c r="E292" s="243"/>
      <c r="F292" s="6"/>
      <c r="G292" s="32"/>
      <c r="H292" s="42"/>
      <c r="I292" s="21"/>
      <c r="J292" s="21"/>
      <c r="K292" s="21"/>
      <c r="L292" s="21"/>
      <c r="M292" s="21"/>
      <c r="N292" s="21"/>
      <c r="O292" s="40"/>
      <c r="P292" s="327" t="str">
        <f>IF(ISBLANK(F287),"NEED RLR CENT","")</f>
        <v>NEED RLR CENT</v>
      </c>
      <c r="Q292" s="328"/>
      <c r="R292" s="54" t="str">
        <f>IF(7-COUNTBLANK(P289:P295),"",IF(H287&lt;&gt;0,MAX(2,H287/160,IF(OR(AND(F284&gt;100,F293=0),AND(F284&gt;80,F293&lt;&gt;0)),3,0)),""))</f>
        <v/>
      </c>
      <c r="S292" s="324" t="str">
        <f>IF(7-COUNTBLANK(P289:P295),"","SHRT SPRINGS")</f>
        <v/>
      </c>
      <c r="T292" s="326"/>
    </row>
    <row r="293" spans="2:20" ht="13.5" customHeight="1" thickBot="1" x14ac:dyDescent="0.25">
      <c r="B293" s="16"/>
      <c r="C293" s="243" t="s">
        <v>131</v>
      </c>
      <c r="D293" s="243"/>
      <c r="E293" s="243"/>
      <c r="F293" s="6"/>
      <c r="G293" s="32"/>
      <c r="H293" s="56"/>
      <c r="I293" s="57"/>
      <c r="J293" s="57"/>
      <c r="K293" s="57"/>
      <c r="L293" s="57"/>
      <c r="M293" s="57"/>
      <c r="N293" s="57"/>
      <c r="O293" s="58"/>
      <c r="P293" s="327" t="str">
        <f>IFERROR(IF(H291&gt;MAX(LrDriveCap_Hp),"EXCEEDS MAX HP",""),"")</f>
        <v/>
      </c>
      <c r="Q293" s="328"/>
      <c r="R293" s="324" t="str">
        <f>IF(7-COUNTBLANK(P289:P295),"",IF(H287&gt;600,"6IN ENTRY TE REQUIRED",""))</f>
        <v/>
      </c>
      <c r="S293" s="325"/>
      <c r="T293" s="326"/>
    </row>
    <row r="294" spans="2:20" ht="13.5" customHeight="1" x14ac:dyDescent="0.2">
      <c r="B294" s="16"/>
      <c r="C294" s="240"/>
      <c r="D294" s="240"/>
      <c r="E294" s="240"/>
      <c r="G294" s="32"/>
      <c r="H294" s="290" t="s">
        <v>133</v>
      </c>
      <c r="I294" s="291"/>
      <c r="J294" s="291"/>
      <c r="K294" s="291"/>
      <c r="L294" s="291"/>
      <c r="M294" s="291"/>
      <c r="N294" s="291"/>
      <c r="O294" s="292"/>
      <c r="P294" s="327" t="str">
        <f>IFERROR(IF(H287&gt;MAX(LrDriveCap_Ebp),"EXCEEDS MAX EBP",""),"")</f>
        <v/>
      </c>
      <c r="Q294" s="328"/>
      <c r="R294" s="324"/>
      <c r="S294" s="325"/>
      <c r="T294" s="326"/>
    </row>
    <row r="295" spans="2:20" ht="13.5" customHeight="1" thickBot="1" x14ac:dyDescent="0.25">
      <c r="B295" s="12"/>
      <c r="C295" s="293"/>
      <c r="D295" s="293"/>
      <c r="E295" s="293"/>
      <c r="F295" s="7"/>
      <c r="G295" s="37"/>
      <c r="H295" s="16" t="s">
        <v>134</v>
      </c>
      <c r="J295" s="26" t="str">
        <f>IFERROR(H287*J296/2,"")</f>
        <v/>
      </c>
      <c r="L295" s="2" t="s">
        <v>135</v>
      </c>
      <c r="N295" s="26" t="str">
        <f>IF(F289="Motovario",INDEX(LrDirectDriveMotovario_MaxT,MATCH(1,INDEX((F285&lt;=LrDirectDriveMotovario_Speed)*(H291&lt;=LrDirectDriveMotovario_Hp)*(H287&lt;=LrDirectDriveMotovario_Ebp),0,0),0)),IF(F289="Dodge",INDEX(LrDirectDriveDodge_MaxT,MATCH(1,INDEX((F285&lt;=LrDirectDriveDodge_Speed)*(H291&lt;=LrDirectDriveDodge_Hp)*(H287&lt;=LrDirectDriveDodge_Ebp),0,0),0)),""))</f>
        <v/>
      </c>
      <c r="P295" s="327" t="str">
        <f>IFERROR(IF(AND(AND(F289&lt;&gt;"Motovario",F289&lt;&gt;"Dodge"),VALUE(RIGHT(R296,LEN(R296)-14))&lt;&gt;F285),"USE DD NOM SPD",""),"")</f>
        <v/>
      </c>
      <c r="Q295" s="328"/>
      <c r="R295" s="324" t="str">
        <f>IF(7-COUNTBLANK(P289:P295),"",IF(H289&gt;1100,"SOFT START REQUIRED",""))</f>
        <v/>
      </c>
      <c r="S295" s="325"/>
      <c r="T295" s="326"/>
    </row>
    <row r="296" spans="2:20" ht="13.5" customHeight="1" thickBot="1" x14ac:dyDescent="0.25">
      <c r="B296" s="294" t="s">
        <v>78</v>
      </c>
      <c r="C296" s="295"/>
      <c r="D296" s="262"/>
      <c r="E296" s="263"/>
      <c r="F296" s="263"/>
      <c r="G296" s="264"/>
      <c r="H296" s="12" t="s">
        <v>136</v>
      </c>
      <c r="I296" s="7"/>
      <c r="J296" s="27" t="str">
        <f>IFERROR(VALUE(LEFT(R289,SEARCH("CD",R289)-1))+1/2,"")</f>
        <v/>
      </c>
      <c r="K296" s="7"/>
      <c r="L296" s="17" t="s">
        <v>137</v>
      </c>
      <c r="M296" s="17"/>
      <c r="N296" s="43" t="str">
        <f>IFERROR(N295/J295,"")</f>
        <v/>
      </c>
      <c r="O296" s="7"/>
      <c r="P296" s="337" t="str">
        <f>IF(ISBLANK(F290),"NEED AP INFO",IF(ISBLANK(F292),"NEED SLUG LGTH",IF(ISBLANK(F293),"NEED SLAVE INFO","")))</f>
        <v>NEED AP INFO</v>
      </c>
      <c r="Q296" s="338"/>
      <c r="R296" s="330" t="str">
        <f>IF(6-COUNTBLANK(P289:P294),"",IF(F289="Motovario","DD NOM SPEED: "&amp;INDEX(LrDirectDriveMotovario_Speed,MATCH(1,INDEX((F285&lt;=LrDirectDriveMotovario_Speed)*(H291&lt;=LrDirectDriveMotovario_Hp)*(H287&lt;=LrDirectDriveMotovario_Ebp),0,0),0)),IF(F289="Dodge","DD NOM SPEED: "&amp;INDEX(LrDirectDriveDodge_Speed,MATCH(1,INDEX((F285&lt;=LrDirectDriveDodge_Speed)*(H291&lt;=LrDirectDriveDodge_Hp)*(H287&lt;=LrDirectDriveDodge_Ebp),0,0),0)),"")))</f>
        <v/>
      </c>
      <c r="S296" s="331"/>
      <c r="T296" s="332"/>
    </row>
    <row r="297" spans="2:20" ht="13.5" customHeight="1" thickBot="1" x14ac:dyDescent="0.25"/>
    <row r="298" spans="2:20" ht="13.5" customHeight="1" x14ac:dyDescent="0.2">
      <c r="B298" s="39"/>
      <c r="C298" s="320"/>
      <c r="D298" s="320"/>
      <c r="E298" s="320"/>
      <c r="F298" s="28"/>
      <c r="G298" s="30"/>
      <c r="H298" s="13" t="s">
        <v>30</v>
      </c>
      <c r="I298" s="10" t="s">
        <v>10</v>
      </c>
      <c r="J298" s="4" t="s">
        <v>110</v>
      </c>
      <c r="K298" s="4" t="s">
        <v>14</v>
      </c>
      <c r="L298" s="4" t="s">
        <v>111</v>
      </c>
      <c r="M298" s="4" t="s">
        <v>14</v>
      </c>
      <c r="N298" s="4" t="s">
        <v>112</v>
      </c>
      <c r="O298" s="4" t="s">
        <v>12</v>
      </c>
      <c r="P298" s="4" t="s">
        <v>110</v>
      </c>
      <c r="Q298" s="4" t="s">
        <v>14</v>
      </c>
      <c r="R298" s="4" t="s">
        <v>113</v>
      </c>
      <c r="S298" s="4" t="s">
        <v>14</v>
      </c>
      <c r="T298" s="5" t="s">
        <v>112</v>
      </c>
    </row>
    <row r="299" spans="2:20" ht="13.5" customHeight="1" thickBot="1" x14ac:dyDescent="0.25">
      <c r="B299" s="16"/>
      <c r="C299" s="2" t="s">
        <v>5</v>
      </c>
      <c r="D299" s="59"/>
      <c r="E299" s="59"/>
      <c r="F299" s="59"/>
      <c r="G299" s="32"/>
      <c r="H299" s="15">
        <f>J299*L299*N299+P299*R299*T299</f>
        <v>0</v>
      </c>
      <c r="I299" s="20"/>
      <c r="J299" s="20">
        <f>IF(F302=0,$E$7,F302)</f>
        <v>25</v>
      </c>
      <c r="K299" s="20"/>
      <c r="L299" s="20">
        <f>F300</f>
        <v>0</v>
      </c>
      <c r="M299" s="20"/>
      <c r="N299" s="20">
        <v>2.1000000000000001E-2</v>
      </c>
      <c r="O299" s="20"/>
      <c r="P299" s="20">
        <f>J299</f>
        <v>25</v>
      </c>
      <c r="Q299" s="20"/>
      <c r="R299" s="20">
        <f>F308</f>
        <v>0</v>
      </c>
      <c r="S299" s="20"/>
      <c r="T299" s="11">
        <v>3.5000000000000003E-2</v>
      </c>
    </row>
    <row r="300" spans="2:20" ht="13.5" customHeight="1" thickBot="1" x14ac:dyDescent="0.25">
      <c r="B300" s="16"/>
      <c r="C300" s="321"/>
      <c r="D300" s="323" t="s">
        <v>111</v>
      </c>
      <c r="E300" s="244"/>
      <c r="F300" s="6"/>
      <c r="G300" s="32"/>
      <c r="H300" s="18" t="s">
        <v>31</v>
      </c>
      <c r="I300" s="9" t="s">
        <v>10</v>
      </c>
      <c r="J300" s="9" t="s">
        <v>111</v>
      </c>
      <c r="K300" s="9" t="s">
        <v>14</v>
      </c>
      <c r="L300" s="9" t="s">
        <v>115</v>
      </c>
      <c r="M300" s="9" t="s">
        <v>14</v>
      </c>
      <c r="N300" s="9" t="s">
        <v>116</v>
      </c>
      <c r="O300" s="9"/>
      <c r="P300" s="9"/>
      <c r="Q300" s="9"/>
      <c r="R300" s="9"/>
      <c r="S300" s="21"/>
      <c r="T300" s="40"/>
    </row>
    <row r="301" spans="2:20" ht="13.5" customHeight="1" thickBot="1" x14ac:dyDescent="0.25">
      <c r="B301" s="16"/>
      <c r="C301" s="322"/>
      <c r="D301" s="323" t="s">
        <v>8</v>
      </c>
      <c r="E301" s="244"/>
      <c r="F301" s="6"/>
      <c r="G301" s="32"/>
      <c r="H301" s="15" t="e">
        <f>J301*L301*N301</f>
        <v>#N/A</v>
      </c>
      <c r="I301" s="20"/>
      <c r="J301" s="20">
        <f>F300</f>
        <v>0</v>
      </c>
      <c r="K301" s="20"/>
      <c r="L301" s="20">
        <f>INDEX(LrCfRf,MATCH("CF",LrCfRf_Header,0),MATCH(F301,LrCfRf_Speed,-1))</f>
        <v>0.4</v>
      </c>
      <c r="M301" s="20"/>
      <c r="N301" s="20" t="e">
        <f>INDEX(LrCfRf,MATCH("RLR "&amp;F303,LrCfRf_Header,0),MATCH(F301,LrCfRf_Speed,-1))</f>
        <v>#N/A</v>
      </c>
      <c r="O301" s="20"/>
      <c r="P301" s="20"/>
      <c r="Q301" s="20"/>
      <c r="R301" s="20"/>
      <c r="S301" s="20"/>
      <c r="T301" s="41"/>
    </row>
    <row r="302" spans="2:20" ht="13.5" customHeight="1" thickBot="1" x14ac:dyDescent="0.25">
      <c r="B302" s="16"/>
      <c r="C302" s="243" t="s">
        <v>24</v>
      </c>
      <c r="D302" s="243"/>
      <c r="E302" s="243"/>
      <c r="F302" s="6"/>
      <c r="G302" s="32"/>
      <c r="H302" s="14" t="s">
        <v>58</v>
      </c>
      <c r="I302" s="3" t="s">
        <v>10</v>
      </c>
      <c r="J302" s="3" t="s">
        <v>119</v>
      </c>
      <c r="K302" s="3" t="s">
        <v>14</v>
      </c>
      <c r="L302" s="3" t="s">
        <v>61</v>
      </c>
      <c r="M302" s="3" t="s">
        <v>12</v>
      </c>
      <c r="N302" s="3" t="s">
        <v>57</v>
      </c>
      <c r="T302" s="32"/>
    </row>
    <row r="303" spans="2:20" ht="13.5" customHeight="1" thickBot="1" x14ac:dyDescent="0.25">
      <c r="B303" s="16"/>
      <c r="C303" s="243" t="s">
        <v>47</v>
      </c>
      <c r="D303" s="243"/>
      <c r="E303" s="243"/>
      <c r="F303" s="6"/>
      <c r="G303" s="32"/>
      <c r="H303" s="15" t="e">
        <f>J303*L303+N303</f>
        <v>#N/A</v>
      </c>
      <c r="I303" s="20"/>
      <c r="J303" s="20" t="e">
        <f>H299+H301</f>
        <v>#N/A</v>
      </c>
      <c r="K303" s="20"/>
      <c r="L303" s="20">
        <f>IF(F306="Y",1.33*1.1,1.33)</f>
        <v>1.33</v>
      </c>
      <c r="M303" s="20"/>
      <c r="N303" s="20">
        <f>F309</f>
        <v>0</v>
      </c>
      <c r="O303" s="20"/>
      <c r="P303" s="26"/>
      <c r="Q303" s="26"/>
      <c r="R303" s="26"/>
      <c r="S303" s="26"/>
      <c r="T303" s="22"/>
    </row>
    <row r="304" spans="2:20" ht="13.5" customHeight="1" thickBot="1" x14ac:dyDescent="0.25">
      <c r="B304" s="16"/>
      <c r="C304" s="245"/>
      <c r="D304" s="245"/>
      <c r="E304" s="245"/>
      <c r="G304" s="32"/>
      <c r="H304" s="14" t="s">
        <v>122</v>
      </c>
      <c r="I304" s="3" t="s">
        <v>10</v>
      </c>
      <c r="J304" s="3" t="s">
        <v>111</v>
      </c>
      <c r="K304" s="3" t="s">
        <v>14</v>
      </c>
      <c r="L304" s="3" t="s">
        <v>123</v>
      </c>
      <c r="M304" s="3"/>
      <c r="N304" s="3"/>
      <c r="P304" s="298" t="s">
        <v>50</v>
      </c>
      <c r="Q304" s="299"/>
      <c r="R304" s="300" t="s">
        <v>51</v>
      </c>
      <c r="S304" s="301"/>
      <c r="T304" s="302"/>
    </row>
    <row r="305" spans="2:20" ht="13.5" customHeight="1" thickBot="1" x14ac:dyDescent="0.25">
      <c r="B305" s="16"/>
      <c r="C305" s="243" t="s">
        <v>124</v>
      </c>
      <c r="D305" s="243"/>
      <c r="E305" s="243"/>
      <c r="F305" s="1"/>
      <c r="G305" s="32"/>
      <c r="H305" s="15">
        <f>J305*L305</f>
        <v>0</v>
      </c>
      <c r="I305" s="20"/>
      <c r="J305" s="20">
        <f>F300</f>
        <v>0</v>
      </c>
      <c r="K305" s="20"/>
      <c r="L305" s="20">
        <f>INDEX(LrCfRf,MATCH("HSBP",LrCfRf_Header,0),MATCH(F301,LrCfRf_Speed,-1))</f>
        <v>6</v>
      </c>
      <c r="M305" s="20"/>
      <c r="N305" s="20"/>
      <c r="O305" s="20"/>
      <c r="P305" s="303" t="str">
        <f>IF(ISBLANK(F300),"NEED LENGTH",IF(F300&gt;200,"TOO LONG",""))</f>
        <v>NEED LENGTH</v>
      </c>
      <c r="Q305" s="304"/>
      <c r="R305" s="305" t="str">
        <f>IF(7-COUNTBLANK(P305:P311),"",IF(F305="Motovario",INDEX(LrDirectDriveMotovario_Cd,MATCH(1,INDEX((F301&lt;=LrDirectDriveMotovario_Speed)*(H307&lt;=LrDirectDriveMotovario_Hp)*(H303&lt;=LrDirectDriveMotovario_Ebp),0,0),0))&amp;" DIRECT DRIVE",IF(F305="Dodge",INDEX(LrDirectDriveDodge_Cd,MATCH(1,INDEX((F301&lt;=LrDirectDriveDodge_Speed)*(H307&lt;=LrDirectDriveDodge_Hp)*(H303&lt;=LrDirectDriveDodge_Ebp),0,0),0))&amp;" DIRECT DRIVE",INDEX(LrDriveCap_Cd,MATCH(1,INDEX((H303&lt;=LrDriveCap_Ebp)*(H307&lt;=LrDriveCap_Hp)*((F309&lt;&gt;0)=LrDriveCap_Slave)*(F300&lt;=LrDriveCap_Length),0,0),0)))))</f>
        <v/>
      </c>
      <c r="S305" s="306"/>
      <c r="T305" s="307"/>
    </row>
    <row r="306" spans="2:20" ht="13.5" customHeight="1" thickBot="1" x14ac:dyDescent="0.25">
      <c r="B306" s="16"/>
      <c r="C306" s="241" t="s">
        <v>125</v>
      </c>
      <c r="D306" s="241"/>
      <c r="E306" s="241"/>
      <c r="F306" s="1"/>
      <c r="G306" s="32"/>
      <c r="H306" s="18" t="s">
        <v>74</v>
      </c>
      <c r="I306" s="9" t="s">
        <v>10</v>
      </c>
      <c r="J306" s="9" t="s">
        <v>58</v>
      </c>
      <c r="K306" s="9" t="s">
        <v>14</v>
      </c>
      <c r="L306" s="9" t="s">
        <v>8</v>
      </c>
      <c r="M306" s="9" t="s">
        <v>75</v>
      </c>
      <c r="N306" s="19" t="s">
        <v>76</v>
      </c>
      <c r="O306" s="9"/>
      <c r="P306" s="327" t="str">
        <f>IF(ISBLANK(F301),"NEED SPEED","")</f>
        <v>NEED SPEED</v>
      </c>
      <c r="Q306" s="328"/>
      <c r="R306" s="324" t="str">
        <f>IF(7-COUNTBLANK(P305:P311),"",IF(F305="Motovario",INDEX(LrDirectDriveMotovario_Hp,MATCH(1,INDEX((F301&lt;=LrDirectDriveMotovario_Speed)*(H307&lt;=LrDirectDriveMotovario_Hp)*(H303&lt;=LrDirectDriveMotovario_Ebp),0,0),0)),IF(F305="Dodge",INDEX(LrDirectDriveDodge_Hp,MATCH(1,INDEX((F301&lt;=LrDirectDriveDodge_Speed)*(H307&lt;=LrDirectDriveDodge_Hp)*(H303&lt;=LrDirectDriveDodge_Ebp),0,0),0)),INDEX(LrDriveCap_Hp,MATCH(1,INDEX((H303&lt;=LrDriveCap_Ebp)*(H307&lt;=LrDriveCap_Hp)*((F309&lt;&gt;0)=LrDriveCap_Slave)*(F300&lt;=LrDriveCap_Length),0,0),0))))&amp;" HP")</f>
        <v/>
      </c>
      <c r="S306" s="325"/>
      <c r="T306" s="326"/>
    </row>
    <row r="307" spans="2:20" ht="13.5" customHeight="1" thickBot="1" x14ac:dyDescent="0.25">
      <c r="B307" s="16"/>
      <c r="G307" s="32"/>
      <c r="H307" s="15" t="e">
        <f>J307*L307/N307</f>
        <v>#N/A</v>
      </c>
      <c r="I307" s="20"/>
      <c r="J307" s="20" t="e">
        <f>H303</f>
        <v>#N/A</v>
      </c>
      <c r="K307" s="20"/>
      <c r="L307" s="20">
        <f>F301</f>
        <v>0</v>
      </c>
      <c r="M307" s="20"/>
      <c r="N307" s="8">
        <v>31350</v>
      </c>
      <c r="O307" s="20"/>
      <c r="P307" s="327" t="str">
        <f>IF(AND(ISBLANK($E$7),ISBLANK(F302)),"NEED LIVE LOAD","")</f>
        <v/>
      </c>
      <c r="Q307" s="328"/>
      <c r="R307" s="54" t="str">
        <f>IF(7-COUNTBLANK(P305:P311),"",IF(NOT(ISERROR(H303)),MAX(2,H303/200,IF(OR(AND(F300&gt;100,F309=0),AND(F300&gt;80,F309&lt;&gt;0)),3,0)),""))</f>
        <v/>
      </c>
      <c r="S307" s="324" t="str">
        <f>IF(7-COUNTBLANK(P305:P311),"","LONG SPRINGS")</f>
        <v/>
      </c>
      <c r="T307" s="326"/>
    </row>
    <row r="308" spans="2:20" ht="13.5" customHeight="1" thickBot="1" x14ac:dyDescent="0.25">
      <c r="B308" s="16"/>
      <c r="C308" s="243" t="s">
        <v>113</v>
      </c>
      <c r="D308" s="243"/>
      <c r="E308" s="243"/>
      <c r="F308" s="6"/>
      <c r="G308" s="32"/>
      <c r="H308" s="42"/>
      <c r="I308" s="21"/>
      <c r="J308" s="21"/>
      <c r="K308" s="21"/>
      <c r="L308" s="21"/>
      <c r="M308" s="21"/>
      <c r="N308" s="21"/>
      <c r="O308" s="40"/>
      <c r="P308" s="327" t="str">
        <f>IF(ISBLANK(F303),"NEED RLR CENT","")</f>
        <v>NEED RLR CENT</v>
      </c>
      <c r="Q308" s="328"/>
      <c r="R308" s="54" t="str">
        <f>IF(7-COUNTBLANK(P305:P311),"",IF(H303&lt;&gt;0,MAX(2,H303/160,IF(OR(AND(F300&gt;100,F309=0),AND(F300&gt;80,F309&lt;&gt;0)),3,0)),""))</f>
        <v/>
      </c>
      <c r="S308" s="324" t="str">
        <f>IF(7-COUNTBLANK(P305:P311),"","SHRT SPRINGS")</f>
        <v/>
      </c>
      <c r="T308" s="326"/>
    </row>
    <row r="309" spans="2:20" ht="13.5" customHeight="1" thickBot="1" x14ac:dyDescent="0.25">
      <c r="B309" s="16"/>
      <c r="C309" s="243" t="s">
        <v>131</v>
      </c>
      <c r="D309" s="243"/>
      <c r="E309" s="243"/>
      <c r="F309" s="6"/>
      <c r="G309" s="32"/>
      <c r="H309" s="56"/>
      <c r="I309" s="57"/>
      <c r="J309" s="57"/>
      <c r="K309" s="57"/>
      <c r="L309" s="57"/>
      <c r="M309" s="57"/>
      <c r="N309" s="57"/>
      <c r="O309" s="58"/>
      <c r="P309" s="327" t="str">
        <f>IFERROR(IF(H307&gt;MAX(LrDriveCap_Hp),"EXCEEDS MAX HP",""),"")</f>
        <v/>
      </c>
      <c r="Q309" s="328"/>
      <c r="R309" s="324" t="str">
        <f>IF(7-COUNTBLANK(P305:P311),"",IF(H303&gt;600,"6IN ENTRY TE REQUIRED",""))</f>
        <v/>
      </c>
      <c r="S309" s="325"/>
      <c r="T309" s="326"/>
    </row>
    <row r="310" spans="2:20" ht="13.5" customHeight="1" x14ac:dyDescent="0.2">
      <c r="B310" s="16"/>
      <c r="C310" s="240"/>
      <c r="D310" s="240"/>
      <c r="E310" s="240"/>
      <c r="G310" s="32"/>
      <c r="H310" s="290" t="s">
        <v>133</v>
      </c>
      <c r="I310" s="291"/>
      <c r="J310" s="291"/>
      <c r="K310" s="291"/>
      <c r="L310" s="291"/>
      <c r="M310" s="291"/>
      <c r="N310" s="291"/>
      <c r="O310" s="292"/>
      <c r="P310" s="327" t="str">
        <f>IFERROR(IF(H303&gt;MAX(LrDriveCap_Ebp),"EXCEEDS MAX EBP",""),"")</f>
        <v/>
      </c>
      <c r="Q310" s="328"/>
      <c r="R310" s="324"/>
      <c r="S310" s="325"/>
      <c r="T310" s="326"/>
    </row>
    <row r="311" spans="2:20" ht="13.5" customHeight="1" thickBot="1" x14ac:dyDescent="0.25">
      <c r="B311" s="12"/>
      <c r="C311" s="293"/>
      <c r="D311" s="293"/>
      <c r="E311" s="293"/>
      <c r="F311" s="7"/>
      <c r="G311" s="37"/>
      <c r="H311" s="16" t="s">
        <v>134</v>
      </c>
      <c r="J311" s="26" t="str">
        <f>IFERROR(H303*J312/2,"")</f>
        <v/>
      </c>
      <c r="L311" s="2" t="s">
        <v>135</v>
      </c>
      <c r="N311" s="26" t="str">
        <f>IF(F305="Motovario",INDEX(LrDirectDriveMotovario_MaxT,MATCH(1,INDEX((F301&lt;=LrDirectDriveMotovario_Speed)*(H307&lt;=LrDirectDriveMotovario_Hp)*(H303&lt;=LrDirectDriveMotovario_Ebp),0,0),0)),IF(F305="Dodge",INDEX(LrDirectDriveDodge_MaxT,MATCH(1,INDEX((F301&lt;=LrDirectDriveDodge_Speed)*(H307&lt;=LrDirectDriveDodge_Hp)*(H303&lt;=LrDirectDriveDodge_Ebp),0,0),0)),""))</f>
        <v/>
      </c>
      <c r="P311" s="327" t="str">
        <f>IFERROR(IF(AND(AND(F305&lt;&gt;"Motovario",F305&lt;&gt;"Dodge"),VALUE(RIGHT(R312,LEN(R312)-14))&lt;&gt;F301),"USE DD NOM SPD",""),"")</f>
        <v/>
      </c>
      <c r="Q311" s="328"/>
      <c r="R311" s="324" t="str">
        <f>IF(7-COUNTBLANK(P305:P311),"",IF(H305&gt;1100,"SOFT START REQUIRED",""))</f>
        <v/>
      </c>
      <c r="S311" s="325"/>
      <c r="T311" s="326"/>
    </row>
    <row r="312" spans="2:20" ht="13.5" customHeight="1" thickBot="1" x14ac:dyDescent="0.25">
      <c r="B312" s="294" t="s">
        <v>78</v>
      </c>
      <c r="C312" s="295"/>
      <c r="D312" s="262"/>
      <c r="E312" s="263"/>
      <c r="F312" s="263"/>
      <c r="G312" s="264"/>
      <c r="H312" s="12" t="s">
        <v>136</v>
      </c>
      <c r="I312" s="7"/>
      <c r="J312" s="27" t="str">
        <f>IFERROR(VALUE(LEFT(R305,SEARCH("CD",R305)-1))+1/2,"")</f>
        <v/>
      </c>
      <c r="K312" s="7"/>
      <c r="L312" s="17" t="s">
        <v>137</v>
      </c>
      <c r="M312" s="17"/>
      <c r="N312" s="43" t="str">
        <f>IFERROR(N311/J311,"")</f>
        <v/>
      </c>
      <c r="O312" s="7"/>
      <c r="P312" s="337" t="str">
        <f>IF(ISBLANK(F306),"NEED AP INFO",IF(ISBLANK(F308),"NEED SLUG LGTH",IF(ISBLANK(F309),"NEED SLAVE INFO","")))</f>
        <v>NEED AP INFO</v>
      </c>
      <c r="Q312" s="338"/>
      <c r="R312" s="330" t="str">
        <f>IF(6-COUNTBLANK(P305:P310),"",IF(F305="Motovario","DD NOM SPEED: "&amp;INDEX(LrDirectDriveMotovario_Speed,MATCH(1,INDEX((F301&lt;=LrDirectDriveMotovario_Speed)*(H307&lt;=LrDirectDriveMotovario_Hp)*(H303&lt;=LrDirectDriveMotovario_Ebp),0,0),0)),IF(F305="Dodge","DD NOM SPEED: "&amp;INDEX(LrDirectDriveDodge_Speed,MATCH(1,INDEX((F301&lt;=LrDirectDriveDodge_Speed)*(H307&lt;=LrDirectDriveDodge_Hp)*(H303&lt;=LrDirectDriveDodge_Ebp),0,0),0)),"")))</f>
        <v/>
      </c>
      <c r="S312" s="331"/>
      <c r="T312" s="332"/>
    </row>
    <row r="313" spans="2:20" ht="13.5" customHeight="1" thickBot="1" x14ac:dyDescent="0.25"/>
    <row r="314" spans="2:20" ht="13.5" customHeight="1" x14ac:dyDescent="0.2">
      <c r="B314" s="39"/>
      <c r="C314" s="320"/>
      <c r="D314" s="320"/>
      <c r="E314" s="320"/>
      <c r="F314" s="28"/>
      <c r="G314" s="30"/>
      <c r="H314" s="13" t="s">
        <v>30</v>
      </c>
      <c r="I314" s="10" t="s">
        <v>10</v>
      </c>
      <c r="J314" s="4" t="s">
        <v>110</v>
      </c>
      <c r="K314" s="4" t="s">
        <v>14</v>
      </c>
      <c r="L314" s="4" t="s">
        <v>111</v>
      </c>
      <c r="M314" s="4" t="s">
        <v>14</v>
      </c>
      <c r="N314" s="4" t="s">
        <v>112</v>
      </c>
      <c r="O314" s="4" t="s">
        <v>12</v>
      </c>
      <c r="P314" s="4" t="s">
        <v>110</v>
      </c>
      <c r="Q314" s="4" t="s">
        <v>14</v>
      </c>
      <c r="R314" s="4" t="s">
        <v>113</v>
      </c>
      <c r="S314" s="4" t="s">
        <v>14</v>
      </c>
      <c r="T314" s="5" t="s">
        <v>112</v>
      </c>
    </row>
    <row r="315" spans="2:20" ht="13.5" customHeight="1" thickBot="1" x14ac:dyDescent="0.25">
      <c r="B315" s="16"/>
      <c r="C315" s="2" t="s">
        <v>5</v>
      </c>
      <c r="D315" s="59"/>
      <c r="E315" s="59"/>
      <c r="F315" s="59"/>
      <c r="G315" s="32"/>
      <c r="H315" s="15">
        <f>J315*L315*N315+P315*R315*T315</f>
        <v>0</v>
      </c>
      <c r="I315" s="20"/>
      <c r="J315" s="20">
        <f>IF(F318=0,$E$7,F318)</f>
        <v>25</v>
      </c>
      <c r="K315" s="20"/>
      <c r="L315" s="20">
        <f>F316</f>
        <v>0</v>
      </c>
      <c r="M315" s="20"/>
      <c r="N315" s="20">
        <v>2.1000000000000001E-2</v>
      </c>
      <c r="O315" s="20"/>
      <c r="P315" s="20">
        <f>J315</f>
        <v>25</v>
      </c>
      <c r="Q315" s="20"/>
      <c r="R315" s="20">
        <f>F324</f>
        <v>0</v>
      </c>
      <c r="S315" s="20"/>
      <c r="T315" s="11">
        <v>3.5000000000000003E-2</v>
      </c>
    </row>
    <row r="316" spans="2:20" ht="13.5" customHeight="1" thickBot="1" x14ac:dyDescent="0.25">
      <c r="B316" s="16"/>
      <c r="C316" s="321"/>
      <c r="D316" s="323" t="s">
        <v>111</v>
      </c>
      <c r="E316" s="244"/>
      <c r="F316" s="6"/>
      <c r="G316" s="32"/>
      <c r="H316" s="18" t="s">
        <v>31</v>
      </c>
      <c r="I316" s="9" t="s">
        <v>10</v>
      </c>
      <c r="J316" s="9" t="s">
        <v>111</v>
      </c>
      <c r="K316" s="9" t="s">
        <v>14</v>
      </c>
      <c r="L316" s="9" t="s">
        <v>115</v>
      </c>
      <c r="M316" s="9" t="s">
        <v>14</v>
      </c>
      <c r="N316" s="9" t="s">
        <v>116</v>
      </c>
      <c r="O316" s="9"/>
      <c r="P316" s="9"/>
      <c r="Q316" s="9"/>
      <c r="R316" s="9"/>
      <c r="S316" s="21"/>
      <c r="T316" s="40"/>
    </row>
    <row r="317" spans="2:20" ht="13.5" customHeight="1" thickBot="1" x14ac:dyDescent="0.25">
      <c r="B317" s="16"/>
      <c r="C317" s="322"/>
      <c r="D317" s="323" t="s">
        <v>8</v>
      </c>
      <c r="E317" s="244"/>
      <c r="F317" s="6"/>
      <c r="G317" s="32"/>
      <c r="H317" s="15" t="e">
        <f>J317*L317*N317</f>
        <v>#N/A</v>
      </c>
      <c r="I317" s="20"/>
      <c r="J317" s="20">
        <f>F316</f>
        <v>0</v>
      </c>
      <c r="K317" s="20"/>
      <c r="L317" s="20">
        <f>INDEX(LrCfRf,MATCH("CF",LrCfRf_Header,0),MATCH(F317,LrCfRf_Speed,-1))</f>
        <v>0.4</v>
      </c>
      <c r="M317" s="20"/>
      <c r="N317" s="20" t="e">
        <f>INDEX(LrCfRf,MATCH("RLR "&amp;F319,LrCfRf_Header,0),MATCH(F317,LrCfRf_Speed,-1))</f>
        <v>#N/A</v>
      </c>
      <c r="O317" s="20"/>
      <c r="P317" s="20"/>
      <c r="Q317" s="20"/>
      <c r="R317" s="20"/>
      <c r="S317" s="20"/>
      <c r="T317" s="41"/>
    </row>
    <row r="318" spans="2:20" ht="13.5" customHeight="1" thickBot="1" x14ac:dyDescent="0.25">
      <c r="B318" s="16"/>
      <c r="C318" s="243" t="s">
        <v>24</v>
      </c>
      <c r="D318" s="243"/>
      <c r="E318" s="243"/>
      <c r="F318" s="6"/>
      <c r="G318" s="32"/>
      <c r="H318" s="14" t="s">
        <v>58</v>
      </c>
      <c r="I318" s="3" t="s">
        <v>10</v>
      </c>
      <c r="J318" s="3" t="s">
        <v>119</v>
      </c>
      <c r="K318" s="3" t="s">
        <v>14</v>
      </c>
      <c r="L318" s="3" t="s">
        <v>61</v>
      </c>
      <c r="M318" s="3" t="s">
        <v>12</v>
      </c>
      <c r="N318" s="3" t="s">
        <v>57</v>
      </c>
      <c r="T318" s="32"/>
    </row>
    <row r="319" spans="2:20" ht="13.5" customHeight="1" thickBot="1" x14ac:dyDescent="0.25">
      <c r="B319" s="16"/>
      <c r="C319" s="243" t="s">
        <v>47</v>
      </c>
      <c r="D319" s="243"/>
      <c r="E319" s="243"/>
      <c r="F319" s="6"/>
      <c r="G319" s="32"/>
      <c r="H319" s="15" t="e">
        <f>J319*L319+N319</f>
        <v>#N/A</v>
      </c>
      <c r="I319" s="20"/>
      <c r="J319" s="20" t="e">
        <f>H315+H317</f>
        <v>#N/A</v>
      </c>
      <c r="K319" s="20"/>
      <c r="L319" s="20">
        <f>IF(F322="Y",1.33*1.1,1.33)</f>
        <v>1.33</v>
      </c>
      <c r="M319" s="20"/>
      <c r="N319" s="20">
        <f>F325</f>
        <v>0</v>
      </c>
      <c r="O319" s="20"/>
      <c r="P319" s="26"/>
      <c r="Q319" s="26"/>
      <c r="R319" s="26"/>
      <c r="S319" s="26"/>
      <c r="T319" s="22"/>
    </row>
    <row r="320" spans="2:20" ht="13.5" customHeight="1" thickBot="1" x14ac:dyDescent="0.25">
      <c r="B320" s="16"/>
      <c r="C320" s="245"/>
      <c r="D320" s="245"/>
      <c r="E320" s="245"/>
      <c r="G320" s="32"/>
      <c r="H320" s="14" t="s">
        <v>122</v>
      </c>
      <c r="I320" s="3" t="s">
        <v>10</v>
      </c>
      <c r="J320" s="3" t="s">
        <v>111</v>
      </c>
      <c r="K320" s="3" t="s">
        <v>14</v>
      </c>
      <c r="L320" s="3" t="s">
        <v>123</v>
      </c>
      <c r="M320" s="3"/>
      <c r="N320" s="3"/>
      <c r="P320" s="298" t="s">
        <v>50</v>
      </c>
      <c r="Q320" s="299"/>
      <c r="R320" s="300" t="s">
        <v>51</v>
      </c>
      <c r="S320" s="301"/>
      <c r="T320" s="302"/>
    </row>
    <row r="321" spans="2:20" ht="13.5" customHeight="1" thickBot="1" x14ac:dyDescent="0.25">
      <c r="B321" s="16"/>
      <c r="C321" s="243" t="s">
        <v>124</v>
      </c>
      <c r="D321" s="243"/>
      <c r="E321" s="243"/>
      <c r="F321" s="1"/>
      <c r="G321" s="32"/>
      <c r="H321" s="15">
        <f>J321*L321</f>
        <v>0</v>
      </c>
      <c r="I321" s="20"/>
      <c r="J321" s="20">
        <f>F316</f>
        <v>0</v>
      </c>
      <c r="K321" s="20"/>
      <c r="L321" s="20">
        <f>INDEX(LrCfRf,MATCH("HSBP",LrCfRf_Header,0),MATCH(F317,LrCfRf_Speed,-1))</f>
        <v>6</v>
      </c>
      <c r="M321" s="20"/>
      <c r="N321" s="20"/>
      <c r="O321" s="20"/>
      <c r="P321" s="303" t="str">
        <f>IF(ISBLANK(F316),"NEED LENGTH",IF(F316&gt;200,"TOO LONG",""))</f>
        <v>NEED LENGTH</v>
      </c>
      <c r="Q321" s="304"/>
      <c r="R321" s="305" t="str">
        <f>IF(7-COUNTBLANK(P321:P327),"",IF(F321="Motovario",INDEX(LrDirectDriveMotovario_Cd,MATCH(1,INDEX((F317&lt;=LrDirectDriveMotovario_Speed)*(H323&lt;=LrDirectDriveMotovario_Hp)*(H319&lt;=LrDirectDriveMotovario_Ebp),0,0),0))&amp;" DIRECT DRIVE",IF(F321="Dodge",INDEX(LrDirectDriveDodge_Cd,MATCH(1,INDEX((F317&lt;=LrDirectDriveDodge_Speed)*(H323&lt;=LrDirectDriveDodge_Hp)*(H319&lt;=LrDirectDriveDodge_Ebp),0,0),0))&amp;" DIRECT DRIVE",INDEX(LrDriveCap_Cd,MATCH(1,INDEX((H319&lt;=LrDriveCap_Ebp)*(H323&lt;=LrDriveCap_Hp)*((F325&lt;&gt;0)=LrDriveCap_Slave)*(F316&lt;=LrDriveCap_Length),0,0),0)))))</f>
        <v/>
      </c>
      <c r="S321" s="306"/>
      <c r="T321" s="307"/>
    </row>
    <row r="322" spans="2:20" ht="13.5" customHeight="1" thickBot="1" x14ac:dyDescent="0.25">
      <c r="B322" s="16"/>
      <c r="C322" s="241" t="s">
        <v>125</v>
      </c>
      <c r="D322" s="241"/>
      <c r="E322" s="241"/>
      <c r="F322" s="1"/>
      <c r="G322" s="32"/>
      <c r="H322" s="18" t="s">
        <v>74</v>
      </c>
      <c r="I322" s="9" t="s">
        <v>10</v>
      </c>
      <c r="J322" s="9" t="s">
        <v>58</v>
      </c>
      <c r="K322" s="9" t="s">
        <v>14</v>
      </c>
      <c r="L322" s="9" t="s">
        <v>8</v>
      </c>
      <c r="M322" s="9" t="s">
        <v>75</v>
      </c>
      <c r="N322" s="19" t="s">
        <v>76</v>
      </c>
      <c r="O322" s="9"/>
      <c r="P322" s="327" t="str">
        <f>IF(ISBLANK(F317),"NEED SPEED","")</f>
        <v>NEED SPEED</v>
      </c>
      <c r="Q322" s="328"/>
      <c r="R322" s="324" t="str">
        <f>IF(7-COUNTBLANK(P321:P327),"",IF(F321="Motovario",INDEX(LrDirectDriveMotovario_Hp,MATCH(1,INDEX((F317&lt;=LrDirectDriveMotovario_Speed)*(H323&lt;=LrDirectDriveMotovario_Hp)*(H319&lt;=LrDirectDriveMotovario_Ebp),0,0),0)),IF(F321="Dodge",INDEX(LrDirectDriveDodge_Hp,MATCH(1,INDEX((F317&lt;=LrDirectDriveDodge_Speed)*(H323&lt;=LrDirectDriveDodge_Hp)*(H319&lt;=LrDirectDriveDodge_Ebp),0,0),0)),INDEX(LrDriveCap_Hp,MATCH(1,INDEX((H319&lt;=LrDriveCap_Ebp)*(H323&lt;=LrDriveCap_Hp)*((F325&lt;&gt;0)=LrDriveCap_Slave)*(F316&lt;=LrDriveCap_Length),0,0),0))))&amp;" HP")</f>
        <v/>
      </c>
      <c r="S322" s="325"/>
      <c r="T322" s="326"/>
    </row>
    <row r="323" spans="2:20" ht="13.5" customHeight="1" thickBot="1" x14ac:dyDescent="0.25">
      <c r="B323" s="16"/>
      <c r="G323" s="32"/>
      <c r="H323" s="15" t="e">
        <f>J323*L323/N323</f>
        <v>#N/A</v>
      </c>
      <c r="I323" s="20"/>
      <c r="J323" s="20" t="e">
        <f>H319</f>
        <v>#N/A</v>
      </c>
      <c r="K323" s="20"/>
      <c r="L323" s="20">
        <f>F317</f>
        <v>0</v>
      </c>
      <c r="M323" s="20"/>
      <c r="N323" s="8">
        <v>31350</v>
      </c>
      <c r="O323" s="20"/>
      <c r="P323" s="327" t="str">
        <f>IF(AND(ISBLANK($E$7),ISBLANK(F318)),"NEED LIVE LOAD","")</f>
        <v/>
      </c>
      <c r="Q323" s="328"/>
      <c r="R323" s="54" t="str">
        <f>IF(7-COUNTBLANK(P321:P327),"",IF(NOT(ISERROR(H319)),MAX(2,H319/200,IF(OR(AND(F316&gt;100,F325=0),AND(F316&gt;80,F325&lt;&gt;0)),3,0)),""))</f>
        <v/>
      </c>
      <c r="S323" s="324" t="str">
        <f>IF(7-COUNTBLANK(P321:P327),"","LONG SPRINGS")</f>
        <v/>
      </c>
      <c r="T323" s="326"/>
    </row>
    <row r="324" spans="2:20" ht="13.5" customHeight="1" thickBot="1" x14ac:dyDescent="0.25">
      <c r="B324" s="16"/>
      <c r="C324" s="243" t="s">
        <v>113</v>
      </c>
      <c r="D324" s="243"/>
      <c r="E324" s="243"/>
      <c r="F324" s="6"/>
      <c r="G324" s="32"/>
      <c r="H324" s="42"/>
      <c r="I324" s="21"/>
      <c r="J324" s="21"/>
      <c r="K324" s="21"/>
      <c r="L324" s="21"/>
      <c r="M324" s="21"/>
      <c r="N324" s="21"/>
      <c r="O324" s="40"/>
      <c r="P324" s="327" t="str">
        <f>IF(ISBLANK(F319),"NEED RLR CENT","")</f>
        <v>NEED RLR CENT</v>
      </c>
      <c r="Q324" s="328"/>
      <c r="R324" s="54" t="str">
        <f>IF(7-COUNTBLANK(P321:P327),"",IF(H319&lt;&gt;0,MAX(2,H319/160,IF(OR(AND(F316&gt;100,F325=0),AND(F316&gt;80,F325&lt;&gt;0)),3,0)),""))</f>
        <v/>
      </c>
      <c r="S324" s="324" t="str">
        <f>IF(7-COUNTBLANK(P321:P327),"","SHRT SPRINGS")</f>
        <v/>
      </c>
      <c r="T324" s="326"/>
    </row>
    <row r="325" spans="2:20" ht="13.5" customHeight="1" thickBot="1" x14ac:dyDescent="0.25">
      <c r="B325" s="16"/>
      <c r="C325" s="243" t="s">
        <v>131</v>
      </c>
      <c r="D325" s="243"/>
      <c r="E325" s="243"/>
      <c r="F325" s="6"/>
      <c r="G325" s="32"/>
      <c r="H325" s="56"/>
      <c r="I325" s="57"/>
      <c r="J325" s="57"/>
      <c r="K325" s="57"/>
      <c r="L325" s="57"/>
      <c r="M325" s="57"/>
      <c r="N325" s="57"/>
      <c r="O325" s="58"/>
      <c r="P325" s="327" t="str">
        <f>IFERROR(IF(H323&gt;MAX(LrDriveCap_Hp),"EXCEEDS MAX HP",""),"")</f>
        <v/>
      </c>
      <c r="Q325" s="328"/>
      <c r="R325" s="324" t="str">
        <f>IF(7-COUNTBLANK(P321:P327),"",IF(H319&gt;600,"6IN ENTRY TE REQUIRED",""))</f>
        <v/>
      </c>
      <c r="S325" s="325"/>
      <c r="T325" s="326"/>
    </row>
    <row r="326" spans="2:20" ht="13.5" customHeight="1" x14ac:dyDescent="0.2">
      <c r="B326" s="16"/>
      <c r="C326" s="240"/>
      <c r="D326" s="240"/>
      <c r="E326" s="240"/>
      <c r="G326" s="32"/>
      <c r="H326" s="290" t="s">
        <v>133</v>
      </c>
      <c r="I326" s="291"/>
      <c r="J326" s="291"/>
      <c r="K326" s="291"/>
      <c r="L326" s="291"/>
      <c r="M326" s="291"/>
      <c r="N326" s="291"/>
      <c r="O326" s="292"/>
      <c r="P326" s="327" t="str">
        <f>IFERROR(IF(H319&gt;MAX(LrDriveCap_Ebp),"EXCEEDS MAX EBP",""),"")</f>
        <v/>
      </c>
      <c r="Q326" s="328"/>
      <c r="R326" s="324"/>
      <c r="S326" s="325"/>
      <c r="T326" s="326"/>
    </row>
    <row r="327" spans="2:20" ht="13.5" customHeight="1" thickBot="1" x14ac:dyDescent="0.25">
      <c r="B327" s="12"/>
      <c r="C327" s="293"/>
      <c r="D327" s="293"/>
      <c r="E327" s="293"/>
      <c r="F327" s="7"/>
      <c r="G327" s="37"/>
      <c r="H327" s="16" t="s">
        <v>134</v>
      </c>
      <c r="J327" s="26" t="str">
        <f>IFERROR(H319*J328/2,"")</f>
        <v/>
      </c>
      <c r="L327" s="2" t="s">
        <v>135</v>
      </c>
      <c r="N327" s="26" t="str">
        <f>IF(F321="Motovario",INDEX(LrDirectDriveMotovario_MaxT,MATCH(1,INDEX((F317&lt;=LrDirectDriveMotovario_Speed)*(H323&lt;=LrDirectDriveMotovario_Hp)*(H319&lt;=LrDirectDriveMotovario_Ebp),0,0),0)),IF(F321="Dodge",INDEX(LrDirectDriveDodge_MaxT,MATCH(1,INDEX((F317&lt;=LrDirectDriveDodge_Speed)*(H323&lt;=LrDirectDriveDodge_Hp)*(H319&lt;=LrDirectDriveDodge_Ebp),0,0),0)),""))</f>
        <v/>
      </c>
      <c r="P327" s="327" t="str">
        <f>IFERROR(IF(AND(AND(F321&lt;&gt;"Motovario",F321&lt;&gt;"Dodge"),VALUE(RIGHT(R328,LEN(R328)-14))&lt;&gt;F317),"USE DD NOM SPD",""),"")</f>
        <v/>
      </c>
      <c r="Q327" s="328"/>
      <c r="R327" s="324" t="str">
        <f>IF(7-COUNTBLANK(P321:P327),"",IF(H321&gt;1100,"SOFT START REQUIRED",""))</f>
        <v/>
      </c>
      <c r="S327" s="325"/>
      <c r="T327" s="326"/>
    </row>
    <row r="328" spans="2:20" ht="13.5" customHeight="1" thickBot="1" x14ac:dyDescent="0.25">
      <c r="B328" s="294" t="s">
        <v>78</v>
      </c>
      <c r="C328" s="295"/>
      <c r="D328" s="262"/>
      <c r="E328" s="263"/>
      <c r="F328" s="263"/>
      <c r="G328" s="264"/>
      <c r="H328" s="12" t="s">
        <v>136</v>
      </c>
      <c r="I328" s="7"/>
      <c r="J328" s="27" t="str">
        <f>IFERROR(VALUE(LEFT(R321,SEARCH("CD",R321)-1))+1/2,"")</f>
        <v/>
      </c>
      <c r="K328" s="7"/>
      <c r="L328" s="17" t="s">
        <v>137</v>
      </c>
      <c r="M328" s="17"/>
      <c r="N328" s="43" t="str">
        <f>IFERROR(N327/J327,"")</f>
        <v/>
      </c>
      <c r="O328" s="7"/>
      <c r="P328" s="337" t="str">
        <f>IF(ISBLANK(F322),"NEED AP INFO",IF(ISBLANK(F324),"NEED SLUG LGTH",IF(ISBLANK(F325),"NEED SLAVE INFO","")))</f>
        <v>NEED AP INFO</v>
      </c>
      <c r="Q328" s="338"/>
      <c r="R328" s="330" t="str">
        <f>IF(6-COUNTBLANK(P321:P326),"",IF(F321="Motovario","DD NOM SPEED: "&amp;INDEX(LrDirectDriveMotovario_Speed,MATCH(1,INDEX((F317&lt;=LrDirectDriveMotovario_Speed)*(H323&lt;=LrDirectDriveMotovario_Hp)*(H319&lt;=LrDirectDriveMotovario_Ebp),0,0),0)),IF(F321="Dodge","DD NOM SPEED: "&amp;INDEX(LrDirectDriveDodge_Speed,MATCH(1,INDEX((F317&lt;=LrDirectDriveDodge_Speed)*(H323&lt;=LrDirectDriveDodge_Hp)*(H319&lt;=LrDirectDriveDodge_Ebp),0,0),0)),"")))</f>
        <v/>
      </c>
      <c r="S328" s="331"/>
      <c r="T328" s="332"/>
    </row>
  </sheetData>
  <sheetProtection sheet="1" objects="1" scenarios="1"/>
  <mergeCells count="739">
    <mergeCell ref="C325:E325"/>
    <mergeCell ref="P325:Q325"/>
    <mergeCell ref="R325:T325"/>
    <mergeCell ref="C322:E322"/>
    <mergeCell ref="P322:Q322"/>
    <mergeCell ref="R322:T322"/>
    <mergeCell ref="P323:Q323"/>
    <mergeCell ref="S323:T323"/>
    <mergeCell ref="B328:C328"/>
    <mergeCell ref="D328:G328"/>
    <mergeCell ref="P328:Q328"/>
    <mergeCell ref="R328:T328"/>
    <mergeCell ref="C326:E326"/>
    <mergeCell ref="H326:O326"/>
    <mergeCell ref="P326:Q326"/>
    <mergeCell ref="R326:T326"/>
    <mergeCell ref="C327:E327"/>
    <mergeCell ref="P327:Q327"/>
    <mergeCell ref="R327:T327"/>
    <mergeCell ref="C321:E321"/>
    <mergeCell ref="P321:Q321"/>
    <mergeCell ref="R321:T321"/>
    <mergeCell ref="C316:C317"/>
    <mergeCell ref="D316:E316"/>
    <mergeCell ref="D317:E317"/>
    <mergeCell ref="C318:E318"/>
    <mergeCell ref="C319:E319"/>
    <mergeCell ref="C324:E324"/>
    <mergeCell ref="P324:Q324"/>
    <mergeCell ref="S324:T324"/>
    <mergeCell ref="C314:E314"/>
    <mergeCell ref="C310:E310"/>
    <mergeCell ref="H310:O310"/>
    <mergeCell ref="P310:Q310"/>
    <mergeCell ref="R310:T310"/>
    <mergeCell ref="C311:E311"/>
    <mergeCell ref="P311:Q311"/>
    <mergeCell ref="R311:T311"/>
    <mergeCell ref="C320:E320"/>
    <mergeCell ref="P320:Q320"/>
    <mergeCell ref="R320:T320"/>
    <mergeCell ref="C309:E309"/>
    <mergeCell ref="P309:Q309"/>
    <mergeCell ref="R309:T309"/>
    <mergeCell ref="C306:E306"/>
    <mergeCell ref="P306:Q306"/>
    <mergeCell ref="R306:T306"/>
    <mergeCell ref="P307:Q307"/>
    <mergeCell ref="S307:T307"/>
    <mergeCell ref="B312:C312"/>
    <mergeCell ref="D312:G312"/>
    <mergeCell ref="P312:Q312"/>
    <mergeCell ref="R312:T312"/>
    <mergeCell ref="C305:E305"/>
    <mergeCell ref="P305:Q305"/>
    <mergeCell ref="R305:T305"/>
    <mergeCell ref="C300:C301"/>
    <mergeCell ref="D300:E300"/>
    <mergeCell ref="D301:E301"/>
    <mergeCell ref="C302:E302"/>
    <mergeCell ref="C303:E303"/>
    <mergeCell ref="C308:E308"/>
    <mergeCell ref="P308:Q308"/>
    <mergeCell ref="S308:T308"/>
    <mergeCell ref="C298:E298"/>
    <mergeCell ref="C294:E294"/>
    <mergeCell ref="H294:O294"/>
    <mergeCell ref="P294:Q294"/>
    <mergeCell ref="R294:T294"/>
    <mergeCell ref="C295:E295"/>
    <mergeCell ref="P295:Q295"/>
    <mergeCell ref="R295:T295"/>
    <mergeCell ref="C304:E304"/>
    <mergeCell ref="P304:Q304"/>
    <mergeCell ref="R304:T304"/>
    <mergeCell ref="C293:E293"/>
    <mergeCell ref="P293:Q293"/>
    <mergeCell ref="R293:T293"/>
    <mergeCell ref="C290:E290"/>
    <mergeCell ref="P290:Q290"/>
    <mergeCell ref="R290:T290"/>
    <mergeCell ref="P291:Q291"/>
    <mergeCell ref="S291:T291"/>
    <mergeCell ref="B296:C296"/>
    <mergeCell ref="D296:G296"/>
    <mergeCell ref="P296:Q296"/>
    <mergeCell ref="R296:T296"/>
    <mergeCell ref="C289:E289"/>
    <mergeCell ref="P289:Q289"/>
    <mergeCell ref="R289:T289"/>
    <mergeCell ref="C284:C285"/>
    <mergeCell ref="D284:E284"/>
    <mergeCell ref="D285:E285"/>
    <mergeCell ref="C286:E286"/>
    <mergeCell ref="C287:E287"/>
    <mergeCell ref="C292:E292"/>
    <mergeCell ref="P292:Q292"/>
    <mergeCell ref="S292:T292"/>
    <mergeCell ref="C282:E282"/>
    <mergeCell ref="C278:E278"/>
    <mergeCell ref="H278:O278"/>
    <mergeCell ref="P278:Q278"/>
    <mergeCell ref="R278:T278"/>
    <mergeCell ref="C279:E279"/>
    <mergeCell ref="P279:Q279"/>
    <mergeCell ref="R279:T279"/>
    <mergeCell ref="C288:E288"/>
    <mergeCell ref="P288:Q288"/>
    <mergeCell ref="R288:T288"/>
    <mergeCell ref="C277:E277"/>
    <mergeCell ref="P277:Q277"/>
    <mergeCell ref="R277:T277"/>
    <mergeCell ref="C274:E274"/>
    <mergeCell ref="P274:Q274"/>
    <mergeCell ref="R274:T274"/>
    <mergeCell ref="P275:Q275"/>
    <mergeCell ref="S275:T275"/>
    <mergeCell ref="B280:C280"/>
    <mergeCell ref="D280:G280"/>
    <mergeCell ref="P280:Q280"/>
    <mergeCell ref="R280:T280"/>
    <mergeCell ref="C273:E273"/>
    <mergeCell ref="P273:Q273"/>
    <mergeCell ref="R273:T273"/>
    <mergeCell ref="C268:C269"/>
    <mergeCell ref="D268:E268"/>
    <mergeCell ref="D269:E269"/>
    <mergeCell ref="C270:E270"/>
    <mergeCell ref="C271:E271"/>
    <mergeCell ref="C276:E276"/>
    <mergeCell ref="P276:Q276"/>
    <mergeCell ref="S276:T276"/>
    <mergeCell ref="C266:E266"/>
    <mergeCell ref="C262:E262"/>
    <mergeCell ref="H262:O262"/>
    <mergeCell ref="P262:Q262"/>
    <mergeCell ref="R262:T262"/>
    <mergeCell ref="C263:E263"/>
    <mergeCell ref="P263:Q263"/>
    <mergeCell ref="R263:T263"/>
    <mergeCell ref="C272:E272"/>
    <mergeCell ref="P272:Q272"/>
    <mergeCell ref="R272:T272"/>
    <mergeCell ref="C261:E261"/>
    <mergeCell ref="P261:Q261"/>
    <mergeCell ref="R261:T261"/>
    <mergeCell ref="C258:E258"/>
    <mergeCell ref="P258:Q258"/>
    <mergeCell ref="R258:T258"/>
    <mergeCell ref="P259:Q259"/>
    <mergeCell ref="S259:T259"/>
    <mergeCell ref="B264:C264"/>
    <mergeCell ref="D264:G264"/>
    <mergeCell ref="P264:Q264"/>
    <mergeCell ref="R264:T264"/>
    <mergeCell ref="C257:E257"/>
    <mergeCell ref="P257:Q257"/>
    <mergeCell ref="R257:T257"/>
    <mergeCell ref="C252:C253"/>
    <mergeCell ref="D252:E252"/>
    <mergeCell ref="D253:E253"/>
    <mergeCell ref="C254:E254"/>
    <mergeCell ref="C255:E255"/>
    <mergeCell ref="C260:E260"/>
    <mergeCell ref="P260:Q260"/>
    <mergeCell ref="S260:T260"/>
    <mergeCell ref="C250:E250"/>
    <mergeCell ref="C246:E246"/>
    <mergeCell ref="H246:O246"/>
    <mergeCell ref="P246:Q246"/>
    <mergeCell ref="R246:T246"/>
    <mergeCell ref="C247:E247"/>
    <mergeCell ref="P247:Q247"/>
    <mergeCell ref="R247:T247"/>
    <mergeCell ref="C256:E256"/>
    <mergeCell ref="P256:Q256"/>
    <mergeCell ref="R256:T256"/>
    <mergeCell ref="C245:E245"/>
    <mergeCell ref="P245:Q245"/>
    <mergeCell ref="R245:T245"/>
    <mergeCell ref="C242:E242"/>
    <mergeCell ref="P242:Q242"/>
    <mergeCell ref="R242:T242"/>
    <mergeCell ref="P243:Q243"/>
    <mergeCell ref="S243:T243"/>
    <mergeCell ref="B248:C248"/>
    <mergeCell ref="D248:G248"/>
    <mergeCell ref="P248:Q248"/>
    <mergeCell ref="R248:T248"/>
    <mergeCell ref="C241:E241"/>
    <mergeCell ref="P241:Q241"/>
    <mergeCell ref="R241:T241"/>
    <mergeCell ref="C236:C237"/>
    <mergeCell ref="D236:E236"/>
    <mergeCell ref="D237:E237"/>
    <mergeCell ref="C238:E238"/>
    <mergeCell ref="C239:E239"/>
    <mergeCell ref="C244:E244"/>
    <mergeCell ref="P244:Q244"/>
    <mergeCell ref="S244:T244"/>
    <mergeCell ref="C234:E234"/>
    <mergeCell ref="C230:E230"/>
    <mergeCell ref="H230:O230"/>
    <mergeCell ref="P230:Q230"/>
    <mergeCell ref="R230:T230"/>
    <mergeCell ref="C231:E231"/>
    <mergeCell ref="P231:Q231"/>
    <mergeCell ref="R231:T231"/>
    <mergeCell ref="C240:E240"/>
    <mergeCell ref="P240:Q240"/>
    <mergeCell ref="R240:T240"/>
    <mergeCell ref="C229:E229"/>
    <mergeCell ref="P229:Q229"/>
    <mergeCell ref="R229:T229"/>
    <mergeCell ref="C226:E226"/>
    <mergeCell ref="P226:Q226"/>
    <mergeCell ref="R226:T226"/>
    <mergeCell ref="P227:Q227"/>
    <mergeCell ref="S227:T227"/>
    <mergeCell ref="B232:C232"/>
    <mergeCell ref="D232:G232"/>
    <mergeCell ref="P232:Q232"/>
    <mergeCell ref="R232:T232"/>
    <mergeCell ref="C225:E225"/>
    <mergeCell ref="P225:Q225"/>
    <mergeCell ref="R225:T225"/>
    <mergeCell ref="C220:C221"/>
    <mergeCell ref="D220:E220"/>
    <mergeCell ref="D221:E221"/>
    <mergeCell ref="C222:E222"/>
    <mergeCell ref="C223:E223"/>
    <mergeCell ref="C228:E228"/>
    <mergeCell ref="P228:Q228"/>
    <mergeCell ref="S228:T228"/>
    <mergeCell ref="C218:E218"/>
    <mergeCell ref="C214:E214"/>
    <mergeCell ref="H214:O214"/>
    <mergeCell ref="P214:Q214"/>
    <mergeCell ref="R214:T214"/>
    <mergeCell ref="C215:E215"/>
    <mergeCell ref="P215:Q215"/>
    <mergeCell ref="R215:T215"/>
    <mergeCell ref="C224:E224"/>
    <mergeCell ref="P224:Q224"/>
    <mergeCell ref="R224:T224"/>
    <mergeCell ref="C213:E213"/>
    <mergeCell ref="P213:Q213"/>
    <mergeCell ref="R213:T213"/>
    <mergeCell ref="C210:E210"/>
    <mergeCell ref="P210:Q210"/>
    <mergeCell ref="R210:T210"/>
    <mergeCell ref="P211:Q211"/>
    <mergeCell ref="S211:T211"/>
    <mergeCell ref="B216:C216"/>
    <mergeCell ref="D216:G216"/>
    <mergeCell ref="P216:Q216"/>
    <mergeCell ref="R216:T216"/>
    <mergeCell ref="C209:E209"/>
    <mergeCell ref="P209:Q209"/>
    <mergeCell ref="R209:T209"/>
    <mergeCell ref="C204:C205"/>
    <mergeCell ref="D204:E204"/>
    <mergeCell ref="D205:E205"/>
    <mergeCell ref="C206:E206"/>
    <mergeCell ref="C207:E207"/>
    <mergeCell ref="C212:E212"/>
    <mergeCell ref="P212:Q212"/>
    <mergeCell ref="S212:T212"/>
    <mergeCell ref="C202:E202"/>
    <mergeCell ref="C198:E198"/>
    <mergeCell ref="H198:O198"/>
    <mergeCell ref="P198:Q198"/>
    <mergeCell ref="R198:T198"/>
    <mergeCell ref="C199:E199"/>
    <mergeCell ref="P199:Q199"/>
    <mergeCell ref="R199:T199"/>
    <mergeCell ref="C208:E208"/>
    <mergeCell ref="P208:Q208"/>
    <mergeCell ref="R208:T208"/>
    <mergeCell ref="C197:E197"/>
    <mergeCell ref="P197:Q197"/>
    <mergeCell ref="R197:T197"/>
    <mergeCell ref="C194:E194"/>
    <mergeCell ref="P194:Q194"/>
    <mergeCell ref="R194:T194"/>
    <mergeCell ref="P195:Q195"/>
    <mergeCell ref="S195:T195"/>
    <mergeCell ref="B200:C200"/>
    <mergeCell ref="D200:G200"/>
    <mergeCell ref="P200:Q200"/>
    <mergeCell ref="R200:T200"/>
    <mergeCell ref="C193:E193"/>
    <mergeCell ref="P193:Q193"/>
    <mergeCell ref="R193:T193"/>
    <mergeCell ref="C188:C189"/>
    <mergeCell ref="D188:E188"/>
    <mergeCell ref="D189:E189"/>
    <mergeCell ref="C190:E190"/>
    <mergeCell ref="C191:E191"/>
    <mergeCell ref="C196:E196"/>
    <mergeCell ref="P196:Q196"/>
    <mergeCell ref="S196:T196"/>
    <mergeCell ref="C186:E186"/>
    <mergeCell ref="C182:E182"/>
    <mergeCell ref="H182:O182"/>
    <mergeCell ref="P182:Q182"/>
    <mergeCell ref="R182:T182"/>
    <mergeCell ref="C183:E183"/>
    <mergeCell ref="P183:Q183"/>
    <mergeCell ref="R183:T183"/>
    <mergeCell ref="C192:E192"/>
    <mergeCell ref="P192:Q192"/>
    <mergeCell ref="R192:T192"/>
    <mergeCell ref="C181:E181"/>
    <mergeCell ref="P181:Q181"/>
    <mergeCell ref="R181:T181"/>
    <mergeCell ref="C178:E178"/>
    <mergeCell ref="P178:Q178"/>
    <mergeCell ref="R178:T178"/>
    <mergeCell ref="P179:Q179"/>
    <mergeCell ref="S179:T179"/>
    <mergeCell ref="B184:C184"/>
    <mergeCell ref="D184:G184"/>
    <mergeCell ref="P184:Q184"/>
    <mergeCell ref="R184:T184"/>
    <mergeCell ref="C177:E177"/>
    <mergeCell ref="P177:Q177"/>
    <mergeCell ref="R177:T177"/>
    <mergeCell ref="C172:C173"/>
    <mergeCell ref="D172:E172"/>
    <mergeCell ref="D173:E173"/>
    <mergeCell ref="C174:E174"/>
    <mergeCell ref="C175:E175"/>
    <mergeCell ref="C180:E180"/>
    <mergeCell ref="P180:Q180"/>
    <mergeCell ref="S180:T180"/>
    <mergeCell ref="C170:E170"/>
    <mergeCell ref="C166:E166"/>
    <mergeCell ref="H166:O166"/>
    <mergeCell ref="P166:Q166"/>
    <mergeCell ref="R166:T166"/>
    <mergeCell ref="C167:E167"/>
    <mergeCell ref="P167:Q167"/>
    <mergeCell ref="R167:T167"/>
    <mergeCell ref="C176:E176"/>
    <mergeCell ref="P176:Q176"/>
    <mergeCell ref="R176:T176"/>
    <mergeCell ref="C165:E165"/>
    <mergeCell ref="P165:Q165"/>
    <mergeCell ref="R165:T165"/>
    <mergeCell ref="C162:E162"/>
    <mergeCell ref="P162:Q162"/>
    <mergeCell ref="R162:T162"/>
    <mergeCell ref="P163:Q163"/>
    <mergeCell ref="S163:T163"/>
    <mergeCell ref="B168:C168"/>
    <mergeCell ref="D168:G168"/>
    <mergeCell ref="P168:Q168"/>
    <mergeCell ref="R168:T168"/>
    <mergeCell ref="C161:E161"/>
    <mergeCell ref="P161:Q161"/>
    <mergeCell ref="R161:T161"/>
    <mergeCell ref="C156:C157"/>
    <mergeCell ref="D156:E156"/>
    <mergeCell ref="D157:E157"/>
    <mergeCell ref="C158:E158"/>
    <mergeCell ref="C159:E159"/>
    <mergeCell ref="C164:E164"/>
    <mergeCell ref="P164:Q164"/>
    <mergeCell ref="S164:T164"/>
    <mergeCell ref="C154:E154"/>
    <mergeCell ref="C150:E150"/>
    <mergeCell ref="H150:O150"/>
    <mergeCell ref="P150:Q150"/>
    <mergeCell ref="R150:T150"/>
    <mergeCell ref="C151:E151"/>
    <mergeCell ref="P151:Q151"/>
    <mergeCell ref="R151:T151"/>
    <mergeCell ref="C160:E160"/>
    <mergeCell ref="P160:Q160"/>
    <mergeCell ref="R160:T160"/>
    <mergeCell ref="C149:E149"/>
    <mergeCell ref="P149:Q149"/>
    <mergeCell ref="R149:T149"/>
    <mergeCell ref="C146:E146"/>
    <mergeCell ref="P146:Q146"/>
    <mergeCell ref="R146:T146"/>
    <mergeCell ref="P147:Q147"/>
    <mergeCell ref="S147:T147"/>
    <mergeCell ref="B152:C152"/>
    <mergeCell ref="D152:G152"/>
    <mergeCell ref="P152:Q152"/>
    <mergeCell ref="R152:T152"/>
    <mergeCell ref="C145:E145"/>
    <mergeCell ref="P145:Q145"/>
    <mergeCell ref="R145:T145"/>
    <mergeCell ref="C140:C141"/>
    <mergeCell ref="D140:E140"/>
    <mergeCell ref="D141:E141"/>
    <mergeCell ref="C142:E142"/>
    <mergeCell ref="C143:E143"/>
    <mergeCell ref="C148:E148"/>
    <mergeCell ref="P148:Q148"/>
    <mergeCell ref="S148:T148"/>
    <mergeCell ref="C138:E138"/>
    <mergeCell ref="C134:E134"/>
    <mergeCell ref="H134:O134"/>
    <mergeCell ref="P134:Q134"/>
    <mergeCell ref="R134:T134"/>
    <mergeCell ref="C135:E135"/>
    <mergeCell ref="P135:Q135"/>
    <mergeCell ref="R135:T135"/>
    <mergeCell ref="C144:E144"/>
    <mergeCell ref="P144:Q144"/>
    <mergeCell ref="R144:T144"/>
    <mergeCell ref="C133:E133"/>
    <mergeCell ref="P133:Q133"/>
    <mergeCell ref="R133:T133"/>
    <mergeCell ref="C130:E130"/>
    <mergeCell ref="P130:Q130"/>
    <mergeCell ref="R130:T130"/>
    <mergeCell ref="P131:Q131"/>
    <mergeCell ref="S131:T131"/>
    <mergeCell ref="B136:C136"/>
    <mergeCell ref="D136:G136"/>
    <mergeCell ref="P136:Q136"/>
    <mergeCell ref="R136:T136"/>
    <mergeCell ref="C129:E129"/>
    <mergeCell ref="P129:Q129"/>
    <mergeCell ref="R129:T129"/>
    <mergeCell ref="C124:C125"/>
    <mergeCell ref="D124:E124"/>
    <mergeCell ref="D125:E125"/>
    <mergeCell ref="C126:E126"/>
    <mergeCell ref="C127:E127"/>
    <mergeCell ref="C132:E132"/>
    <mergeCell ref="P132:Q132"/>
    <mergeCell ref="S132:T132"/>
    <mergeCell ref="C122:E122"/>
    <mergeCell ref="C118:E118"/>
    <mergeCell ref="H118:O118"/>
    <mergeCell ref="P118:Q118"/>
    <mergeCell ref="R118:T118"/>
    <mergeCell ref="C119:E119"/>
    <mergeCell ref="P119:Q119"/>
    <mergeCell ref="R119:T119"/>
    <mergeCell ref="C128:E128"/>
    <mergeCell ref="P128:Q128"/>
    <mergeCell ref="R128:T128"/>
    <mergeCell ref="C117:E117"/>
    <mergeCell ref="P117:Q117"/>
    <mergeCell ref="R117:T117"/>
    <mergeCell ref="C114:E114"/>
    <mergeCell ref="P114:Q114"/>
    <mergeCell ref="R114:T114"/>
    <mergeCell ref="P115:Q115"/>
    <mergeCell ref="S115:T115"/>
    <mergeCell ref="B120:C120"/>
    <mergeCell ref="D120:G120"/>
    <mergeCell ref="P120:Q120"/>
    <mergeCell ref="R120:T120"/>
    <mergeCell ref="C113:E113"/>
    <mergeCell ref="P113:Q113"/>
    <mergeCell ref="R113:T113"/>
    <mergeCell ref="C108:C109"/>
    <mergeCell ref="D108:E108"/>
    <mergeCell ref="D109:E109"/>
    <mergeCell ref="C110:E110"/>
    <mergeCell ref="C111:E111"/>
    <mergeCell ref="C116:E116"/>
    <mergeCell ref="P116:Q116"/>
    <mergeCell ref="S116:T116"/>
    <mergeCell ref="C106:E106"/>
    <mergeCell ref="C102:E102"/>
    <mergeCell ref="H102:O102"/>
    <mergeCell ref="P102:Q102"/>
    <mergeCell ref="R102:T102"/>
    <mergeCell ref="C103:E103"/>
    <mergeCell ref="P103:Q103"/>
    <mergeCell ref="R103:T103"/>
    <mergeCell ref="C112:E112"/>
    <mergeCell ref="P112:Q112"/>
    <mergeCell ref="R112:T112"/>
    <mergeCell ref="C101:E101"/>
    <mergeCell ref="P101:Q101"/>
    <mergeCell ref="R101:T101"/>
    <mergeCell ref="C98:E98"/>
    <mergeCell ref="P98:Q98"/>
    <mergeCell ref="R98:T98"/>
    <mergeCell ref="P99:Q99"/>
    <mergeCell ref="S99:T99"/>
    <mergeCell ref="B104:C104"/>
    <mergeCell ref="D104:G104"/>
    <mergeCell ref="P104:Q104"/>
    <mergeCell ref="R104:T104"/>
    <mergeCell ref="C97:E97"/>
    <mergeCell ref="P97:Q97"/>
    <mergeCell ref="R97:T97"/>
    <mergeCell ref="C92:C93"/>
    <mergeCell ref="D92:E92"/>
    <mergeCell ref="D93:E93"/>
    <mergeCell ref="C94:E94"/>
    <mergeCell ref="C95:E95"/>
    <mergeCell ref="C100:E100"/>
    <mergeCell ref="P100:Q100"/>
    <mergeCell ref="S100:T100"/>
    <mergeCell ref="C90:E90"/>
    <mergeCell ref="C86:E86"/>
    <mergeCell ref="H86:O86"/>
    <mergeCell ref="P86:Q86"/>
    <mergeCell ref="R86:T86"/>
    <mergeCell ref="C87:E87"/>
    <mergeCell ref="P87:Q87"/>
    <mergeCell ref="R87:T87"/>
    <mergeCell ref="C96:E96"/>
    <mergeCell ref="P96:Q96"/>
    <mergeCell ref="R96:T96"/>
    <mergeCell ref="C85:E85"/>
    <mergeCell ref="P85:Q85"/>
    <mergeCell ref="R85:T85"/>
    <mergeCell ref="C82:E82"/>
    <mergeCell ref="P82:Q82"/>
    <mergeCell ref="R82:T82"/>
    <mergeCell ref="P83:Q83"/>
    <mergeCell ref="S83:T83"/>
    <mergeCell ref="B88:C88"/>
    <mergeCell ref="D88:G88"/>
    <mergeCell ref="P88:Q88"/>
    <mergeCell ref="R88:T88"/>
    <mergeCell ref="C81:E81"/>
    <mergeCell ref="P81:Q81"/>
    <mergeCell ref="R81:T81"/>
    <mergeCell ref="C76:C77"/>
    <mergeCell ref="D76:E76"/>
    <mergeCell ref="D77:E77"/>
    <mergeCell ref="C78:E78"/>
    <mergeCell ref="C79:E79"/>
    <mergeCell ref="C84:E84"/>
    <mergeCell ref="P84:Q84"/>
    <mergeCell ref="S84:T84"/>
    <mergeCell ref="C74:E74"/>
    <mergeCell ref="C70:E70"/>
    <mergeCell ref="H70:O70"/>
    <mergeCell ref="P70:Q70"/>
    <mergeCell ref="R70:T70"/>
    <mergeCell ref="C71:E71"/>
    <mergeCell ref="P71:Q71"/>
    <mergeCell ref="R71:T71"/>
    <mergeCell ref="C80:E80"/>
    <mergeCell ref="P80:Q80"/>
    <mergeCell ref="R80:T80"/>
    <mergeCell ref="C69:E69"/>
    <mergeCell ref="P69:Q69"/>
    <mergeCell ref="R69:T69"/>
    <mergeCell ref="C66:E66"/>
    <mergeCell ref="P66:Q66"/>
    <mergeCell ref="R66:T66"/>
    <mergeCell ref="P67:Q67"/>
    <mergeCell ref="S67:T67"/>
    <mergeCell ref="B72:C72"/>
    <mergeCell ref="D72:G72"/>
    <mergeCell ref="P72:Q72"/>
    <mergeCell ref="R72:T72"/>
    <mergeCell ref="C65:E65"/>
    <mergeCell ref="P65:Q65"/>
    <mergeCell ref="R65:T65"/>
    <mergeCell ref="C60:C61"/>
    <mergeCell ref="D60:E60"/>
    <mergeCell ref="D61:E61"/>
    <mergeCell ref="C62:E62"/>
    <mergeCell ref="C63:E63"/>
    <mergeCell ref="C68:E68"/>
    <mergeCell ref="P68:Q68"/>
    <mergeCell ref="S68:T68"/>
    <mergeCell ref="C58:E58"/>
    <mergeCell ref="C54:E54"/>
    <mergeCell ref="H54:O54"/>
    <mergeCell ref="P54:Q54"/>
    <mergeCell ref="R54:T54"/>
    <mergeCell ref="C55:E55"/>
    <mergeCell ref="P55:Q55"/>
    <mergeCell ref="R55:T55"/>
    <mergeCell ref="C64:E64"/>
    <mergeCell ref="P64:Q64"/>
    <mergeCell ref="R64:T64"/>
    <mergeCell ref="C53:E53"/>
    <mergeCell ref="P53:Q53"/>
    <mergeCell ref="R53:T53"/>
    <mergeCell ref="C50:E50"/>
    <mergeCell ref="P50:Q50"/>
    <mergeCell ref="R50:T50"/>
    <mergeCell ref="P51:Q51"/>
    <mergeCell ref="S51:T51"/>
    <mergeCell ref="B56:C56"/>
    <mergeCell ref="D56:G56"/>
    <mergeCell ref="P56:Q56"/>
    <mergeCell ref="R56:T56"/>
    <mergeCell ref="C49:E49"/>
    <mergeCell ref="P49:Q49"/>
    <mergeCell ref="R49:T49"/>
    <mergeCell ref="C44:C45"/>
    <mergeCell ref="D44:E44"/>
    <mergeCell ref="D45:E45"/>
    <mergeCell ref="C46:E46"/>
    <mergeCell ref="C47:E47"/>
    <mergeCell ref="C52:E52"/>
    <mergeCell ref="P52:Q52"/>
    <mergeCell ref="S52:T52"/>
    <mergeCell ref="C42:E42"/>
    <mergeCell ref="C38:E38"/>
    <mergeCell ref="H38:O38"/>
    <mergeCell ref="P38:Q38"/>
    <mergeCell ref="R38:T38"/>
    <mergeCell ref="C39:E39"/>
    <mergeCell ref="P39:Q39"/>
    <mergeCell ref="R39:T39"/>
    <mergeCell ref="C48:E48"/>
    <mergeCell ref="P48:Q48"/>
    <mergeCell ref="R48:T48"/>
    <mergeCell ref="C37:E37"/>
    <mergeCell ref="P37:Q37"/>
    <mergeCell ref="R37:T37"/>
    <mergeCell ref="C34:E34"/>
    <mergeCell ref="P34:Q34"/>
    <mergeCell ref="R34:T34"/>
    <mergeCell ref="P35:Q35"/>
    <mergeCell ref="S35:T35"/>
    <mergeCell ref="B40:C40"/>
    <mergeCell ref="D40:G40"/>
    <mergeCell ref="P40:Q40"/>
    <mergeCell ref="R40:T40"/>
    <mergeCell ref="C33:E33"/>
    <mergeCell ref="P33:Q33"/>
    <mergeCell ref="R33:T33"/>
    <mergeCell ref="C26:E26"/>
    <mergeCell ref="C28:C29"/>
    <mergeCell ref="D28:E28"/>
    <mergeCell ref="D29:E29"/>
    <mergeCell ref="C30:E30"/>
    <mergeCell ref="C36:E36"/>
    <mergeCell ref="P36:Q36"/>
    <mergeCell ref="S36:T36"/>
    <mergeCell ref="C18:E18"/>
    <mergeCell ref="C20:E20"/>
    <mergeCell ref="C21:E21"/>
    <mergeCell ref="C16:E16"/>
    <mergeCell ref="C17:E17"/>
    <mergeCell ref="V85:AD85"/>
    <mergeCell ref="V18:AD18"/>
    <mergeCell ref="V19:AD19"/>
    <mergeCell ref="R24:T24"/>
    <mergeCell ref="V82:AD82"/>
    <mergeCell ref="V83:AD83"/>
    <mergeCell ref="V84:AD84"/>
    <mergeCell ref="S20:T20"/>
    <mergeCell ref="AC43:AD43"/>
    <mergeCell ref="AC44:AD44"/>
    <mergeCell ref="AC45:AD45"/>
    <mergeCell ref="AC41:AD41"/>
    <mergeCell ref="AC42:AD42"/>
    <mergeCell ref="V39:AD39"/>
    <mergeCell ref="V38:AD38"/>
    <mergeCell ref="V40:AG40"/>
    <mergeCell ref="P20:Q20"/>
    <mergeCell ref="P18:Q18"/>
    <mergeCell ref="P24:Q24"/>
    <mergeCell ref="R18:T18"/>
    <mergeCell ref="R23:T23"/>
    <mergeCell ref="P22:Q22"/>
    <mergeCell ref="R21:T21"/>
    <mergeCell ref="S19:T19"/>
    <mergeCell ref="P19:Q19"/>
    <mergeCell ref="P21:Q21"/>
    <mergeCell ref="P23:Q23"/>
    <mergeCell ref="R22:T22"/>
    <mergeCell ref="V10:AD10"/>
    <mergeCell ref="P16:Q16"/>
    <mergeCell ref="R16:T16"/>
    <mergeCell ref="P17:Q17"/>
    <mergeCell ref="R17:T17"/>
    <mergeCell ref="E7:G7"/>
    <mergeCell ref="B2:D2"/>
    <mergeCell ref="B3:D3"/>
    <mergeCell ref="B4:D4"/>
    <mergeCell ref="B5:D5"/>
    <mergeCell ref="E2:G2"/>
    <mergeCell ref="E3:G3"/>
    <mergeCell ref="E4:G4"/>
    <mergeCell ref="E5:G5"/>
    <mergeCell ref="C10:E10"/>
    <mergeCell ref="C14:E14"/>
    <mergeCell ref="C15:E15"/>
    <mergeCell ref="C12:C13"/>
    <mergeCell ref="D12:E12"/>
    <mergeCell ref="D13:E13"/>
    <mergeCell ref="H22:O22"/>
    <mergeCell ref="C23:E23"/>
    <mergeCell ref="B24:C24"/>
    <mergeCell ref="D24:G24"/>
    <mergeCell ref="C22:E22"/>
    <mergeCell ref="AC59:AD59"/>
    <mergeCell ref="AC60:AD60"/>
    <mergeCell ref="AC51:AD51"/>
    <mergeCell ref="AC52:AD52"/>
    <mergeCell ref="AC53:AD53"/>
    <mergeCell ref="AC54:AD54"/>
    <mergeCell ref="AC55:AD55"/>
    <mergeCell ref="AC56:AD56"/>
    <mergeCell ref="AC57:AD57"/>
    <mergeCell ref="AC58:AD58"/>
    <mergeCell ref="AC46:AD46"/>
    <mergeCell ref="AC47:AD47"/>
    <mergeCell ref="AC48:AD48"/>
    <mergeCell ref="AC49:AD49"/>
    <mergeCell ref="AC50:AD50"/>
    <mergeCell ref="C31:E31"/>
    <mergeCell ref="C32:E32"/>
    <mergeCell ref="P32:Q32"/>
    <mergeCell ref="R32:T32"/>
    <mergeCell ref="AC76:AD76"/>
    <mergeCell ref="AC77:AD77"/>
    <mergeCell ref="AC78:AD78"/>
    <mergeCell ref="AC79:AD79"/>
    <mergeCell ref="AC80:AD80"/>
    <mergeCell ref="AC71:AD71"/>
    <mergeCell ref="AC72:AD72"/>
    <mergeCell ref="AC73:AD73"/>
    <mergeCell ref="AC74:AD74"/>
    <mergeCell ref="AC75:AD75"/>
    <mergeCell ref="AC66:AD66"/>
    <mergeCell ref="AC67:AD67"/>
    <mergeCell ref="AC68:AD68"/>
    <mergeCell ref="AC69:AD69"/>
    <mergeCell ref="AC70:AD70"/>
    <mergeCell ref="AC61:AD61"/>
    <mergeCell ref="AC62:AD62"/>
    <mergeCell ref="AC63:AD63"/>
    <mergeCell ref="AC64:AD64"/>
    <mergeCell ref="AC65:AD65"/>
  </mergeCells>
  <conditionalFormatting sqref="C12">
    <cfRule type="notContainsBlanks" dxfId="121" priority="96" stopIfTrue="1">
      <formula>LEN(TRIM(C12))&gt;0</formula>
    </cfRule>
  </conditionalFormatting>
  <conditionalFormatting sqref="C28">
    <cfRule type="notContainsBlanks" dxfId="120" priority="91" stopIfTrue="1">
      <formula>LEN(TRIM(C28))&gt;0</formula>
    </cfRule>
  </conditionalFormatting>
  <conditionalFormatting sqref="C44">
    <cfRule type="notContainsBlanks" dxfId="119" priority="86" stopIfTrue="1">
      <formula>LEN(TRIM(C44))&gt;0</formula>
    </cfRule>
  </conditionalFormatting>
  <conditionalFormatting sqref="C60">
    <cfRule type="notContainsBlanks" dxfId="118" priority="81" stopIfTrue="1">
      <formula>LEN(TRIM(C60))&gt;0</formula>
    </cfRule>
  </conditionalFormatting>
  <conditionalFormatting sqref="C76">
    <cfRule type="notContainsBlanks" dxfId="117" priority="76" stopIfTrue="1">
      <formula>LEN(TRIM(C76))&gt;0</formula>
    </cfRule>
  </conditionalFormatting>
  <conditionalFormatting sqref="C92">
    <cfRule type="notContainsBlanks" dxfId="116" priority="71" stopIfTrue="1">
      <formula>LEN(TRIM(C92))&gt;0</formula>
    </cfRule>
  </conditionalFormatting>
  <conditionalFormatting sqref="C108">
    <cfRule type="notContainsBlanks" dxfId="115" priority="66" stopIfTrue="1">
      <formula>LEN(TRIM(C108))&gt;0</formula>
    </cfRule>
  </conditionalFormatting>
  <conditionalFormatting sqref="C124">
    <cfRule type="notContainsBlanks" dxfId="114" priority="61" stopIfTrue="1">
      <formula>LEN(TRIM(C124))&gt;0</formula>
    </cfRule>
  </conditionalFormatting>
  <conditionalFormatting sqref="C140">
    <cfRule type="notContainsBlanks" dxfId="113" priority="56" stopIfTrue="1">
      <formula>LEN(TRIM(C140))&gt;0</formula>
    </cfRule>
  </conditionalFormatting>
  <conditionalFormatting sqref="C156">
    <cfRule type="notContainsBlanks" dxfId="112" priority="51" stopIfTrue="1">
      <formula>LEN(TRIM(C156))&gt;0</formula>
    </cfRule>
  </conditionalFormatting>
  <conditionalFormatting sqref="C172">
    <cfRule type="notContainsBlanks" dxfId="111" priority="46" stopIfTrue="1">
      <formula>LEN(TRIM(C172))&gt;0</formula>
    </cfRule>
  </conditionalFormatting>
  <conditionalFormatting sqref="C188">
    <cfRule type="notContainsBlanks" dxfId="110" priority="41" stopIfTrue="1">
      <formula>LEN(TRIM(C188))&gt;0</formula>
    </cfRule>
  </conditionalFormatting>
  <conditionalFormatting sqref="C204">
    <cfRule type="notContainsBlanks" dxfId="109" priority="36" stopIfTrue="1">
      <formula>LEN(TRIM(C204))&gt;0</formula>
    </cfRule>
  </conditionalFormatting>
  <conditionalFormatting sqref="C220">
    <cfRule type="notContainsBlanks" dxfId="108" priority="31" stopIfTrue="1">
      <formula>LEN(TRIM(C220))&gt;0</formula>
    </cfRule>
  </conditionalFormatting>
  <conditionalFormatting sqref="C236">
    <cfRule type="notContainsBlanks" dxfId="107" priority="26" stopIfTrue="1">
      <formula>LEN(TRIM(C236))&gt;0</formula>
    </cfRule>
  </conditionalFormatting>
  <conditionalFormatting sqref="C252">
    <cfRule type="notContainsBlanks" dxfId="106" priority="21" stopIfTrue="1">
      <formula>LEN(TRIM(C252))&gt;0</formula>
    </cfRule>
  </conditionalFormatting>
  <conditionalFormatting sqref="C268">
    <cfRule type="notContainsBlanks" dxfId="105" priority="16" stopIfTrue="1">
      <formula>LEN(TRIM(C268))&gt;0</formula>
    </cfRule>
  </conditionalFormatting>
  <conditionalFormatting sqref="C284">
    <cfRule type="notContainsBlanks" dxfId="104" priority="11" stopIfTrue="1">
      <formula>LEN(TRIM(C284))&gt;0</formula>
    </cfRule>
  </conditionalFormatting>
  <conditionalFormatting sqref="C300">
    <cfRule type="notContainsBlanks" dxfId="103" priority="6" stopIfTrue="1">
      <formula>LEN(TRIM(C300))&gt;0</formula>
    </cfRule>
  </conditionalFormatting>
  <conditionalFormatting sqref="C316">
    <cfRule type="notContainsBlanks" dxfId="102" priority="1" stopIfTrue="1">
      <formula>LEN(TRIM(C316))&gt;0</formula>
    </cfRule>
  </conditionalFormatting>
  <conditionalFormatting sqref="E2:E5 E7">
    <cfRule type="notContainsBlanks" dxfId="101" priority="820" stopIfTrue="1">
      <formula>LEN(TRIM(E2))&gt;0</formula>
    </cfRule>
  </conditionalFormatting>
  <conditionalFormatting sqref="F12:F15">
    <cfRule type="notContainsBlanks" dxfId="100" priority="575" stopIfTrue="1">
      <formula>LEN(TRIM(F12))&gt;0</formula>
    </cfRule>
  </conditionalFormatting>
  <conditionalFormatting sqref="F17:F18">
    <cfRule type="notContainsBlanks" dxfId="99" priority="573" stopIfTrue="1">
      <formula>LEN(TRIM(F17))&gt;0</formula>
    </cfRule>
  </conditionalFormatting>
  <conditionalFormatting sqref="F20:F21">
    <cfRule type="notContainsBlanks" dxfId="98" priority="572" stopIfTrue="1">
      <formula>LEN(TRIM(F20))&gt;0</formula>
    </cfRule>
  </conditionalFormatting>
  <conditionalFormatting sqref="F28:F31">
    <cfRule type="notContainsBlanks" dxfId="97" priority="95" stopIfTrue="1">
      <formula>LEN(TRIM(F28))&gt;0</formula>
    </cfRule>
  </conditionalFormatting>
  <conditionalFormatting sqref="F33:F34">
    <cfRule type="notContainsBlanks" dxfId="96" priority="93" stopIfTrue="1">
      <formula>LEN(TRIM(F33))&gt;0</formula>
    </cfRule>
  </conditionalFormatting>
  <conditionalFormatting sqref="F36:F37">
    <cfRule type="notContainsBlanks" dxfId="95" priority="92" stopIfTrue="1">
      <formula>LEN(TRIM(F36))&gt;0</formula>
    </cfRule>
  </conditionalFormatting>
  <conditionalFormatting sqref="F44:F47">
    <cfRule type="notContainsBlanks" dxfId="94" priority="90" stopIfTrue="1">
      <formula>LEN(TRIM(F44))&gt;0</formula>
    </cfRule>
  </conditionalFormatting>
  <conditionalFormatting sqref="F49:F50">
    <cfRule type="notContainsBlanks" dxfId="93" priority="88" stopIfTrue="1">
      <formula>LEN(TRIM(F49))&gt;0</formula>
    </cfRule>
  </conditionalFormatting>
  <conditionalFormatting sqref="F52:F53">
    <cfRule type="notContainsBlanks" dxfId="92" priority="87" stopIfTrue="1">
      <formula>LEN(TRIM(F52))&gt;0</formula>
    </cfRule>
  </conditionalFormatting>
  <conditionalFormatting sqref="F60:F63">
    <cfRule type="notContainsBlanks" dxfId="91" priority="85" stopIfTrue="1">
      <formula>LEN(TRIM(F60))&gt;0</formula>
    </cfRule>
  </conditionalFormatting>
  <conditionalFormatting sqref="F65:F66">
    <cfRule type="notContainsBlanks" dxfId="90" priority="83" stopIfTrue="1">
      <formula>LEN(TRIM(F65))&gt;0</formula>
    </cfRule>
  </conditionalFormatting>
  <conditionalFormatting sqref="F68:F69">
    <cfRule type="notContainsBlanks" dxfId="89" priority="82" stopIfTrue="1">
      <formula>LEN(TRIM(F68))&gt;0</formula>
    </cfRule>
  </conditionalFormatting>
  <conditionalFormatting sqref="F76:F79">
    <cfRule type="notContainsBlanks" dxfId="88" priority="80" stopIfTrue="1">
      <formula>LEN(TRIM(F76))&gt;0</formula>
    </cfRule>
  </conditionalFormatting>
  <conditionalFormatting sqref="F81:F82">
    <cfRule type="notContainsBlanks" dxfId="87" priority="78" stopIfTrue="1">
      <formula>LEN(TRIM(F81))&gt;0</formula>
    </cfRule>
  </conditionalFormatting>
  <conditionalFormatting sqref="F84:F85">
    <cfRule type="notContainsBlanks" dxfId="86" priority="77" stopIfTrue="1">
      <formula>LEN(TRIM(F84))&gt;0</formula>
    </cfRule>
  </conditionalFormatting>
  <conditionalFormatting sqref="F92:F95">
    <cfRule type="notContainsBlanks" dxfId="85" priority="75" stopIfTrue="1">
      <formula>LEN(TRIM(F92))&gt;0</formula>
    </cfRule>
  </conditionalFormatting>
  <conditionalFormatting sqref="F97:F98">
    <cfRule type="notContainsBlanks" dxfId="84" priority="73" stopIfTrue="1">
      <formula>LEN(TRIM(F97))&gt;0</formula>
    </cfRule>
  </conditionalFormatting>
  <conditionalFormatting sqref="F100:F101">
    <cfRule type="notContainsBlanks" dxfId="83" priority="72" stopIfTrue="1">
      <formula>LEN(TRIM(F100))&gt;0</formula>
    </cfRule>
  </conditionalFormatting>
  <conditionalFormatting sqref="F108:F111">
    <cfRule type="notContainsBlanks" dxfId="82" priority="70" stopIfTrue="1">
      <formula>LEN(TRIM(F108))&gt;0</formula>
    </cfRule>
  </conditionalFormatting>
  <conditionalFormatting sqref="F113:F114">
    <cfRule type="notContainsBlanks" dxfId="81" priority="68" stopIfTrue="1">
      <formula>LEN(TRIM(F113))&gt;0</formula>
    </cfRule>
  </conditionalFormatting>
  <conditionalFormatting sqref="F116:F117">
    <cfRule type="notContainsBlanks" dxfId="80" priority="67" stopIfTrue="1">
      <formula>LEN(TRIM(F116))&gt;0</formula>
    </cfRule>
  </conditionalFormatting>
  <conditionalFormatting sqref="F124:F127">
    <cfRule type="notContainsBlanks" dxfId="79" priority="65" stopIfTrue="1">
      <formula>LEN(TRIM(F124))&gt;0</formula>
    </cfRule>
  </conditionalFormatting>
  <conditionalFormatting sqref="F129:F130">
    <cfRule type="notContainsBlanks" dxfId="78" priority="63" stopIfTrue="1">
      <formula>LEN(TRIM(F129))&gt;0</formula>
    </cfRule>
  </conditionalFormatting>
  <conditionalFormatting sqref="F132:F133">
    <cfRule type="notContainsBlanks" dxfId="77" priority="62" stopIfTrue="1">
      <formula>LEN(TRIM(F132))&gt;0</formula>
    </cfRule>
  </conditionalFormatting>
  <conditionalFormatting sqref="F140:F143">
    <cfRule type="notContainsBlanks" dxfId="76" priority="60" stopIfTrue="1">
      <formula>LEN(TRIM(F140))&gt;0</formula>
    </cfRule>
  </conditionalFormatting>
  <conditionalFormatting sqref="F145:F146">
    <cfRule type="notContainsBlanks" dxfId="75" priority="58" stopIfTrue="1">
      <formula>LEN(TRIM(F145))&gt;0</formula>
    </cfRule>
  </conditionalFormatting>
  <conditionalFormatting sqref="F148:F149">
    <cfRule type="notContainsBlanks" dxfId="74" priority="57" stopIfTrue="1">
      <formula>LEN(TRIM(F148))&gt;0</formula>
    </cfRule>
  </conditionalFormatting>
  <conditionalFormatting sqref="F156:F159">
    <cfRule type="notContainsBlanks" dxfId="73" priority="55" stopIfTrue="1">
      <formula>LEN(TRIM(F156))&gt;0</formula>
    </cfRule>
  </conditionalFormatting>
  <conditionalFormatting sqref="F161:F162">
    <cfRule type="notContainsBlanks" dxfId="72" priority="53" stopIfTrue="1">
      <formula>LEN(TRIM(F161))&gt;0</formula>
    </cfRule>
  </conditionalFormatting>
  <conditionalFormatting sqref="F164:F165">
    <cfRule type="notContainsBlanks" dxfId="71" priority="52" stopIfTrue="1">
      <formula>LEN(TRIM(F164))&gt;0</formula>
    </cfRule>
  </conditionalFormatting>
  <conditionalFormatting sqref="F172:F175">
    <cfRule type="notContainsBlanks" dxfId="70" priority="50" stopIfTrue="1">
      <formula>LEN(TRIM(F172))&gt;0</formula>
    </cfRule>
  </conditionalFormatting>
  <conditionalFormatting sqref="F177:F178">
    <cfRule type="notContainsBlanks" dxfId="69" priority="48" stopIfTrue="1">
      <formula>LEN(TRIM(F177))&gt;0</formula>
    </cfRule>
  </conditionalFormatting>
  <conditionalFormatting sqref="F180:F181">
    <cfRule type="notContainsBlanks" dxfId="68" priority="47" stopIfTrue="1">
      <formula>LEN(TRIM(F180))&gt;0</formula>
    </cfRule>
  </conditionalFormatting>
  <conditionalFormatting sqref="F188:F191">
    <cfRule type="notContainsBlanks" dxfId="67" priority="45" stopIfTrue="1">
      <formula>LEN(TRIM(F188))&gt;0</formula>
    </cfRule>
  </conditionalFormatting>
  <conditionalFormatting sqref="F193:F194">
    <cfRule type="notContainsBlanks" dxfId="66" priority="43" stopIfTrue="1">
      <formula>LEN(TRIM(F193))&gt;0</formula>
    </cfRule>
  </conditionalFormatting>
  <conditionalFormatting sqref="F196:F197">
    <cfRule type="notContainsBlanks" dxfId="65" priority="42" stopIfTrue="1">
      <formula>LEN(TRIM(F196))&gt;0</formula>
    </cfRule>
  </conditionalFormatting>
  <conditionalFormatting sqref="F204:F207">
    <cfRule type="notContainsBlanks" dxfId="64" priority="40" stopIfTrue="1">
      <formula>LEN(TRIM(F204))&gt;0</formula>
    </cfRule>
  </conditionalFormatting>
  <conditionalFormatting sqref="F209:F210">
    <cfRule type="notContainsBlanks" dxfId="63" priority="38" stopIfTrue="1">
      <formula>LEN(TRIM(F209))&gt;0</formula>
    </cfRule>
  </conditionalFormatting>
  <conditionalFormatting sqref="F212:F213">
    <cfRule type="notContainsBlanks" dxfId="62" priority="37" stopIfTrue="1">
      <formula>LEN(TRIM(F212))&gt;0</formula>
    </cfRule>
  </conditionalFormatting>
  <conditionalFormatting sqref="F220:F223">
    <cfRule type="notContainsBlanks" dxfId="61" priority="35" stopIfTrue="1">
      <formula>LEN(TRIM(F220))&gt;0</formula>
    </cfRule>
  </conditionalFormatting>
  <conditionalFormatting sqref="F225:F226">
    <cfRule type="notContainsBlanks" dxfId="60" priority="33" stopIfTrue="1">
      <formula>LEN(TRIM(F225))&gt;0</formula>
    </cfRule>
  </conditionalFormatting>
  <conditionalFormatting sqref="F228:F229">
    <cfRule type="notContainsBlanks" dxfId="59" priority="32" stopIfTrue="1">
      <formula>LEN(TRIM(F228))&gt;0</formula>
    </cfRule>
  </conditionalFormatting>
  <conditionalFormatting sqref="F236:F239">
    <cfRule type="notContainsBlanks" dxfId="58" priority="30" stopIfTrue="1">
      <formula>LEN(TRIM(F236))&gt;0</formula>
    </cfRule>
  </conditionalFormatting>
  <conditionalFormatting sqref="F241:F242">
    <cfRule type="notContainsBlanks" dxfId="57" priority="28" stopIfTrue="1">
      <formula>LEN(TRIM(F241))&gt;0</formula>
    </cfRule>
  </conditionalFormatting>
  <conditionalFormatting sqref="F244:F245">
    <cfRule type="notContainsBlanks" dxfId="56" priority="27" stopIfTrue="1">
      <formula>LEN(TRIM(F244))&gt;0</formula>
    </cfRule>
  </conditionalFormatting>
  <conditionalFormatting sqref="F252:F255">
    <cfRule type="notContainsBlanks" dxfId="55" priority="25" stopIfTrue="1">
      <formula>LEN(TRIM(F252))&gt;0</formula>
    </cfRule>
  </conditionalFormatting>
  <conditionalFormatting sqref="F257:F258">
    <cfRule type="notContainsBlanks" dxfId="54" priority="23" stopIfTrue="1">
      <formula>LEN(TRIM(F257))&gt;0</formula>
    </cfRule>
  </conditionalFormatting>
  <conditionalFormatting sqref="F260:F261">
    <cfRule type="notContainsBlanks" dxfId="53" priority="22" stopIfTrue="1">
      <formula>LEN(TRIM(F260))&gt;0</formula>
    </cfRule>
  </conditionalFormatting>
  <conditionalFormatting sqref="F268:F271">
    <cfRule type="notContainsBlanks" dxfId="52" priority="20" stopIfTrue="1">
      <formula>LEN(TRIM(F268))&gt;0</formula>
    </cfRule>
  </conditionalFormatting>
  <conditionalFormatting sqref="F273:F274">
    <cfRule type="notContainsBlanks" dxfId="51" priority="18" stopIfTrue="1">
      <formula>LEN(TRIM(F273))&gt;0</formula>
    </cfRule>
  </conditionalFormatting>
  <conditionalFormatting sqref="F276:F277">
    <cfRule type="notContainsBlanks" dxfId="50" priority="17" stopIfTrue="1">
      <formula>LEN(TRIM(F276))&gt;0</formula>
    </cfRule>
  </conditionalFormatting>
  <conditionalFormatting sqref="F284:F287">
    <cfRule type="notContainsBlanks" dxfId="49" priority="15" stopIfTrue="1">
      <formula>LEN(TRIM(F284))&gt;0</formula>
    </cfRule>
  </conditionalFormatting>
  <conditionalFormatting sqref="F289:F290">
    <cfRule type="notContainsBlanks" dxfId="48" priority="13" stopIfTrue="1">
      <formula>LEN(TRIM(F289))&gt;0</formula>
    </cfRule>
  </conditionalFormatting>
  <conditionalFormatting sqref="F292:F293">
    <cfRule type="notContainsBlanks" dxfId="47" priority="12" stopIfTrue="1">
      <formula>LEN(TRIM(F292))&gt;0</formula>
    </cfRule>
  </conditionalFormatting>
  <conditionalFormatting sqref="F300:F303">
    <cfRule type="notContainsBlanks" dxfId="46" priority="10" stopIfTrue="1">
      <formula>LEN(TRIM(F300))&gt;0</formula>
    </cfRule>
  </conditionalFormatting>
  <conditionalFormatting sqref="F305:F306">
    <cfRule type="notContainsBlanks" dxfId="45" priority="8" stopIfTrue="1">
      <formula>LEN(TRIM(F305))&gt;0</formula>
    </cfRule>
  </conditionalFormatting>
  <conditionalFormatting sqref="F308:F309">
    <cfRule type="notContainsBlanks" dxfId="44" priority="7" stopIfTrue="1">
      <formula>LEN(TRIM(F308))&gt;0</formula>
    </cfRule>
  </conditionalFormatting>
  <conditionalFormatting sqref="F316:F319">
    <cfRule type="notContainsBlanks" dxfId="43" priority="5" stopIfTrue="1">
      <formula>LEN(TRIM(F316))&gt;0</formula>
    </cfRule>
  </conditionalFormatting>
  <conditionalFormatting sqref="F321:F322">
    <cfRule type="notContainsBlanks" dxfId="42" priority="3" stopIfTrue="1">
      <formula>LEN(TRIM(F321))&gt;0</formula>
    </cfRule>
  </conditionalFormatting>
  <conditionalFormatting sqref="F324:F325">
    <cfRule type="notContainsBlanks" dxfId="41" priority="2" stopIfTrue="1">
      <formula>LEN(TRIM(F324))&gt;0</formula>
    </cfRule>
  </conditionalFormatting>
  <dataValidations count="3">
    <dataValidation type="list" allowBlank="1" showInputMessage="1" showErrorMessage="1" sqref="F18 F34 F50 F66 F82 F98 F114 F130 F146 F162 F178 F194 F210 F226 F242 F258 F274 F290 F306 F322" xr:uid="{00000000-0002-0000-0100-000000000000}">
      <formula1>"Y,N"</formula1>
    </dataValidation>
    <dataValidation type="list" allowBlank="1" showInputMessage="1" showErrorMessage="1" sqref="F15 F31 F47 F63 F79 F95 F111 F127 F143 F159 F175 F191 F207 F223 F239 F255 F271 F287 F303 F319" xr:uid="{00000000-0002-0000-0100-000001000000}">
      <formula1>"2,3,4"</formula1>
    </dataValidation>
    <dataValidation type="list" allowBlank="1" showInputMessage="1" showErrorMessage="1" sqref="F17 F33 F49 F65 F81 F97 F113 F129 F145 F161 F177 F193 F209 F225 F241 F257 F273 F289 F305 F321" xr:uid="{00000000-0002-0000-0100-000002000000}">
      <formula1>"N, Dodge, Motovario"</formula1>
    </dataValidation>
  </dataValidations>
  <pageMargins left="0.25" right="0.25" top="0.75" bottom="0.75" header="0.3" footer="0.3"/>
  <pageSetup scale="80" fitToHeight="0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DFF3-6706-4ACF-9F69-80A41338FFC0}">
  <dimension ref="B1:AW285"/>
  <sheetViews>
    <sheetView zoomScaleNormal="100" workbookViewId="0">
      <pane ySplit="6" topLeftCell="A7" activePane="bottomLeft" state="frozen"/>
      <selection pane="bottomLeft" activeCell="B14" sqref="B14:F14"/>
    </sheetView>
  </sheetViews>
  <sheetFormatPr defaultColWidth="8.88671875" defaultRowHeight="13.2" customHeight="1" x14ac:dyDescent="0.2"/>
  <cols>
    <col min="1" max="2" width="1.6640625" style="89" customWidth="1"/>
    <col min="3" max="3" width="7.44140625" style="89" customWidth="1"/>
    <col min="4" max="6" width="8.6640625" style="89" customWidth="1"/>
    <col min="7" max="7" width="9.6640625" style="89" customWidth="1"/>
    <col min="8" max="8" width="1.6640625" style="89" customWidth="1"/>
    <col min="9" max="9" width="8.6640625" style="90" customWidth="1"/>
    <col min="10" max="10" width="2.33203125" style="90" customWidth="1"/>
    <col min="11" max="11" width="8.6640625" style="90" customWidth="1"/>
    <col min="12" max="12" width="2.33203125" style="90" customWidth="1"/>
    <col min="13" max="13" width="8.6640625" style="90" customWidth="1"/>
    <col min="14" max="14" width="2.33203125" style="90" customWidth="1"/>
    <col min="15" max="15" width="8.6640625" style="90" customWidth="1"/>
    <col min="16" max="16" width="2.33203125" style="90" customWidth="1"/>
    <col min="17" max="17" width="8.6640625" style="90" customWidth="1"/>
    <col min="18" max="18" width="2.33203125" style="90" customWidth="1"/>
    <col min="19" max="19" width="8.6640625" style="90" customWidth="1"/>
    <col min="20" max="20" width="2.33203125" style="90" customWidth="1"/>
    <col min="21" max="21" width="8.6640625" style="90" customWidth="1"/>
    <col min="22" max="22" width="2.33203125" style="90" customWidth="1"/>
    <col min="23" max="23" width="8.6640625" style="90" customWidth="1"/>
    <col min="24" max="24" width="2.33203125" style="90" customWidth="1"/>
    <col min="25" max="25" width="8.6640625" style="90" customWidth="1"/>
    <col min="26" max="26" width="2.33203125" style="90" customWidth="1"/>
    <col min="27" max="27" width="8.6640625" style="90" customWidth="1"/>
    <col min="28" max="28" width="10" style="90" customWidth="1"/>
    <col min="29" max="29" width="6.6640625" style="90" customWidth="1"/>
    <col min="30" max="38" width="8.88671875" style="90" customWidth="1"/>
    <col min="39" max="16384" width="8.88671875" style="89"/>
  </cols>
  <sheetData>
    <row r="1" spans="2:49" ht="13.2" customHeight="1" thickBot="1" x14ac:dyDescent="0.25">
      <c r="AB1" s="90" t="s">
        <v>228</v>
      </c>
    </row>
    <row r="2" spans="2:49" ht="13.2" customHeight="1" x14ac:dyDescent="0.2">
      <c r="B2" s="457" t="s">
        <v>0</v>
      </c>
      <c r="C2" s="458"/>
      <c r="D2" s="458"/>
      <c r="E2" s="459"/>
      <c r="F2" s="459"/>
      <c r="G2" s="459"/>
      <c r="H2" s="460"/>
      <c r="I2" s="451" t="s">
        <v>229</v>
      </c>
      <c r="J2" s="452"/>
      <c r="K2" s="452"/>
      <c r="L2" s="452"/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  <c r="AA2" s="453"/>
    </row>
    <row r="3" spans="2:49" ht="13.2" customHeight="1" x14ac:dyDescent="0.2">
      <c r="B3" s="461" t="s">
        <v>1</v>
      </c>
      <c r="C3" s="462"/>
      <c r="D3" s="462"/>
      <c r="E3" s="463"/>
      <c r="F3" s="463"/>
      <c r="G3" s="463"/>
      <c r="H3" s="464"/>
      <c r="I3" s="410" t="s">
        <v>230</v>
      </c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  <c r="X3" s="411"/>
      <c r="Y3" s="411"/>
      <c r="Z3" s="411"/>
      <c r="AA3" s="412"/>
    </row>
    <row r="4" spans="2:49" ht="13.2" customHeight="1" x14ac:dyDescent="0.2">
      <c r="B4" s="461" t="s">
        <v>2</v>
      </c>
      <c r="C4" s="462"/>
      <c r="D4" s="462"/>
      <c r="E4" s="463"/>
      <c r="F4" s="463"/>
      <c r="G4" s="463"/>
      <c r="H4" s="464"/>
      <c r="I4" s="410" t="s">
        <v>231</v>
      </c>
      <c r="J4" s="411"/>
      <c r="K4" s="411"/>
      <c r="L4" s="411"/>
      <c r="M4" s="411"/>
      <c r="N4" s="411"/>
      <c r="O4" s="411"/>
      <c r="P4" s="411"/>
      <c r="Q4" s="411"/>
      <c r="R4" s="411"/>
      <c r="S4" s="411"/>
      <c r="T4" s="411"/>
      <c r="U4" s="411"/>
      <c r="V4" s="411"/>
      <c r="W4" s="411"/>
      <c r="X4" s="411"/>
      <c r="Y4" s="411"/>
      <c r="Z4" s="411"/>
      <c r="AA4" s="412"/>
    </row>
    <row r="5" spans="2:49" ht="13.2" customHeight="1" thickBot="1" x14ac:dyDescent="0.25">
      <c r="B5" s="465" t="s">
        <v>3</v>
      </c>
      <c r="C5" s="466"/>
      <c r="D5" s="466"/>
      <c r="E5" s="467"/>
      <c r="F5" s="468"/>
      <c r="G5" s="468"/>
      <c r="H5" s="469"/>
      <c r="I5" s="454"/>
      <c r="J5" s="455"/>
      <c r="K5" s="455"/>
      <c r="L5" s="455"/>
      <c r="M5" s="455"/>
      <c r="N5" s="455"/>
      <c r="O5" s="455"/>
      <c r="P5" s="455"/>
      <c r="Q5" s="455"/>
      <c r="R5" s="455"/>
      <c r="S5" s="455"/>
      <c r="T5" s="455"/>
      <c r="U5" s="455"/>
      <c r="V5" s="455"/>
      <c r="W5" s="455"/>
      <c r="X5" s="455"/>
      <c r="Y5" s="455"/>
      <c r="Z5" s="455"/>
      <c r="AA5" s="456"/>
    </row>
    <row r="6" spans="2:49" ht="13.2" customHeight="1" thickBot="1" x14ac:dyDescent="0.25"/>
    <row r="7" spans="2:49" ht="13.2" customHeight="1" thickBot="1" x14ac:dyDescent="0.25">
      <c r="B7" s="95"/>
      <c r="C7" s="91" t="s">
        <v>5</v>
      </c>
      <c r="D7" s="403" t="s">
        <v>232</v>
      </c>
      <c r="E7" s="403"/>
      <c r="F7" s="404"/>
      <c r="G7" s="193"/>
      <c r="H7" s="96"/>
      <c r="I7" s="216" t="s">
        <v>233</v>
      </c>
      <c r="J7" s="91" t="s">
        <v>12</v>
      </c>
      <c r="K7" s="91" t="s">
        <v>234</v>
      </c>
      <c r="L7" s="91" t="s">
        <v>235</v>
      </c>
      <c r="M7" s="91" t="s">
        <v>236</v>
      </c>
      <c r="N7" s="91" t="s">
        <v>235</v>
      </c>
      <c r="O7" s="91" t="s">
        <v>237</v>
      </c>
      <c r="P7" s="91" t="s">
        <v>10</v>
      </c>
      <c r="Q7" s="97" t="s">
        <v>238</v>
      </c>
      <c r="R7" s="97"/>
      <c r="S7" s="97"/>
      <c r="T7" s="91"/>
      <c r="U7" s="91"/>
      <c r="V7" s="91"/>
      <c r="W7" s="91"/>
      <c r="X7" s="91"/>
      <c r="Y7" s="226" t="str">
        <f>IF(G9&gt;0,"Suggested Max LR","")</f>
        <v/>
      </c>
      <c r="Z7" s="227" t="str">
        <f>IF(G9&gt;0,"=","")</f>
        <v/>
      </c>
      <c r="AA7" s="228" t="str">
        <f>IF(G9&gt;0,G8-(AB10+AB12+AB14+AB16+AB18),"")</f>
        <v/>
      </c>
      <c r="AB7" s="90" t="s">
        <v>239</v>
      </c>
      <c r="AD7" s="44" t="s">
        <v>240</v>
      </c>
      <c r="AE7" s="89"/>
      <c r="AF7" s="89"/>
      <c r="AG7" s="89"/>
      <c r="AH7" s="89"/>
      <c r="AI7" s="89"/>
      <c r="AJ7" s="89"/>
      <c r="AK7" s="89"/>
      <c r="AL7" s="89"/>
      <c r="AM7" s="2"/>
      <c r="AN7" s="2"/>
      <c r="AO7" s="2"/>
      <c r="AP7" s="438" t="s">
        <v>241</v>
      </c>
      <c r="AQ7" s="439"/>
      <c r="AR7" s="439"/>
      <c r="AS7" s="439"/>
      <c r="AT7" s="439"/>
      <c r="AU7" s="440"/>
    </row>
    <row r="8" spans="2:49" ht="13.2" customHeight="1" thickBot="1" x14ac:dyDescent="0.25">
      <c r="B8" s="98"/>
      <c r="C8" s="405"/>
      <c r="D8" s="407" t="s">
        <v>242</v>
      </c>
      <c r="E8" s="408"/>
      <c r="F8" s="409"/>
      <c r="G8" s="194"/>
      <c r="I8" s="99">
        <f>IF(G15="1:1.3 Up",0.8*G12,G12)</f>
        <v>0</v>
      </c>
      <c r="J8" s="100"/>
      <c r="K8" s="100" t="e">
        <f>INDEX($AD$8:$AU$19,MATCH(G13,$AD$8:$AD$19,0),MATCH(G7,$AD$8:$AU$8,0))</f>
        <v>#N/A</v>
      </c>
      <c r="L8" s="100"/>
      <c r="M8" s="100">
        <f>G8-G9</f>
        <v>0</v>
      </c>
      <c r="N8" s="100"/>
      <c r="O8" s="100" t="e">
        <f>VLOOKUP(G13,$AD$9:$AU$19,12,FALSE)</f>
        <v>#N/A</v>
      </c>
      <c r="P8" s="100"/>
      <c r="Q8" s="101" t="e">
        <f>((I8+K8)*M8)*O8</f>
        <v>#N/A</v>
      </c>
      <c r="R8" s="101"/>
      <c r="S8" s="101"/>
      <c r="T8" s="100"/>
      <c r="U8" s="100"/>
      <c r="V8" s="100"/>
      <c r="W8" s="100"/>
      <c r="X8" s="100"/>
      <c r="Y8" s="100"/>
      <c r="Z8" s="100"/>
      <c r="AA8" s="102"/>
      <c r="AD8" s="103" t="s">
        <v>23</v>
      </c>
      <c r="AE8" s="441" t="s">
        <v>243</v>
      </c>
      <c r="AF8" s="441"/>
      <c r="AG8" s="442"/>
      <c r="AH8" s="443" t="s">
        <v>244</v>
      </c>
      <c r="AI8" s="442"/>
      <c r="AJ8" s="443" t="s">
        <v>245</v>
      </c>
      <c r="AK8" s="441"/>
      <c r="AL8" s="444"/>
      <c r="AM8" s="104" t="s">
        <v>246</v>
      </c>
      <c r="AN8" s="105" t="s">
        <v>247</v>
      </c>
      <c r="AO8" s="105" t="s">
        <v>248</v>
      </c>
      <c r="AP8" s="106">
        <v>18</v>
      </c>
      <c r="AQ8" s="106">
        <v>24</v>
      </c>
      <c r="AR8" s="106">
        <v>30</v>
      </c>
      <c r="AS8" s="106">
        <v>36</v>
      </c>
      <c r="AT8" s="106">
        <v>42</v>
      </c>
      <c r="AU8" s="107">
        <v>48</v>
      </c>
      <c r="AV8" s="2" t="s">
        <v>249</v>
      </c>
      <c r="AW8" s="90" t="s">
        <v>250</v>
      </c>
    </row>
    <row r="9" spans="2:49" ht="13.2" customHeight="1" thickTop="1" thickBot="1" x14ac:dyDescent="0.25">
      <c r="B9" s="98"/>
      <c r="C9" s="406"/>
      <c r="D9" s="410" t="s">
        <v>251</v>
      </c>
      <c r="E9" s="411"/>
      <c r="F9" s="412"/>
      <c r="G9" s="194"/>
      <c r="I9" s="108" t="s">
        <v>252</v>
      </c>
      <c r="J9" s="109" t="s">
        <v>12</v>
      </c>
      <c r="K9" s="109" t="s">
        <v>253</v>
      </c>
      <c r="L9" s="109" t="s">
        <v>12</v>
      </c>
      <c r="M9" s="109" t="s">
        <v>254</v>
      </c>
      <c r="N9" s="109" t="s">
        <v>235</v>
      </c>
      <c r="O9" s="109" t="s">
        <v>255</v>
      </c>
      <c r="P9" s="109" t="s">
        <v>12</v>
      </c>
      <c r="Q9" s="109" t="s">
        <v>256</v>
      </c>
      <c r="R9" s="109" t="s">
        <v>12</v>
      </c>
      <c r="S9" s="109" t="s">
        <v>257</v>
      </c>
      <c r="T9" s="109" t="s">
        <v>12</v>
      </c>
      <c r="U9" s="109" t="s">
        <v>258</v>
      </c>
      <c r="V9" s="109" t="s">
        <v>12</v>
      </c>
      <c r="W9" s="109" t="s">
        <v>259</v>
      </c>
      <c r="X9" s="109" t="s">
        <v>235</v>
      </c>
      <c r="Y9" s="109" t="s">
        <v>260</v>
      </c>
      <c r="Z9" s="109" t="s">
        <v>10</v>
      </c>
      <c r="AA9" s="110" t="s">
        <v>261</v>
      </c>
      <c r="AB9" s="202" t="s">
        <v>262</v>
      </c>
      <c r="AC9" s="112"/>
      <c r="AD9" s="113" t="s">
        <v>263</v>
      </c>
      <c r="AE9" s="445" t="s">
        <v>264</v>
      </c>
      <c r="AF9" s="445"/>
      <c r="AG9" s="446"/>
      <c r="AH9" s="447" t="s">
        <v>265</v>
      </c>
      <c r="AI9" s="448"/>
      <c r="AJ9" s="447" t="s">
        <v>266</v>
      </c>
      <c r="AK9" s="449"/>
      <c r="AL9" s="450"/>
      <c r="AM9" s="114">
        <v>0.1</v>
      </c>
      <c r="AN9" s="115">
        <v>0.6</v>
      </c>
      <c r="AO9" s="116">
        <v>0.25</v>
      </c>
      <c r="AP9" s="116">
        <f>$AN9*(AP$8-3)/12</f>
        <v>0.75</v>
      </c>
      <c r="AQ9" s="116">
        <f t="shared" ref="AQ9:AU17" si="0">$AN9*(AQ$8-3)/12</f>
        <v>1.05</v>
      </c>
      <c r="AR9" s="116">
        <f t="shared" si="0"/>
        <v>1.3499999999999999</v>
      </c>
      <c r="AS9" s="116">
        <f t="shared" si="0"/>
        <v>1.6500000000000001</v>
      </c>
      <c r="AT9" s="116">
        <f t="shared" si="0"/>
        <v>1.95</v>
      </c>
      <c r="AU9" s="117">
        <f t="shared" si="0"/>
        <v>2.25</v>
      </c>
      <c r="AV9" s="118"/>
      <c r="AW9" s="119">
        <v>120</v>
      </c>
    </row>
    <row r="10" spans="2:49" ht="13.2" customHeight="1" x14ac:dyDescent="0.2">
      <c r="B10" s="407" t="s">
        <v>267</v>
      </c>
      <c r="C10" s="408"/>
      <c r="D10" s="408"/>
      <c r="E10" s="408"/>
      <c r="F10" s="409"/>
      <c r="G10" s="194"/>
      <c r="I10" s="99">
        <f>I8</f>
        <v>0</v>
      </c>
      <c r="J10" s="100"/>
      <c r="K10" s="100" t="e">
        <f>K8</f>
        <v>#N/A</v>
      </c>
      <c r="L10" s="100"/>
      <c r="M10" s="100" t="e">
        <f>VLOOKUP(G7,$AD$24:$AK$29,6,FALSE)</f>
        <v>#N/A</v>
      </c>
      <c r="N10" s="100"/>
      <c r="O10" s="100">
        <f>G9</f>
        <v>0</v>
      </c>
      <c r="P10" s="100"/>
      <c r="Q10" s="120" t="e">
        <f>VLOOKUP(G7,$AD$24:$AH$29,2,FALSE)</f>
        <v>#N/A</v>
      </c>
      <c r="R10" s="100"/>
      <c r="S10" s="120" t="e">
        <f>IF(G15="None",0,VLOOKUP(G7,$AD$24:$AH$29,3,FALSE))</f>
        <v>#N/A</v>
      </c>
      <c r="T10" s="100"/>
      <c r="U10" s="120" t="e">
        <f>IF(G15="None",0,VLOOKUP(G7,$AD$24:$AH$29,4,FALSE))</f>
        <v>#N/A</v>
      </c>
      <c r="V10" s="100"/>
      <c r="W10" s="120">
        <f>IF(G17&gt;0,VLOOKUP(G7,$AD$24:$AH$29,5,FALSE),0)</f>
        <v>0</v>
      </c>
      <c r="X10" s="100"/>
      <c r="Y10" s="100">
        <v>0.05</v>
      </c>
      <c r="Z10" s="100"/>
      <c r="AA10" s="121" t="e">
        <f>(((I10+K10+M10)*O10)+Q10+S10+U10+W10)*Y10</f>
        <v>#N/A</v>
      </c>
      <c r="AB10" s="201">
        <f>IF(G15="None",2*$AL$39,$AL$39)</f>
        <v>3.3333333333333335</v>
      </c>
      <c r="AC10" s="111"/>
      <c r="AD10" s="122" t="s">
        <v>268</v>
      </c>
      <c r="AE10" s="432" t="s">
        <v>269</v>
      </c>
      <c r="AF10" s="432"/>
      <c r="AG10" s="434"/>
      <c r="AH10" s="431" t="s">
        <v>270</v>
      </c>
      <c r="AI10" s="434"/>
      <c r="AJ10" s="431" t="s">
        <v>271</v>
      </c>
      <c r="AK10" s="432"/>
      <c r="AL10" s="433"/>
      <c r="AM10" s="123">
        <v>0.17</v>
      </c>
      <c r="AN10" s="124">
        <v>0.88</v>
      </c>
      <c r="AO10" s="125">
        <v>0.3</v>
      </c>
      <c r="AP10" s="116">
        <f t="shared" ref="AP10:AP17" si="1">$AN10*(AP$8-3)/12</f>
        <v>1.0999999999999999</v>
      </c>
      <c r="AQ10" s="116">
        <f t="shared" si="0"/>
        <v>1.54</v>
      </c>
      <c r="AR10" s="116">
        <f t="shared" si="0"/>
        <v>1.9800000000000002</v>
      </c>
      <c r="AS10" s="116">
        <f t="shared" si="0"/>
        <v>2.42</v>
      </c>
      <c r="AT10" s="116">
        <f t="shared" si="0"/>
        <v>2.86</v>
      </c>
      <c r="AU10" s="117">
        <f t="shared" si="0"/>
        <v>3.3000000000000003</v>
      </c>
      <c r="AV10" s="118"/>
      <c r="AW10" s="119">
        <v>135</v>
      </c>
    </row>
    <row r="11" spans="2:49" ht="13.2" customHeight="1" x14ac:dyDescent="0.2">
      <c r="B11" s="407" t="s">
        <v>272</v>
      </c>
      <c r="C11" s="408"/>
      <c r="D11" s="408"/>
      <c r="E11" s="408"/>
      <c r="F11" s="409"/>
      <c r="G11" s="194"/>
      <c r="I11" s="92" t="s">
        <v>110</v>
      </c>
      <c r="J11" s="90" t="s">
        <v>235</v>
      </c>
      <c r="K11" s="90" t="s">
        <v>273</v>
      </c>
      <c r="L11" s="90" t="s">
        <v>12</v>
      </c>
      <c r="M11" s="90" t="s">
        <v>274</v>
      </c>
      <c r="N11" s="90" t="s">
        <v>12</v>
      </c>
      <c r="O11" s="90" t="s">
        <v>275</v>
      </c>
      <c r="P11" s="90" t="s">
        <v>12</v>
      </c>
      <c r="Q11" s="90" t="s">
        <v>276</v>
      </c>
      <c r="R11" s="90" t="s">
        <v>10</v>
      </c>
      <c r="S11" s="112" t="s">
        <v>31</v>
      </c>
      <c r="AA11" s="126"/>
      <c r="AB11" s="200" t="s">
        <v>277</v>
      </c>
      <c r="AD11" s="122" t="s">
        <v>278</v>
      </c>
      <c r="AE11" s="432" t="s">
        <v>279</v>
      </c>
      <c r="AF11" s="432"/>
      <c r="AG11" s="434"/>
      <c r="AH11" s="431" t="s">
        <v>270</v>
      </c>
      <c r="AI11" s="434"/>
      <c r="AJ11" s="431" t="s">
        <v>280</v>
      </c>
      <c r="AK11" s="432"/>
      <c r="AL11" s="433"/>
      <c r="AM11" s="123">
        <v>0.15</v>
      </c>
      <c r="AN11" s="124">
        <v>0.9</v>
      </c>
      <c r="AO11" s="125">
        <v>0.3</v>
      </c>
      <c r="AP11" s="116">
        <f t="shared" si="1"/>
        <v>1.125</v>
      </c>
      <c r="AQ11" s="116">
        <f t="shared" si="0"/>
        <v>1.5750000000000002</v>
      </c>
      <c r="AR11" s="116">
        <f t="shared" si="0"/>
        <v>2.0249999999999999</v>
      </c>
      <c r="AS11" s="116">
        <f t="shared" si="0"/>
        <v>2.4750000000000001</v>
      </c>
      <c r="AT11" s="116">
        <f t="shared" si="0"/>
        <v>2.9250000000000003</v>
      </c>
      <c r="AU11" s="117">
        <f t="shared" si="0"/>
        <v>3.375</v>
      </c>
      <c r="AV11" s="118"/>
      <c r="AW11" s="119">
        <v>58</v>
      </c>
    </row>
    <row r="12" spans="2:49" ht="13.2" customHeight="1" thickBot="1" x14ac:dyDescent="0.25">
      <c r="B12" s="407" t="s">
        <v>281</v>
      </c>
      <c r="C12" s="408"/>
      <c r="D12" s="408"/>
      <c r="E12" s="408"/>
      <c r="F12" s="409"/>
      <c r="G12" s="194"/>
      <c r="I12" s="99">
        <f>I8</f>
        <v>0</v>
      </c>
      <c r="J12" s="100"/>
      <c r="K12" s="100">
        <f>G11</f>
        <v>0</v>
      </c>
      <c r="L12" s="100"/>
      <c r="M12" s="127">
        <f>G17*0.05</f>
        <v>0</v>
      </c>
      <c r="N12" s="100"/>
      <c r="O12" s="128">
        <f>G16</f>
        <v>0</v>
      </c>
      <c r="P12" s="100"/>
      <c r="Q12" s="100">
        <f>G18*0.3</f>
        <v>0</v>
      </c>
      <c r="R12" s="100"/>
      <c r="S12" s="101">
        <f>(I12*K12)+M12+O12+Q12</f>
        <v>0</v>
      </c>
      <c r="AA12" s="126"/>
      <c r="AB12" s="201">
        <f>$AL$41</f>
        <v>9</v>
      </c>
      <c r="AD12" s="122" t="s">
        <v>282</v>
      </c>
      <c r="AE12" s="432" t="s">
        <v>264</v>
      </c>
      <c r="AF12" s="432"/>
      <c r="AG12" s="434"/>
      <c r="AH12" s="431" t="s">
        <v>283</v>
      </c>
      <c r="AI12" s="434"/>
      <c r="AJ12" s="431" t="s">
        <v>284</v>
      </c>
      <c r="AK12" s="432"/>
      <c r="AL12" s="433"/>
      <c r="AM12" s="123">
        <v>0.1</v>
      </c>
      <c r="AN12" s="124">
        <v>0.6</v>
      </c>
      <c r="AO12" s="125">
        <v>0.25</v>
      </c>
      <c r="AP12" s="116">
        <f t="shared" si="1"/>
        <v>0.75</v>
      </c>
      <c r="AQ12" s="116">
        <f t="shared" si="0"/>
        <v>1.05</v>
      </c>
      <c r="AR12" s="116">
        <f t="shared" si="0"/>
        <v>1.3499999999999999</v>
      </c>
      <c r="AS12" s="116">
        <f t="shared" si="0"/>
        <v>1.6500000000000001</v>
      </c>
      <c r="AT12" s="116">
        <f t="shared" si="0"/>
        <v>1.95</v>
      </c>
      <c r="AU12" s="117">
        <f t="shared" si="0"/>
        <v>2.25</v>
      </c>
      <c r="AV12" s="118"/>
      <c r="AW12" s="119">
        <v>120</v>
      </c>
    </row>
    <row r="13" spans="2:49" ht="13.2" customHeight="1" x14ac:dyDescent="0.2">
      <c r="B13" s="407" t="s">
        <v>285</v>
      </c>
      <c r="C13" s="408"/>
      <c r="D13" s="408"/>
      <c r="E13" s="408"/>
      <c r="F13" s="409"/>
      <c r="G13" s="195"/>
      <c r="I13" s="108" t="s">
        <v>286</v>
      </c>
      <c r="J13" s="109" t="s">
        <v>12</v>
      </c>
      <c r="K13" s="109" t="s">
        <v>261</v>
      </c>
      <c r="L13" s="109" t="s">
        <v>12</v>
      </c>
      <c r="M13" s="109" t="s">
        <v>287</v>
      </c>
      <c r="N13" s="109" t="s">
        <v>235</v>
      </c>
      <c r="O13" s="109" t="s">
        <v>61</v>
      </c>
      <c r="P13" s="109" t="s">
        <v>10</v>
      </c>
      <c r="Q13" s="129" t="s">
        <v>58</v>
      </c>
      <c r="R13" s="129"/>
      <c r="S13" s="129"/>
      <c r="T13" s="109"/>
      <c r="U13" s="109"/>
      <c r="V13" s="435" t="s">
        <v>50</v>
      </c>
      <c r="W13" s="436"/>
      <c r="X13" s="436"/>
      <c r="Y13" s="436" t="s">
        <v>51</v>
      </c>
      <c r="Z13" s="436"/>
      <c r="AA13" s="437"/>
      <c r="AB13" s="202" t="s">
        <v>257</v>
      </c>
      <c r="AD13" s="122" t="s">
        <v>288</v>
      </c>
      <c r="AE13" s="432" t="s">
        <v>289</v>
      </c>
      <c r="AF13" s="432"/>
      <c r="AG13" s="434"/>
      <c r="AH13" s="431" t="s">
        <v>290</v>
      </c>
      <c r="AI13" s="434"/>
      <c r="AJ13" s="431" t="s">
        <v>291</v>
      </c>
      <c r="AK13" s="432"/>
      <c r="AL13" s="433"/>
      <c r="AM13" s="123">
        <v>0.22</v>
      </c>
      <c r="AN13" s="124">
        <v>0.88</v>
      </c>
      <c r="AO13" s="125">
        <v>0.25</v>
      </c>
      <c r="AP13" s="116">
        <f t="shared" si="1"/>
        <v>1.0999999999999999</v>
      </c>
      <c r="AQ13" s="116">
        <f t="shared" si="0"/>
        <v>1.54</v>
      </c>
      <c r="AR13" s="116">
        <f t="shared" si="0"/>
        <v>1.9800000000000002</v>
      </c>
      <c r="AS13" s="116">
        <f t="shared" si="0"/>
        <v>2.42</v>
      </c>
      <c r="AT13" s="116">
        <f t="shared" si="0"/>
        <v>2.86</v>
      </c>
      <c r="AU13" s="117">
        <f t="shared" si="0"/>
        <v>3.3000000000000003</v>
      </c>
      <c r="AV13" s="118"/>
      <c r="AW13" s="119">
        <v>61</v>
      </c>
    </row>
    <row r="14" spans="2:49" ht="13.2" customHeight="1" x14ac:dyDescent="0.2">
      <c r="B14" s="407" t="s">
        <v>124</v>
      </c>
      <c r="C14" s="408"/>
      <c r="D14" s="408"/>
      <c r="E14" s="408"/>
      <c r="F14" s="409"/>
      <c r="G14" s="208" t="s">
        <v>334</v>
      </c>
      <c r="I14" s="99" t="e">
        <f>Q8</f>
        <v>#N/A</v>
      </c>
      <c r="J14" s="100"/>
      <c r="K14" s="127" t="e">
        <f>AA10</f>
        <v>#N/A</v>
      </c>
      <c r="L14" s="100"/>
      <c r="M14" s="100">
        <f>S12</f>
        <v>0</v>
      </c>
      <c r="N14" s="100"/>
      <c r="O14" s="100">
        <v>1.25</v>
      </c>
      <c r="P14" s="100"/>
      <c r="Q14" s="101" t="e">
        <f>(I14+K14+M14)*O14</f>
        <v>#N/A</v>
      </c>
      <c r="R14" s="101"/>
      <c r="S14" s="101"/>
      <c r="T14" s="100"/>
      <c r="U14" s="100"/>
      <c r="V14" s="428" t="str">
        <f>IFERROR(IF(Q14&gt;MAX($AF$37:$AF$44),"EXCEEDS MAX EBP",""),"")</f>
        <v/>
      </c>
      <c r="W14" s="421"/>
      <c r="X14" s="421"/>
      <c r="Y14" s="429" t="str">
        <f>IFERROR(IF(G14="MOTOVARIO",INDEX($AE$104:$AE$157,MATCH(1,INDEX((G10&lt;=$AG$104:$AG$157)*(Q16&lt;=$AF$104:$AF$157)*(Q14&lt;=$AH$104:$AH$157),0,0),0))&amp;" DIRECT DRIVE",IF(G14="DODGE",INDEX($AE$51:$AE$97,MATCH(1,INDEX((G10&lt;=$AG$51:$AG$97)*(Q16&lt;=$AF$51:$AF$97)*(Q14&lt;=$AH$51:$AH$97),0,0),0))&amp;" DIRECT DRIVE",INDEX($AD$37:$AD$44,MATCH(1,INDEX((Q14&lt;=$AF$37:$AF$44)*(Q16&lt;=$AE$37:$AE$44),0,0),0)))),"")</f>
        <v/>
      </c>
      <c r="Z14" s="429"/>
      <c r="AA14" s="430"/>
      <c r="AB14" s="201" t="e">
        <f>IF(G15="none",0,VLOOKUP(G7,$AN$38:$AP$43,3,FALSE))</f>
        <v>#N/A</v>
      </c>
      <c r="AC14" s="112"/>
      <c r="AD14" s="122" t="s">
        <v>292</v>
      </c>
      <c r="AE14" s="432" t="s">
        <v>293</v>
      </c>
      <c r="AF14" s="432"/>
      <c r="AG14" s="434"/>
      <c r="AH14" s="431" t="s">
        <v>294</v>
      </c>
      <c r="AI14" s="434"/>
      <c r="AJ14" s="431" t="s">
        <v>295</v>
      </c>
      <c r="AK14" s="432"/>
      <c r="AL14" s="433"/>
      <c r="AM14" s="123">
        <v>0.16</v>
      </c>
      <c r="AN14" s="124">
        <v>0.85</v>
      </c>
      <c r="AO14" s="125">
        <v>0.15</v>
      </c>
      <c r="AP14" s="116">
        <f t="shared" si="1"/>
        <v>1.0625</v>
      </c>
      <c r="AQ14" s="116">
        <f t="shared" si="0"/>
        <v>1.4874999999999998</v>
      </c>
      <c r="AR14" s="116">
        <f t="shared" si="0"/>
        <v>1.9124999999999999</v>
      </c>
      <c r="AS14" s="116">
        <f t="shared" si="0"/>
        <v>2.3374999999999999</v>
      </c>
      <c r="AT14" s="116">
        <f t="shared" si="0"/>
        <v>2.7624999999999997</v>
      </c>
      <c r="AU14" s="117">
        <f t="shared" si="0"/>
        <v>3.1875</v>
      </c>
      <c r="AV14" s="118"/>
      <c r="AW14" s="119">
        <v>135</v>
      </c>
    </row>
    <row r="15" spans="2:49" ht="13.2" customHeight="1" x14ac:dyDescent="0.2">
      <c r="B15" s="407" t="s">
        <v>296</v>
      </c>
      <c r="C15" s="408"/>
      <c r="D15" s="408"/>
      <c r="E15" s="408"/>
      <c r="F15" s="409"/>
      <c r="G15" s="196"/>
      <c r="I15" s="108" t="s">
        <v>297</v>
      </c>
      <c r="J15" s="109" t="s">
        <v>235</v>
      </c>
      <c r="K15" s="109" t="s">
        <v>298</v>
      </c>
      <c r="L15" s="109" t="s">
        <v>75</v>
      </c>
      <c r="M15" s="109" t="s">
        <v>299</v>
      </c>
      <c r="N15" s="109" t="s">
        <v>235</v>
      </c>
      <c r="O15" s="109" t="s">
        <v>300</v>
      </c>
      <c r="P15" s="109" t="s">
        <v>10</v>
      </c>
      <c r="Q15" s="129" t="s">
        <v>108</v>
      </c>
      <c r="R15" s="129"/>
      <c r="S15" s="129"/>
      <c r="T15" s="109"/>
      <c r="U15" s="109"/>
      <c r="V15" s="428" t="str">
        <f>IFERROR(IF(Q16&gt;MAX($AE$37:$AE$44),"EXCEEDS MAX HP",""),"")</f>
        <v/>
      </c>
      <c r="W15" s="421"/>
      <c r="X15" s="421"/>
      <c r="Y15" s="429" t="str">
        <f>IFERROR(IF(G14="Motovario",INDEX($AF$104:$AF$157,MATCH(1,INDEX((G10&lt;=$AG$104:$AG$157)*(Q16&lt;=$AF$104:$AF$157)*(Q14&lt;=$AH$104:$AH$157),0,0),0)),IF(G14="Dodge",INDEX($AF$51:$AF$97,MATCH(1,INDEX((G10&lt;=$AG$51:$AG$97)*(Q16&lt;=$AF$51:$AF$97)*(Q14&lt;=$AH$51:$AH$97),0,0),0)),INDEX($AE$37:$AE$44,MATCH(1,INDEX((Q14&lt;=$AF$37:$AF$44)*(Q16&lt;=$AE$37:$AE$44),0,0),0))))&amp;" HP","")</f>
        <v/>
      </c>
      <c r="Z15" s="429"/>
      <c r="AA15" s="430"/>
      <c r="AB15" s="200" t="s">
        <v>258</v>
      </c>
      <c r="AC15" s="112"/>
      <c r="AD15" s="130" t="s">
        <v>301</v>
      </c>
      <c r="AE15" s="383" t="s">
        <v>302</v>
      </c>
      <c r="AF15" s="383"/>
      <c r="AG15" s="422"/>
      <c r="AH15" s="382" t="s">
        <v>303</v>
      </c>
      <c r="AI15" s="422"/>
      <c r="AJ15" s="382" t="s">
        <v>304</v>
      </c>
      <c r="AK15" s="383"/>
      <c r="AL15" s="384"/>
      <c r="AM15" s="131">
        <v>0.11</v>
      </c>
      <c r="AN15" s="132">
        <v>0.68</v>
      </c>
      <c r="AO15" s="133">
        <v>0.35</v>
      </c>
      <c r="AP15" s="134">
        <f t="shared" si="1"/>
        <v>0.85000000000000009</v>
      </c>
      <c r="AQ15" s="134">
        <f t="shared" si="0"/>
        <v>1.1900000000000002</v>
      </c>
      <c r="AR15" s="134">
        <f t="shared" si="0"/>
        <v>1.5300000000000002</v>
      </c>
      <c r="AS15" s="134">
        <f t="shared" si="0"/>
        <v>1.87</v>
      </c>
      <c r="AT15" s="134">
        <f t="shared" si="0"/>
        <v>2.2100000000000004</v>
      </c>
      <c r="AU15" s="135">
        <f t="shared" si="0"/>
        <v>2.5500000000000003</v>
      </c>
      <c r="AV15" s="118"/>
      <c r="AW15" s="119"/>
    </row>
    <row r="16" spans="2:49" ht="13.2" customHeight="1" thickBot="1" x14ac:dyDescent="0.25">
      <c r="B16" s="410" t="s">
        <v>305</v>
      </c>
      <c r="C16" s="411"/>
      <c r="D16" s="411"/>
      <c r="E16" s="411"/>
      <c r="F16" s="412"/>
      <c r="G16" s="197"/>
      <c r="I16" s="136" t="e">
        <f>Q14</f>
        <v>#N/A</v>
      </c>
      <c r="K16" s="90">
        <f>G10</f>
        <v>0</v>
      </c>
      <c r="M16" s="90">
        <v>33000</v>
      </c>
      <c r="O16" s="90">
        <f>IF(G14="N",IF(G10&lt;100,0.8,IF(G10&lt;200,0.85,0.9)),0.95)</f>
        <v>0.95</v>
      </c>
      <c r="Q16" s="137" t="e">
        <f>(I16*K16)/(M16*O16)</f>
        <v>#N/A</v>
      </c>
      <c r="R16" s="137"/>
      <c r="S16" s="137"/>
      <c r="V16" s="428" t="str">
        <f>IF(Y16="","",IF(Y16&gt;VLOOKUP(G7,$AD$24:$AK$29,8),"EXCEEDS MAX QTY",""))</f>
        <v/>
      </c>
      <c r="W16" s="421"/>
      <c r="X16" s="421"/>
      <c r="Y16" s="215" t="str">
        <f>IFERROR(ROUNDUP(Q14/100,0),"")</f>
        <v/>
      </c>
      <c r="Z16" s="426" t="str">
        <f>IF(Y16="","","LONG SPRINGS")</f>
        <v/>
      </c>
      <c r="AA16" s="427"/>
      <c r="AB16" s="201" t="e">
        <f>IF(U10=0,0,$AL$40)</f>
        <v>#N/A</v>
      </c>
      <c r="AC16" s="138"/>
      <c r="AD16" s="130" t="s">
        <v>306</v>
      </c>
      <c r="AE16" s="383" t="s">
        <v>307</v>
      </c>
      <c r="AF16" s="383"/>
      <c r="AG16" s="422"/>
      <c r="AH16" s="382" t="s">
        <v>308</v>
      </c>
      <c r="AI16" s="422"/>
      <c r="AJ16" s="382" t="s">
        <v>304</v>
      </c>
      <c r="AK16" s="383"/>
      <c r="AL16" s="384"/>
      <c r="AM16" s="131">
        <v>0.23</v>
      </c>
      <c r="AN16" s="132">
        <v>0.97</v>
      </c>
      <c r="AO16" s="133">
        <v>0.25</v>
      </c>
      <c r="AP16" s="134">
        <f t="shared" si="1"/>
        <v>1.2124999999999999</v>
      </c>
      <c r="AQ16" s="134">
        <f t="shared" si="0"/>
        <v>1.6975</v>
      </c>
      <c r="AR16" s="134">
        <f t="shared" si="0"/>
        <v>2.1824999999999997</v>
      </c>
      <c r="AS16" s="134">
        <f t="shared" si="0"/>
        <v>2.6675</v>
      </c>
      <c r="AT16" s="134">
        <f t="shared" si="0"/>
        <v>3.1524999999999999</v>
      </c>
      <c r="AU16" s="135">
        <f t="shared" si="0"/>
        <v>3.6374999999999997</v>
      </c>
      <c r="AV16" s="118"/>
      <c r="AW16" s="119"/>
    </row>
    <row r="17" spans="2:49" ht="13.2" customHeight="1" x14ac:dyDescent="0.2">
      <c r="B17" s="410" t="s">
        <v>309</v>
      </c>
      <c r="C17" s="411"/>
      <c r="D17" s="411"/>
      <c r="E17" s="411"/>
      <c r="F17" s="412"/>
      <c r="G17" s="198"/>
      <c r="I17" s="423" t="s">
        <v>133</v>
      </c>
      <c r="J17" s="424"/>
      <c r="K17" s="424"/>
      <c r="L17" s="424"/>
      <c r="M17" s="424"/>
      <c r="N17" s="424"/>
      <c r="O17" s="424"/>
      <c r="P17" s="424"/>
      <c r="Q17" s="424"/>
      <c r="R17" s="424"/>
      <c r="S17" s="424"/>
      <c r="T17" s="424"/>
      <c r="U17" s="425"/>
      <c r="V17" s="420" t="str">
        <f>IF(Y17="","",IF(Y17&gt;VLOOKUP(G7,$AD$24:$AK$29,8),"EXCEEDS MAX QTY",""))</f>
        <v/>
      </c>
      <c r="W17" s="421"/>
      <c r="X17" s="421"/>
      <c r="Y17" s="215" t="str">
        <f>IFERROR(ROUNDUP(Q14/80,0),"")</f>
        <v/>
      </c>
      <c r="Z17" s="426" t="str">
        <f>IF(Y17="","","SHORT SPRINGS")</f>
        <v/>
      </c>
      <c r="AA17" s="427"/>
      <c r="AB17" s="203" t="s">
        <v>310</v>
      </c>
      <c r="AC17" s="138"/>
      <c r="AD17" s="130" t="s">
        <v>311</v>
      </c>
      <c r="AE17" s="383" t="s">
        <v>312</v>
      </c>
      <c r="AF17" s="383"/>
      <c r="AG17" s="422"/>
      <c r="AH17" s="382" t="s">
        <v>313</v>
      </c>
      <c r="AI17" s="422"/>
      <c r="AJ17" s="382" t="s">
        <v>314</v>
      </c>
      <c r="AK17" s="383"/>
      <c r="AL17" s="384"/>
      <c r="AM17" s="131">
        <v>0.12</v>
      </c>
      <c r="AN17" s="132">
        <v>0.71699999999999997</v>
      </c>
      <c r="AO17" s="133">
        <v>0.25</v>
      </c>
      <c r="AP17" s="134">
        <f t="shared" si="1"/>
        <v>0.89624999999999988</v>
      </c>
      <c r="AQ17" s="134">
        <f t="shared" si="0"/>
        <v>1.2547499999999998</v>
      </c>
      <c r="AR17" s="134">
        <f t="shared" si="0"/>
        <v>1.6132499999999999</v>
      </c>
      <c r="AS17" s="134">
        <f t="shared" si="0"/>
        <v>1.9717499999999999</v>
      </c>
      <c r="AT17" s="134">
        <f t="shared" si="0"/>
        <v>2.3302499999999999</v>
      </c>
      <c r="AU17" s="135">
        <f t="shared" si="0"/>
        <v>2.6887500000000002</v>
      </c>
      <c r="AV17" s="118"/>
      <c r="AW17" s="119"/>
    </row>
    <row r="18" spans="2:49" ht="13.2" customHeight="1" thickBot="1" x14ac:dyDescent="0.25">
      <c r="B18" s="414" t="s">
        <v>315</v>
      </c>
      <c r="C18" s="415"/>
      <c r="D18" s="415"/>
      <c r="E18" s="415"/>
      <c r="F18" s="416"/>
      <c r="G18" s="199"/>
      <c r="I18" s="108"/>
      <c r="J18" s="417" t="s">
        <v>134</v>
      </c>
      <c r="K18" s="417"/>
      <c r="L18" s="418" t="str">
        <f>IFERROR(Q14*L19/2,"")</f>
        <v/>
      </c>
      <c r="M18" s="418"/>
      <c r="N18" s="109"/>
      <c r="O18" s="417" t="s">
        <v>135</v>
      </c>
      <c r="P18" s="417"/>
      <c r="Q18" s="419" t="str">
        <f>IFERROR(IF(G14="Motovario",INDEX($AI$104:$AI$157,MATCH(1,INDEX((G10&lt;=$AG$104:$AG$157)*(Q16&lt;=$AF$104:$AF$157)*(Q14&lt;=$AH$104:$AH$157),0,0),0)),IF(G14="Dodge",INDEX($AI$51:$AI$97,MATCH(1,INDEX((G10&lt;=$AG$51:$AG$97)*(Q16&lt;=$AF$51:$AF$97)*(Q14&lt;=$AH$51:$AH$97),0,0),0)),"")),"")</f>
        <v/>
      </c>
      <c r="R18" s="419"/>
      <c r="S18" s="419"/>
      <c r="T18" s="419"/>
      <c r="U18" s="139"/>
      <c r="V18" s="420" t="str">
        <f>IF(AA7&lt;0,"",IF(G9&gt;AA7,"EXCEEDS MAX LR",""))</f>
        <v/>
      </c>
      <c r="W18" s="421"/>
      <c r="X18" s="421"/>
      <c r="Y18" s="345"/>
      <c r="Z18" s="345"/>
      <c r="AA18" s="346"/>
      <c r="AB18" s="204">
        <f>IF(G17&gt;0,$AL$42,0)</f>
        <v>0</v>
      </c>
      <c r="AD18" s="130">
        <v>3</v>
      </c>
      <c r="AE18" s="383" t="s">
        <v>316</v>
      </c>
      <c r="AF18" s="383"/>
      <c r="AG18" s="422"/>
      <c r="AH18" s="382" t="s">
        <v>317</v>
      </c>
      <c r="AI18" s="422"/>
      <c r="AJ18" s="382" t="s">
        <v>318</v>
      </c>
      <c r="AK18" s="383"/>
      <c r="AL18" s="384"/>
      <c r="AM18" s="385" t="s">
        <v>319</v>
      </c>
      <c r="AN18" s="386"/>
      <c r="AO18" s="386"/>
      <c r="AP18" s="386"/>
      <c r="AQ18" s="386"/>
      <c r="AR18" s="386"/>
      <c r="AS18" s="386"/>
      <c r="AT18" s="386"/>
      <c r="AU18" s="387"/>
      <c r="AV18" s="118">
        <v>181067</v>
      </c>
      <c r="AW18" s="119">
        <v>64</v>
      </c>
    </row>
    <row r="19" spans="2:49" ht="13.2" customHeight="1" thickBot="1" x14ac:dyDescent="0.25">
      <c r="B19" s="388" t="s">
        <v>78</v>
      </c>
      <c r="C19" s="389"/>
      <c r="D19" s="390"/>
      <c r="E19" s="391"/>
      <c r="F19" s="391"/>
      <c r="G19" s="392"/>
      <c r="H19" s="391"/>
      <c r="I19" s="93"/>
      <c r="J19" s="393" t="s">
        <v>136</v>
      </c>
      <c r="K19" s="393"/>
      <c r="L19" s="394" t="str">
        <f>IFERROR(VALUE(LEFT(Y14,SEARCH("CD",Y14)-1))+0.5,"")</f>
        <v/>
      </c>
      <c r="M19" s="394"/>
      <c r="N19" s="94"/>
      <c r="O19" s="395" t="s">
        <v>137</v>
      </c>
      <c r="P19" s="395"/>
      <c r="Q19" s="396" t="str">
        <f>IFERROR(Q18/L18,"")</f>
        <v/>
      </c>
      <c r="R19" s="396"/>
      <c r="S19" s="396"/>
      <c r="T19" s="396"/>
      <c r="U19" s="140"/>
      <c r="V19" s="397" t="str">
        <f>IF(G8&gt;150,"VERY LONG","")</f>
        <v/>
      </c>
      <c r="W19" s="398"/>
      <c r="X19" s="398"/>
      <c r="Y19" s="348" t="str">
        <f>IF(G14="MOTOVARIO","DD NOM SPEED: "&amp;INDEX($AG$104:$AG$157,MATCH(1,INDEX((G10&lt;=$AG$104:$AG$157)*(Q16&lt;=$AF$104:$AF$157)*(Q14&lt;=$AH$104:$AH$157),0,0),0)),IF(G14="DODGE)","DD NOM SPEED: "&amp;INDEX($AG$51:$AG$97,MATCH(1,INDEX((G10&lt;=$AG$51:$AG$97)*(Q16&lt;=$AF$51:$AF$97)*(Q14&lt;=$AH$51:$AH$97),0,0),0)),""))</f>
        <v/>
      </c>
      <c r="Z19" s="348"/>
      <c r="AA19" s="349"/>
      <c r="AD19" s="141" t="s">
        <v>320</v>
      </c>
      <c r="AE19" s="399" t="s">
        <v>321</v>
      </c>
      <c r="AF19" s="399"/>
      <c r="AG19" s="400"/>
      <c r="AH19" s="401" t="s">
        <v>322</v>
      </c>
      <c r="AI19" s="400"/>
      <c r="AJ19" s="401" t="s">
        <v>318</v>
      </c>
      <c r="AK19" s="399"/>
      <c r="AL19" s="402"/>
      <c r="AM19" s="375" t="s">
        <v>319</v>
      </c>
      <c r="AN19" s="376"/>
      <c r="AO19" s="376"/>
      <c r="AP19" s="376"/>
      <c r="AQ19" s="376"/>
      <c r="AR19" s="376"/>
      <c r="AS19" s="376"/>
      <c r="AT19" s="376"/>
      <c r="AU19" s="377"/>
      <c r="AV19" s="118" t="s">
        <v>323</v>
      </c>
      <c r="AW19" s="119"/>
    </row>
    <row r="20" spans="2:49" ht="13.2" customHeight="1" thickBot="1" x14ac:dyDescent="0.25">
      <c r="AD20" s="112"/>
      <c r="AE20" s="112"/>
      <c r="AF20" s="112"/>
      <c r="AG20" s="112"/>
      <c r="AH20" s="112"/>
      <c r="AI20" s="112"/>
      <c r="AJ20" s="112"/>
      <c r="AK20" s="112"/>
      <c r="AP20" s="89" t="s">
        <v>324</v>
      </c>
    </row>
    <row r="21" spans="2:49" ht="13.2" customHeight="1" thickBot="1" x14ac:dyDescent="0.25">
      <c r="B21" s="95"/>
      <c r="C21" s="91" t="s">
        <v>5</v>
      </c>
      <c r="D21" s="403" t="s">
        <v>232</v>
      </c>
      <c r="E21" s="403"/>
      <c r="F21" s="404"/>
      <c r="G21" s="193"/>
      <c r="H21" s="96"/>
      <c r="I21" s="216" t="s">
        <v>233</v>
      </c>
      <c r="J21" s="91" t="s">
        <v>12</v>
      </c>
      <c r="K21" s="91" t="s">
        <v>234</v>
      </c>
      <c r="L21" s="91" t="s">
        <v>235</v>
      </c>
      <c r="M21" s="91" t="s">
        <v>236</v>
      </c>
      <c r="N21" s="91" t="s">
        <v>235</v>
      </c>
      <c r="O21" s="91" t="s">
        <v>237</v>
      </c>
      <c r="P21" s="91" t="s">
        <v>10</v>
      </c>
      <c r="Q21" s="97" t="s">
        <v>238</v>
      </c>
      <c r="R21" s="97"/>
      <c r="S21" s="97"/>
      <c r="T21" s="91"/>
      <c r="U21" s="91"/>
      <c r="V21" s="91"/>
      <c r="W21" s="91"/>
      <c r="X21" s="91"/>
      <c r="Y21" s="226" t="str">
        <f>IF(G23&gt;0,"Suggested Max LR","")</f>
        <v/>
      </c>
      <c r="Z21" s="227" t="str">
        <f>IF(G23&gt;0,"=","")</f>
        <v/>
      </c>
      <c r="AA21" s="228" t="str">
        <f>IF(G23&gt;0,G22-(AB24+AB26+AB28+AB30+AB32),"")</f>
        <v/>
      </c>
      <c r="AB21" s="90" t="s">
        <v>239</v>
      </c>
      <c r="AD21" s="138"/>
      <c r="AE21" s="89"/>
      <c r="AF21" s="89"/>
      <c r="AG21" s="89"/>
      <c r="AH21" s="89"/>
      <c r="AI21" s="89"/>
      <c r="AJ21" s="89"/>
      <c r="AK21" s="89"/>
      <c r="AL21" s="89"/>
    </row>
    <row r="22" spans="2:49" ht="13.2" customHeight="1" thickBot="1" x14ac:dyDescent="0.25">
      <c r="B22" s="98"/>
      <c r="C22" s="405"/>
      <c r="D22" s="407" t="s">
        <v>242</v>
      </c>
      <c r="E22" s="408"/>
      <c r="F22" s="409"/>
      <c r="G22" s="194"/>
      <c r="I22" s="99">
        <f>IF(G29="1:1.3 Up",0.8*G26,G26)</f>
        <v>0</v>
      </c>
      <c r="J22" s="100"/>
      <c r="K22" s="100" t="e">
        <f>INDEX($AD$8:$AU$19,MATCH(G27,$AD$8:$AD$19,0),MATCH(G21,$AD$8:$AU$8,0))</f>
        <v>#N/A</v>
      </c>
      <c r="L22" s="100"/>
      <c r="M22" s="100">
        <f>G22-G23</f>
        <v>0</v>
      </c>
      <c r="N22" s="100"/>
      <c r="O22" s="100" t="e">
        <f>VLOOKUP(G27,$AD$9:$AU$19,12,FALSE)</f>
        <v>#N/A</v>
      </c>
      <c r="P22" s="100"/>
      <c r="Q22" s="101" t="e">
        <f>((I22+K22)*M22)*O22</f>
        <v>#N/A</v>
      </c>
      <c r="R22" s="101"/>
      <c r="S22" s="101"/>
      <c r="T22" s="100"/>
      <c r="U22" s="100"/>
      <c r="V22" s="100"/>
      <c r="W22" s="100"/>
      <c r="X22" s="100"/>
      <c r="Y22" s="100"/>
      <c r="Z22" s="100"/>
      <c r="AA22" s="102"/>
      <c r="AD22" s="89"/>
      <c r="AE22" s="378" t="s">
        <v>325</v>
      </c>
      <c r="AF22" s="379"/>
      <c r="AG22" s="379"/>
      <c r="AH22" s="380"/>
      <c r="AI22" s="381" t="s">
        <v>326</v>
      </c>
      <c r="AJ22" s="347"/>
      <c r="AK22" s="89"/>
      <c r="AL22" s="89"/>
    </row>
    <row r="23" spans="2:49" ht="13.2" customHeight="1" thickBot="1" x14ac:dyDescent="0.25">
      <c r="B23" s="98"/>
      <c r="C23" s="406"/>
      <c r="D23" s="410" t="s">
        <v>251</v>
      </c>
      <c r="E23" s="411"/>
      <c r="F23" s="412"/>
      <c r="G23" s="194"/>
      <c r="I23" s="108" t="s">
        <v>252</v>
      </c>
      <c r="J23" s="109" t="s">
        <v>12</v>
      </c>
      <c r="K23" s="109" t="s">
        <v>253</v>
      </c>
      <c r="L23" s="109" t="s">
        <v>12</v>
      </c>
      <c r="M23" s="109" t="s">
        <v>254</v>
      </c>
      <c r="N23" s="109" t="s">
        <v>235</v>
      </c>
      <c r="O23" s="109" t="s">
        <v>255</v>
      </c>
      <c r="P23" s="109" t="s">
        <v>12</v>
      </c>
      <c r="Q23" s="109" t="s">
        <v>256</v>
      </c>
      <c r="R23" s="109" t="s">
        <v>12</v>
      </c>
      <c r="S23" s="109" t="s">
        <v>257</v>
      </c>
      <c r="T23" s="109" t="s">
        <v>12</v>
      </c>
      <c r="U23" s="109" t="s">
        <v>258</v>
      </c>
      <c r="V23" s="109" t="s">
        <v>12</v>
      </c>
      <c r="W23" s="109" t="s">
        <v>259</v>
      </c>
      <c r="X23" s="109" t="s">
        <v>235</v>
      </c>
      <c r="Y23" s="109" t="s">
        <v>260</v>
      </c>
      <c r="Z23" s="109" t="s">
        <v>10</v>
      </c>
      <c r="AA23" s="110" t="s">
        <v>261</v>
      </c>
      <c r="AB23" s="202" t="s">
        <v>262</v>
      </c>
      <c r="AD23" s="142" t="s">
        <v>101</v>
      </c>
      <c r="AE23" s="143" t="s">
        <v>256</v>
      </c>
      <c r="AF23" s="144" t="s">
        <v>257</v>
      </c>
      <c r="AG23" s="144" t="s">
        <v>258</v>
      </c>
      <c r="AH23" s="145" t="s">
        <v>310</v>
      </c>
      <c r="AI23" s="146" t="s">
        <v>327</v>
      </c>
      <c r="AJ23" s="147" t="s">
        <v>328</v>
      </c>
      <c r="AK23" s="148" t="s">
        <v>329</v>
      </c>
      <c r="AL23" s="89"/>
      <c r="AP23" s="413" t="s">
        <v>124</v>
      </c>
      <c r="AQ23" s="413"/>
      <c r="AR23" s="413"/>
      <c r="AS23" s="413"/>
      <c r="AT23" s="413"/>
    </row>
    <row r="24" spans="2:49" ht="13.2" customHeight="1" thickBot="1" x14ac:dyDescent="0.25">
      <c r="B24" s="407" t="s">
        <v>267</v>
      </c>
      <c r="C24" s="408"/>
      <c r="D24" s="408"/>
      <c r="E24" s="408"/>
      <c r="F24" s="409"/>
      <c r="G24" s="194"/>
      <c r="I24" s="99">
        <f>I22</f>
        <v>0</v>
      </c>
      <c r="J24" s="100"/>
      <c r="K24" s="100" t="e">
        <f>K22</f>
        <v>#N/A</v>
      </c>
      <c r="L24" s="100"/>
      <c r="M24" s="100" t="e">
        <f>VLOOKUP(G21,$AD$24:$AK$29,6,FALSE)</f>
        <v>#N/A</v>
      </c>
      <c r="N24" s="100"/>
      <c r="O24" s="100">
        <f>G23</f>
        <v>0</v>
      </c>
      <c r="P24" s="100"/>
      <c r="Q24" s="120" t="e">
        <f>VLOOKUP(G21,$AD$24:$AH$29,2,FALSE)</f>
        <v>#N/A</v>
      </c>
      <c r="R24" s="100"/>
      <c r="S24" s="120" t="e">
        <f>IF(G29="None",0,VLOOKUP(G21,$AD$24:$AH$29,3,FALSE))</f>
        <v>#N/A</v>
      </c>
      <c r="T24" s="100"/>
      <c r="U24" s="120" t="e">
        <f>IF(G29="None",0,VLOOKUP(G21,$AD$24:$AH$29,4,FALSE))</f>
        <v>#N/A</v>
      </c>
      <c r="V24" s="100"/>
      <c r="W24" s="120">
        <f>IF(G31&gt;0,VLOOKUP(G21,$AD$24:$AH$29,5,FALSE),0)</f>
        <v>0</v>
      </c>
      <c r="X24" s="100"/>
      <c r="Y24" s="100">
        <v>0.05</v>
      </c>
      <c r="Z24" s="100"/>
      <c r="AA24" s="121" t="e">
        <f>(((I24+K24+M24)*O24)+Q24+S24+U24+W24)*Y24</f>
        <v>#N/A</v>
      </c>
      <c r="AB24" s="201">
        <f>IF(G29="None",2*$AL$39,$AL$39)</f>
        <v>3.3333333333333335</v>
      </c>
      <c r="AD24" s="149">
        <v>18</v>
      </c>
      <c r="AE24" s="150">
        <v>132.47629938207024</v>
      </c>
      <c r="AF24" s="151">
        <v>52.067689546325084</v>
      </c>
      <c r="AG24" s="151">
        <v>18.338124999999998</v>
      </c>
      <c r="AH24" s="152">
        <v>80.119396454385026</v>
      </c>
      <c r="AI24" s="153">
        <v>3.9</v>
      </c>
      <c r="AJ24" s="154">
        <v>3.1</v>
      </c>
      <c r="AK24" s="155">
        <v>5</v>
      </c>
      <c r="AL24" s="89"/>
      <c r="AP24" s="339" t="s">
        <v>330</v>
      </c>
      <c r="AQ24" s="340"/>
      <c r="AR24" s="340" t="s">
        <v>331</v>
      </c>
      <c r="AS24" s="340"/>
      <c r="AT24" s="350"/>
    </row>
    <row r="25" spans="2:49" ht="13.2" customHeight="1" thickTop="1" x14ac:dyDescent="0.2">
      <c r="B25" s="407" t="s">
        <v>272</v>
      </c>
      <c r="C25" s="408"/>
      <c r="D25" s="408"/>
      <c r="E25" s="408"/>
      <c r="F25" s="409"/>
      <c r="G25" s="194"/>
      <c r="I25" s="92" t="s">
        <v>110</v>
      </c>
      <c r="J25" s="90" t="s">
        <v>235</v>
      </c>
      <c r="K25" s="90" t="s">
        <v>273</v>
      </c>
      <c r="L25" s="90" t="s">
        <v>12</v>
      </c>
      <c r="M25" s="90" t="s">
        <v>274</v>
      </c>
      <c r="N25" s="90" t="s">
        <v>12</v>
      </c>
      <c r="O25" s="90" t="s">
        <v>275</v>
      </c>
      <c r="P25" s="90" t="s">
        <v>12</v>
      </c>
      <c r="Q25" s="90" t="s">
        <v>276</v>
      </c>
      <c r="R25" s="90" t="s">
        <v>10</v>
      </c>
      <c r="S25" s="112" t="s">
        <v>31</v>
      </c>
      <c r="AA25" s="126"/>
      <c r="AB25" s="200" t="s">
        <v>277</v>
      </c>
      <c r="AD25" s="156">
        <v>24</v>
      </c>
      <c r="AE25" s="157">
        <v>173.87768987699292</v>
      </c>
      <c r="AF25" s="158">
        <v>70.714475536263308</v>
      </c>
      <c r="AG25" s="158">
        <v>25.963124999999998</v>
      </c>
      <c r="AH25" s="159">
        <v>108.75850342002349</v>
      </c>
      <c r="AI25" s="160">
        <v>5.3</v>
      </c>
      <c r="AJ25" s="161">
        <v>4.0999999999999996</v>
      </c>
      <c r="AK25" s="162">
        <v>7</v>
      </c>
      <c r="AL25" s="89"/>
      <c r="AP25" s="211"/>
      <c r="AQ25" s="210" t="s">
        <v>332</v>
      </c>
      <c r="AR25" s="341" t="s">
        <v>333</v>
      </c>
      <c r="AS25" s="342"/>
      <c r="AT25" s="343"/>
    </row>
    <row r="26" spans="2:49" ht="13.2" customHeight="1" thickBot="1" x14ac:dyDescent="0.25">
      <c r="B26" s="407" t="s">
        <v>281</v>
      </c>
      <c r="C26" s="408"/>
      <c r="D26" s="408"/>
      <c r="E26" s="408"/>
      <c r="F26" s="409"/>
      <c r="G26" s="194"/>
      <c r="I26" s="99">
        <f>I22</f>
        <v>0</v>
      </c>
      <c r="J26" s="100"/>
      <c r="K26" s="100">
        <f>G25</f>
        <v>0</v>
      </c>
      <c r="L26" s="100"/>
      <c r="M26" s="127">
        <f>G31*0.05</f>
        <v>0</v>
      </c>
      <c r="N26" s="100"/>
      <c r="O26" s="128">
        <f>G30</f>
        <v>0</v>
      </c>
      <c r="P26" s="100"/>
      <c r="Q26" s="100">
        <f>G32*0.3</f>
        <v>0</v>
      </c>
      <c r="R26" s="100"/>
      <c r="S26" s="101">
        <f>(I26*K26)+M26+O26+Q26</f>
        <v>0</v>
      </c>
      <c r="AA26" s="126"/>
      <c r="AB26" s="201">
        <f>$AL$41</f>
        <v>9</v>
      </c>
      <c r="AD26" s="156">
        <v>30</v>
      </c>
      <c r="AE26" s="157">
        <v>216.31283070664088</v>
      </c>
      <c r="AF26" s="158">
        <v>88.844386358838804</v>
      </c>
      <c r="AG26" s="158">
        <v>33.588124999999998</v>
      </c>
      <c r="AH26" s="159">
        <v>138.94823588775</v>
      </c>
      <c r="AI26" s="160">
        <v>6.6</v>
      </c>
      <c r="AJ26" s="161">
        <v>5.2</v>
      </c>
      <c r="AK26" s="162">
        <v>9</v>
      </c>
      <c r="AL26" s="89"/>
      <c r="AP26" s="212"/>
      <c r="AQ26" s="209" t="s">
        <v>334</v>
      </c>
      <c r="AR26" s="344" t="s">
        <v>335</v>
      </c>
      <c r="AS26" s="345"/>
      <c r="AT26" s="346"/>
    </row>
    <row r="27" spans="2:49" ht="13.2" customHeight="1" thickBot="1" x14ac:dyDescent="0.25">
      <c r="B27" s="407" t="s">
        <v>285</v>
      </c>
      <c r="C27" s="408"/>
      <c r="D27" s="408"/>
      <c r="E27" s="408"/>
      <c r="F27" s="409"/>
      <c r="G27" s="195"/>
      <c r="I27" s="108" t="s">
        <v>286</v>
      </c>
      <c r="J27" s="109" t="s">
        <v>12</v>
      </c>
      <c r="K27" s="109" t="s">
        <v>261</v>
      </c>
      <c r="L27" s="109" t="s">
        <v>12</v>
      </c>
      <c r="M27" s="109" t="s">
        <v>287</v>
      </c>
      <c r="N27" s="109" t="s">
        <v>235</v>
      </c>
      <c r="O27" s="109" t="s">
        <v>61</v>
      </c>
      <c r="P27" s="109" t="s">
        <v>10</v>
      </c>
      <c r="Q27" s="129" t="s">
        <v>58</v>
      </c>
      <c r="R27" s="129"/>
      <c r="S27" s="129"/>
      <c r="T27" s="109"/>
      <c r="U27" s="109"/>
      <c r="V27" s="435" t="s">
        <v>50</v>
      </c>
      <c r="W27" s="436"/>
      <c r="X27" s="436"/>
      <c r="Y27" s="436" t="s">
        <v>51</v>
      </c>
      <c r="Z27" s="436"/>
      <c r="AA27" s="437"/>
      <c r="AB27" s="202" t="s">
        <v>257</v>
      </c>
      <c r="AD27" s="156">
        <v>36</v>
      </c>
      <c r="AE27" s="157">
        <v>257.42146403615732</v>
      </c>
      <c r="AF27" s="158">
        <v>107.63755093148018</v>
      </c>
      <c r="AG27" s="158">
        <v>41.213125000000005</v>
      </c>
      <c r="AH27" s="159">
        <v>167.14820710527897</v>
      </c>
      <c r="AI27" s="160">
        <v>8</v>
      </c>
      <c r="AJ27" s="161">
        <v>6.2</v>
      </c>
      <c r="AK27" s="162">
        <v>11</v>
      </c>
      <c r="AL27" s="89"/>
      <c r="AP27" s="213"/>
      <c r="AQ27" s="214" t="s">
        <v>336</v>
      </c>
      <c r="AR27" s="347" t="s">
        <v>337</v>
      </c>
      <c r="AS27" s="348"/>
      <c r="AT27" s="349"/>
    </row>
    <row r="28" spans="2:49" ht="13.2" customHeight="1" x14ac:dyDescent="0.2">
      <c r="B28" s="407" t="s">
        <v>124</v>
      </c>
      <c r="C28" s="408"/>
      <c r="D28" s="408"/>
      <c r="E28" s="408"/>
      <c r="F28" s="409"/>
      <c r="G28" s="208"/>
      <c r="I28" s="99" t="e">
        <f>Q22</f>
        <v>#N/A</v>
      </c>
      <c r="J28" s="100"/>
      <c r="K28" s="127" t="e">
        <f>AA24</f>
        <v>#N/A</v>
      </c>
      <c r="L28" s="100"/>
      <c r="M28" s="100">
        <f>S26</f>
        <v>0</v>
      </c>
      <c r="N28" s="100"/>
      <c r="O28" s="100">
        <v>1.25</v>
      </c>
      <c r="P28" s="100"/>
      <c r="Q28" s="101" t="e">
        <f>(I28+K28+M28)*O28</f>
        <v>#N/A</v>
      </c>
      <c r="R28" s="101"/>
      <c r="S28" s="101"/>
      <c r="T28" s="100"/>
      <c r="U28" s="100"/>
      <c r="V28" s="428" t="str">
        <f>IFERROR(IF(Q28&gt;MAX($AF$37:$AF$44),"EXCEEDS MAX EBP",""),"")</f>
        <v/>
      </c>
      <c r="W28" s="421"/>
      <c r="X28" s="421"/>
      <c r="Y28" s="429" t="str">
        <f>IFERROR(IF(G28="MOTOVARIO",INDEX($AE$104:$AE$157,MATCH(1,INDEX((G24&lt;=$AG$104:$AG$157)*(Q30&lt;=$AF$104:$AF$157)*(Q28&lt;=$AH$104:$AH$157),0,0),0))&amp;" DIRECT DRIVE",IF(G28="DODGE",INDEX($AE$51:$AE$97,MATCH(1,INDEX((G24&lt;=$AG$51:$AG$97)*(Q30&lt;=$AF$51:$AF$97)*(Q28&lt;=$AH$51:$AH$97),0,0),0))&amp;" DIRECT DRIVE",INDEX($AD$37:$AD$44,MATCH(1,INDEX((Q28&lt;=$AF$37:$AF$44)*(Q30&lt;=$AE$37:$AE$44),0,0),0)))),"")</f>
        <v/>
      </c>
      <c r="Z28" s="429"/>
      <c r="AA28" s="430"/>
      <c r="AB28" s="201" t="e">
        <f>IF(G29="none",0,VLOOKUP(G21,$AN$38:$AP$43,3,FALSE))</f>
        <v>#N/A</v>
      </c>
      <c r="AD28" s="156">
        <v>42</v>
      </c>
      <c r="AE28" s="157">
        <v>313.90197839661226</v>
      </c>
      <c r="AF28" s="158">
        <v>132.63157172153075</v>
      </c>
      <c r="AG28" s="158">
        <v>48.838125000000005</v>
      </c>
      <c r="AH28" s="159">
        <v>218.40599986921598</v>
      </c>
      <c r="AI28" s="160">
        <v>9.3000000000000007</v>
      </c>
      <c r="AJ28" s="161">
        <v>7.3</v>
      </c>
      <c r="AK28" s="162">
        <v>13</v>
      </c>
      <c r="AL28" s="89"/>
    </row>
    <row r="29" spans="2:49" ht="13.2" customHeight="1" thickBot="1" x14ac:dyDescent="0.25">
      <c r="B29" s="407" t="s">
        <v>296</v>
      </c>
      <c r="C29" s="408"/>
      <c r="D29" s="408"/>
      <c r="E29" s="408"/>
      <c r="F29" s="409"/>
      <c r="G29" s="196"/>
      <c r="I29" s="108" t="s">
        <v>297</v>
      </c>
      <c r="J29" s="109" t="s">
        <v>235</v>
      </c>
      <c r="K29" s="109" t="s">
        <v>298</v>
      </c>
      <c r="L29" s="109" t="s">
        <v>75</v>
      </c>
      <c r="M29" s="109" t="s">
        <v>299</v>
      </c>
      <c r="N29" s="109" t="s">
        <v>235</v>
      </c>
      <c r="O29" s="109" t="s">
        <v>300</v>
      </c>
      <c r="P29" s="109" t="s">
        <v>10</v>
      </c>
      <c r="Q29" s="129" t="s">
        <v>108</v>
      </c>
      <c r="R29" s="129"/>
      <c r="S29" s="129"/>
      <c r="T29" s="109"/>
      <c r="U29" s="109"/>
      <c r="V29" s="428" t="str">
        <f>IFERROR(IF(Q30&gt;MAX($AE$37:$AE$44),"EXCEEDS MAX HP",""),"")</f>
        <v/>
      </c>
      <c r="W29" s="421"/>
      <c r="X29" s="421"/>
      <c r="Y29" s="429" t="str">
        <f>IFERROR(IF(G28="Motovario",INDEX($AF$104:$AF$157,MATCH(1,INDEX((G24&lt;=$AG$104:$AG$157)*(Q30&lt;=$AF$104:$AF$157)*(Q28&lt;=$AH$104:$AH$157),0,0),0)),IF(G28="Dodge",INDEX($AF$51:$AF$97,MATCH(1,INDEX((G24&lt;=$AG$51:$AG$97)*(Q30&lt;=$AF$51:$AF$97)*(Q28&lt;=$AH$51:$AH$97),0,0),0)),INDEX($AE$37:$AE$44,MATCH(1,INDEX((Q28&lt;=$AF$37:$AF$44)*(Q30&lt;=$AE$37:$AE$44),0,0),0))))&amp;" HP","")</f>
        <v/>
      </c>
      <c r="Z29" s="429"/>
      <c r="AA29" s="430"/>
      <c r="AB29" s="200" t="s">
        <v>258</v>
      </c>
      <c r="AD29" s="163">
        <v>48</v>
      </c>
      <c r="AE29" s="164">
        <v>358.51188674070795</v>
      </c>
      <c r="AF29" s="165">
        <v>151.84886630132999</v>
      </c>
      <c r="AG29" s="165">
        <v>56.463124999999998</v>
      </c>
      <c r="AH29" s="166">
        <v>251.8578836086138</v>
      </c>
      <c r="AI29" s="167">
        <v>10.7</v>
      </c>
      <c r="AJ29" s="168">
        <v>8.3000000000000007</v>
      </c>
      <c r="AK29" s="169">
        <v>15</v>
      </c>
      <c r="AL29" s="89" t="s">
        <v>338</v>
      </c>
    </row>
    <row r="30" spans="2:49" ht="13.2" customHeight="1" thickBot="1" x14ac:dyDescent="0.25">
      <c r="B30" s="410" t="s">
        <v>305</v>
      </c>
      <c r="C30" s="411"/>
      <c r="D30" s="411"/>
      <c r="E30" s="411"/>
      <c r="F30" s="412"/>
      <c r="G30" s="197"/>
      <c r="I30" s="136" t="e">
        <f>Q28</f>
        <v>#N/A</v>
      </c>
      <c r="K30" s="90">
        <f>G24</f>
        <v>0</v>
      </c>
      <c r="M30" s="90">
        <v>33000</v>
      </c>
      <c r="O30" s="90">
        <f>IF(G28="N",IF(G24&lt;100,0.8,IF(G24&lt;200,0.85,0.9)),0.95)</f>
        <v>0.95</v>
      </c>
      <c r="Q30" s="137" t="e">
        <f>(I30*K30)/(M30*O30)</f>
        <v>#N/A</v>
      </c>
      <c r="R30" s="137"/>
      <c r="S30" s="137"/>
      <c r="V30" s="428" t="str">
        <f>IF(Y30="","",IF(Y30&gt;VLOOKUP(G21,$AD$24:$AK$29,8),"EXCEEDS MAX QTY",""))</f>
        <v/>
      </c>
      <c r="W30" s="421"/>
      <c r="X30" s="421"/>
      <c r="Y30" s="215" t="str">
        <f>IFERROR(ROUNDUP(Q28/100,0),"")</f>
        <v/>
      </c>
      <c r="Z30" s="426" t="str">
        <f>IF(Y30="","","LONG SPRINGS")</f>
        <v/>
      </c>
      <c r="AA30" s="427"/>
      <c r="AB30" s="201" t="e">
        <f>IF(U24=0,0,$AL$40)</f>
        <v>#N/A</v>
      </c>
      <c r="AD30" s="89"/>
      <c r="AE30" s="89"/>
      <c r="AF30" s="89"/>
      <c r="AG30" s="89"/>
      <c r="AH30" s="89"/>
      <c r="AI30" s="89"/>
      <c r="AJ30" s="89"/>
      <c r="AK30" s="89"/>
      <c r="AL30" s="89"/>
    </row>
    <row r="31" spans="2:49" ht="13.2" customHeight="1" x14ac:dyDescent="0.2">
      <c r="B31" s="410" t="s">
        <v>309</v>
      </c>
      <c r="C31" s="411"/>
      <c r="D31" s="411"/>
      <c r="E31" s="411"/>
      <c r="F31" s="412"/>
      <c r="G31" s="198"/>
      <c r="I31" s="423" t="s">
        <v>133</v>
      </c>
      <c r="J31" s="424"/>
      <c r="K31" s="424"/>
      <c r="L31" s="424"/>
      <c r="M31" s="424"/>
      <c r="N31" s="424"/>
      <c r="O31" s="424"/>
      <c r="P31" s="424"/>
      <c r="Q31" s="424"/>
      <c r="R31" s="424"/>
      <c r="S31" s="424"/>
      <c r="T31" s="424"/>
      <c r="U31" s="425"/>
      <c r="V31" s="420" t="str">
        <f>IF(Y31="","",IF(Y31&gt;VLOOKUP(G21,$AD$24:$AK$29,8),"EXCEEDS MAX QTY",""))</f>
        <v/>
      </c>
      <c r="W31" s="421"/>
      <c r="X31" s="421"/>
      <c r="Y31" s="215" t="str">
        <f>IFERROR(ROUNDUP(Q28/80,0),"")</f>
        <v/>
      </c>
      <c r="Z31" s="426" t="str">
        <f>IF(Y31="","","SHORT SPRINGS")</f>
        <v/>
      </c>
      <c r="AA31" s="427"/>
      <c r="AB31" s="203" t="s">
        <v>310</v>
      </c>
      <c r="AD31" s="89" t="s">
        <v>339</v>
      </c>
      <c r="AE31" s="89"/>
      <c r="AF31" s="89"/>
      <c r="AG31" s="89"/>
      <c r="AH31" s="89"/>
      <c r="AI31" s="89"/>
      <c r="AJ31" s="89"/>
      <c r="AK31" s="89"/>
      <c r="AL31" s="89"/>
    </row>
    <row r="32" spans="2:49" ht="13.2" customHeight="1" thickBot="1" x14ac:dyDescent="0.25">
      <c r="B32" s="414" t="s">
        <v>315</v>
      </c>
      <c r="C32" s="415"/>
      <c r="D32" s="415"/>
      <c r="E32" s="415"/>
      <c r="F32" s="416"/>
      <c r="G32" s="199"/>
      <c r="I32" s="108"/>
      <c r="J32" s="417" t="s">
        <v>134</v>
      </c>
      <c r="K32" s="417"/>
      <c r="L32" s="418" t="str">
        <f>IFERROR(Q28*L33/2,"")</f>
        <v/>
      </c>
      <c r="M32" s="418"/>
      <c r="N32" s="109"/>
      <c r="O32" s="417" t="s">
        <v>135</v>
      </c>
      <c r="P32" s="417"/>
      <c r="Q32" s="419" t="str">
        <f>IFERROR(IF(G28="Motovario",INDEX($AI$104:$AI$157,MATCH(1,INDEX((G24&lt;=$AG$104:$AG$157)*(Q30&lt;=$AF$104:$AF$157)*(Q28&lt;=$AH$104:$AH$157),0,0),0)),IF(G28="Dodge",INDEX($AI$51:$AI$97,MATCH(1,INDEX((G24&lt;=$AG$51:$AG$97)*(Q30&lt;=$AF$51:$AF$97)*(Q28&lt;=$AH$51:$AH$97),0,0),0)),"")),"")</f>
        <v/>
      </c>
      <c r="R32" s="419"/>
      <c r="S32" s="419"/>
      <c r="T32" s="419"/>
      <c r="U32" s="139"/>
      <c r="V32" s="420" t="str">
        <f>IF(AA21&lt;0,"",IF(G23&gt;AA21,"EXCEEDS MAX LR",""))</f>
        <v/>
      </c>
      <c r="W32" s="421"/>
      <c r="X32" s="421"/>
      <c r="Y32" s="345"/>
      <c r="Z32" s="345"/>
      <c r="AA32" s="346"/>
      <c r="AB32" s="204">
        <f>IF(G31&gt;0,$AL$42,0)</f>
        <v>0</v>
      </c>
      <c r="AD32" s="170" t="s">
        <v>340</v>
      </c>
      <c r="AE32" s="171" t="s">
        <v>341</v>
      </c>
      <c r="AF32" s="171" t="s">
        <v>342</v>
      </c>
      <c r="AG32" s="171" t="s">
        <v>343</v>
      </c>
      <c r="AH32" s="369" t="s">
        <v>344</v>
      </c>
      <c r="AI32" s="370"/>
      <c r="AJ32" s="371"/>
      <c r="AK32" s="89"/>
    </row>
    <row r="33" spans="2:42" ht="13.2" customHeight="1" thickBot="1" x14ac:dyDescent="0.25">
      <c r="B33" s="388" t="s">
        <v>78</v>
      </c>
      <c r="C33" s="389"/>
      <c r="D33" s="390"/>
      <c r="E33" s="391"/>
      <c r="F33" s="391"/>
      <c r="G33" s="392"/>
      <c r="H33" s="391"/>
      <c r="I33" s="93"/>
      <c r="J33" s="393" t="s">
        <v>136</v>
      </c>
      <c r="K33" s="393"/>
      <c r="L33" s="394" t="str">
        <f>IFERROR(VALUE(LEFT(Y28,SEARCH("CD",Y28)-1))+0.5,"")</f>
        <v/>
      </c>
      <c r="M33" s="394"/>
      <c r="N33" s="94"/>
      <c r="O33" s="395" t="s">
        <v>137</v>
      </c>
      <c r="P33" s="395"/>
      <c r="Q33" s="396" t="str">
        <f>IFERROR(Q32/L32,"")</f>
        <v/>
      </c>
      <c r="R33" s="396"/>
      <c r="S33" s="396"/>
      <c r="T33" s="396"/>
      <c r="U33" s="140"/>
      <c r="V33" s="397" t="str">
        <f>IF(G22&gt;150,"VERY LONG","")</f>
        <v/>
      </c>
      <c r="W33" s="398"/>
      <c r="X33" s="398"/>
      <c r="Y33" s="348" t="str">
        <f>IF(G28="MOTOVARIO","DD NOM SPEED: "&amp;INDEX($AG$104:$AG$157,MATCH(1,INDEX((G24&lt;=$AG$104:$AG$157)*(Q30&lt;=$AF$104:$AF$157)*(Q28&lt;=$AH$104:$AH$157),0,0),0)),IF(G28="DODGE)","DD NOM SPEED: "&amp;INDEX($AG$51:$AG$97,MATCH(1,INDEX((G24&lt;=$AG$51:$AG$97)*(Q30&lt;=$AF$51:$AF$97)*(Q28&lt;=$AH$51:$AH$97),0,0),0)),""))</f>
        <v/>
      </c>
      <c r="Z33" s="348"/>
      <c r="AA33" s="349"/>
      <c r="AD33" s="172" t="s">
        <v>345</v>
      </c>
      <c r="AE33" s="173">
        <v>0.8</v>
      </c>
      <c r="AF33" s="173">
        <v>0.85</v>
      </c>
      <c r="AG33" s="173">
        <v>0.9</v>
      </c>
      <c r="AH33" s="366">
        <v>0.94</v>
      </c>
      <c r="AI33" s="367"/>
      <c r="AJ33" s="368"/>
      <c r="AK33" s="89"/>
    </row>
    <row r="34" spans="2:42" ht="13.2" customHeight="1" thickBot="1" x14ac:dyDescent="0.25">
      <c r="AD34" s="89"/>
      <c r="AE34" s="89"/>
      <c r="AF34" s="89"/>
      <c r="AG34" s="89"/>
      <c r="AH34" s="89"/>
      <c r="AK34" s="89"/>
    </row>
    <row r="35" spans="2:42" ht="13.2" customHeight="1" thickBot="1" x14ac:dyDescent="0.25">
      <c r="B35" s="95"/>
      <c r="C35" s="91" t="s">
        <v>5</v>
      </c>
      <c r="D35" s="403" t="s">
        <v>232</v>
      </c>
      <c r="E35" s="403"/>
      <c r="F35" s="404"/>
      <c r="G35" s="193"/>
      <c r="H35" s="96"/>
      <c r="I35" s="216" t="s">
        <v>233</v>
      </c>
      <c r="J35" s="91" t="s">
        <v>12</v>
      </c>
      <c r="K35" s="91" t="s">
        <v>234</v>
      </c>
      <c r="L35" s="91" t="s">
        <v>235</v>
      </c>
      <c r="M35" s="91" t="s">
        <v>236</v>
      </c>
      <c r="N35" s="91" t="s">
        <v>235</v>
      </c>
      <c r="O35" s="91" t="s">
        <v>237</v>
      </c>
      <c r="P35" s="91" t="s">
        <v>10</v>
      </c>
      <c r="Q35" s="97" t="s">
        <v>238</v>
      </c>
      <c r="R35" s="97"/>
      <c r="S35" s="97"/>
      <c r="T35" s="91"/>
      <c r="U35" s="91"/>
      <c r="V35" s="91"/>
      <c r="W35" s="91"/>
      <c r="X35" s="91"/>
      <c r="Y35" s="226" t="str">
        <f>IF(G37&gt;0,"Suggested Max LR","")</f>
        <v/>
      </c>
      <c r="Z35" s="227" t="str">
        <f>IF(G37&gt;0,"=","")</f>
        <v/>
      </c>
      <c r="AA35" s="228" t="str">
        <f>IF(G37&gt;0,G36-(AB38+AB40+AB42+AB44+AB46),"")</f>
        <v/>
      </c>
      <c r="AB35" s="90" t="s">
        <v>239</v>
      </c>
      <c r="AD35" s="44" t="s">
        <v>346</v>
      </c>
      <c r="AE35" s="44"/>
      <c r="AF35" s="44"/>
      <c r="AG35" s="89"/>
      <c r="AH35" s="89"/>
      <c r="AK35" s="89"/>
    </row>
    <row r="36" spans="2:42" ht="13.2" customHeight="1" thickBot="1" x14ac:dyDescent="0.25">
      <c r="B36" s="98"/>
      <c r="C36" s="405"/>
      <c r="D36" s="407" t="s">
        <v>242</v>
      </c>
      <c r="E36" s="408"/>
      <c r="F36" s="409"/>
      <c r="G36" s="194"/>
      <c r="I36" s="99">
        <f>IF(G43="1:1.3 Up",0.8*G40,G40)</f>
        <v>0</v>
      </c>
      <c r="J36" s="100"/>
      <c r="K36" s="100" t="e">
        <f>INDEX($AD$8:$AU$19,MATCH(G41,$AD$8:$AD$19,0),MATCH(G35,$AD$8:$AU$8,0))</f>
        <v>#N/A</v>
      </c>
      <c r="L36" s="100"/>
      <c r="M36" s="100">
        <f>G36-G37</f>
        <v>0</v>
      </c>
      <c r="N36" s="100"/>
      <c r="O36" s="100" t="e">
        <f>VLOOKUP(G41,$AD$9:$AU$19,12,FALSE)</f>
        <v>#N/A</v>
      </c>
      <c r="P36" s="100"/>
      <c r="Q36" s="101" t="e">
        <f>((I36+K36)*M36)*O36</f>
        <v>#N/A</v>
      </c>
      <c r="R36" s="101"/>
      <c r="S36" s="101"/>
      <c r="T36" s="100"/>
      <c r="U36" s="100"/>
      <c r="V36" s="100"/>
      <c r="W36" s="100"/>
      <c r="X36" s="100"/>
      <c r="Y36" s="100"/>
      <c r="Z36" s="100"/>
      <c r="AA36" s="102"/>
      <c r="AD36" s="174" t="s">
        <v>347</v>
      </c>
      <c r="AE36" s="175" t="s">
        <v>108</v>
      </c>
      <c r="AF36" s="176" t="s">
        <v>145</v>
      </c>
      <c r="AG36" s="89"/>
      <c r="AH36" s="89" t="s">
        <v>348</v>
      </c>
      <c r="AI36" s="89"/>
      <c r="AJ36" s="89"/>
      <c r="AK36" s="89"/>
      <c r="AL36" s="89"/>
    </row>
    <row r="37" spans="2:42" ht="13.2" customHeight="1" thickTop="1" thickBot="1" x14ac:dyDescent="0.25">
      <c r="B37" s="98"/>
      <c r="C37" s="406"/>
      <c r="D37" s="410" t="s">
        <v>251</v>
      </c>
      <c r="E37" s="411"/>
      <c r="F37" s="412"/>
      <c r="G37" s="194"/>
      <c r="I37" s="108" t="s">
        <v>252</v>
      </c>
      <c r="J37" s="109" t="s">
        <v>12</v>
      </c>
      <c r="K37" s="109" t="s">
        <v>253</v>
      </c>
      <c r="L37" s="109" t="s">
        <v>12</v>
      </c>
      <c r="M37" s="109" t="s">
        <v>254</v>
      </c>
      <c r="N37" s="109" t="s">
        <v>235</v>
      </c>
      <c r="O37" s="109" t="s">
        <v>255</v>
      </c>
      <c r="P37" s="109" t="s">
        <v>12</v>
      </c>
      <c r="Q37" s="109" t="s">
        <v>256</v>
      </c>
      <c r="R37" s="109" t="s">
        <v>12</v>
      </c>
      <c r="S37" s="109" t="s">
        <v>257</v>
      </c>
      <c r="T37" s="109" t="s">
        <v>12</v>
      </c>
      <c r="U37" s="109" t="s">
        <v>258</v>
      </c>
      <c r="V37" s="109" t="s">
        <v>12</v>
      </c>
      <c r="W37" s="109" t="s">
        <v>259</v>
      </c>
      <c r="X37" s="109" t="s">
        <v>235</v>
      </c>
      <c r="Y37" s="109" t="s">
        <v>260</v>
      </c>
      <c r="Z37" s="109" t="s">
        <v>10</v>
      </c>
      <c r="AA37" s="110" t="s">
        <v>261</v>
      </c>
      <c r="AB37" s="202" t="s">
        <v>262</v>
      </c>
      <c r="AD37" s="177" t="s">
        <v>132</v>
      </c>
      <c r="AE37" s="34">
        <v>1</v>
      </c>
      <c r="AF37" s="178">
        <v>370</v>
      </c>
      <c r="AG37" s="89"/>
      <c r="AH37" s="181" t="s">
        <v>21</v>
      </c>
      <c r="AI37" s="182" t="s">
        <v>349</v>
      </c>
      <c r="AJ37" s="182" t="s">
        <v>350</v>
      </c>
      <c r="AK37" s="182" t="s">
        <v>351</v>
      </c>
      <c r="AL37" s="183" t="s">
        <v>352</v>
      </c>
      <c r="AN37" s="143" t="s">
        <v>101</v>
      </c>
      <c r="AO37" s="218" t="s">
        <v>353</v>
      </c>
      <c r="AP37" s="220" t="s">
        <v>354</v>
      </c>
    </row>
    <row r="38" spans="2:42" ht="13.2" customHeight="1" thickBot="1" x14ac:dyDescent="0.25">
      <c r="B38" s="407" t="s">
        <v>267</v>
      </c>
      <c r="C38" s="408"/>
      <c r="D38" s="408"/>
      <c r="E38" s="408"/>
      <c r="F38" s="409"/>
      <c r="G38" s="194"/>
      <c r="I38" s="99">
        <f>I36</f>
        <v>0</v>
      </c>
      <c r="J38" s="100"/>
      <c r="K38" s="100" t="e">
        <f>K36</f>
        <v>#N/A</v>
      </c>
      <c r="L38" s="100"/>
      <c r="M38" s="100" t="e">
        <f>VLOOKUP(G35,$AD$24:$AK$29,6,FALSE)</f>
        <v>#N/A</v>
      </c>
      <c r="N38" s="100"/>
      <c r="O38" s="100">
        <f>G37</f>
        <v>0</v>
      </c>
      <c r="P38" s="100"/>
      <c r="Q38" s="120" t="e">
        <f>VLOOKUP(G35,$AD$24:$AH$29,2,FALSE)</f>
        <v>#N/A</v>
      </c>
      <c r="R38" s="100"/>
      <c r="S38" s="120" t="e">
        <f>IF(G43="None",0,VLOOKUP(G35,$AD$24:$AH$29,3,FALSE))</f>
        <v>#N/A</v>
      </c>
      <c r="T38" s="100"/>
      <c r="U38" s="120" t="e">
        <f>IF(G43="None",0,VLOOKUP(G35,$AD$24:$AH$29,4,FALSE))</f>
        <v>#N/A</v>
      </c>
      <c r="V38" s="100"/>
      <c r="W38" s="120">
        <f>IF(G45&gt;0,VLOOKUP(G35,$AD$24:$AH$29,5,FALSE),0)</f>
        <v>0</v>
      </c>
      <c r="X38" s="100"/>
      <c r="Y38" s="100">
        <v>0.05</v>
      </c>
      <c r="Z38" s="100"/>
      <c r="AA38" s="121" t="e">
        <f>(((I38+K38+M38)*O38)+Q38+S38+U38+W38)*Y38</f>
        <v>#N/A</v>
      </c>
      <c r="AB38" s="201">
        <f>IF(G43="None",2*$AL$39,$AL$39)</f>
        <v>3.3333333333333335</v>
      </c>
      <c r="AD38" s="179" t="s">
        <v>132</v>
      </c>
      <c r="AE38" s="38">
        <v>1.5</v>
      </c>
      <c r="AF38" s="180">
        <v>370</v>
      </c>
      <c r="AG38" s="89"/>
      <c r="AH38" s="184"/>
      <c r="AI38" s="185"/>
      <c r="AJ38" s="185" t="s">
        <v>355</v>
      </c>
      <c r="AK38" s="185" t="s">
        <v>355</v>
      </c>
      <c r="AL38" s="186" t="s">
        <v>356</v>
      </c>
      <c r="AN38" s="222">
        <v>18</v>
      </c>
      <c r="AO38" s="219">
        <f>15+24+18+24</f>
        <v>81</v>
      </c>
      <c r="AP38" s="188">
        <f>AO38/12</f>
        <v>6.75</v>
      </c>
    </row>
    <row r="39" spans="2:42" ht="13.2" customHeight="1" thickTop="1" x14ac:dyDescent="0.2">
      <c r="B39" s="407" t="s">
        <v>272</v>
      </c>
      <c r="C39" s="408"/>
      <c r="D39" s="408"/>
      <c r="E39" s="408"/>
      <c r="F39" s="409"/>
      <c r="G39" s="194"/>
      <c r="I39" s="92" t="s">
        <v>110</v>
      </c>
      <c r="J39" s="90" t="s">
        <v>235</v>
      </c>
      <c r="K39" s="90" t="s">
        <v>273</v>
      </c>
      <c r="L39" s="90" t="s">
        <v>12</v>
      </c>
      <c r="M39" s="90" t="s">
        <v>274</v>
      </c>
      <c r="N39" s="90" t="s">
        <v>12</v>
      </c>
      <c r="O39" s="90" t="s">
        <v>275</v>
      </c>
      <c r="P39" s="90" t="s">
        <v>12</v>
      </c>
      <c r="Q39" s="90" t="s">
        <v>276</v>
      </c>
      <c r="R39" s="90" t="s">
        <v>10</v>
      </c>
      <c r="S39" s="112" t="s">
        <v>31</v>
      </c>
      <c r="AA39" s="126"/>
      <c r="AB39" s="200" t="s">
        <v>277</v>
      </c>
      <c r="AD39" s="179" t="s">
        <v>138</v>
      </c>
      <c r="AE39" s="38">
        <v>1.5</v>
      </c>
      <c r="AF39" s="180">
        <v>500</v>
      </c>
      <c r="AG39" s="89"/>
      <c r="AH39" s="187" t="s">
        <v>262</v>
      </c>
      <c r="AI39" s="219">
        <v>701948</v>
      </c>
      <c r="AJ39" s="219">
        <v>13</v>
      </c>
      <c r="AK39" s="219">
        <v>27</v>
      </c>
      <c r="AL39" s="188">
        <f>(AJ39+AK39)/12</f>
        <v>3.3333333333333335</v>
      </c>
      <c r="AN39" s="223">
        <v>24</v>
      </c>
      <c r="AO39" s="170">
        <f t="shared" ref="AO39:AO40" si="2">15+24+18+24</f>
        <v>81</v>
      </c>
      <c r="AP39" s="221">
        <f t="shared" ref="AP39:AP43" si="3">AO39/12</f>
        <v>6.75</v>
      </c>
    </row>
    <row r="40" spans="2:42" ht="13.2" customHeight="1" thickBot="1" x14ac:dyDescent="0.25">
      <c r="B40" s="407" t="s">
        <v>281</v>
      </c>
      <c r="C40" s="408"/>
      <c r="D40" s="408"/>
      <c r="E40" s="408"/>
      <c r="F40" s="409"/>
      <c r="G40" s="194"/>
      <c r="I40" s="99">
        <f>I36</f>
        <v>0</v>
      </c>
      <c r="J40" s="100"/>
      <c r="K40" s="100">
        <f>G39</f>
        <v>0</v>
      </c>
      <c r="L40" s="100"/>
      <c r="M40" s="127">
        <f>G45*0.05</f>
        <v>0</v>
      </c>
      <c r="N40" s="100"/>
      <c r="O40" s="128">
        <f>G44</f>
        <v>0</v>
      </c>
      <c r="P40" s="100"/>
      <c r="Q40" s="100">
        <f>G46*0.3</f>
        <v>0</v>
      </c>
      <c r="R40" s="100"/>
      <c r="S40" s="101">
        <f>(I40*K40)+M40+O40+Q40</f>
        <v>0</v>
      </c>
      <c r="AA40" s="126"/>
      <c r="AB40" s="201">
        <f>$AL$41</f>
        <v>9</v>
      </c>
      <c r="AD40" s="179" t="s">
        <v>138</v>
      </c>
      <c r="AE40" s="38">
        <v>2</v>
      </c>
      <c r="AF40" s="180">
        <v>600</v>
      </c>
      <c r="AG40" s="89"/>
      <c r="AH40" s="189" t="s">
        <v>258</v>
      </c>
      <c r="AI40" s="170">
        <v>701949</v>
      </c>
      <c r="AJ40" s="170">
        <v>0</v>
      </c>
      <c r="AK40" s="170">
        <f>26*2+15*2</f>
        <v>82</v>
      </c>
      <c r="AL40" s="188">
        <f t="shared" ref="AL40:AL43" si="4">(AJ40+AK40)/12</f>
        <v>6.833333333333333</v>
      </c>
      <c r="AN40" s="223">
        <v>30</v>
      </c>
      <c r="AO40" s="170">
        <f t="shared" si="2"/>
        <v>81</v>
      </c>
      <c r="AP40" s="221">
        <f t="shared" si="3"/>
        <v>6.75</v>
      </c>
    </row>
    <row r="41" spans="2:42" ht="13.2" customHeight="1" x14ac:dyDescent="0.2">
      <c r="B41" s="407" t="s">
        <v>285</v>
      </c>
      <c r="C41" s="408"/>
      <c r="D41" s="408"/>
      <c r="E41" s="408"/>
      <c r="F41" s="409"/>
      <c r="G41" s="195"/>
      <c r="I41" s="108" t="s">
        <v>286</v>
      </c>
      <c r="J41" s="109" t="s">
        <v>12</v>
      </c>
      <c r="K41" s="109" t="s">
        <v>261</v>
      </c>
      <c r="L41" s="109" t="s">
        <v>12</v>
      </c>
      <c r="M41" s="109" t="s">
        <v>287</v>
      </c>
      <c r="N41" s="109" t="s">
        <v>235</v>
      </c>
      <c r="O41" s="109" t="s">
        <v>61</v>
      </c>
      <c r="P41" s="109" t="s">
        <v>10</v>
      </c>
      <c r="Q41" s="129" t="s">
        <v>58</v>
      </c>
      <c r="R41" s="129"/>
      <c r="S41" s="129"/>
      <c r="T41" s="109"/>
      <c r="U41" s="109"/>
      <c r="V41" s="435" t="s">
        <v>50</v>
      </c>
      <c r="W41" s="436"/>
      <c r="X41" s="436"/>
      <c r="Y41" s="436" t="s">
        <v>51</v>
      </c>
      <c r="Z41" s="436"/>
      <c r="AA41" s="437"/>
      <c r="AB41" s="202" t="s">
        <v>257</v>
      </c>
      <c r="AD41" s="179" t="s">
        <v>138</v>
      </c>
      <c r="AE41" s="38">
        <v>3</v>
      </c>
      <c r="AF41" s="180">
        <v>600</v>
      </c>
      <c r="AG41" s="89"/>
      <c r="AH41" s="189" t="s">
        <v>277</v>
      </c>
      <c r="AI41" s="170">
        <v>701950</v>
      </c>
      <c r="AJ41" s="170">
        <v>0</v>
      </c>
      <c r="AK41" s="170">
        <f>27*4</f>
        <v>108</v>
      </c>
      <c r="AL41" s="188">
        <f t="shared" si="4"/>
        <v>9</v>
      </c>
      <c r="AN41" s="223">
        <v>36</v>
      </c>
      <c r="AO41" s="170">
        <f>15+30+18+24</f>
        <v>87</v>
      </c>
      <c r="AP41" s="221">
        <f t="shared" si="3"/>
        <v>7.25</v>
      </c>
    </row>
    <row r="42" spans="2:42" ht="13.2" customHeight="1" x14ac:dyDescent="0.2">
      <c r="B42" s="407" t="s">
        <v>124</v>
      </c>
      <c r="C42" s="408"/>
      <c r="D42" s="408"/>
      <c r="E42" s="408"/>
      <c r="F42" s="409"/>
      <c r="G42" s="208"/>
      <c r="I42" s="99" t="e">
        <f>Q36</f>
        <v>#N/A</v>
      </c>
      <c r="J42" s="100"/>
      <c r="K42" s="127" t="e">
        <f>AA38</f>
        <v>#N/A</v>
      </c>
      <c r="L42" s="100"/>
      <c r="M42" s="100">
        <f>S40</f>
        <v>0</v>
      </c>
      <c r="N42" s="100"/>
      <c r="O42" s="100">
        <v>1.25</v>
      </c>
      <c r="P42" s="100"/>
      <c r="Q42" s="101" t="e">
        <f>(I42+K42+M42)*O42</f>
        <v>#N/A</v>
      </c>
      <c r="R42" s="101"/>
      <c r="S42" s="101"/>
      <c r="T42" s="100"/>
      <c r="U42" s="100"/>
      <c r="V42" s="428" t="str">
        <f>IFERROR(IF(Q42&gt;MAX($AF$37:$AF$44),"EXCEEDS MAX EBP",""),"")</f>
        <v/>
      </c>
      <c r="W42" s="421"/>
      <c r="X42" s="421"/>
      <c r="Y42" s="429" t="str">
        <f>IFERROR(IF(G42="MOTOVARIO",INDEX($AE$104:$AE$157,MATCH(1,INDEX((G38&lt;=$AG$104:$AG$157)*(Q44&lt;=$AF$104:$AF$157)*(Q42&lt;=$AH$104:$AH$157),0,0),0))&amp;" DIRECT DRIVE",IF(G42="DODGE",INDEX($AE$51:$AE$97,MATCH(1,INDEX((G38&lt;=$AG$51:$AG$97)*(Q44&lt;=$AF$51:$AF$97)*(Q42&lt;=$AH$51:$AH$97),0,0),0))&amp;" DIRECT DRIVE",INDEX($AD$37:$AD$44,MATCH(1,INDEX((Q42&lt;=$AF$37:$AF$44)*(Q44&lt;=$AE$37:$AE$44),0,0),0)))),"")</f>
        <v/>
      </c>
      <c r="Z42" s="429"/>
      <c r="AA42" s="430"/>
      <c r="AB42" s="201" t="e">
        <f>IF(G43="none",0,VLOOKUP(G35,$AN$38:$AP$43,3,FALSE))</f>
        <v>#N/A</v>
      </c>
      <c r="AD42" s="179" t="s">
        <v>139</v>
      </c>
      <c r="AE42" s="38">
        <v>3</v>
      </c>
      <c r="AF42" s="180">
        <v>900</v>
      </c>
      <c r="AG42" s="89"/>
      <c r="AH42" s="189" t="s">
        <v>357</v>
      </c>
      <c r="AI42" s="170">
        <v>701951</v>
      </c>
      <c r="AJ42" s="170">
        <f>30-8</f>
        <v>22</v>
      </c>
      <c r="AK42" s="170">
        <f>33*2</f>
        <v>66</v>
      </c>
      <c r="AL42" s="188">
        <f t="shared" si="4"/>
        <v>7.333333333333333</v>
      </c>
      <c r="AN42" s="223">
        <v>42</v>
      </c>
      <c r="AO42" s="170">
        <f>15+30+18+24</f>
        <v>87</v>
      </c>
      <c r="AP42" s="221">
        <f t="shared" si="3"/>
        <v>7.25</v>
      </c>
    </row>
    <row r="43" spans="2:42" ht="13.2" customHeight="1" thickBot="1" x14ac:dyDescent="0.25">
      <c r="B43" s="407" t="s">
        <v>296</v>
      </c>
      <c r="C43" s="408"/>
      <c r="D43" s="408"/>
      <c r="E43" s="408"/>
      <c r="F43" s="409"/>
      <c r="G43" s="196"/>
      <c r="I43" s="108" t="s">
        <v>297</v>
      </c>
      <c r="J43" s="109" t="s">
        <v>235</v>
      </c>
      <c r="K43" s="109" t="s">
        <v>298</v>
      </c>
      <c r="L43" s="109" t="s">
        <v>75</v>
      </c>
      <c r="M43" s="109" t="s">
        <v>299</v>
      </c>
      <c r="N43" s="109" t="s">
        <v>235</v>
      </c>
      <c r="O43" s="109" t="s">
        <v>300</v>
      </c>
      <c r="P43" s="109" t="s">
        <v>10</v>
      </c>
      <c r="Q43" s="129" t="s">
        <v>108</v>
      </c>
      <c r="R43" s="129"/>
      <c r="S43" s="129"/>
      <c r="T43" s="109"/>
      <c r="U43" s="109"/>
      <c r="V43" s="428" t="str">
        <f>IFERROR(IF(Q44&gt;MAX($AE$37:$AE$44),"EXCEEDS MAX HP",""),"")</f>
        <v/>
      </c>
      <c r="W43" s="421"/>
      <c r="X43" s="421"/>
      <c r="Y43" s="429" t="str">
        <f>IFERROR(IF(G42="Motovario",INDEX($AF$104:$AF$157,MATCH(1,INDEX((G38&lt;=$AG$104:$AG$157)*(Q44&lt;=$AF$104:$AF$157)*(Q42&lt;=$AH$104:$AH$157),0,0),0)),IF(G42="Dodge",INDEX($AF$51:$AF$97,MATCH(1,INDEX((G38&lt;=$AG$51:$AG$97)*(Q44&lt;=$AF$51:$AF$97)*(Q42&lt;=$AH$51:$AH$97),0,0),0)),INDEX($AE$37:$AE$44,MATCH(1,INDEX((Q42&lt;=$AF$37:$AF$44)*(Q44&lt;=$AE$37:$AE$44),0,0),0))))&amp;" HP","")</f>
        <v/>
      </c>
      <c r="Z43" s="429"/>
      <c r="AA43" s="430"/>
      <c r="AB43" s="200" t="s">
        <v>258</v>
      </c>
      <c r="AD43" s="179" t="s">
        <v>139</v>
      </c>
      <c r="AE43" s="38">
        <v>5</v>
      </c>
      <c r="AF43" s="180">
        <v>900</v>
      </c>
      <c r="AG43" s="89"/>
      <c r="AH43" s="189" t="s">
        <v>358</v>
      </c>
      <c r="AI43" s="170">
        <v>701952</v>
      </c>
      <c r="AJ43" s="170">
        <v>0</v>
      </c>
      <c r="AK43" s="170">
        <f>21*4</f>
        <v>84</v>
      </c>
      <c r="AL43" s="221">
        <f t="shared" si="4"/>
        <v>7</v>
      </c>
      <c r="AN43" s="224">
        <v>48</v>
      </c>
      <c r="AO43" s="217">
        <f>15+36+18+24</f>
        <v>93</v>
      </c>
      <c r="AP43" s="225">
        <f t="shared" si="3"/>
        <v>7.75</v>
      </c>
    </row>
    <row r="44" spans="2:42" ht="13.2" customHeight="1" thickBot="1" x14ac:dyDescent="0.25">
      <c r="B44" s="410" t="s">
        <v>305</v>
      </c>
      <c r="C44" s="411"/>
      <c r="D44" s="411"/>
      <c r="E44" s="411"/>
      <c r="F44" s="412"/>
      <c r="G44" s="197"/>
      <c r="I44" s="136" t="e">
        <f>Q42</f>
        <v>#N/A</v>
      </c>
      <c r="K44" s="90">
        <f>G38</f>
        <v>0</v>
      </c>
      <c r="M44" s="90">
        <v>33000</v>
      </c>
      <c r="O44" s="90">
        <f>IF(G42="N",IF(G38&lt;100,0.8,IF(G38&lt;200,0.85,0.9)),0.95)</f>
        <v>0.95</v>
      </c>
      <c r="Q44" s="137" t="e">
        <f>(I44*K44)/(M44*O44)</f>
        <v>#N/A</v>
      </c>
      <c r="R44" s="137"/>
      <c r="S44" s="137"/>
      <c r="V44" s="428" t="str">
        <f>IF(Y44="","",IF(Y44&gt;VLOOKUP(G35,$AD$24:$AK$29,8),"EXCEEDS MAX QTY",""))</f>
        <v/>
      </c>
      <c r="W44" s="421"/>
      <c r="X44" s="421"/>
      <c r="Y44" s="215" t="str">
        <f>IFERROR(ROUNDUP(Q42/100,0),"")</f>
        <v/>
      </c>
      <c r="Z44" s="426" t="str">
        <f>IF(Y44="","","LONG SPRINGS")</f>
        <v/>
      </c>
      <c r="AA44" s="427"/>
      <c r="AB44" s="201" t="e">
        <f>IF(U38=0,0,$AL$40)</f>
        <v>#N/A</v>
      </c>
      <c r="AD44" s="190" t="s">
        <v>139</v>
      </c>
      <c r="AE44" s="33">
        <v>7.5</v>
      </c>
      <c r="AF44" s="191">
        <v>660</v>
      </c>
      <c r="AG44" s="89"/>
      <c r="AH44" s="192" t="s">
        <v>257</v>
      </c>
      <c r="AI44" s="217">
        <v>952677</v>
      </c>
      <c r="AJ44" s="348" t="s">
        <v>359</v>
      </c>
      <c r="AK44" s="348"/>
      <c r="AL44" s="349"/>
    </row>
    <row r="45" spans="2:42" ht="13.2" customHeight="1" x14ac:dyDescent="0.2">
      <c r="B45" s="410" t="s">
        <v>309</v>
      </c>
      <c r="C45" s="411"/>
      <c r="D45" s="411"/>
      <c r="E45" s="411"/>
      <c r="F45" s="412"/>
      <c r="G45" s="198"/>
      <c r="I45" s="423" t="s">
        <v>133</v>
      </c>
      <c r="J45" s="424"/>
      <c r="K45" s="424"/>
      <c r="L45" s="424"/>
      <c r="M45" s="424"/>
      <c r="N45" s="424"/>
      <c r="O45" s="424"/>
      <c r="P45" s="424"/>
      <c r="Q45" s="424"/>
      <c r="R45" s="424"/>
      <c r="S45" s="424"/>
      <c r="T45" s="424"/>
      <c r="U45" s="425"/>
      <c r="V45" s="420" t="str">
        <f>IF(Y45="","",IF(Y45&gt;VLOOKUP(G35,$AD$24:$AK$29,8),"EXCEEDS MAX QTY",""))</f>
        <v/>
      </c>
      <c r="W45" s="421"/>
      <c r="X45" s="421"/>
      <c r="Y45" s="215" t="str">
        <f>IFERROR(ROUNDUP(Q42/80,0),"")</f>
        <v/>
      </c>
      <c r="Z45" s="426" t="str">
        <f>IF(Y45="","","SHORT SPRINGS")</f>
        <v/>
      </c>
      <c r="AA45" s="427"/>
      <c r="AB45" s="203" t="s">
        <v>310</v>
      </c>
      <c r="AG45" s="89"/>
      <c r="AH45" s="89"/>
      <c r="AI45" s="89"/>
      <c r="AJ45" s="89"/>
      <c r="AK45" s="89"/>
      <c r="AL45" s="89"/>
    </row>
    <row r="46" spans="2:42" ht="13.2" customHeight="1" thickBot="1" x14ac:dyDescent="0.25">
      <c r="B46" s="414" t="s">
        <v>315</v>
      </c>
      <c r="C46" s="415"/>
      <c r="D46" s="415"/>
      <c r="E46" s="415"/>
      <c r="F46" s="416"/>
      <c r="G46" s="199"/>
      <c r="I46" s="108"/>
      <c r="J46" s="417" t="s">
        <v>134</v>
      </c>
      <c r="K46" s="417"/>
      <c r="L46" s="418" t="str">
        <f>IFERROR(Q42*L47/2,"")</f>
        <v/>
      </c>
      <c r="M46" s="418"/>
      <c r="N46" s="109"/>
      <c r="O46" s="417" t="s">
        <v>135</v>
      </c>
      <c r="P46" s="417"/>
      <c r="Q46" s="419" t="str">
        <f>IFERROR(IF(G42="Motovario",INDEX($AI$104:$AI$157,MATCH(1,INDEX((G38&lt;=$AG$104:$AG$157)*(Q44&lt;=$AF$104:$AF$157)*(Q42&lt;=$AH$104:$AH$157),0,0),0)),IF(G42="Dodge",INDEX($AI$51:$AI$97,MATCH(1,INDEX((G38&lt;=$AG$51:$AG$97)*(Q44&lt;=$AF$51:$AF$97)*(Q42&lt;=$AH$51:$AH$97),0,0),0)),"")),"")</f>
        <v/>
      </c>
      <c r="R46" s="419"/>
      <c r="S46" s="419"/>
      <c r="T46" s="419"/>
      <c r="U46" s="139"/>
      <c r="V46" s="420" t="str">
        <f>IF(AA35&lt;0,"",IF(G37&gt;AA35,"EXCEEDS MAX LR",""))</f>
        <v/>
      </c>
      <c r="W46" s="421"/>
      <c r="X46" s="421"/>
      <c r="Y46" s="345"/>
      <c r="Z46" s="345"/>
      <c r="AA46" s="346"/>
      <c r="AB46" s="204">
        <f>IF(G45&gt;0,$AL$42,0)</f>
        <v>0</v>
      </c>
      <c r="AD46" s="283" t="s">
        <v>360</v>
      </c>
      <c r="AE46" s="283"/>
      <c r="AF46" s="283"/>
      <c r="AG46" s="283"/>
      <c r="AH46" s="283"/>
      <c r="AI46" s="283"/>
      <c r="AJ46" s="283"/>
      <c r="AK46" s="283"/>
      <c r="AL46" s="283"/>
      <c r="AM46" s="283"/>
      <c r="AN46" s="283"/>
    </row>
    <row r="47" spans="2:42" ht="13.2" customHeight="1" thickBot="1" x14ac:dyDescent="0.25">
      <c r="B47" s="388" t="s">
        <v>78</v>
      </c>
      <c r="C47" s="389"/>
      <c r="D47" s="390"/>
      <c r="E47" s="391"/>
      <c r="F47" s="391"/>
      <c r="G47" s="392"/>
      <c r="H47" s="391"/>
      <c r="I47" s="93"/>
      <c r="J47" s="393" t="s">
        <v>136</v>
      </c>
      <c r="K47" s="393"/>
      <c r="L47" s="394" t="str">
        <f>IFERROR(VALUE(LEFT(Y42,SEARCH("CD",Y42)-1))+0.5,"")</f>
        <v/>
      </c>
      <c r="M47" s="394"/>
      <c r="N47" s="94"/>
      <c r="O47" s="395" t="s">
        <v>137</v>
      </c>
      <c r="P47" s="395"/>
      <c r="Q47" s="396" t="str">
        <f>IFERROR(Q46/L46,"")</f>
        <v/>
      </c>
      <c r="R47" s="396"/>
      <c r="S47" s="396"/>
      <c r="T47" s="396"/>
      <c r="U47" s="140"/>
      <c r="V47" s="397" t="str">
        <f>IF(G36&gt;150,"VERY LONG","")</f>
        <v/>
      </c>
      <c r="W47" s="398"/>
      <c r="X47" s="398"/>
      <c r="Y47" s="348" t="str">
        <f>IF(G42="MOTOVARIO","DD NOM SPEED: "&amp;INDEX($AG$104:$AG$157,MATCH(1,INDEX((G38&lt;=$AG$104:$AG$157)*(Q44&lt;=$AF$104:$AF$157)*(Q42&lt;=$AH$104:$AH$157),0,0),0)),IF(G42="DODGE)","DD NOM SPEED: "&amp;INDEX($AG$51:$AG$97,MATCH(1,INDEX((G38&lt;=$AG$51:$AG$97)*(Q44&lt;=$AF$51:$AF$97)*(Q42&lt;=$AH$51:$AH$97),0,0),0)),""))</f>
        <v/>
      </c>
      <c r="Z47" s="348"/>
      <c r="AA47" s="349"/>
      <c r="AD47" s="280" t="s">
        <v>361</v>
      </c>
      <c r="AE47" s="280"/>
      <c r="AF47" s="280"/>
      <c r="AG47" s="280"/>
      <c r="AH47" s="280"/>
      <c r="AI47" s="280"/>
      <c r="AJ47" s="280"/>
      <c r="AK47" s="280"/>
      <c r="AL47" s="280"/>
      <c r="AM47" s="280"/>
      <c r="AN47" s="280"/>
    </row>
    <row r="48" spans="2:42" ht="13.2" customHeight="1" thickBot="1" x14ac:dyDescent="0.25">
      <c r="AD48" s="336" t="s">
        <v>362</v>
      </c>
      <c r="AE48" s="336"/>
      <c r="AF48" s="336"/>
      <c r="AG48" s="336"/>
      <c r="AH48" s="336"/>
      <c r="AI48" s="336"/>
      <c r="AJ48" s="336"/>
      <c r="AK48" s="336"/>
      <c r="AL48" s="336"/>
      <c r="AM48" s="336"/>
      <c r="AN48" s="336"/>
    </row>
    <row r="49" spans="2:40" ht="13.2" customHeight="1" thickBot="1" x14ac:dyDescent="0.25">
      <c r="B49" s="95"/>
      <c r="C49" s="91" t="s">
        <v>5</v>
      </c>
      <c r="D49" s="403" t="s">
        <v>232</v>
      </c>
      <c r="E49" s="403"/>
      <c r="F49" s="404"/>
      <c r="G49" s="193"/>
      <c r="H49" s="96"/>
      <c r="I49" s="216" t="s">
        <v>233</v>
      </c>
      <c r="J49" s="91" t="s">
        <v>12</v>
      </c>
      <c r="K49" s="91" t="s">
        <v>234</v>
      </c>
      <c r="L49" s="91" t="s">
        <v>235</v>
      </c>
      <c r="M49" s="91" t="s">
        <v>236</v>
      </c>
      <c r="N49" s="91" t="s">
        <v>235</v>
      </c>
      <c r="O49" s="91" t="s">
        <v>237</v>
      </c>
      <c r="P49" s="91" t="s">
        <v>10</v>
      </c>
      <c r="Q49" s="97" t="s">
        <v>238</v>
      </c>
      <c r="R49" s="97"/>
      <c r="S49" s="97"/>
      <c r="T49" s="91"/>
      <c r="U49" s="91"/>
      <c r="V49" s="91"/>
      <c r="W49" s="91"/>
      <c r="X49" s="91"/>
      <c r="Y49" s="226" t="str">
        <f>IF(G51&gt;0,"Suggested Max LR","")</f>
        <v/>
      </c>
      <c r="Z49" s="227" t="str">
        <f>IF(G51&gt;0,"=","")</f>
        <v/>
      </c>
      <c r="AA49" s="228" t="str">
        <f>IF(G51&gt;0,G50-(AB52+AB54+AB56+AB58+AB60),"")</f>
        <v/>
      </c>
      <c r="AB49" s="90" t="s">
        <v>239</v>
      </c>
      <c r="AD49" s="372" t="s">
        <v>363</v>
      </c>
      <c r="AE49" s="372"/>
      <c r="AF49" s="372"/>
      <c r="AG49" s="372"/>
      <c r="AH49" s="372"/>
      <c r="AI49" s="372"/>
      <c r="AJ49" s="372"/>
      <c r="AK49" s="372"/>
      <c r="AL49" s="372"/>
      <c r="AM49" s="372"/>
      <c r="AN49" s="372"/>
    </row>
    <row r="50" spans="2:40" ht="13.2" customHeight="1" thickBot="1" x14ac:dyDescent="0.25">
      <c r="B50" s="98"/>
      <c r="C50" s="405"/>
      <c r="D50" s="407" t="s">
        <v>242</v>
      </c>
      <c r="E50" s="408"/>
      <c r="F50" s="409"/>
      <c r="G50" s="194"/>
      <c r="I50" s="99">
        <f>IF(G57="1:1.3 Up",0.8*G54,G54)</f>
        <v>0</v>
      </c>
      <c r="J50" s="100"/>
      <c r="K50" s="100" t="e">
        <f>INDEX($AD$8:$AU$19,MATCH(G55,$AD$8:$AD$19,0),MATCH(G49,$AD$8:$AU$8,0))</f>
        <v>#N/A</v>
      </c>
      <c r="L50" s="100"/>
      <c r="M50" s="100">
        <f>G50-G51</f>
        <v>0</v>
      </c>
      <c r="N50" s="100"/>
      <c r="O50" s="100" t="e">
        <f>VLOOKUP(G55,$AD$9:$AU$19,12,FALSE)</f>
        <v>#N/A</v>
      </c>
      <c r="P50" s="100"/>
      <c r="Q50" s="101" t="e">
        <f>((I50+K50)*M50)*O50</f>
        <v>#N/A</v>
      </c>
      <c r="R50" s="101"/>
      <c r="S50" s="101"/>
      <c r="T50" s="100"/>
      <c r="U50" s="100"/>
      <c r="V50" s="100"/>
      <c r="W50" s="100"/>
      <c r="X50" s="100"/>
      <c r="Y50" s="100"/>
      <c r="Z50" s="100"/>
      <c r="AA50" s="102"/>
      <c r="AD50" s="33" t="s">
        <v>364</v>
      </c>
      <c r="AE50" s="33" t="s">
        <v>128</v>
      </c>
      <c r="AF50" s="33" t="s">
        <v>108</v>
      </c>
      <c r="AG50" s="33" t="s">
        <v>144</v>
      </c>
      <c r="AH50" s="33" t="s">
        <v>145</v>
      </c>
      <c r="AI50" s="33" t="s">
        <v>135</v>
      </c>
      <c r="AJ50" s="33" t="s">
        <v>146</v>
      </c>
      <c r="AK50" s="373" t="s">
        <v>147</v>
      </c>
      <c r="AL50" s="374"/>
      <c r="AM50" s="373" t="s">
        <v>148</v>
      </c>
      <c r="AN50" s="374"/>
    </row>
    <row r="51" spans="2:40" ht="13.2" customHeight="1" thickBot="1" x14ac:dyDescent="0.25">
      <c r="B51" s="98"/>
      <c r="C51" s="406"/>
      <c r="D51" s="410" t="s">
        <v>251</v>
      </c>
      <c r="E51" s="411"/>
      <c r="F51" s="412"/>
      <c r="G51" s="194"/>
      <c r="I51" s="108" t="s">
        <v>252</v>
      </c>
      <c r="J51" s="109" t="s">
        <v>12</v>
      </c>
      <c r="K51" s="109" t="s">
        <v>253</v>
      </c>
      <c r="L51" s="109" t="s">
        <v>12</v>
      </c>
      <c r="M51" s="109" t="s">
        <v>254</v>
      </c>
      <c r="N51" s="109" t="s">
        <v>235</v>
      </c>
      <c r="O51" s="109" t="s">
        <v>255</v>
      </c>
      <c r="P51" s="109" t="s">
        <v>12</v>
      </c>
      <c r="Q51" s="109" t="s">
        <v>256</v>
      </c>
      <c r="R51" s="109" t="s">
        <v>12</v>
      </c>
      <c r="S51" s="109" t="s">
        <v>257</v>
      </c>
      <c r="T51" s="109" t="s">
        <v>12</v>
      </c>
      <c r="U51" s="109" t="s">
        <v>258</v>
      </c>
      <c r="V51" s="109" t="s">
        <v>12</v>
      </c>
      <c r="W51" s="109" t="s">
        <v>259</v>
      </c>
      <c r="X51" s="109" t="s">
        <v>235</v>
      </c>
      <c r="Y51" s="109" t="s">
        <v>260</v>
      </c>
      <c r="Z51" s="109" t="s">
        <v>10</v>
      </c>
      <c r="AA51" s="110" t="s">
        <v>261</v>
      </c>
      <c r="AB51" s="202" t="s">
        <v>262</v>
      </c>
      <c r="AD51" s="34" t="s">
        <v>149</v>
      </c>
      <c r="AE51" s="34" t="s">
        <v>132</v>
      </c>
      <c r="AF51" s="34">
        <v>1</v>
      </c>
      <c r="AG51" s="79">
        <v>60</v>
      </c>
      <c r="AH51" s="79">
        <v>370</v>
      </c>
      <c r="AI51" s="81">
        <v>1662</v>
      </c>
      <c r="AJ51" s="79">
        <v>50</v>
      </c>
      <c r="AK51" s="364" t="s">
        <v>150</v>
      </c>
      <c r="AL51" s="365"/>
      <c r="AM51" s="364" t="s">
        <v>151</v>
      </c>
      <c r="AN51" s="365"/>
    </row>
    <row r="52" spans="2:40" ht="13.2" customHeight="1" x14ac:dyDescent="0.2">
      <c r="B52" s="407" t="s">
        <v>267</v>
      </c>
      <c r="C52" s="408"/>
      <c r="D52" s="408"/>
      <c r="E52" s="408"/>
      <c r="F52" s="409"/>
      <c r="G52" s="194"/>
      <c r="I52" s="99">
        <f>I50</f>
        <v>0</v>
      </c>
      <c r="J52" s="100"/>
      <c r="K52" s="100" t="e">
        <f>K50</f>
        <v>#N/A</v>
      </c>
      <c r="L52" s="100"/>
      <c r="M52" s="100" t="e">
        <f>VLOOKUP(G49,$AD$24:$AK$29,6,FALSE)</f>
        <v>#N/A</v>
      </c>
      <c r="N52" s="100"/>
      <c r="O52" s="100">
        <f>G51</f>
        <v>0</v>
      </c>
      <c r="P52" s="100"/>
      <c r="Q52" s="120" t="e">
        <f>VLOOKUP(G49,$AD$24:$AH$29,2,FALSE)</f>
        <v>#N/A</v>
      </c>
      <c r="R52" s="100"/>
      <c r="S52" s="120" t="e">
        <f>IF(G57="None",0,VLOOKUP(G49,$AD$24:$AH$29,3,FALSE))</f>
        <v>#N/A</v>
      </c>
      <c r="T52" s="100"/>
      <c r="U52" s="120" t="e">
        <f>IF(G57="None",0,VLOOKUP(G49,$AD$24:$AH$29,4,FALSE))</f>
        <v>#N/A</v>
      </c>
      <c r="V52" s="100"/>
      <c r="W52" s="120">
        <f>IF(G59&gt;0,VLOOKUP(G49,$AD$24:$AH$29,5,FALSE),0)</f>
        <v>0</v>
      </c>
      <c r="X52" s="100"/>
      <c r="Y52" s="100">
        <v>0.05</v>
      </c>
      <c r="Z52" s="100"/>
      <c r="AA52" s="121" t="e">
        <f>(((I52+K52+M52)*O52)+Q52+S52+U52+W52)*Y52</f>
        <v>#N/A</v>
      </c>
      <c r="AB52" s="201">
        <f>IF(G57="None",2*$AL$39,$AL$39)</f>
        <v>3.3333333333333335</v>
      </c>
      <c r="AD52" s="38" t="s">
        <v>149</v>
      </c>
      <c r="AE52" s="38" t="s">
        <v>132</v>
      </c>
      <c r="AF52" s="38">
        <v>1</v>
      </c>
      <c r="AG52" s="80">
        <v>80</v>
      </c>
      <c r="AH52" s="80">
        <v>315</v>
      </c>
      <c r="AI52" s="82">
        <v>1685</v>
      </c>
      <c r="AJ52" s="80">
        <v>40</v>
      </c>
      <c r="AK52" s="362" t="s">
        <v>152</v>
      </c>
      <c r="AL52" s="363"/>
      <c r="AM52" s="362" t="s">
        <v>153</v>
      </c>
      <c r="AN52" s="363"/>
    </row>
    <row r="53" spans="2:40" ht="13.2" customHeight="1" x14ac:dyDescent="0.2">
      <c r="B53" s="407" t="s">
        <v>272</v>
      </c>
      <c r="C53" s="408"/>
      <c r="D53" s="408"/>
      <c r="E53" s="408"/>
      <c r="F53" s="409"/>
      <c r="G53" s="194"/>
      <c r="I53" s="92" t="s">
        <v>110</v>
      </c>
      <c r="J53" s="90" t="s">
        <v>235</v>
      </c>
      <c r="K53" s="90" t="s">
        <v>273</v>
      </c>
      <c r="L53" s="90" t="s">
        <v>12</v>
      </c>
      <c r="M53" s="90" t="s">
        <v>274</v>
      </c>
      <c r="N53" s="90" t="s">
        <v>12</v>
      </c>
      <c r="O53" s="90" t="s">
        <v>275</v>
      </c>
      <c r="P53" s="90" t="s">
        <v>12</v>
      </c>
      <c r="Q53" s="90" t="s">
        <v>276</v>
      </c>
      <c r="R53" s="90" t="s">
        <v>10</v>
      </c>
      <c r="S53" s="112" t="s">
        <v>31</v>
      </c>
      <c r="AA53" s="126"/>
      <c r="AB53" s="200" t="s">
        <v>277</v>
      </c>
      <c r="AD53" s="38" t="s">
        <v>149</v>
      </c>
      <c r="AE53" s="38" t="s">
        <v>132</v>
      </c>
      <c r="AF53" s="38">
        <v>1</v>
      </c>
      <c r="AG53" s="80">
        <v>100</v>
      </c>
      <c r="AH53" s="80">
        <v>230</v>
      </c>
      <c r="AI53" s="82">
        <v>1201</v>
      </c>
      <c r="AJ53" s="80">
        <v>30</v>
      </c>
      <c r="AK53" s="360" t="s">
        <v>154</v>
      </c>
      <c r="AL53" s="361"/>
      <c r="AM53" s="360" t="s">
        <v>155</v>
      </c>
      <c r="AN53" s="361"/>
    </row>
    <row r="54" spans="2:40" ht="13.2" customHeight="1" thickBot="1" x14ac:dyDescent="0.25">
      <c r="B54" s="407" t="s">
        <v>281</v>
      </c>
      <c r="C54" s="408"/>
      <c r="D54" s="408"/>
      <c r="E54" s="408"/>
      <c r="F54" s="409"/>
      <c r="G54" s="194"/>
      <c r="I54" s="99">
        <f>I50</f>
        <v>0</v>
      </c>
      <c r="J54" s="100"/>
      <c r="K54" s="100">
        <f>G53</f>
        <v>0</v>
      </c>
      <c r="L54" s="100"/>
      <c r="M54" s="127">
        <f>G59*0.05</f>
        <v>0</v>
      </c>
      <c r="N54" s="100"/>
      <c r="O54" s="128">
        <f>G58</f>
        <v>0</v>
      </c>
      <c r="P54" s="100"/>
      <c r="Q54" s="100">
        <f>G60*0.3</f>
        <v>0</v>
      </c>
      <c r="R54" s="100"/>
      <c r="S54" s="101">
        <f>(I54*K54)+M54+O54+Q54</f>
        <v>0</v>
      </c>
      <c r="AA54" s="126"/>
      <c r="AB54" s="201">
        <f>$AL$41</f>
        <v>9</v>
      </c>
      <c r="AD54" s="38" t="s">
        <v>149</v>
      </c>
      <c r="AE54" s="38" t="s">
        <v>132</v>
      </c>
      <c r="AF54" s="38">
        <v>1</v>
      </c>
      <c r="AG54" s="80">
        <v>120</v>
      </c>
      <c r="AH54" s="80">
        <v>210</v>
      </c>
      <c r="AI54" s="82">
        <v>1184</v>
      </c>
      <c r="AJ54" s="80">
        <v>25</v>
      </c>
      <c r="AK54" s="360" t="s">
        <v>156</v>
      </c>
      <c r="AL54" s="361"/>
      <c r="AM54" s="360" t="s">
        <v>157</v>
      </c>
      <c r="AN54" s="361"/>
    </row>
    <row r="55" spans="2:40" ht="13.2" customHeight="1" x14ac:dyDescent="0.2">
      <c r="B55" s="407" t="s">
        <v>285</v>
      </c>
      <c r="C55" s="408"/>
      <c r="D55" s="408"/>
      <c r="E55" s="408"/>
      <c r="F55" s="409"/>
      <c r="G55" s="195"/>
      <c r="I55" s="108" t="s">
        <v>286</v>
      </c>
      <c r="J55" s="109" t="s">
        <v>12</v>
      </c>
      <c r="K55" s="109" t="s">
        <v>261</v>
      </c>
      <c r="L55" s="109" t="s">
        <v>12</v>
      </c>
      <c r="M55" s="109" t="s">
        <v>287</v>
      </c>
      <c r="N55" s="109" t="s">
        <v>235</v>
      </c>
      <c r="O55" s="109" t="s">
        <v>61</v>
      </c>
      <c r="P55" s="109" t="s">
        <v>10</v>
      </c>
      <c r="Q55" s="129" t="s">
        <v>58</v>
      </c>
      <c r="R55" s="129"/>
      <c r="S55" s="129"/>
      <c r="T55" s="109"/>
      <c r="U55" s="109"/>
      <c r="V55" s="435" t="s">
        <v>50</v>
      </c>
      <c r="W55" s="436"/>
      <c r="X55" s="436"/>
      <c r="Y55" s="436" t="s">
        <v>51</v>
      </c>
      <c r="Z55" s="436"/>
      <c r="AA55" s="437"/>
      <c r="AB55" s="202" t="s">
        <v>257</v>
      </c>
      <c r="AD55" s="38" t="s">
        <v>149</v>
      </c>
      <c r="AE55" s="38" t="s">
        <v>132</v>
      </c>
      <c r="AF55" s="38">
        <v>1</v>
      </c>
      <c r="AG55" s="80">
        <v>150</v>
      </c>
      <c r="AH55" s="80">
        <v>170</v>
      </c>
      <c r="AI55" s="82">
        <v>1178</v>
      </c>
      <c r="AJ55" s="80">
        <v>20</v>
      </c>
      <c r="AK55" s="360" t="s">
        <v>158</v>
      </c>
      <c r="AL55" s="361"/>
      <c r="AM55" s="360" t="s">
        <v>159</v>
      </c>
      <c r="AN55" s="361"/>
    </row>
    <row r="56" spans="2:40" ht="13.2" customHeight="1" x14ac:dyDescent="0.2">
      <c r="B56" s="407" t="s">
        <v>124</v>
      </c>
      <c r="C56" s="408"/>
      <c r="D56" s="408"/>
      <c r="E56" s="408"/>
      <c r="F56" s="409"/>
      <c r="G56" s="208"/>
      <c r="I56" s="99" t="e">
        <f>Q50</f>
        <v>#N/A</v>
      </c>
      <c r="J56" s="100"/>
      <c r="K56" s="127" t="e">
        <f>AA52</f>
        <v>#N/A</v>
      </c>
      <c r="L56" s="100"/>
      <c r="M56" s="100">
        <f>S54</f>
        <v>0</v>
      </c>
      <c r="N56" s="100"/>
      <c r="O56" s="100">
        <v>1.25</v>
      </c>
      <c r="P56" s="100"/>
      <c r="Q56" s="101" t="e">
        <f>(I56+K56+M56)*O56</f>
        <v>#N/A</v>
      </c>
      <c r="R56" s="101"/>
      <c r="S56" s="101"/>
      <c r="T56" s="100"/>
      <c r="U56" s="100"/>
      <c r="V56" s="428" t="str">
        <f>IFERROR(IF(Q56&gt;MAX($AF$37:$AF$44),"EXCEEDS MAX EBP",""),"")</f>
        <v/>
      </c>
      <c r="W56" s="421"/>
      <c r="X56" s="421"/>
      <c r="Y56" s="429" t="str">
        <f>IFERROR(IF(G56="MOTOVARIO",INDEX($AE$104:$AE$157,MATCH(1,INDEX((G52&lt;=$AG$104:$AG$157)*(Q58&lt;=$AF$104:$AF$157)*(Q56&lt;=$AH$104:$AH$157),0,0),0))&amp;" DIRECT DRIVE",IF(G56="DODGE",INDEX($AE$51:$AE$97,MATCH(1,INDEX((G52&lt;=$AG$51:$AG$97)*(Q58&lt;=$AF$51:$AF$97)*(Q56&lt;=$AH$51:$AH$97),0,0),0))&amp;" DIRECT DRIVE",INDEX($AD$37:$AD$44,MATCH(1,INDEX((Q56&lt;=$AF$37:$AF$44)*(Q58&lt;=$AE$37:$AE$44),0,0),0)))),"")</f>
        <v/>
      </c>
      <c r="Z56" s="429"/>
      <c r="AA56" s="430"/>
      <c r="AB56" s="201" t="e">
        <f>IF(G57="none",0,VLOOKUP(G49,$AN$38:$AP$43,3,FALSE))</f>
        <v>#N/A</v>
      </c>
      <c r="AD56" s="38" t="s">
        <v>149</v>
      </c>
      <c r="AE56" s="38" t="s">
        <v>132</v>
      </c>
      <c r="AF56" s="38">
        <v>1</v>
      </c>
      <c r="AG56" s="80">
        <v>200</v>
      </c>
      <c r="AH56" s="80">
        <v>135</v>
      </c>
      <c r="AI56" s="82">
        <v>1199</v>
      </c>
      <c r="AJ56" s="80">
        <v>15</v>
      </c>
      <c r="AK56" s="360" t="s">
        <v>160</v>
      </c>
      <c r="AL56" s="361"/>
      <c r="AM56" s="360" t="s">
        <v>161</v>
      </c>
      <c r="AN56" s="361"/>
    </row>
    <row r="57" spans="2:40" ht="13.2" customHeight="1" x14ac:dyDescent="0.2">
      <c r="B57" s="407" t="s">
        <v>296</v>
      </c>
      <c r="C57" s="408"/>
      <c r="D57" s="408"/>
      <c r="E57" s="408"/>
      <c r="F57" s="409"/>
      <c r="G57" s="196"/>
      <c r="I57" s="108" t="s">
        <v>297</v>
      </c>
      <c r="J57" s="109" t="s">
        <v>235</v>
      </c>
      <c r="K57" s="109" t="s">
        <v>298</v>
      </c>
      <c r="L57" s="109" t="s">
        <v>75</v>
      </c>
      <c r="M57" s="109" t="s">
        <v>299</v>
      </c>
      <c r="N57" s="109" t="s">
        <v>235</v>
      </c>
      <c r="O57" s="109" t="s">
        <v>300</v>
      </c>
      <c r="P57" s="109" t="s">
        <v>10</v>
      </c>
      <c r="Q57" s="129" t="s">
        <v>108</v>
      </c>
      <c r="R57" s="129"/>
      <c r="S57" s="129"/>
      <c r="T57" s="109"/>
      <c r="U57" s="109"/>
      <c r="V57" s="428" t="str">
        <f>IFERROR(IF(Q58&gt;MAX($AE$37:$AE$44),"EXCEEDS MAX HP",""),"")</f>
        <v/>
      </c>
      <c r="W57" s="421"/>
      <c r="X57" s="421"/>
      <c r="Y57" s="429" t="str">
        <f>IFERROR(IF(G56="Motovario",INDEX($AF$104:$AF$157,MATCH(1,INDEX((G52&lt;=$AG$104:$AG$157)*(Q58&lt;=$AF$104:$AF$157)*(Q56&lt;=$AH$104:$AH$157),0,0),0)),IF(G56="Dodge",INDEX($AF$51:$AF$97,MATCH(1,INDEX((G52&lt;=$AG$51:$AG$97)*(Q58&lt;=$AF$51:$AF$97)*(Q56&lt;=$AH$51:$AH$97),0,0),0)),INDEX($AE$37:$AE$44,MATCH(1,INDEX((Q56&lt;=$AF$37:$AF$44)*(Q58&lt;=$AE$37:$AE$44),0,0),0))))&amp;" HP","")</f>
        <v/>
      </c>
      <c r="Z57" s="429"/>
      <c r="AA57" s="430"/>
      <c r="AB57" s="200" t="s">
        <v>258</v>
      </c>
      <c r="AD57" s="38" t="s">
        <v>149</v>
      </c>
      <c r="AE57" s="38" t="s">
        <v>132</v>
      </c>
      <c r="AF57" s="38">
        <v>1</v>
      </c>
      <c r="AG57" s="80">
        <v>260</v>
      </c>
      <c r="AH57" s="80">
        <v>95</v>
      </c>
      <c r="AI57" s="82">
        <v>1106</v>
      </c>
      <c r="AJ57" s="80">
        <v>10</v>
      </c>
      <c r="AK57" s="360" t="s">
        <v>162</v>
      </c>
      <c r="AL57" s="361"/>
      <c r="AM57" s="360" t="s">
        <v>163</v>
      </c>
      <c r="AN57" s="361"/>
    </row>
    <row r="58" spans="2:40" ht="13.2" customHeight="1" thickBot="1" x14ac:dyDescent="0.25">
      <c r="B58" s="410" t="s">
        <v>305</v>
      </c>
      <c r="C58" s="411"/>
      <c r="D58" s="411"/>
      <c r="E58" s="411"/>
      <c r="F58" s="412"/>
      <c r="G58" s="197"/>
      <c r="I58" s="136" t="e">
        <f>Q56</f>
        <v>#N/A</v>
      </c>
      <c r="K58" s="90">
        <f>G52</f>
        <v>0</v>
      </c>
      <c r="M58" s="90">
        <v>33000</v>
      </c>
      <c r="O58" s="90">
        <f>IF(G56="N",IF(G52&lt;100,0.8,IF(G52&lt;200,0.85,0.9)),0.95)</f>
        <v>0.95</v>
      </c>
      <c r="Q58" s="137" t="e">
        <f>(I58*K58)/(M58*O58)</f>
        <v>#N/A</v>
      </c>
      <c r="R58" s="137"/>
      <c r="S58" s="137"/>
      <c r="V58" s="428" t="str">
        <f>IF(Y58="","",IF(Y58&gt;VLOOKUP(G49,$AD$24:$AK$29,8),"EXCEEDS MAX QTY",""))</f>
        <v/>
      </c>
      <c r="W58" s="421"/>
      <c r="X58" s="421"/>
      <c r="Y58" s="215" t="str">
        <f>IFERROR(ROUNDUP(Q56/100,0),"")</f>
        <v/>
      </c>
      <c r="Z58" s="426" t="str">
        <f>IF(Y58="","","LONG SPRINGS")</f>
        <v/>
      </c>
      <c r="AA58" s="427"/>
      <c r="AB58" s="201" t="e">
        <f>IF(U52=0,0,$AL$40)</f>
        <v>#N/A</v>
      </c>
      <c r="AD58" s="38" t="s">
        <v>149</v>
      </c>
      <c r="AE58" s="38" t="s">
        <v>132</v>
      </c>
      <c r="AF58" s="38">
        <v>1</v>
      </c>
      <c r="AG58" s="80">
        <v>400</v>
      </c>
      <c r="AH58" s="80">
        <v>70</v>
      </c>
      <c r="AI58" s="82">
        <v>1026</v>
      </c>
      <c r="AJ58" s="80">
        <v>7.5</v>
      </c>
      <c r="AK58" s="360" t="s">
        <v>164</v>
      </c>
      <c r="AL58" s="361"/>
      <c r="AM58" s="360" t="s">
        <v>165</v>
      </c>
      <c r="AN58" s="361"/>
    </row>
    <row r="59" spans="2:40" ht="13.2" customHeight="1" x14ac:dyDescent="0.2">
      <c r="B59" s="410" t="s">
        <v>309</v>
      </c>
      <c r="C59" s="411"/>
      <c r="D59" s="411"/>
      <c r="E59" s="411"/>
      <c r="F59" s="412"/>
      <c r="G59" s="198"/>
      <c r="I59" s="423" t="s">
        <v>133</v>
      </c>
      <c r="J59" s="424"/>
      <c r="K59" s="424"/>
      <c r="L59" s="424"/>
      <c r="M59" s="424"/>
      <c r="N59" s="424"/>
      <c r="O59" s="424"/>
      <c r="P59" s="424"/>
      <c r="Q59" s="424"/>
      <c r="R59" s="424"/>
      <c r="S59" s="424"/>
      <c r="T59" s="424"/>
      <c r="U59" s="425"/>
      <c r="V59" s="420" t="str">
        <f>IF(Y59="","",IF(Y59&gt;VLOOKUP(G49,$AD$24:$AK$29,8),"EXCEEDS MAX QTY",""))</f>
        <v/>
      </c>
      <c r="W59" s="421"/>
      <c r="X59" s="421"/>
      <c r="Y59" s="215" t="str">
        <f>IFERROR(ROUNDUP(Q56/80,0),"")</f>
        <v/>
      </c>
      <c r="Z59" s="426" t="str">
        <f>IF(Y59="","","SHORT SPRINGS")</f>
        <v/>
      </c>
      <c r="AA59" s="427"/>
      <c r="AB59" s="203" t="s">
        <v>310</v>
      </c>
      <c r="AD59" s="38" t="s">
        <v>166</v>
      </c>
      <c r="AE59" s="38" t="s">
        <v>132</v>
      </c>
      <c r="AF59" s="38">
        <v>1.5</v>
      </c>
      <c r="AG59" s="80">
        <v>100</v>
      </c>
      <c r="AH59" s="80">
        <v>375</v>
      </c>
      <c r="AI59" s="82">
        <v>1705</v>
      </c>
      <c r="AJ59" s="80">
        <v>30</v>
      </c>
      <c r="AK59" s="362" t="s">
        <v>167</v>
      </c>
      <c r="AL59" s="363"/>
      <c r="AM59" s="362" t="s">
        <v>168</v>
      </c>
      <c r="AN59" s="363"/>
    </row>
    <row r="60" spans="2:40" ht="13.2" customHeight="1" thickBot="1" x14ac:dyDescent="0.25">
      <c r="B60" s="414" t="s">
        <v>315</v>
      </c>
      <c r="C60" s="415"/>
      <c r="D60" s="415"/>
      <c r="E60" s="415"/>
      <c r="F60" s="416"/>
      <c r="G60" s="199"/>
      <c r="I60" s="108"/>
      <c r="J60" s="417" t="s">
        <v>134</v>
      </c>
      <c r="K60" s="417"/>
      <c r="L60" s="418" t="str">
        <f>IFERROR(Q56*L61/2,"")</f>
        <v/>
      </c>
      <c r="M60" s="418"/>
      <c r="N60" s="109"/>
      <c r="O60" s="417" t="s">
        <v>135</v>
      </c>
      <c r="P60" s="417"/>
      <c r="Q60" s="419" t="str">
        <f>IFERROR(IF(G56="Motovario",INDEX($AI$104:$AI$157,MATCH(1,INDEX((G52&lt;=$AG$104:$AG$157)*(Q58&lt;=$AF$104:$AF$157)*(Q56&lt;=$AH$104:$AH$157),0,0),0)),IF(G56="Dodge",INDEX($AI$51:$AI$97,MATCH(1,INDEX((G52&lt;=$AG$51:$AG$97)*(Q58&lt;=$AF$51:$AF$97)*(Q56&lt;=$AH$51:$AH$97),0,0),0)),"")),"")</f>
        <v/>
      </c>
      <c r="R60" s="419"/>
      <c r="S60" s="419"/>
      <c r="T60" s="419"/>
      <c r="U60" s="139"/>
      <c r="V60" s="420" t="str">
        <f>IF(AA49&lt;0,"",IF(G51&gt;AA49,"EXCEEDS MAX LR",""))</f>
        <v/>
      </c>
      <c r="W60" s="421"/>
      <c r="X60" s="421"/>
      <c r="Y60" s="345"/>
      <c r="Z60" s="345"/>
      <c r="AA60" s="346"/>
      <c r="AB60" s="204">
        <f>IF(G59&gt;0,$AL$42,0)</f>
        <v>0</v>
      </c>
      <c r="AD60" s="38" t="s">
        <v>166</v>
      </c>
      <c r="AE60" s="38" t="s">
        <v>132</v>
      </c>
      <c r="AF60" s="38">
        <v>1.5</v>
      </c>
      <c r="AG60" s="80">
        <v>120</v>
      </c>
      <c r="AH60" s="80">
        <v>330</v>
      </c>
      <c r="AI60" s="82">
        <v>1677</v>
      </c>
      <c r="AJ60" s="80">
        <v>25</v>
      </c>
      <c r="AK60" s="362" t="s">
        <v>169</v>
      </c>
      <c r="AL60" s="363"/>
      <c r="AM60" s="362" t="s">
        <v>170</v>
      </c>
      <c r="AN60" s="363"/>
    </row>
    <row r="61" spans="2:40" ht="13.2" customHeight="1" thickBot="1" x14ac:dyDescent="0.25">
      <c r="B61" s="388" t="s">
        <v>78</v>
      </c>
      <c r="C61" s="389"/>
      <c r="D61" s="390"/>
      <c r="E61" s="391"/>
      <c r="F61" s="391"/>
      <c r="G61" s="392"/>
      <c r="H61" s="391"/>
      <c r="I61" s="93"/>
      <c r="J61" s="393" t="s">
        <v>136</v>
      </c>
      <c r="K61" s="393"/>
      <c r="L61" s="394" t="str">
        <f>IFERROR(VALUE(LEFT(Y56,SEARCH("CD",Y56)-1))+0.5,"")</f>
        <v/>
      </c>
      <c r="M61" s="394"/>
      <c r="N61" s="94"/>
      <c r="O61" s="395" t="s">
        <v>137</v>
      </c>
      <c r="P61" s="395"/>
      <c r="Q61" s="396" t="str">
        <f>IFERROR(Q60/L60,"")</f>
        <v/>
      </c>
      <c r="R61" s="396"/>
      <c r="S61" s="396"/>
      <c r="T61" s="396"/>
      <c r="U61" s="140"/>
      <c r="V61" s="397" t="str">
        <f>IF(G50&gt;150,"VERY LONG","")</f>
        <v/>
      </c>
      <c r="W61" s="398"/>
      <c r="X61" s="398"/>
      <c r="Y61" s="348" t="str">
        <f>IF(G56="MOTOVARIO","DD NOM SPEED: "&amp;INDEX($AG$104:$AG$157,MATCH(1,INDEX((G52&lt;=$AG$104:$AG$157)*(Q58&lt;=$AF$104:$AF$157)*(Q56&lt;=$AH$104:$AH$157),0,0),0)),IF(G56="DODGE)","DD NOM SPEED: "&amp;INDEX($AG$51:$AG$97,MATCH(1,INDEX((G52&lt;=$AG$51:$AG$97)*(Q58&lt;=$AF$51:$AF$97)*(Q56&lt;=$AH$51:$AH$97),0,0),0)),""))</f>
        <v/>
      </c>
      <c r="Z61" s="348"/>
      <c r="AA61" s="349"/>
      <c r="AD61" s="38" t="s">
        <v>166</v>
      </c>
      <c r="AE61" s="38" t="s">
        <v>132</v>
      </c>
      <c r="AF61" s="38">
        <v>1.5</v>
      </c>
      <c r="AG61" s="80">
        <v>150</v>
      </c>
      <c r="AH61" s="80">
        <v>260</v>
      </c>
      <c r="AI61" s="82">
        <v>1178</v>
      </c>
      <c r="AJ61" s="80">
        <v>20</v>
      </c>
      <c r="AK61" s="360" t="s">
        <v>171</v>
      </c>
      <c r="AL61" s="361"/>
      <c r="AM61" s="360" t="s">
        <v>172</v>
      </c>
      <c r="AN61" s="361"/>
    </row>
    <row r="62" spans="2:40" ht="13.2" customHeight="1" thickBot="1" x14ac:dyDescent="0.25">
      <c r="AD62" s="38" t="s">
        <v>166</v>
      </c>
      <c r="AE62" s="38" t="s">
        <v>132</v>
      </c>
      <c r="AF62" s="38">
        <v>1.5</v>
      </c>
      <c r="AG62" s="80">
        <v>200</v>
      </c>
      <c r="AH62" s="80">
        <v>205</v>
      </c>
      <c r="AI62" s="82">
        <v>1199</v>
      </c>
      <c r="AJ62" s="80">
        <v>15</v>
      </c>
      <c r="AK62" s="360" t="s">
        <v>173</v>
      </c>
      <c r="AL62" s="361"/>
      <c r="AM62" s="360" t="s">
        <v>174</v>
      </c>
      <c r="AN62" s="361"/>
    </row>
    <row r="63" spans="2:40" ht="13.2" customHeight="1" thickBot="1" x14ac:dyDescent="0.25">
      <c r="B63" s="95"/>
      <c r="C63" s="91" t="s">
        <v>5</v>
      </c>
      <c r="D63" s="403" t="s">
        <v>232</v>
      </c>
      <c r="E63" s="403"/>
      <c r="F63" s="404"/>
      <c r="G63" s="193"/>
      <c r="H63" s="96"/>
      <c r="I63" s="216" t="s">
        <v>233</v>
      </c>
      <c r="J63" s="91" t="s">
        <v>12</v>
      </c>
      <c r="K63" s="91" t="s">
        <v>234</v>
      </c>
      <c r="L63" s="91" t="s">
        <v>235</v>
      </c>
      <c r="M63" s="91" t="s">
        <v>236</v>
      </c>
      <c r="N63" s="91" t="s">
        <v>235</v>
      </c>
      <c r="O63" s="91" t="s">
        <v>237</v>
      </c>
      <c r="P63" s="91" t="s">
        <v>10</v>
      </c>
      <c r="Q63" s="97" t="s">
        <v>238</v>
      </c>
      <c r="R63" s="97"/>
      <c r="S63" s="97"/>
      <c r="T63" s="91"/>
      <c r="U63" s="91"/>
      <c r="V63" s="91"/>
      <c r="W63" s="91"/>
      <c r="X63" s="91"/>
      <c r="Y63" s="226" t="str">
        <f>IF(G65&gt;0,"Suggested Max LR","")</f>
        <v/>
      </c>
      <c r="Z63" s="227" t="str">
        <f>IF(G65&gt;0,"=","")</f>
        <v/>
      </c>
      <c r="AA63" s="228" t="str">
        <f>IF(G65&gt;0,G64-(AB66+AB68+AB70+AB72+AB74),"")</f>
        <v/>
      </c>
      <c r="AB63" s="90" t="s">
        <v>239</v>
      </c>
      <c r="AD63" s="38" t="s">
        <v>166</v>
      </c>
      <c r="AE63" s="38" t="s">
        <v>132</v>
      </c>
      <c r="AF63" s="38">
        <v>1.5</v>
      </c>
      <c r="AG63" s="80">
        <v>260</v>
      </c>
      <c r="AH63" s="80">
        <v>140</v>
      </c>
      <c r="AI63" s="82">
        <v>1106</v>
      </c>
      <c r="AJ63" s="80">
        <v>10</v>
      </c>
      <c r="AK63" s="360" t="s">
        <v>175</v>
      </c>
      <c r="AL63" s="361"/>
      <c r="AM63" s="360" t="s">
        <v>176</v>
      </c>
      <c r="AN63" s="361"/>
    </row>
    <row r="64" spans="2:40" ht="13.2" customHeight="1" x14ac:dyDescent="0.2">
      <c r="B64" s="98"/>
      <c r="C64" s="405"/>
      <c r="D64" s="407" t="s">
        <v>242</v>
      </c>
      <c r="E64" s="408"/>
      <c r="F64" s="409"/>
      <c r="G64" s="194"/>
      <c r="I64" s="99">
        <f>IF(G71="1:1.3 Up",0.8*G68,G68)</f>
        <v>0</v>
      </c>
      <c r="J64" s="100"/>
      <c r="K64" s="100" t="e">
        <f>INDEX($AD$8:$AU$19,MATCH(G69,$AD$8:$AD$19,0),MATCH(G63,$AD$8:$AU$8,0))</f>
        <v>#N/A</v>
      </c>
      <c r="L64" s="100"/>
      <c r="M64" s="100">
        <f>G64-G65</f>
        <v>0</v>
      </c>
      <c r="N64" s="100"/>
      <c r="O64" s="100" t="e">
        <f>VLOOKUP(G69,$AD$9:$AU$19,12,FALSE)</f>
        <v>#N/A</v>
      </c>
      <c r="P64" s="100"/>
      <c r="Q64" s="101" t="e">
        <f>((I64+K64)*M64)*O64</f>
        <v>#N/A</v>
      </c>
      <c r="R64" s="101"/>
      <c r="S64" s="101"/>
      <c r="T64" s="100"/>
      <c r="U64" s="100"/>
      <c r="V64" s="100"/>
      <c r="W64" s="100"/>
      <c r="X64" s="100"/>
      <c r="Y64" s="100"/>
      <c r="Z64" s="100"/>
      <c r="AA64" s="102"/>
      <c r="AD64" s="38" t="s">
        <v>166</v>
      </c>
      <c r="AE64" s="38" t="s">
        <v>132</v>
      </c>
      <c r="AF64" s="38">
        <v>1.5</v>
      </c>
      <c r="AG64" s="80">
        <v>400</v>
      </c>
      <c r="AH64" s="80">
        <v>110</v>
      </c>
      <c r="AI64" s="82">
        <v>1026</v>
      </c>
      <c r="AJ64" s="80">
        <v>7.5</v>
      </c>
      <c r="AK64" s="360" t="s">
        <v>177</v>
      </c>
      <c r="AL64" s="361"/>
      <c r="AM64" s="360" t="s">
        <v>178</v>
      </c>
      <c r="AN64" s="361"/>
    </row>
    <row r="65" spans="2:40" ht="13.2" customHeight="1" thickBot="1" x14ac:dyDescent="0.25">
      <c r="B65" s="98"/>
      <c r="C65" s="406"/>
      <c r="D65" s="410" t="s">
        <v>251</v>
      </c>
      <c r="E65" s="411"/>
      <c r="F65" s="412"/>
      <c r="G65" s="194"/>
      <c r="I65" s="108" t="s">
        <v>252</v>
      </c>
      <c r="J65" s="109" t="s">
        <v>12</v>
      </c>
      <c r="K65" s="109" t="s">
        <v>253</v>
      </c>
      <c r="L65" s="109" t="s">
        <v>12</v>
      </c>
      <c r="M65" s="109" t="s">
        <v>254</v>
      </c>
      <c r="N65" s="109" t="s">
        <v>235</v>
      </c>
      <c r="O65" s="109" t="s">
        <v>255</v>
      </c>
      <c r="P65" s="109" t="s">
        <v>12</v>
      </c>
      <c r="Q65" s="109" t="s">
        <v>256</v>
      </c>
      <c r="R65" s="109" t="s">
        <v>12</v>
      </c>
      <c r="S65" s="109" t="s">
        <v>257</v>
      </c>
      <c r="T65" s="109" t="s">
        <v>12</v>
      </c>
      <c r="U65" s="109" t="s">
        <v>258</v>
      </c>
      <c r="V65" s="109" t="s">
        <v>12</v>
      </c>
      <c r="W65" s="109" t="s">
        <v>259</v>
      </c>
      <c r="X65" s="109" t="s">
        <v>235</v>
      </c>
      <c r="Y65" s="109" t="s">
        <v>260</v>
      </c>
      <c r="Z65" s="109" t="s">
        <v>10</v>
      </c>
      <c r="AA65" s="110" t="s">
        <v>261</v>
      </c>
      <c r="AB65" s="202" t="s">
        <v>262</v>
      </c>
      <c r="AD65" s="38" t="s">
        <v>179</v>
      </c>
      <c r="AE65" s="38" t="s">
        <v>138</v>
      </c>
      <c r="AF65" s="38">
        <v>1.5</v>
      </c>
      <c r="AG65" s="80">
        <v>60</v>
      </c>
      <c r="AH65" s="80">
        <v>500</v>
      </c>
      <c r="AI65" s="82">
        <v>3194</v>
      </c>
      <c r="AJ65" s="80">
        <v>60</v>
      </c>
      <c r="AK65" s="352" t="s">
        <v>180</v>
      </c>
      <c r="AL65" s="353"/>
      <c r="AM65" s="352" t="s">
        <v>181</v>
      </c>
      <c r="AN65" s="353"/>
    </row>
    <row r="66" spans="2:40" ht="13.2" customHeight="1" x14ac:dyDescent="0.2">
      <c r="B66" s="407" t="s">
        <v>267</v>
      </c>
      <c r="C66" s="408"/>
      <c r="D66" s="408"/>
      <c r="E66" s="408"/>
      <c r="F66" s="409"/>
      <c r="G66" s="194"/>
      <c r="I66" s="99">
        <f>I64</f>
        <v>0</v>
      </c>
      <c r="J66" s="100"/>
      <c r="K66" s="100" t="e">
        <f>K64</f>
        <v>#N/A</v>
      </c>
      <c r="L66" s="100"/>
      <c r="M66" s="100" t="e">
        <f>VLOOKUP(G63,$AD$24:$AK$29,6,FALSE)</f>
        <v>#N/A</v>
      </c>
      <c r="N66" s="100"/>
      <c r="O66" s="100">
        <f>G65</f>
        <v>0</v>
      </c>
      <c r="P66" s="100"/>
      <c r="Q66" s="120" t="e">
        <f>VLOOKUP(G63,$AD$24:$AH$29,2,FALSE)</f>
        <v>#N/A</v>
      </c>
      <c r="R66" s="100"/>
      <c r="S66" s="120" t="e">
        <f>IF(G71="None",0,VLOOKUP(G63,$AD$24:$AH$29,3,FALSE))</f>
        <v>#N/A</v>
      </c>
      <c r="T66" s="100"/>
      <c r="U66" s="120" t="e">
        <f>IF(G71="None",0,VLOOKUP(G63,$AD$24:$AH$29,4,FALSE))</f>
        <v>#N/A</v>
      </c>
      <c r="V66" s="100"/>
      <c r="W66" s="120">
        <f>IF(G73&gt;0,VLOOKUP(G63,$AD$24:$AH$29,5,FALSE),0)</f>
        <v>0</v>
      </c>
      <c r="X66" s="100"/>
      <c r="Y66" s="100">
        <v>0.05</v>
      </c>
      <c r="Z66" s="100"/>
      <c r="AA66" s="121" t="e">
        <f>(((I66+K66+M66)*O66)+Q66+S66+U66+W66)*Y66</f>
        <v>#N/A</v>
      </c>
      <c r="AB66" s="201">
        <f>IF(G71="None",2*$AL$39,$AL$39)</f>
        <v>3.3333333333333335</v>
      </c>
      <c r="AD66" s="38" t="s">
        <v>179</v>
      </c>
      <c r="AE66" s="38" t="s">
        <v>138</v>
      </c>
      <c r="AF66" s="38">
        <v>1.5</v>
      </c>
      <c r="AG66" s="80">
        <v>100</v>
      </c>
      <c r="AH66" s="80">
        <v>375</v>
      </c>
      <c r="AI66" s="82">
        <v>2324</v>
      </c>
      <c r="AJ66" s="80">
        <v>40</v>
      </c>
      <c r="AK66" s="354" t="s">
        <v>182</v>
      </c>
      <c r="AL66" s="355"/>
      <c r="AM66" s="354" t="s">
        <v>183</v>
      </c>
      <c r="AN66" s="355"/>
    </row>
    <row r="67" spans="2:40" ht="13.2" customHeight="1" x14ac:dyDescent="0.2">
      <c r="B67" s="407" t="s">
        <v>272</v>
      </c>
      <c r="C67" s="408"/>
      <c r="D67" s="408"/>
      <c r="E67" s="408"/>
      <c r="F67" s="409"/>
      <c r="G67" s="194"/>
      <c r="I67" s="92" t="s">
        <v>110</v>
      </c>
      <c r="J67" s="90" t="s">
        <v>235</v>
      </c>
      <c r="K67" s="90" t="s">
        <v>273</v>
      </c>
      <c r="L67" s="90" t="s">
        <v>12</v>
      </c>
      <c r="M67" s="90" t="s">
        <v>274</v>
      </c>
      <c r="N67" s="90" t="s">
        <v>12</v>
      </c>
      <c r="O67" s="90" t="s">
        <v>275</v>
      </c>
      <c r="P67" s="90" t="s">
        <v>12</v>
      </c>
      <c r="Q67" s="90" t="s">
        <v>276</v>
      </c>
      <c r="R67" s="90" t="s">
        <v>10</v>
      </c>
      <c r="S67" s="112" t="s">
        <v>31</v>
      </c>
      <c r="AA67" s="126"/>
      <c r="AB67" s="200" t="s">
        <v>277</v>
      </c>
      <c r="AD67" s="38" t="s">
        <v>179</v>
      </c>
      <c r="AE67" s="38" t="s">
        <v>138</v>
      </c>
      <c r="AF67" s="38">
        <v>1.5</v>
      </c>
      <c r="AG67" s="80">
        <v>120</v>
      </c>
      <c r="AH67" s="80">
        <v>300</v>
      </c>
      <c r="AI67" s="82">
        <v>2417</v>
      </c>
      <c r="AJ67" s="80">
        <v>30</v>
      </c>
      <c r="AK67" s="354" t="s">
        <v>184</v>
      </c>
      <c r="AL67" s="355"/>
      <c r="AM67" s="354" t="s">
        <v>185</v>
      </c>
      <c r="AN67" s="355"/>
    </row>
    <row r="68" spans="2:40" ht="13.2" customHeight="1" thickBot="1" x14ac:dyDescent="0.25">
      <c r="B68" s="407" t="s">
        <v>281</v>
      </c>
      <c r="C68" s="408"/>
      <c r="D68" s="408"/>
      <c r="E68" s="408"/>
      <c r="F68" s="409"/>
      <c r="G68" s="194"/>
      <c r="I68" s="99">
        <f>I64</f>
        <v>0</v>
      </c>
      <c r="J68" s="100"/>
      <c r="K68" s="100">
        <f>G67</f>
        <v>0</v>
      </c>
      <c r="L68" s="100"/>
      <c r="M68" s="127">
        <f>G73*0.05</f>
        <v>0</v>
      </c>
      <c r="N68" s="100"/>
      <c r="O68" s="128">
        <f>G72</f>
        <v>0</v>
      </c>
      <c r="P68" s="100"/>
      <c r="Q68" s="100">
        <f>G74*0.3</f>
        <v>0</v>
      </c>
      <c r="R68" s="100"/>
      <c r="S68" s="101">
        <f>(I68*K68)+M68+O68+Q68</f>
        <v>0</v>
      </c>
      <c r="AA68" s="126"/>
      <c r="AB68" s="201">
        <f>$AL$41</f>
        <v>9</v>
      </c>
      <c r="AD68" s="38" t="s">
        <v>179</v>
      </c>
      <c r="AE68" s="38" t="s">
        <v>138</v>
      </c>
      <c r="AF68" s="38">
        <v>1.5</v>
      </c>
      <c r="AG68" s="80">
        <v>150</v>
      </c>
      <c r="AH68" s="80">
        <v>255</v>
      </c>
      <c r="AI68" s="82">
        <v>2284</v>
      </c>
      <c r="AJ68" s="80">
        <v>25</v>
      </c>
      <c r="AK68" s="354" t="s">
        <v>186</v>
      </c>
      <c r="AL68" s="355"/>
      <c r="AM68" s="354" t="s">
        <v>187</v>
      </c>
      <c r="AN68" s="355"/>
    </row>
    <row r="69" spans="2:40" ht="13.2" customHeight="1" x14ac:dyDescent="0.2">
      <c r="B69" s="407" t="s">
        <v>285</v>
      </c>
      <c r="C69" s="408"/>
      <c r="D69" s="408"/>
      <c r="E69" s="408"/>
      <c r="F69" s="409"/>
      <c r="G69" s="195"/>
      <c r="I69" s="108" t="s">
        <v>286</v>
      </c>
      <c r="J69" s="109" t="s">
        <v>12</v>
      </c>
      <c r="K69" s="109" t="s">
        <v>261</v>
      </c>
      <c r="L69" s="109" t="s">
        <v>12</v>
      </c>
      <c r="M69" s="109" t="s">
        <v>287</v>
      </c>
      <c r="N69" s="109" t="s">
        <v>235</v>
      </c>
      <c r="O69" s="109" t="s">
        <v>61</v>
      </c>
      <c r="P69" s="109" t="s">
        <v>10</v>
      </c>
      <c r="Q69" s="129" t="s">
        <v>58</v>
      </c>
      <c r="R69" s="129"/>
      <c r="S69" s="129"/>
      <c r="T69" s="109"/>
      <c r="U69" s="109"/>
      <c r="V69" s="435" t="s">
        <v>50</v>
      </c>
      <c r="W69" s="436"/>
      <c r="X69" s="436"/>
      <c r="Y69" s="436" t="s">
        <v>51</v>
      </c>
      <c r="Z69" s="436"/>
      <c r="AA69" s="437"/>
      <c r="AB69" s="202" t="s">
        <v>257</v>
      </c>
      <c r="AD69" s="38" t="s">
        <v>188</v>
      </c>
      <c r="AE69" s="38" t="s">
        <v>138</v>
      </c>
      <c r="AF69" s="38">
        <v>2</v>
      </c>
      <c r="AG69" s="80">
        <v>80</v>
      </c>
      <c r="AH69" s="80">
        <v>600</v>
      </c>
      <c r="AI69" s="82">
        <v>3485</v>
      </c>
      <c r="AJ69" s="80">
        <v>50</v>
      </c>
      <c r="AK69" s="352" t="s">
        <v>189</v>
      </c>
      <c r="AL69" s="353"/>
      <c r="AM69" s="352" t="s">
        <v>190</v>
      </c>
      <c r="AN69" s="353"/>
    </row>
    <row r="70" spans="2:40" ht="13.2" customHeight="1" x14ac:dyDescent="0.2">
      <c r="B70" s="407" t="s">
        <v>124</v>
      </c>
      <c r="C70" s="408"/>
      <c r="D70" s="408"/>
      <c r="E70" s="408"/>
      <c r="F70" s="409"/>
      <c r="G70" s="208"/>
      <c r="I70" s="99" t="e">
        <f>Q64</f>
        <v>#N/A</v>
      </c>
      <c r="J70" s="100"/>
      <c r="K70" s="127" t="e">
        <f>AA66</f>
        <v>#N/A</v>
      </c>
      <c r="L70" s="100"/>
      <c r="M70" s="100">
        <f>S68</f>
        <v>0</v>
      </c>
      <c r="N70" s="100"/>
      <c r="O70" s="100">
        <v>1.25</v>
      </c>
      <c r="P70" s="100"/>
      <c r="Q70" s="101" t="e">
        <f>(I70+K70+M70)*O70</f>
        <v>#N/A</v>
      </c>
      <c r="R70" s="101"/>
      <c r="S70" s="101"/>
      <c r="T70" s="100"/>
      <c r="U70" s="100"/>
      <c r="V70" s="428" t="str">
        <f>IFERROR(IF(Q70&gt;MAX($AF$37:$AF$44),"EXCEEDS MAX EBP",""),"")</f>
        <v/>
      </c>
      <c r="W70" s="421"/>
      <c r="X70" s="421"/>
      <c r="Y70" s="429" t="str">
        <f>IFERROR(IF(G70="MOTOVARIO",INDEX($AE$104:$AE$157,MATCH(1,INDEX((G66&lt;=$AG$104:$AG$157)*(Q72&lt;=$AF$104:$AF$157)*(Q70&lt;=$AH$104:$AH$157),0,0),0))&amp;" DIRECT DRIVE",IF(G70="DODGE",INDEX($AE$51:$AE$97,MATCH(1,INDEX((G66&lt;=$AG$51:$AG$97)*(Q72&lt;=$AF$51:$AF$97)*(Q70&lt;=$AH$51:$AH$97),0,0),0))&amp;" DIRECT DRIVE",INDEX($AD$37:$AD$44,MATCH(1,INDEX((Q70&lt;=$AF$37:$AF$44)*(Q72&lt;=$AE$37:$AE$44),0,0),0)))),"")</f>
        <v/>
      </c>
      <c r="Z70" s="429"/>
      <c r="AA70" s="430"/>
      <c r="AB70" s="201" t="e">
        <f>IF(G71="none",0,VLOOKUP(G63,$AN$38:$AP$43,3,FALSE))</f>
        <v>#N/A</v>
      </c>
      <c r="AD70" s="38" t="s">
        <v>188</v>
      </c>
      <c r="AE70" s="38" t="s">
        <v>138</v>
      </c>
      <c r="AF70" s="38">
        <v>2</v>
      </c>
      <c r="AG70" s="80">
        <v>100</v>
      </c>
      <c r="AH70" s="80">
        <v>500</v>
      </c>
      <c r="AI70" s="82">
        <v>3622</v>
      </c>
      <c r="AJ70" s="80">
        <v>40</v>
      </c>
      <c r="AK70" s="352" t="s">
        <v>191</v>
      </c>
      <c r="AL70" s="353"/>
      <c r="AM70" s="352" t="s">
        <v>192</v>
      </c>
      <c r="AN70" s="353"/>
    </row>
    <row r="71" spans="2:40" ht="13.2" customHeight="1" x14ac:dyDescent="0.2">
      <c r="B71" s="407" t="s">
        <v>296</v>
      </c>
      <c r="C71" s="408"/>
      <c r="D71" s="408"/>
      <c r="E71" s="408"/>
      <c r="F71" s="409"/>
      <c r="G71" s="196"/>
      <c r="I71" s="108" t="s">
        <v>297</v>
      </c>
      <c r="J71" s="109" t="s">
        <v>235</v>
      </c>
      <c r="K71" s="109" t="s">
        <v>298</v>
      </c>
      <c r="L71" s="109" t="s">
        <v>75</v>
      </c>
      <c r="M71" s="109" t="s">
        <v>299</v>
      </c>
      <c r="N71" s="109" t="s">
        <v>235</v>
      </c>
      <c r="O71" s="109" t="s">
        <v>300</v>
      </c>
      <c r="P71" s="109" t="s">
        <v>10</v>
      </c>
      <c r="Q71" s="129" t="s">
        <v>108</v>
      </c>
      <c r="R71" s="129"/>
      <c r="S71" s="129"/>
      <c r="T71" s="109"/>
      <c r="U71" s="109"/>
      <c r="V71" s="428" t="str">
        <f>IFERROR(IF(Q72&gt;MAX($AE$37:$AE$44),"EXCEEDS MAX HP",""),"")</f>
        <v/>
      </c>
      <c r="W71" s="421"/>
      <c r="X71" s="421"/>
      <c r="Y71" s="429" t="str">
        <f>IFERROR(IF(G70="Motovario",INDEX($AF$104:$AF$157,MATCH(1,INDEX((G66&lt;=$AG$104:$AG$157)*(Q72&lt;=$AF$104:$AF$157)*(Q70&lt;=$AH$104:$AH$157),0,0),0)),IF(G70="Dodge",INDEX($AF$51:$AF$97,MATCH(1,INDEX((G66&lt;=$AG$51:$AG$97)*(Q72&lt;=$AF$51:$AF$97)*(Q70&lt;=$AH$51:$AH$97),0,0),0)),INDEX($AE$37:$AE$44,MATCH(1,INDEX((Q70&lt;=$AF$37:$AF$44)*(Q72&lt;=$AE$37:$AE$44),0,0),0))))&amp;" HP","")</f>
        <v/>
      </c>
      <c r="Z71" s="429"/>
      <c r="AA71" s="430"/>
      <c r="AB71" s="200" t="s">
        <v>258</v>
      </c>
      <c r="AD71" s="38" t="s">
        <v>188</v>
      </c>
      <c r="AE71" s="38" t="s">
        <v>138</v>
      </c>
      <c r="AF71" s="38">
        <v>2</v>
      </c>
      <c r="AG71" s="80">
        <v>120</v>
      </c>
      <c r="AH71" s="80">
        <v>400</v>
      </c>
      <c r="AI71" s="82">
        <v>2417</v>
      </c>
      <c r="AJ71" s="80">
        <v>30</v>
      </c>
      <c r="AK71" s="354" t="s">
        <v>193</v>
      </c>
      <c r="AL71" s="355"/>
      <c r="AM71" s="354" t="s">
        <v>185</v>
      </c>
      <c r="AN71" s="355"/>
    </row>
    <row r="72" spans="2:40" ht="13.2" customHeight="1" thickBot="1" x14ac:dyDescent="0.25">
      <c r="B72" s="410" t="s">
        <v>305</v>
      </c>
      <c r="C72" s="411"/>
      <c r="D72" s="411"/>
      <c r="E72" s="411"/>
      <c r="F72" s="412"/>
      <c r="G72" s="197"/>
      <c r="I72" s="136" t="e">
        <f>Q70</f>
        <v>#N/A</v>
      </c>
      <c r="K72" s="90">
        <f>G66</f>
        <v>0</v>
      </c>
      <c r="M72" s="90">
        <v>33000</v>
      </c>
      <c r="O72" s="90">
        <f>IF(G70="N",IF(G66&lt;100,0.8,IF(G66&lt;200,0.85,0.9)),0.95)</f>
        <v>0.95</v>
      </c>
      <c r="Q72" s="137" t="e">
        <f>(I72*K72)/(M72*O72)</f>
        <v>#N/A</v>
      </c>
      <c r="R72" s="137"/>
      <c r="S72" s="137"/>
      <c r="V72" s="428" t="str">
        <f>IF(Y72="","",IF(Y72&gt;VLOOKUP(G63,$AD$24:$AK$29,8),"EXCEEDS MAX QTY",""))</f>
        <v/>
      </c>
      <c r="W72" s="421"/>
      <c r="X72" s="421"/>
      <c r="Y72" s="215" t="str">
        <f>IFERROR(ROUNDUP(Q70/100,0),"")</f>
        <v/>
      </c>
      <c r="Z72" s="426" t="str">
        <f>IF(Y72="","","LONG SPRINGS")</f>
        <v/>
      </c>
      <c r="AA72" s="427"/>
      <c r="AB72" s="201" t="e">
        <f>IF(U66=0,0,$AL$40)</f>
        <v>#N/A</v>
      </c>
      <c r="AD72" s="38" t="s">
        <v>188</v>
      </c>
      <c r="AE72" s="38" t="s">
        <v>138</v>
      </c>
      <c r="AF72" s="38">
        <v>2</v>
      </c>
      <c r="AG72" s="80">
        <v>150</v>
      </c>
      <c r="AH72" s="80">
        <v>340</v>
      </c>
      <c r="AI72" s="82">
        <v>2284</v>
      </c>
      <c r="AJ72" s="80">
        <v>25</v>
      </c>
      <c r="AK72" s="354" t="s">
        <v>194</v>
      </c>
      <c r="AL72" s="355"/>
      <c r="AM72" s="354" t="s">
        <v>187</v>
      </c>
      <c r="AN72" s="355"/>
    </row>
    <row r="73" spans="2:40" ht="13.2" customHeight="1" x14ac:dyDescent="0.2">
      <c r="B73" s="410" t="s">
        <v>309</v>
      </c>
      <c r="C73" s="411"/>
      <c r="D73" s="411"/>
      <c r="E73" s="411"/>
      <c r="F73" s="412"/>
      <c r="G73" s="198"/>
      <c r="I73" s="423" t="s">
        <v>133</v>
      </c>
      <c r="J73" s="424"/>
      <c r="K73" s="424"/>
      <c r="L73" s="424"/>
      <c r="M73" s="424"/>
      <c r="N73" s="424"/>
      <c r="O73" s="424"/>
      <c r="P73" s="424"/>
      <c r="Q73" s="424"/>
      <c r="R73" s="424"/>
      <c r="S73" s="424"/>
      <c r="T73" s="424"/>
      <c r="U73" s="425"/>
      <c r="V73" s="420" t="str">
        <f>IF(Y73="","",IF(Y73&gt;VLOOKUP(G63,$AD$24:$AK$29,8),"EXCEEDS MAX QTY",""))</f>
        <v/>
      </c>
      <c r="W73" s="421"/>
      <c r="X73" s="421"/>
      <c r="Y73" s="215" t="str">
        <f>IFERROR(ROUNDUP(Q70/80,0),"")</f>
        <v/>
      </c>
      <c r="Z73" s="426" t="str">
        <f>IF(Y73="","","SHORT SPRINGS")</f>
        <v/>
      </c>
      <c r="AA73" s="427"/>
      <c r="AB73" s="203" t="s">
        <v>310</v>
      </c>
      <c r="AD73" s="38" t="s">
        <v>188</v>
      </c>
      <c r="AE73" s="38" t="s">
        <v>138</v>
      </c>
      <c r="AF73" s="38">
        <v>2</v>
      </c>
      <c r="AG73" s="80">
        <v>200</v>
      </c>
      <c r="AH73" s="80">
        <v>280</v>
      </c>
      <c r="AI73" s="82">
        <v>2345</v>
      </c>
      <c r="AJ73" s="80">
        <v>20</v>
      </c>
      <c r="AK73" s="354" t="s">
        <v>195</v>
      </c>
      <c r="AL73" s="355"/>
      <c r="AM73" s="354" t="s">
        <v>196</v>
      </c>
      <c r="AN73" s="355"/>
    </row>
    <row r="74" spans="2:40" ht="13.2" customHeight="1" thickBot="1" x14ac:dyDescent="0.25">
      <c r="B74" s="414" t="s">
        <v>315</v>
      </c>
      <c r="C74" s="415"/>
      <c r="D74" s="415"/>
      <c r="E74" s="415"/>
      <c r="F74" s="416"/>
      <c r="G74" s="199"/>
      <c r="I74" s="108"/>
      <c r="J74" s="417" t="s">
        <v>134</v>
      </c>
      <c r="K74" s="417"/>
      <c r="L74" s="418" t="str">
        <f>IFERROR(Q70*L75/2,"")</f>
        <v/>
      </c>
      <c r="M74" s="418"/>
      <c r="N74" s="109"/>
      <c r="O74" s="417" t="s">
        <v>135</v>
      </c>
      <c r="P74" s="417"/>
      <c r="Q74" s="419" t="str">
        <f>IFERROR(IF(G70="Motovario",INDEX($AI$104:$AI$157,MATCH(1,INDEX((G66&lt;=$AG$104:$AG$157)*(Q72&lt;=$AF$104:$AF$157)*(Q70&lt;=$AH$104:$AH$157),0,0),0)),IF(G70="Dodge",INDEX($AI$51:$AI$97,MATCH(1,INDEX((G66&lt;=$AG$51:$AG$97)*(Q72&lt;=$AF$51:$AF$97)*(Q70&lt;=$AH$51:$AH$97),0,0),0)),"")),"")</f>
        <v/>
      </c>
      <c r="R74" s="419"/>
      <c r="S74" s="419"/>
      <c r="T74" s="419"/>
      <c r="U74" s="139"/>
      <c r="V74" s="420" t="str">
        <f>IF(AA63&lt;0,"",IF(G65&gt;AA63,"EXCEEDS MAX LR",""))</f>
        <v/>
      </c>
      <c r="W74" s="421"/>
      <c r="X74" s="421"/>
      <c r="Y74" s="345"/>
      <c r="Z74" s="345"/>
      <c r="AA74" s="346"/>
      <c r="AB74" s="204">
        <f>IF(G73&gt;0,$AL$42,0)</f>
        <v>0</v>
      </c>
      <c r="AD74" s="38" t="s">
        <v>188</v>
      </c>
      <c r="AE74" s="38" t="s">
        <v>138</v>
      </c>
      <c r="AF74" s="38">
        <v>2</v>
      </c>
      <c r="AG74" s="80">
        <v>260</v>
      </c>
      <c r="AH74" s="80">
        <v>210</v>
      </c>
      <c r="AI74" s="82">
        <v>2371</v>
      </c>
      <c r="AJ74" s="80">
        <v>15</v>
      </c>
      <c r="AK74" s="354" t="s">
        <v>197</v>
      </c>
      <c r="AL74" s="355"/>
      <c r="AM74" s="354" t="s">
        <v>198</v>
      </c>
      <c r="AN74" s="355"/>
    </row>
    <row r="75" spans="2:40" ht="13.2" customHeight="1" thickBot="1" x14ac:dyDescent="0.25">
      <c r="B75" s="388" t="s">
        <v>78</v>
      </c>
      <c r="C75" s="389"/>
      <c r="D75" s="390"/>
      <c r="E75" s="391"/>
      <c r="F75" s="391"/>
      <c r="G75" s="392"/>
      <c r="H75" s="391"/>
      <c r="I75" s="93"/>
      <c r="J75" s="393" t="s">
        <v>136</v>
      </c>
      <c r="K75" s="393"/>
      <c r="L75" s="394" t="str">
        <f>IFERROR(VALUE(LEFT(Y70,SEARCH("CD",Y70)-1))+0.5,"")</f>
        <v/>
      </c>
      <c r="M75" s="394"/>
      <c r="N75" s="94"/>
      <c r="O75" s="395" t="s">
        <v>137</v>
      </c>
      <c r="P75" s="395"/>
      <c r="Q75" s="396" t="str">
        <f>IFERROR(Q74/L74,"")</f>
        <v/>
      </c>
      <c r="R75" s="396"/>
      <c r="S75" s="396"/>
      <c r="T75" s="396"/>
      <c r="U75" s="140"/>
      <c r="V75" s="397" t="str">
        <f>IF(G64&gt;150,"VERY LONG","")</f>
        <v/>
      </c>
      <c r="W75" s="398"/>
      <c r="X75" s="398"/>
      <c r="Y75" s="348" t="str">
        <f>IF(G70="MOTOVARIO","DD NOM SPEED: "&amp;INDEX($AG$104:$AG$157,MATCH(1,INDEX((G66&lt;=$AG$104:$AG$157)*(Q72&lt;=$AF$104:$AF$157)*(Q70&lt;=$AH$104:$AH$157),0,0),0)),IF(G70="DODGE)","DD NOM SPEED: "&amp;INDEX($AG$51:$AG$97,MATCH(1,INDEX((G66&lt;=$AG$51:$AG$97)*(Q72&lt;=$AF$51:$AF$97)*(Q70&lt;=$AH$51:$AH$97),0,0),0)),""))</f>
        <v/>
      </c>
      <c r="Z75" s="348"/>
      <c r="AA75" s="349"/>
      <c r="AD75" s="38" t="s">
        <v>188</v>
      </c>
      <c r="AE75" s="38" t="s">
        <v>138</v>
      </c>
      <c r="AF75" s="38">
        <v>2</v>
      </c>
      <c r="AG75" s="80">
        <v>400</v>
      </c>
      <c r="AH75" s="80">
        <v>150</v>
      </c>
      <c r="AI75" s="82">
        <v>2347</v>
      </c>
      <c r="AJ75" s="80">
        <v>10</v>
      </c>
      <c r="AK75" s="354" t="s">
        <v>199</v>
      </c>
      <c r="AL75" s="355"/>
      <c r="AM75" s="354" t="s">
        <v>200</v>
      </c>
      <c r="AN75" s="355"/>
    </row>
    <row r="76" spans="2:40" ht="13.2" customHeight="1" thickBot="1" x14ac:dyDescent="0.25">
      <c r="AD76" s="38" t="s">
        <v>201</v>
      </c>
      <c r="AE76" s="38" t="s">
        <v>138</v>
      </c>
      <c r="AF76" s="38">
        <v>3</v>
      </c>
      <c r="AG76" s="80">
        <v>120</v>
      </c>
      <c r="AH76" s="80">
        <v>600</v>
      </c>
      <c r="AI76" s="82">
        <v>3682</v>
      </c>
      <c r="AJ76" s="80">
        <v>30</v>
      </c>
      <c r="AK76" s="352" t="s">
        <v>202</v>
      </c>
      <c r="AL76" s="353"/>
      <c r="AM76" s="352" t="s">
        <v>203</v>
      </c>
      <c r="AN76" s="353"/>
    </row>
    <row r="77" spans="2:40" ht="13.2" customHeight="1" thickBot="1" x14ac:dyDescent="0.25">
      <c r="B77" s="95"/>
      <c r="C77" s="91" t="s">
        <v>5</v>
      </c>
      <c r="D77" s="403" t="s">
        <v>232</v>
      </c>
      <c r="E77" s="403"/>
      <c r="F77" s="404"/>
      <c r="G77" s="193"/>
      <c r="H77" s="96"/>
      <c r="I77" s="216" t="s">
        <v>233</v>
      </c>
      <c r="J77" s="91" t="s">
        <v>12</v>
      </c>
      <c r="K77" s="91" t="s">
        <v>234</v>
      </c>
      <c r="L77" s="91" t="s">
        <v>235</v>
      </c>
      <c r="M77" s="91" t="s">
        <v>236</v>
      </c>
      <c r="N77" s="91" t="s">
        <v>235</v>
      </c>
      <c r="O77" s="91" t="s">
        <v>237</v>
      </c>
      <c r="P77" s="91" t="s">
        <v>10</v>
      </c>
      <c r="Q77" s="97" t="s">
        <v>238</v>
      </c>
      <c r="R77" s="97"/>
      <c r="S77" s="97"/>
      <c r="T77" s="91"/>
      <c r="U77" s="91"/>
      <c r="V77" s="91"/>
      <c r="W77" s="91"/>
      <c r="X77" s="91"/>
      <c r="Y77" s="226" t="str">
        <f>IF(G79&gt;0,"Suggested Max LR","")</f>
        <v/>
      </c>
      <c r="Z77" s="227" t="str">
        <f>IF(G79&gt;0,"=","")</f>
        <v/>
      </c>
      <c r="AA77" s="228" t="str">
        <f>IF(G79&gt;0,G78-(AB80+AB82+AB84+AB86+AB88),"")</f>
        <v/>
      </c>
      <c r="AB77" s="90" t="s">
        <v>239</v>
      </c>
      <c r="AD77" s="38" t="s">
        <v>201</v>
      </c>
      <c r="AE77" s="38" t="s">
        <v>138</v>
      </c>
      <c r="AF77" s="38">
        <v>3</v>
      </c>
      <c r="AG77" s="80">
        <v>150</v>
      </c>
      <c r="AH77" s="80">
        <v>520</v>
      </c>
      <c r="AI77" s="82">
        <v>3586</v>
      </c>
      <c r="AJ77" s="80">
        <v>25</v>
      </c>
      <c r="AK77" s="352" t="s">
        <v>204</v>
      </c>
      <c r="AL77" s="353"/>
      <c r="AM77" s="352" t="s">
        <v>205</v>
      </c>
      <c r="AN77" s="353"/>
    </row>
    <row r="78" spans="2:40" ht="13.2" customHeight="1" x14ac:dyDescent="0.2">
      <c r="B78" s="98"/>
      <c r="C78" s="405"/>
      <c r="D78" s="407" t="s">
        <v>242</v>
      </c>
      <c r="E78" s="408"/>
      <c r="F78" s="409"/>
      <c r="G78" s="194"/>
      <c r="I78" s="99">
        <f>IF(G85="1:1.3 Up",0.8*G82,G82)</f>
        <v>0</v>
      </c>
      <c r="J78" s="100"/>
      <c r="K78" s="100" t="e">
        <f>INDEX($AD$8:$AU$19,MATCH(G83,$AD$8:$AD$19,0),MATCH(G77,$AD$8:$AU$8,0))</f>
        <v>#N/A</v>
      </c>
      <c r="L78" s="100"/>
      <c r="M78" s="100">
        <f>G78-G79</f>
        <v>0</v>
      </c>
      <c r="N78" s="100"/>
      <c r="O78" s="100" t="e">
        <f>VLOOKUP(G83,$AD$9:$AU$19,12,FALSE)</f>
        <v>#N/A</v>
      </c>
      <c r="P78" s="100"/>
      <c r="Q78" s="101" t="e">
        <f>((I78+K78)*M78)*O78</f>
        <v>#N/A</v>
      </c>
      <c r="R78" s="101"/>
      <c r="S78" s="101"/>
      <c r="T78" s="100"/>
      <c r="U78" s="100"/>
      <c r="V78" s="100"/>
      <c r="W78" s="100"/>
      <c r="X78" s="100"/>
      <c r="Y78" s="100"/>
      <c r="Z78" s="100"/>
      <c r="AA78" s="102"/>
      <c r="AD78" s="38" t="s">
        <v>201</v>
      </c>
      <c r="AE78" s="38" t="s">
        <v>138</v>
      </c>
      <c r="AF78" s="38">
        <v>3</v>
      </c>
      <c r="AG78" s="80">
        <v>200</v>
      </c>
      <c r="AH78" s="80">
        <v>415</v>
      </c>
      <c r="AI78" s="82">
        <v>2345</v>
      </c>
      <c r="AJ78" s="80">
        <v>20</v>
      </c>
      <c r="AK78" s="354" t="s">
        <v>206</v>
      </c>
      <c r="AL78" s="355"/>
      <c r="AM78" s="354" t="s">
        <v>207</v>
      </c>
      <c r="AN78" s="355"/>
    </row>
    <row r="79" spans="2:40" ht="13.2" customHeight="1" thickBot="1" x14ac:dyDescent="0.25">
      <c r="B79" s="98"/>
      <c r="C79" s="406"/>
      <c r="D79" s="410" t="s">
        <v>251</v>
      </c>
      <c r="E79" s="411"/>
      <c r="F79" s="412"/>
      <c r="G79" s="194"/>
      <c r="I79" s="108" t="s">
        <v>252</v>
      </c>
      <c r="J79" s="109" t="s">
        <v>12</v>
      </c>
      <c r="K79" s="109" t="s">
        <v>253</v>
      </c>
      <c r="L79" s="109" t="s">
        <v>12</v>
      </c>
      <c r="M79" s="109" t="s">
        <v>254</v>
      </c>
      <c r="N79" s="109" t="s">
        <v>235</v>
      </c>
      <c r="O79" s="109" t="s">
        <v>255</v>
      </c>
      <c r="P79" s="109" t="s">
        <v>12</v>
      </c>
      <c r="Q79" s="109" t="s">
        <v>256</v>
      </c>
      <c r="R79" s="109" t="s">
        <v>12</v>
      </c>
      <c r="S79" s="109" t="s">
        <v>257</v>
      </c>
      <c r="T79" s="109" t="s">
        <v>12</v>
      </c>
      <c r="U79" s="109" t="s">
        <v>258</v>
      </c>
      <c r="V79" s="109" t="s">
        <v>12</v>
      </c>
      <c r="W79" s="109" t="s">
        <v>259</v>
      </c>
      <c r="X79" s="109" t="s">
        <v>235</v>
      </c>
      <c r="Y79" s="109" t="s">
        <v>260</v>
      </c>
      <c r="Z79" s="109" t="s">
        <v>10</v>
      </c>
      <c r="AA79" s="110" t="s">
        <v>261</v>
      </c>
      <c r="AB79" s="202" t="s">
        <v>262</v>
      </c>
      <c r="AD79" s="38" t="s">
        <v>201</v>
      </c>
      <c r="AE79" s="38" t="s">
        <v>138</v>
      </c>
      <c r="AF79" s="38">
        <v>3</v>
      </c>
      <c r="AG79" s="80">
        <v>260</v>
      </c>
      <c r="AH79" s="80">
        <v>320</v>
      </c>
      <c r="AI79" s="82">
        <v>2371</v>
      </c>
      <c r="AJ79" s="80">
        <v>15</v>
      </c>
      <c r="AK79" s="354" t="s">
        <v>208</v>
      </c>
      <c r="AL79" s="355"/>
      <c r="AM79" s="354" t="s">
        <v>209</v>
      </c>
      <c r="AN79" s="355"/>
    </row>
    <row r="80" spans="2:40" ht="13.2" customHeight="1" x14ac:dyDescent="0.2">
      <c r="B80" s="407" t="s">
        <v>267</v>
      </c>
      <c r="C80" s="408"/>
      <c r="D80" s="408"/>
      <c r="E80" s="408"/>
      <c r="F80" s="409"/>
      <c r="G80" s="194"/>
      <c r="I80" s="99">
        <f>I78</f>
        <v>0</v>
      </c>
      <c r="J80" s="100"/>
      <c r="K80" s="100" t="e">
        <f>K78</f>
        <v>#N/A</v>
      </c>
      <c r="L80" s="100"/>
      <c r="M80" s="100" t="e">
        <f>VLOOKUP(G77,$AD$24:$AK$29,6,FALSE)</f>
        <v>#N/A</v>
      </c>
      <c r="N80" s="100"/>
      <c r="O80" s="100">
        <f>G79</f>
        <v>0</v>
      </c>
      <c r="P80" s="100"/>
      <c r="Q80" s="120" t="e">
        <f>VLOOKUP(G77,$AD$24:$AH$29,2,FALSE)</f>
        <v>#N/A</v>
      </c>
      <c r="R80" s="100"/>
      <c r="S80" s="120" t="e">
        <f>IF(G85="None",0,VLOOKUP(G77,$AD$24:$AH$29,3,FALSE))</f>
        <v>#N/A</v>
      </c>
      <c r="T80" s="100"/>
      <c r="U80" s="120" t="e">
        <f>IF(G85="None",0,VLOOKUP(G77,$AD$24:$AH$29,4,FALSE))</f>
        <v>#N/A</v>
      </c>
      <c r="V80" s="100"/>
      <c r="W80" s="120">
        <f>IF(G87&gt;0,VLOOKUP(G77,$AD$24:$AH$29,5,FALSE),0)</f>
        <v>0</v>
      </c>
      <c r="X80" s="100"/>
      <c r="Y80" s="100">
        <v>0.05</v>
      </c>
      <c r="Z80" s="100"/>
      <c r="AA80" s="121" t="e">
        <f>(((I80+K80+M80)*O80)+Q80+S80+U80+W80)*Y80</f>
        <v>#N/A</v>
      </c>
      <c r="AB80" s="201">
        <f>IF(G85="None",2*$AL$39,$AL$39)</f>
        <v>3.3333333333333335</v>
      </c>
      <c r="AD80" s="38" t="s">
        <v>201</v>
      </c>
      <c r="AE80" s="38" t="s">
        <v>138</v>
      </c>
      <c r="AF80" s="38">
        <v>3</v>
      </c>
      <c r="AG80" s="80">
        <v>400</v>
      </c>
      <c r="AH80" s="80">
        <v>220</v>
      </c>
      <c r="AI80" s="82">
        <v>2347</v>
      </c>
      <c r="AJ80" s="80">
        <v>10</v>
      </c>
      <c r="AK80" s="354" t="s">
        <v>210</v>
      </c>
      <c r="AL80" s="355"/>
      <c r="AM80" s="354" t="s">
        <v>211</v>
      </c>
      <c r="AN80" s="355"/>
    </row>
    <row r="81" spans="2:40" ht="13.2" customHeight="1" x14ac:dyDescent="0.2">
      <c r="B81" s="407" t="s">
        <v>272</v>
      </c>
      <c r="C81" s="408"/>
      <c r="D81" s="408"/>
      <c r="E81" s="408"/>
      <c r="F81" s="409"/>
      <c r="G81" s="194"/>
      <c r="I81" s="92" t="s">
        <v>110</v>
      </c>
      <c r="J81" s="90" t="s">
        <v>235</v>
      </c>
      <c r="K81" s="90" t="s">
        <v>273</v>
      </c>
      <c r="L81" s="90" t="s">
        <v>12</v>
      </c>
      <c r="M81" s="90" t="s">
        <v>274</v>
      </c>
      <c r="N81" s="90" t="s">
        <v>12</v>
      </c>
      <c r="O81" s="90" t="s">
        <v>275</v>
      </c>
      <c r="P81" s="90" t="s">
        <v>12</v>
      </c>
      <c r="Q81" s="90" t="s">
        <v>276</v>
      </c>
      <c r="R81" s="90" t="s">
        <v>10</v>
      </c>
      <c r="S81" s="112" t="s">
        <v>31</v>
      </c>
      <c r="AA81" s="126"/>
      <c r="AB81" s="200" t="s">
        <v>277</v>
      </c>
      <c r="AD81" s="38" t="s">
        <v>212</v>
      </c>
      <c r="AE81" s="38" t="s">
        <v>139</v>
      </c>
      <c r="AF81" s="38">
        <v>2</v>
      </c>
      <c r="AG81" s="80">
        <v>100</v>
      </c>
      <c r="AH81" s="80">
        <v>490</v>
      </c>
      <c r="AI81" s="82">
        <v>3485</v>
      </c>
      <c r="AJ81" s="80">
        <v>50</v>
      </c>
      <c r="AK81" s="352" t="s">
        <v>189</v>
      </c>
      <c r="AL81" s="353"/>
      <c r="AM81" s="352" t="s">
        <v>190</v>
      </c>
      <c r="AN81" s="353"/>
    </row>
    <row r="82" spans="2:40" ht="13.2" customHeight="1" thickBot="1" x14ac:dyDescent="0.25">
      <c r="B82" s="407" t="s">
        <v>281</v>
      </c>
      <c r="C82" s="408"/>
      <c r="D82" s="408"/>
      <c r="E82" s="408"/>
      <c r="F82" s="409"/>
      <c r="G82" s="194"/>
      <c r="I82" s="99">
        <f>I78</f>
        <v>0</v>
      </c>
      <c r="J82" s="100"/>
      <c r="K82" s="100">
        <f>G81</f>
        <v>0</v>
      </c>
      <c r="L82" s="100"/>
      <c r="M82" s="127">
        <f>G87*0.05</f>
        <v>0</v>
      </c>
      <c r="N82" s="100"/>
      <c r="O82" s="128">
        <f>G86</f>
        <v>0</v>
      </c>
      <c r="P82" s="100"/>
      <c r="Q82" s="100">
        <f>G88*0.3</f>
        <v>0</v>
      </c>
      <c r="R82" s="100"/>
      <c r="S82" s="101">
        <f>(I82*K82)+M82+O82+Q82</f>
        <v>0</v>
      </c>
      <c r="AA82" s="126"/>
      <c r="AB82" s="201">
        <f>$AL$41</f>
        <v>9</v>
      </c>
      <c r="AD82" s="38" t="s">
        <v>212</v>
      </c>
      <c r="AE82" s="38" t="s">
        <v>139</v>
      </c>
      <c r="AF82" s="38">
        <v>2</v>
      </c>
      <c r="AG82" s="80">
        <v>120</v>
      </c>
      <c r="AH82" s="80">
        <v>410</v>
      </c>
      <c r="AI82" s="82">
        <v>3622</v>
      </c>
      <c r="AJ82" s="80">
        <v>40</v>
      </c>
      <c r="AK82" s="352" t="s">
        <v>191</v>
      </c>
      <c r="AL82" s="353"/>
      <c r="AM82" s="352" t="s">
        <v>192</v>
      </c>
      <c r="AN82" s="353"/>
    </row>
    <row r="83" spans="2:40" ht="13.2" customHeight="1" x14ac:dyDescent="0.2">
      <c r="B83" s="407" t="s">
        <v>285</v>
      </c>
      <c r="C83" s="408"/>
      <c r="D83" s="408"/>
      <c r="E83" s="408"/>
      <c r="F83" s="409"/>
      <c r="G83" s="195"/>
      <c r="I83" s="108" t="s">
        <v>286</v>
      </c>
      <c r="J83" s="109" t="s">
        <v>12</v>
      </c>
      <c r="K83" s="109" t="s">
        <v>261</v>
      </c>
      <c r="L83" s="109" t="s">
        <v>12</v>
      </c>
      <c r="M83" s="109" t="s">
        <v>287</v>
      </c>
      <c r="N83" s="109" t="s">
        <v>235</v>
      </c>
      <c r="O83" s="109" t="s">
        <v>61</v>
      </c>
      <c r="P83" s="109" t="s">
        <v>10</v>
      </c>
      <c r="Q83" s="129" t="s">
        <v>58</v>
      </c>
      <c r="R83" s="129"/>
      <c r="S83" s="129"/>
      <c r="T83" s="109"/>
      <c r="U83" s="109"/>
      <c r="V83" s="435" t="s">
        <v>50</v>
      </c>
      <c r="W83" s="436"/>
      <c r="X83" s="436"/>
      <c r="Y83" s="436" t="s">
        <v>51</v>
      </c>
      <c r="Z83" s="436"/>
      <c r="AA83" s="437"/>
      <c r="AB83" s="202" t="s">
        <v>257</v>
      </c>
      <c r="AD83" s="38" t="s">
        <v>213</v>
      </c>
      <c r="AE83" s="38" t="s">
        <v>139</v>
      </c>
      <c r="AF83" s="38">
        <v>3</v>
      </c>
      <c r="AG83" s="38">
        <v>100</v>
      </c>
      <c r="AH83" s="38">
        <v>880</v>
      </c>
      <c r="AI83" s="88">
        <v>7262</v>
      </c>
      <c r="AJ83" s="38">
        <v>50</v>
      </c>
      <c r="AK83" s="357" t="s">
        <v>365</v>
      </c>
      <c r="AL83" s="358"/>
      <c r="AM83" s="357" t="s">
        <v>366</v>
      </c>
      <c r="AN83" s="358"/>
    </row>
    <row r="84" spans="2:40" ht="13.2" customHeight="1" x14ac:dyDescent="0.2">
      <c r="B84" s="407" t="s">
        <v>124</v>
      </c>
      <c r="C84" s="408"/>
      <c r="D84" s="408"/>
      <c r="E84" s="408"/>
      <c r="F84" s="409"/>
      <c r="G84" s="208"/>
      <c r="I84" s="99" t="e">
        <f>Q78</f>
        <v>#N/A</v>
      </c>
      <c r="J84" s="100"/>
      <c r="K84" s="127" t="e">
        <f>AA80</f>
        <v>#N/A</v>
      </c>
      <c r="L84" s="100"/>
      <c r="M84" s="100">
        <f>S82</f>
        <v>0</v>
      </c>
      <c r="N84" s="100"/>
      <c r="O84" s="100">
        <v>1.25</v>
      </c>
      <c r="P84" s="100"/>
      <c r="Q84" s="101" t="e">
        <f>(I84+K84+M84)*O84</f>
        <v>#N/A</v>
      </c>
      <c r="R84" s="101"/>
      <c r="S84" s="101"/>
      <c r="T84" s="100"/>
      <c r="U84" s="100"/>
      <c r="V84" s="428" t="str">
        <f>IFERROR(IF(Q84&gt;MAX($AF$37:$AF$44),"EXCEEDS MAX EBP",""),"")</f>
        <v/>
      </c>
      <c r="W84" s="421"/>
      <c r="X84" s="421"/>
      <c r="Y84" s="429" t="str">
        <f>IFERROR(IF(G84="MOTOVARIO",INDEX($AE$104:$AE$157,MATCH(1,INDEX((G80&lt;=$AG$104:$AG$157)*(Q86&lt;=$AF$104:$AF$157)*(Q84&lt;=$AH$104:$AH$157),0,0),0))&amp;" DIRECT DRIVE",IF(G84="DODGE",INDEX($AE$51:$AE$97,MATCH(1,INDEX((G80&lt;=$AG$51:$AG$97)*(Q86&lt;=$AF$51:$AF$97)*(Q84&lt;=$AH$51:$AH$97),0,0),0))&amp;" DIRECT DRIVE",INDEX($AD$37:$AD$44,MATCH(1,INDEX((Q84&lt;=$AF$37:$AF$44)*(Q86&lt;=$AE$37:$AE$44),0,0),0)))),"")</f>
        <v/>
      </c>
      <c r="Z84" s="429"/>
      <c r="AA84" s="430"/>
      <c r="AB84" s="201" t="e">
        <f>IF(G85="none",0,VLOOKUP(G77,$AN$38:$AP$43,3,FALSE))</f>
        <v>#N/A</v>
      </c>
      <c r="AD84" s="38" t="s">
        <v>213</v>
      </c>
      <c r="AE84" s="38" t="s">
        <v>139</v>
      </c>
      <c r="AF84" s="38">
        <v>3</v>
      </c>
      <c r="AG84" s="38">
        <v>120</v>
      </c>
      <c r="AH84" s="38">
        <v>680</v>
      </c>
      <c r="AI84" s="88">
        <v>7262</v>
      </c>
      <c r="AJ84" s="38">
        <v>40</v>
      </c>
      <c r="AK84" s="357" t="s">
        <v>367</v>
      </c>
      <c r="AL84" s="358"/>
      <c r="AM84" s="357" t="s">
        <v>368</v>
      </c>
      <c r="AN84" s="358"/>
    </row>
    <row r="85" spans="2:40" ht="13.2" customHeight="1" x14ac:dyDescent="0.2">
      <c r="B85" s="407" t="s">
        <v>296</v>
      </c>
      <c r="C85" s="408"/>
      <c r="D85" s="408"/>
      <c r="E85" s="408"/>
      <c r="F85" s="409"/>
      <c r="G85" s="196"/>
      <c r="I85" s="108" t="s">
        <v>297</v>
      </c>
      <c r="J85" s="109" t="s">
        <v>235</v>
      </c>
      <c r="K85" s="109" t="s">
        <v>298</v>
      </c>
      <c r="L85" s="109" t="s">
        <v>75</v>
      </c>
      <c r="M85" s="109" t="s">
        <v>299</v>
      </c>
      <c r="N85" s="109" t="s">
        <v>235</v>
      </c>
      <c r="O85" s="109" t="s">
        <v>300</v>
      </c>
      <c r="P85" s="109" t="s">
        <v>10</v>
      </c>
      <c r="Q85" s="129" t="s">
        <v>108</v>
      </c>
      <c r="R85" s="129"/>
      <c r="S85" s="129"/>
      <c r="T85" s="109"/>
      <c r="U85" s="109"/>
      <c r="V85" s="428" t="str">
        <f>IFERROR(IF(Q86&gt;MAX($AE$37:$AE$44),"EXCEEDS MAX HP",""),"")</f>
        <v/>
      </c>
      <c r="W85" s="421"/>
      <c r="X85" s="421"/>
      <c r="Y85" s="429" t="str">
        <f>IFERROR(IF(G84="Motovario",INDEX($AF$104:$AF$157,MATCH(1,INDEX((G80&lt;=$AG$104:$AG$157)*(Q86&lt;=$AF$104:$AF$157)*(Q84&lt;=$AH$104:$AH$157),0,0),0)),IF(G84="Dodge",INDEX($AF$51:$AF$97,MATCH(1,INDEX((G80&lt;=$AG$51:$AG$97)*(Q86&lt;=$AF$51:$AF$97)*(Q84&lt;=$AH$51:$AH$97),0,0),0)),INDEX($AE$37:$AE$44,MATCH(1,INDEX((Q84&lt;=$AF$37:$AF$44)*(Q86&lt;=$AE$37:$AE$44),0,0),0))))&amp;" HP","")</f>
        <v/>
      </c>
      <c r="Z85" s="429"/>
      <c r="AA85" s="430"/>
      <c r="AB85" s="200" t="s">
        <v>258</v>
      </c>
      <c r="AD85" s="38" t="s">
        <v>213</v>
      </c>
      <c r="AE85" s="38" t="s">
        <v>139</v>
      </c>
      <c r="AF85" s="38">
        <v>3</v>
      </c>
      <c r="AG85" s="80">
        <v>150</v>
      </c>
      <c r="AH85" s="80">
        <v>500</v>
      </c>
      <c r="AI85" s="82">
        <v>3682</v>
      </c>
      <c r="AJ85" s="80">
        <v>30</v>
      </c>
      <c r="AK85" s="352" t="s">
        <v>202</v>
      </c>
      <c r="AL85" s="353"/>
      <c r="AM85" s="352" t="s">
        <v>203</v>
      </c>
      <c r="AN85" s="353"/>
    </row>
    <row r="86" spans="2:40" ht="13.2" customHeight="1" thickBot="1" x14ac:dyDescent="0.25">
      <c r="B86" s="410" t="s">
        <v>305</v>
      </c>
      <c r="C86" s="411"/>
      <c r="D86" s="411"/>
      <c r="E86" s="411"/>
      <c r="F86" s="412"/>
      <c r="G86" s="197"/>
      <c r="I86" s="136" t="e">
        <f>Q84</f>
        <v>#N/A</v>
      </c>
      <c r="K86" s="90">
        <f>G80</f>
        <v>0</v>
      </c>
      <c r="M86" s="90">
        <v>33000</v>
      </c>
      <c r="O86" s="90">
        <f>IF(G84="N",IF(G80&lt;100,0.8,IF(G80&lt;200,0.85,0.9)),0.95)</f>
        <v>0.95</v>
      </c>
      <c r="Q86" s="137" t="e">
        <f>(I86*K86)/(M86*O86)</f>
        <v>#N/A</v>
      </c>
      <c r="R86" s="137"/>
      <c r="S86" s="137"/>
      <c r="V86" s="428" t="str">
        <f>IF(Y86="","",IF(Y86&gt;VLOOKUP(G77,$AD$24:$AK$29,8),"EXCEEDS MAX QTY",""))</f>
        <v/>
      </c>
      <c r="W86" s="421"/>
      <c r="X86" s="421"/>
      <c r="Y86" s="215" t="str">
        <f>IFERROR(ROUNDUP(Q84/100,0),"")</f>
        <v/>
      </c>
      <c r="Z86" s="426" t="str">
        <f>IF(Y86="","","LONG SPRINGS")</f>
        <v/>
      </c>
      <c r="AA86" s="427"/>
      <c r="AB86" s="201" t="e">
        <f>IF(U80=0,0,$AL$40)</f>
        <v>#N/A</v>
      </c>
      <c r="AD86" s="38" t="s">
        <v>213</v>
      </c>
      <c r="AE86" s="38" t="s">
        <v>139</v>
      </c>
      <c r="AF86" s="38">
        <v>3</v>
      </c>
      <c r="AG86" s="80">
        <v>200</v>
      </c>
      <c r="AH86" s="80">
        <v>430</v>
      </c>
      <c r="AI86" s="82">
        <v>3586</v>
      </c>
      <c r="AJ86" s="80">
        <v>25</v>
      </c>
      <c r="AK86" s="352" t="s">
        <v>204</v>
      </c>
      <c r="AL86" s="353"/>
      <c r="AM86" s="352" t="s">
        <v>205</v>
      </c>
      <c r="AN86" s="353"/>
    </row>
    <row r="87" spans="2:40" ht="13.2" customHeight="1" x14ac:dyDescent="0.2">
      <c r="B87" s="410" t="s">
        <v>309</v>
      </c>
      <c r="C87" s="411"/>
      <c r="D87" s="411"/>
      <c r="E87" s="411"/>
      <c r="F87" s="412"/>
      <c r="G87" s="198"/>
      <c r="I87" s="423" t="s">
        <v>133</v>
      </c>
      <c r="J87" s="424"/>
      <c r="K87" s="424"/>
      <c r="L87" s="424"/>
      <c r="M87" s="424"/>
      <c r="N87" s="424"/>
      <c r="O87" s="424"/>
      <c r="P87" s="424"/>
      <c r="Q87" s="424"/>
      <c r="R87" s="424"/>
      <c r="S87" s="424"/>
      <c r="T87" s="424"/>
      <c r="U87" s="425"/>
      <c r="V87" s="420" t="str">
        <f>IF(Y87="","",IF(Y87&gt;VLOOKUP(G77,$AD$24:$AK$29,8),"EXCEEDS MAX QTY",""))</f>
        <v/>
      </c>
      <c r="W87" s="421"/>
      <c r="X87" s="421"/>
      <c r="Y87" s="215" t="str">
        <f>IFERROR(ROUNDUP(Q84/80,0),"")</f>
        <v/>
      </c>
      <c r="Z87" s="426" t="str">
        <f>IF(Y87="","","SHORT SPRINGS")</f>
        <v/>
      </c>
      <c r="AA87" s="427"/>
      <c r="AB87" s="203" t="s">
        <v>310</v>
      </c>
      <c r="AD87" s="38" t="s">
        <v>213</v>
      </c>
      <c r="AE87" s="38" t="s">
        <v>139</v>
      </c>
      <c r="AF87" s="38">
        <v>3</v>
      </c>
      <c r="AG87" s="80">
        <v>240</v>
      </c>
      <c r="AH87" s="80">
        <v>340</v>
      </c>
      <c r="AI87" s="82">
        <v>2345</v>
      </c>
      <c r="AJ87" s="80">
        <v>20</v>
      </c>
      <c r="AK87" s="354" t="s">
        <v>206</v>
      </c>
      <c r="AL87" s="355"/>
      <c r="AM87" s="354" t="s">
        <v>207</v>
      </c>
      <c r="AN87" s="355"/>
    </row>
    <row r="88" spans="2:40" ht="13.2" customHeight="1" thickBot="1" x14ac:dyDescent="0.25">
      <c r="B88" s="414" t="s">
        <v>315</v>
      </c>
      <c r="C88" s="415"/>
      <c r="D88" s="415"/>
      <c r="E88" s="415"/>
      <c r="F88" s="416"/>
      <c r="G88" s="199"/>
      <c r="I88" s="108"/>
      <c r="J88" s="417" t="s">
        <v>134</v>
      </c>
      <c r="K88" s="417"/>
      <c r="L88" s="418" t="str">
        <f>IFERROR(Q84*L89/2,"")</f>
        <v/>
      </c>
      <c r="M88" s="418"/>
      <c r="N88" s="109"/>
      <c r="O88" s="417" t="s">
        <v>135</v>
      </c>
      <c r="P88" s="417"/>
      <c r="Q88" s="419" t="str">
        <f>IFERROR(IF(G84="Motovario",INDEX($AI$104:$AI$157,MATCH(1,INDEX((G80&lt;=$AG$104:$AG$157)*(Q86&lt;=$AF$104:$AF$157)*(Q84&lt;=$AH$104:$AH$157),0,0),0)),IF(G84="Dodge",INDEX($AI$51:$AI$97,MATCH(1,INDEX((G80&lt;=$AG$51:$AG$97)*(Q86&lt;=$AF$51:$AF$97)*(Q84&lt;=$AH$51:$AH$97),0,0),0)),"")),"")</f>
        <v/>
      </c>
      <c r="R88" s="419"/>
      <c r="S88" s="419"/>
      <c r="T88" s="419"/>
      <c r="U88" s="139"/>
      <c r="V88" s="420" t="str">
        <f>IF(AA77&lt;0,"",IF(G79&gt;AA77,"EXCEEDS MAX LR",""))</f>
        <v/>
      </c>
      <c r="W88" s="421"/>
      <c r="X88" s="421"/>
      <c r="Y88" s="345"/>
      <c r="Z88" s="345"/>
      <c r="AA88" s="346"/>
      <c r="AB88" s="204">
        <f>IF(G87&gt;0,$AL$42,0)</f>
        <v>0</v>
      </c>
      <c r="AD88" s="38" t="s">
        <v>213</v>
      </c>
      <c r="AE88" s="38" t="s">
        <v>139</v>
      </c>
      <c r="AF88" s="38">
        <v>3</v>
      </c>
      <c r="AG88" s="80">
        <v>260</v>
      </c>
      <c r="AH88" s="80">
        <v>260</v>
      </c>
      <c r="AI88" s="82">
        <v>2371</v>
      </c>
      <c r="AJ88" s="80">
        <v>15</v>
      </c>
      <c r="AK88" s="354" t="s">
        <v>208</v>
      </c>
      <c r="AL88" s="355"/>
      <c r="AM88" s="354" t="s">
        <v>209</v>
      </c>
      <c r="AN88" s="355"/>
    </row>
    <row r="89" spans="2:40" ht="13.2" customHeight="1" thickBot="1" x14ac:dyDescent="0.25">
      <c r="B89" s="388" t="s">
        <v>78</v>
      </c>
      <c r="C89" s="389"/>
      <c r="D89" s="390"/>
      <c r="E89" s="391"/>
      <c r="F89" s="391"/>
      <c r="G89" s="392"/>
      <c r="H89" s="391"/>
      <c r="I89" s="93"/>
      <c r="J89" s="393" t="s">
        <v>136</v>
      </c>
      <c r="K89" s="393"/>
      <c r="L89" s="394" t="str">
        <f>IFERROR(VALUE(LEFT(Y84,SEARCH("CD",Y84)-1))+0.5,"")</f>
        <v/>
      </c>
      <c r="M89" s="394"/>
      <c r="N89" s="94"/>
      <c r="O89" s="395" t="s">
        <v>137</v>
      </c>
      <c r="P89" s="395"/>
      <c r="Q89" s="396" t="str">
        <f>IFERROR(Q88/L88,"")</f>
        <v/>
      </c>
      <c r="R89" s="396"/>
      <c r="S89" s="396"/>
      <c r="T89" s="396"/>
      <c r="U89" s="140"/>
      <c r="V89" s="397" t="str">
        <f>IF(G78&gt;150,"VERY LONG","")</f>
        <v/>
      </c>
      <c r="W89" s="398"/>
      <c r="X89" s="398"/>
      <c r="Y89" s="348" t="str">
        <f>IF(G84="MOTOVARIO","DD NOM SPEED: "&amp;INDEX($AG$104:$AG$157,MATCH(1,INDEX((G80&lt;=$AG$104:$AG$157)*(Q86&lt;=$AF$104:$AF$157)*(Q84&lt;=$AH$104:$AH$157),0,0),0)),IF(G84="DODGE)","DD NOM SPEED: "&amp;INDEX($AG$51:$AG$97,MATCH(1,INDEX((G80&lt;=$AG$51:$AG$97)*(Q86&lt;=$AF$51:$AF$97)*(Q84&lt;=$AH$51:$AH$97),0,0),0)),""))</f>
        <v/>
      </c>
      <c r="Z89" s="348"/>
      <c r="AA89" s="349"/>
      <c r="AD89" s="38" t="s">
        <v>213</v>
      </c>
      <c r="AE89" s="38" t="s">
        <v>139</v>
      </c>
      <c r="AF89" s="38">
        <v>3</v>
      </c>
      <c r="AG89" s="80">
        <v>400</v>
      </c>
      <c r="AH89" s="80">
        <v>180</v>
      </c>
      <c r="AI89" s="82">
        <v>2347</v>
      </c>
      <c r="AJ89" s="80">
        <v>10</v>
      </c>
      <c r="AK89" s="354" t="s">
        <v>210</v>
      </c>
      <c r="AL89" s="355"/>
      <c r="AM89" s="354" t="s">
        <v>211</v>
      </c>
      <c r="AN89" s="355"/>
    </row>
    <row r="90" spans="2:40" ht="13.2" customHeight="1" thickBot="1" x14ac:dyDescent="0.25">
      <c r="AD90" s="38" t="s">
        <v>214</v>
      </c>
      <c r="AE90" s="38" t="s">
        <v>139</v>
      </c>
      <c r="AF90" s="38">
        <v>5</v>
      </c>
      <c r="AG90" s="38">
        <v>120</v>
      </c>
      <c r="AH90" s="38">
        <v>900</v>
      </c>
      <c r="AI90" s="88">
        <v>7262</v>
      </c>
      <c r="AJ90" s="38">
        <v>40</v>
      </c>
      <c r="AK90" s="356" t="s">
        <v>369</v>
      </c>
      <c r="AL90" s="356"/>
      <c r="AM90" s="357" t="s">
        <v>368</v>
      </c>
      <c r="AN90" s="358"/>
    </row>
    <row r="91" spans="2:40" ht="13.2" customHeight="1" thickBot="1" x14ac:dyDescent="0.25">
      <c r="B91" s="95"/>
      <c r="C91" s="91" t="s">
        <v>5</v>
      </c>
      <c r="D91" s="403" t="s">
        <v>232</v>
      </c>
      <c r="E91" s="403"/>
      <c r="F91" s="404"/>
      <c r="G91" s="193"/>
      <c r="H91" s="96"/>
      <c r="I91" s="216" t="s">
        <v>233</v>
      </c>
      <c r="J91" s="91" t="s">
        <v>12</v>
      </c>
      <c r="K91" s="91" t="s">
        <v>234</v>
      </c>
      <c r="L91" s="91" t="s">
        <v>235</v>
      </c>
      <c r="M91" s="91" t="s">
        <v>236</v>
      </c>
      <c r="N91" s="91" t="s">
        <v>235</v>
      </c>
      <c r="O91" s="91" t="s">
        <v>237</v>
      </c>
      <c r="P91" s="91" t="s">
        <v>10</v>
      </c>
      <c r="Q91" s="97" t="s">
        <v>238</v>
      </c>
      <c r="R91" s="97"/>
      <c r="S91" s="97"/>
      <c r="T91" s="91"/>
      <c r="U91" s="91"/>
      <c r="V91" s="91"/>
      <c r="W91" s="91"/>
      <c r="X91" s="91"/>
      <c r="Y91" s="226" t="str">
        <f>IF(G93&gt;0,"Suggested Max LR","")</f>
        <v/>
      </c>
      <c r="Z91" s="227" t="str">
        <f>IF(G93&gt;0,"=","")</f>
        <v/>
      </c>
      <c r="AA91" s="228" t="str">
        <f>IF(G93&gt;0,G92-(AB94+AB96+AB98+AB100+AB102),"")</f>
        <v/>
      </c>
      <c r="AB91" s="90" t="s">
        <v>239</v>
      </c>
      <c r="AD91" s="38" t="s">
        <v>214</v>
      </c>
      <c r="AE91" s="38" t="s">
        <v>139</v>
      </c>
      <c r="AF91" s="38">
        <v>5</v>
      </c>
      <c r="AG91" s="38">
        <v>150</v>
      </c>
      <c r="AH91" s="38">
        <v>900</v>
      </c>
      <c r="AI91" s="88">
        <v>7262</v>
      </c>
      <c r="AJ91" s="38">
        <v>30</v>
      </c>
      <c r="AK91" s="356" t="s">
        <v>370</v>
      </c>
      <c r="AL91" s="356"/>
      <c r="AM91" s="357" t="s">
        <v>371</v>
      </c>
      <c r="AN91" s="358"/>
    </row>
    <row r="92" spans="2:40" ht="13.2" customHeight="1" x14ac:dyDescent="0.2">
      <c r="B92" s="98"/>
      <c r="C92" s="405"/>
      <c r="D92" s="407" t="s">
        <v>242</v>
      </c>
      <c r="E92" s="408"/>
      <c r="F92" s="409"/>
      <c r="G92" s="194"/>
      <c r="I92" s="99">
        <f>IF(G99="1:1.3 Up",0.8*G96,G96)</f>
        <v>0</v>
      </c>
      <c r="J92" s="100"/>
      <c r="K92" s="100" t="e">
        <f>INDEX($AD$8:$AU$19,MATCH(G97,$AD$8:$AD$19,0),MATCH(G91,$AD$8:$AU$8,0))</f>
        <v>#N/A</v>
      </c>
      <c r="L92" s="100"/>
      <c r="M92" s="100">
        <f>G92-G93</f>
        <v>0</v>
      </c>
      <c r="N92" s="100"/>
      <c r="O92" s="100" t="e">
        <f>VLOOKUP(G97,$AD$9:$AU$19,12,FALSE)</f>
        <v>#N/A</v>
      </c>
      <c r="P92" s="100"/>
      <c r="Q92" s="101" t="e">
        <f>((I92+K92)*M92)*O92</f>
        <v>#N/A</v>
      </c>
      <c r="R92" s="101"/>
      <c r="S92" s="101"/>
      <c r="T92" s="100"/>
      <c r="U92" s="100"/>
      <c r="V92" s="100"/>
      <c r="W92" s="100"/>
      <c r="X92" s="100"/>
      <c r="Y92" s="100"/>
      <c r="Z92" s="100"/>
      <c r="AA92" s="102"/>
      <c r="AD92" s="38" t="s">
        <v>214</v>
      </c>
      <c r="AE92" s="38" t="s">
        <v>139</v>
      </c>
      <c r="AF92" s="38">
        <v>5</v>
      </c>
      <c r="AG92" s="38">
        <v>200</v>
      </c>
      <c r="AH92" s="38">
        <v>840</v>
      </c>
      <c r="AI92" s="88">
        <v>7262</v>
      </c>
      <c r="AJ92" s="38">
        <v>25</v>
      </c>
      <c r="AK92" s="356" t="s">
        <v>372</v>
      </c>
      <c r="AL92" s="356"/>
      <c r="AM92" s="357" t="s">
        <v>373</v>
      </c>
      <c r="AN92" s="358"/>
    </row>
    <row r="93" spans="2:40" ht="13.2" customHeight="1" thickBot="1" x14ac:dyDescent="0.25">
      <c r="B93" s="98"/>
      <c r="C93" s="406"/>
      <c r="D93" s="410" t="s">
        <v>251</v>
      </c>
      <c r="E93" s="411"/>
      <c r="F93" s="412"/>
      <c r="G93" s="194"/>
      <c r="I93" s="108" t="s">
        <v>252</v>
      </c>
      <c r="J93" s="109" t="s">
        <v>12</v>
      </c>
      <c r="K93" s="109" t="s">
        <v>253</v>
      </c>
      <c r="L93" s="109" t="s">
        <v>12</v>
      </c>
      <c r="M93" s="109" t="s">
        <v>254</v>
      </c>
      <c r="N93" s="109" t="s">
        <v>235</v>
      </c>
      <c r="O93" s="109" t="s">
        <v>255</v>
      </c>
      <c r="P93" s="109" t="s">
        <v>12</v>
      </c>
      <c r="Q93" s="109" t="s">
        <v>256</v>
      </c>
      <c r="R93" s="109" t="s">
        <v>12</v>
      </c>
      <c r="S93" s="109" t="s">
        <v>257</v>
      </c>
      <c r="T93" s="109" t="s">
        <v>12</v>
      </c>
      <c r="U93" s="109" t="s">
        <v>258</v>
      </c>
      <c r="V93" s="109" t="s">
        <v>12</v>
      </c>
      <c r="W93" s="109" t="s">
        <v>259</v>
      </c>
      <c r="X93" s="109" t="s">
        <v>235</v>
      </c>
      <c r="Y93" s="109" t="s">
        <v>260</v>
      </c>
      <c r="Z93" s="109" t="s">
        <v>10</v>
      </c>
      <c r="AA93" s="110" t="s">
        <v>261</v>
      </c>
      <c r="AB93" s="202" t="s">
        <v>262</v>
      </c>
      <c r="AD93" s="38" t="s">
        <v>214</v>
      </c>
      <c r="AE93" s="38" t="s">
        <v>139</v>
      </c>
      <c r="AF93" s="38">
        <v>5</v>
      </c>
      <c r="AG93" s="38">
        <v>240</v>
      </c>
      <c r="AH93" s="38">
        <v>710</v>
      </c>
      <c r="AI93" s="88">
        <v>7005</v>
      </c>
      <c r="AJ93" s="38">
        <v>20</v>
      </c>
      <c r="AK93" s="356" t="s">
        <v>374</v>
      </c>
      <c r="AL93" s="356"/>
      <c r="AM93" s="357" t="s">
        <v>375</v>
      </c>
      <c r="AN93" s="358"/>
    </row>
    <row r="94" spans="2:40" ht="13.2" customHeight="1" x14ac:dyDescent="0.2">
      <c r="B94" s="407" t="s">
        <v>267</v>
      </c>
      <c r="C94" s="408"/>
      <c r="D94" s="408"/>
      <c r="E94" s="408"/>
      <c r="F94" s="409"/>
      <c r="G94" s="194"/>
      <c r="I94" s="99">
        <f>I92</f>
        <v>0</v>
      </c>
      <c r="J94" s="100"/>
      <c r="K94" s="100" t="e">
        <f>K92</f>
        <v>#N/A</v>
      </c>
      <c r="L94" s="100"/>
      <c r="M94" s="100" t="e">
        <f>VLOOKUP(G91,$AD$24:$AK$29,6,FALSE)</f>
        <v>#N/A</v>
      </c>
      <c r="N94" s="100"/>
      <c r="O94" s="100">
        <f>G93</f>
        <v>0</v>
      </c>
      <c r="P94" s="100"/>
      <c r="Q94" s="120" t="e">
        <f>VLOOKUP(G91,$AD$24:$AH$29,2,FALSE)</f>
        <v>#N/A</v>
      </c>
      <c r="R94" s="100"/>
      <c r="S94" s="120" t="e">
        <f>IF(G99="None",0,VLOOKUP(G91,$AD$24:$AH$29,3,FALSE))</f>
        <v>#N/A</v>
      </c>
      <c r="T94" s="100"/>
      <c r="U94" s="120" t="e">
        <f>IF(G99="None",0,VLOOKUP(G91,$AD$24:$AH$29,4,FALSE))</f>
        <v>#N/A</v>
      </c>
      <c r="V94" s="100"/>
      <c r="W94" s="120">
        <f>IF(G101&gt;0,VLOOKUP(G91,$AD$24:$AH$29,5,FALSE),0)</f>
        <v>0</v>
      </c>
      <c r="X94" s="100"/>
      <c r="Y94" s="100">
        <v>0.05</v>
      </c>
      <c r="Z94" s="100"/>
      <c r="AA94" s="121" t="e">
        <f>(((I94+K94+M94)*O94)+Q94+S94+U94+W94)*Y94</f>
        <v>#N/A</v>
      </c>
      <c r="AB94" s="201">
        <f>IF(G99="None",2*$AL$39,$AL$39)</f>
        <v>3.3333333333333335</v>
      </c>
      <c r="AD94" s="38" t="s">
        <v>214</v>
      </c>
      <c r="AE94" s="38" t="s">
        <v>139</v>
      </c>
      <c r="AF94" s="38">
        <v>5</v>
      </c>
      <c r="AG94" s="80">
        <v>260</v>
      </c>
      <c r="AH94" s="80">
        <v>440</v>
      </c>
      <c r="AI94" s="82">
        <v>3599</v>
      </c>
      <c r="AJ94" s="80">
        <v>15</v>
      </c>
      <c r="AK94" s="289" t="s">
        <v>215</v>
      </c>
      <c r="AL94" s="289"/>
      <c r="AM94" s="289" t="s">
        <v>216</v>
      </c>
      <c r="AN94" s="289"/>
    </row>
    <row r="95" spans="2:40" ht="13.2" customHeight="1" x14ac:dyDescent="0.2">
      <c r="B95" s="407" t="s">
        <v>272</v>
      </c>
      <c r="C95" s="408"/>
      <c r="D95" s="408"/>
      <c r="E95" s="408"/>
      <c r="F95" s="409"/>
      <c r="G95" s="194"/>
      <c r="I95" s="92" t="s">
        <v>110</v>
      </c>
      <c r="J95" s="90" t="s">
        <v>235</v>
      </c>
      <c r="K95" s="90" t="s">
        <v>273</v>
      </c>
      <c r="L95" s="90" t="s">
        <v>12</v>
      </c>
      <c r="M95" s="90" t="s">
        <v>274</v>
      </c>
      <c r="N95" s="90" t="s">
        <v>12</v>
      </c>
      <c r="O95" s="90" t="s">
        <v>275</v>
      </c>
      <c r="P95" s="90" t="s">
        <v>12</v>
      </c>
      <c r="Q95" s="90" t="s">
        <v>276</v>
      </c>
      <c r="R95" s="90" t="s">
        <v>10</v>
      </c>
      <c r="S95" s="112" t="s">
        <v>31</v>
      </c>
      <c r="AA95" s="126"/>
      <c r="AB95" s="200" t="s">
        <v>277</v>
      </c>
      <c r="AD95" s="38" t="s">
        <v>214</v>
      </c>
      <c r="AE95" s="38" t="s">
        <v>139</v>
      </c>
      <c r="AF95" s="38">
        <v>5</v>
      </c>
      <c r="AG95" s="80">
        <v>400</v>
      </c>
      <c r="AH95" s="80">
        <v>300</v>
      </c>
      <c r="AI95" s="82">
        <v>3310</v>
      </c>
      <c r="AJ95" s="80">
        <v>10</v>
      </c>
      <c r="AK95" s="289" t="s">
        <v>217</v>
      </c>
      <c r="AL95" s="289"/>
      <c r="AM95" s="289" t="s">
        <v>218</v>
      </c>
      <c r="AN95" s="289"/>
    </row>
    <row r="96" spans="2:40" ht="13.2" customHeight="1" thickBot="1" x14ac:dyDescent="0.25">
      <c r="B96" s="407" t="s">
        <v>281</v>
      </c>
      <c r="C96" s="408"/>
      <c r="D96" s="408"/>
      <c r="E96" s="408"/>
      <c r="F96" s="409"/>
      <c r="G96" s="194"/>
      <c r="I96" s="99">
        <f>I92</f>
        <v>0</v>
      </c>
      <c r="J96" s="100"/>
      <c r="K96" s="100">
        <f>G95</f>
        <v>0</v>
      </c>
      <c r="L96" s="100"/>
      <c r="M96" s="127">
        <f>G101*0.05</f>
        <v>0</v>
      </c>
      <c r="N96" s="100"/>
      <c r="O96" s="128">
        <f>G100</f>
        <v>0</v>
      </c>
      <c r="P96" s="100"/>
      <c r="Q96" s="100">
        <f>G102*0.3</f>
        <v>0</v>
      </c>
      <c r="R96" s="100"/>
      <c r="S96" s="101">
        <f>(I96*K96)+M96+O96+Q96</f>
        <v>0</v>
      </c>
      <c r="AA96" s="126"/>
      <c r="AB96" s="201">
        <f>$AL$41</f>
        <v>9</v>
      </c>
      <c r="AD96" s="38" t="s">
        <v>376</v>
      </c>
      <c r="AE96" s="38" t="s">
        <v>139</v>
      </c>
      <c r="AF96" s="38">
        <v>7.5</v>
      </c>
      <c r="AG96" s="38">
        <v>260</v>
      </c>
      <c r="AH96" s="38">
        <v>660</v>
      </c>
      <c r="AI96" s="82">
        <v>4804</v>
      </c>
      <c r="AJ96" s="38">
        <v>15</v>
      </c>
      <c r="AK96" s="351" t="s">
        <v>377</v>
      </c>
      <c r="AL96" s="351"/>
      <c r="AM96" s="351" t="s">
        <v>378</v>
      </c>
      <c r="AN96" s="351"/>
    </row>
    <row r="97" spans="2:40" ht="13.2" customHeight="1" x14ac:dyDescent="0.2">
      <c r="B97" s="407" t="s">
        <v>285</v>
      </c>
      <c r="C97" s="408"/>
      <c r="D97" s="408"/>
      <c r="E97" s="408"/>
      <c r="F97" s="409"/>
      <c r="G97" s="195"/>
      <c r="I97" s="108" t="s">
        <v>286</v>
      </c>
      <c r="J97" s="109" t="s">
        <v>12</v>
      </c>
      <c r="K97" s="109" t="s">
        <v>261</v>
      </c>
      <c r="L97" s="109" t="s">
        <v>12</v>
      </c>
      <c r="M97" s="109" t="s">
        <v>287</v>
      </c>
      <c r="N97" s="109" t="s">
        <v>235</v>
      </c>
      <c r="O97" s="109" t="s">
        <v>61</v>
      </c>
      <c r="P97" s="109" t="s">
        <v>10</v>
      </c>
      <c r="Q97" s="129" t="s">
        <v>58</v>
      </c>
      <c r="R97" s="129"/>
      <c r="S97" s="129"/>
      <c r="T97" s="109"/>
      <c r="U97" s="109"/>
      <c r="V97" s="435" t="s">
        <v>50</v>
      </c>
      <c r="W97" s="436"/>
      <c r="X97" s="436"/>
      <c r="Y97" s="436" t="s">
        <v>51</v>
      </c>
      <c r="Z97" s="436"/>
      <c r="AA97" s="437"/>
      <c r="AB97" s="202" t="s">
        <v>257</v>
      </c>
      <c r="AD97" s="38" t="s">
        <v>376</v>
      </c>
      <c r="AE97" s="38" t="s">
        <v>139</v>
      </c>
      <c r="AF97" s="38">
        <v>7.5</v>
      </c>
      <c r="AG97" s="38">
        <v>400</v>
      </c>
      <c r="AH97" s="38">
        <v>460</v>
      </c>
      <c r="AI97" s="82">
        <v>4418</v>
      </c>
      <c r="AJ97" s="38">
        <v>10</v>
      </c>
      <c r="AK97" s="351" t="s">
        <v>379</v>
      </c>
      <c r="AL97" s="351"/>
      <c r="AM97" s="351" t="s">
        <v>380</v>
      </c>
      <c r="AN97" s="351"/>
    </row>
    <row r="98" spans="2:40" ht="13.2" customHeight="1" x14ac:dyDescent="0.2">
      <c r="B98" s="407" t="s">
        <v>124</v>
      </c>
      <c r="C98" s="408"/>
      <c r="D98" s="408"/>
      <c r="E98" s="408"/>
      <c r="F98" s="409"/>
      <c r="G98" s="208"/>
      <c r="I98" s="99" t="e">
        <f>Q92</f>
        <v>#N/A</v>
      </c>
      <c r="J98" s="100"/>
      <c r="K98" s="127" t="e">
        <f>AA94</f>
        <v>#N/A</v>
      </c>
      <c r="L98" s="100"/>
      <c r="M98" s="100">
        <f>S96</f>
        <v>0</v>
      </c>
      <c r="N98" s="100"/>
      <c r="O98" s="100">
        <v>1.25</v>
      </c>
      <c r="P98" s="100"/>
      <c r="Q98" s="101" t="e">
        <f>(I98+K98+M98)*O98</f>
        <v>#N/A</v>
      </c>
      <c r="R98" s="101"/>
      <c r="S98" s="101"/>
      <c r="T98" s="100"/>
      <c r="U98" s="100"/>
      <c r="V98" s="428" t="str">
        <f>IFERROR(IF(Q98&gt;MAX($AF$37:$AF$44),"EXCEEDS MAX EBP",""),"")</f>
        <v/>
      </c>
      <c r="W98" s="421"/>
      <c r="X98" s="421"/>
      <c r="Y98" s="429" t="str">
        <f>IFERROR(IF(G98="MOTOVARIO",INDEX($AE$104:$AE$157,MATCH(1,INDEX((G94&lt;=$AG$104:$AG$157)*(Q100&lt;=$AF$104:$AF$157)*(Q98&lt;=$AH$104:$AH$157),0,0),0))&amp;" DIRECT DRIVE",IF(G98="DODGE",INDEX($AE$51:$AE$97,MATCH(1,INDEX((G94&lt;=$AG$51:$AG$97)*(Q100&lt;=$AF$51:$AF$97)*(Q98&lt;=$AH$51:$AH$97),0,0),0))&amp;" DIRECT DRIVE",INDEX($AD$37:$AD$44,MATCH(1,INDEX((Q98&lt;=$AF$37:$AF$44)*(Q100&lt;=$AE$37:$AE$44),0,0),0)))),"")</f>
        <v/>
      </c>
      <c r="Z98" s="429"/>
      <c r="AA98" s="430"/>
      <c r="AB98" s="201" t="e">
        <f>IF(G99="none",0,VLOOKUP(G91,$AN$38:$AP$43,3,FALSE))</f>
        <v>#N/A</v>
      </c>
      <c r="AD98" s="59"/>
      <c r="AE98" s="2"/>
      <c r="AF98" s="2"/>
      <c r="AG98" s="2"/>
      <c r="AH98" s="2"/>
      <c r="AI98" s="2"/>
      <c r="AJ98" s="2"/>
      <c r="AK98" s="76"/>
      <c r="AL98" s="76"/>
      <c r="AM98" s="2"/>
      <c r="AN98" s="2"/>
    </row>
    <row r="99" spans="2:40" ht="13.2" customHeight="1" x14ac:dyDescent="0.2">
      <c r="B99" s="407" t="s">
        <v>296</v>
      </c>
      <c r="C99" s="408"/>
      <c r="D99" s="408"/>
      <c r="E99" s="408"/>
      <c r="F99" s="409"/>
      <c r="G99" s="196"/>
      <c r="I99" s="108" t="s">
        <v>297</v>
      </c>
      <c r="J99" s="109" t="s">
        <v>235</v>
      </c>
      <c r="K99" s="109" t="s">
        <v>298</v>
      </c>
      <c r="L99" s="109" t="s">
        <v>75</v>
      </c>
      <c r="M99" s="109" t="s">
        <v>299</v>
      </c>
      <c r="N99" s="109" t="s">
        <v>235</v>
      </c>
      <c r="O99" s="109" t="s">
        <v>300</v>
      </c>
      <c r="P99" s="109" t="s">
        <v>10</v>
      </c>
      <c r="Q99" s="129" t="s">
        <v>108</v>
      </c>
      <c r="R99" s="129"/>
      <c r="S99" s="129"/>
      <c r="T99" s="109"/>
      <c r="U99" s="109"/>
      <c r="V99" s="428" t="str">
        <f>IFERROR(IF(Q100&gt;MAX($AE$37:$AE$44),"EXCEEDS MAX HP",""),"")</f>
        <v/>
      </c>
      <c r="W99" s="421"/>
      <c r="X99" s="421"/>
      <c r="Y99" s="429" t="str">
        <f>IFERROR(IF(G98="Motovario",INDEX($AF$104:$AF$157,MATCH(1,INDEX((G94&lt;=$AG$104:$AG$157)*(Q100&lt;=$AF$104:$AF$157)*(Q98&lt;=$AH$104:$AH$157),0,0),0)),IF(G98="Dodge",INDEX($AF$51:$AF$97,MATCH(1,INDEX((G94&lt;=$AG$51:$AG$97)*(Q100&lt;=$AF$51:$AF$97)*(Q98&lt;=$AH$51:$AH$97),0,0),0)),INDEX($AE$37:$AE$44,MATCH(1,INDEX((Q98&lt;=$AF$37:$AF$44)*(Q100&lt;=$AE$37:$AE$44),0,0),0))))&amp;" HP","")</f>
        <v/>
      </c>
      <c r="Z99" s="429"/>
      <c r="AA99" s="430"/>
      <c r="AB99" s="200" t="s">
        <v>258</v>
      </c>
      <c r="AD99" s="283" t="s">
        <v>381</v>
      </c>
      <c r="AE99" s="283"/>
      <c r="AF99" s="283"/>
      <c r="AG99" s="283"/>
      <c r="AH99" s="283"/>
      <c r="AI99" s="283"/>
      <c r="AJ99" s="283"/>
      <c r="AK99" s="283"/>
      <c r="AL99" s="283"/>
      <c r="AM99" s="283"/>
      <c r="AN99" s="283"/>
    </row>
    <row r="100" spans="2:40" ht="13.2" customHeight="1" thickBot="1" x14ac:dyDescent="0.25">
      <c r="B100" s="410" t="s">
        <v>305</v>
      </c>
      <c r="C100" s="411"/>
      <c r="D100" s="411"/>
      <c r="E100" s="411"/>
      <c r="F100" s="412"/>
      <c r="G100" s="197"/>
      <c r="I100" s="136" t="e">
        <f>Q98</f>
        <v>#N/A</v>
      </c>
      <c r="K100" s="90">
        <f>G94</f>
        <v>0</v>
      </c>
      <c r="M100" s="90">
        <v>33000</v>
      </c>
      <c r="O100" s="90">
        <f>IF(G98="N",IF(G94&lt;100,0.8,IF(G94&lt;200,0.85,0.9)),0.95)</f>
        <v>0.95</v>
      </c>
      <c r="Q100" s="137" t="e">
        <f>(I100*K100)/(M100*O100)</f>
        <v>#N/A</v>
      </c>
      <c r="R100" s="137"/>
      <c r="S100" s="137"/>
      <c r="V100" s="428" t="str">
        <f>IF(Y100="","",IF(Y100&gt;VLOOKUP(G91,$AD$24:$AK$29,8),"EXCEEDS MAX QTY",""))</f>
        <v/>
      </c>
      <c r="W100" s="421"/>
      <c r="X100" s="421"/>
      <c r="Y100" s="215" t="str">
        <f>IFERROR(ROUNDUP(Q98/100,0),"")</f>
        <v/>
      </c>
      <c r="Z100" s="426" t="str">
        <f>IF(Y100="","","LONG SPRINGS")</f>
        <v/>
      </c>
      <c r="AA100" s="427"/>
      <c r="AB100" s="201" t="e">
        <f>IF(U94=0,0,$AL$40)</f>
        <v>#N/A</v>
      </c>
      <c r="AD100" s="280" t="s">
        <v>382</v>
      </c>
      <c r="AE100" s="280"/>
      <c r="AF100" s="280"/>
      <c r="AG100" s="280"/>
      <c r="AH100" s="280"/>
      <c r="AI100" s="280"/>
      <c r="AJ100" s="280"/>
      <c r="AK100" s="280"/>
      <c r="AL100" s="280"/>
      <c r="AM100" s="280"/>
      <c r="AN100" s="280"/>
    </row>
    <row r="101" spans="2:40" ht="13.2" customHeight="1" x14ac:dyDescent="0.2">
      <c r="B101" s="410" t="s">
        <v>309</v>
      </c>
      <c r="C101" s="411"/>
      <c r="D101" s="411"/>
      <c r="E101" s="411"/>
      <c r="F101" s="412"/>
      <c r="G101" s="198"/>
      <c r="I101" s="423" t="s">
        <v>133</v>
      </c>
      <c r="J101" s="424"/>
      <c r="K101" s="424"/>
      <c r="L101" s="424"/>
      <c r="M101" s="424"/>
      <c r="N101" s="424"/>
      <c r="O101" s="424"/>
      <c r="P101" s="424"/>
      <c r="Q101" s="424"/>
      <c r="R101" s="424"/>
      <c r="S101" s="424"/>
      <c r="T101" s="424"/>
      <c r="U101" s="425"/>
      <c r="V101" s="420" t="str">
        <f>IF(Y101="","",IF(Y101&gt;VLOOKUP(G91,$AD$24:$AK$29,8),"EXCEEDS MAX QTY",""))</f>
        <v/>
      </c>
      <c r="W101" s="421"/>
      <c r="X101" s="421"/>
      <c r="Y101" s="215" t="str">
        <f>IFERROR(ROUNDUP(Q98/80,0),"")</f>
        <v/>
      </c>
      <c r="Z101" s="426" t="str">
        <f>IF(Y101="","","SHORT SPRINGS")</f>
        <v/>
      </c>
      <c r="AA101" s="427"/>
      <c r="AB101" s="203" t="s">
        <v>310</v>
      </c>
      <c r="AD101" s="359" t="s">
        <v>383</v>
      </c>
      <c r="AE101" s="359"/>
      <c r="AF101" s="359"/>
      <c r="AG101" s="359"/>
      <c r="AH101" s="359"/>
      <c r="AI101" s="359"/>
      <c r="AJ101" s="359"/>
      <c r="AK101" s="359"/>
      <c r="AL101" s="359"/>
      <c r="AM101" s="359"/>
      <c r="AN101" s="359"/>
    </row>
    <row r="102" spans="2:40" ht="13.2" customHeight="1" thickBot="1" x14ac:dyDescent="0.25">
      <c r="B102" s="414" t="s">
        <v>315</v>
      </c>
      <c r="C102" s="415"/>
      <c r="D102" s="415"/>
      <c r="E102" s="415"/>
      <c r="F102" s="416"/>
      <c r="G102" s="199"/>
      <c r="I102" s="108"/>
      <c r="J102" s="417" t="s">
        <v>134</v>
      </c>
      <c r="K102" s="417"/>
      <c r="L102" s="418" t="str">
        <f>IFERROR(Q98*L103/2,"")</f>
        <v/>
      </c>
      <c r="M102" s="418"/>
      <c r="N102" s="109"/>
      <c r="O102" s="417" t="s">
        <v>135</v>
      </c>
      <c r="P102" s="417"/>
      <c r="Q102" s="419" t="str">
        <f>IFERROR(IF(G98="Motovario",INDEX($AI$104:$AI$157,MATCH(1,INDEX((G94&lt;=$AG$104:$AG$157)*(Q100&lt;=$AF$104:$AF$157)*(Q98&lt;=$AH$104:$AH$157),0,0),0)),IF(G98="Dodge",INDEX($AI$51:$AI$97,MATCH(1,INDEX((G94&lt;=$AG$51:$AG$97)*(Q100&lt;=$AF$51:$AF$97)*(Q98&lt;=$AH$51:$AH$97),0,0),0)),"")),"")</f>
        <v/>
      </c>
      <c r="R102" s="419"/>
      <c r="S102" s="419"/>
      <c r="T102" s="419"/>
      <c r="U102" s="139"/>
      <c r="V102" s="420" t="str">
        <f>IF(AA91&lt;0,"",IF(G93&gt;AA91,"EXCEEDS MAX LR",""))</f>
        <v/>
      </c>
      <c r="W102" s="421"/>
      <c r="X102" s="421"/>
      <c r="Y102" s="345"/>
      <c r="Z102" s="345"/>
      <c r="AA102" s="346"/>
      <c r="AB102" s="204">
        <f>IF(G101&gt;0,$AL$42,0)</f>
        <v>0</v>
      </c>
      <c r="AD102" s="336" t="s">
        <v>222</v>
      </c>
      <c r="AE102" s="336"/>
      <c r="AF102" s="336"/>
      <c r="AG102" s="336"/>
      <c r="AH102" s="336"/>
      <c r="AI102" s="336"/>
      <c r="AJ102" s="336"/>
      <c r="AK102" s="336"/>
      <c r="AL102" s="336"/>
      <c r="AM102" s="336"/>
      <c r="AN102" s="336"/>
    </row>
    <row r="103" spans="2:40" ht="13.2" customHeight="1" thickBot="1" x14ac:dyDescent="0.25">
      <c r="B103" s="388" t="s">
        <v>78</v>
      </c>
      <c r="C103" s="389"/>
      <c r="D103" s="390"/>
      <c r="E103" s="391"/>
      <c r="F103" s="391"/>
      <c r="G103" s="392"/>
      <c r="H103" s="391"/>
      <c r="I103" s="93"/>
      <c r="J103" s="393" t="s">
        <v>136</v>
      </c>
      <c r="K103" s="393"/>
      <c r="L103" s="394" t="str">
        <f>IFERROR(VALUE(LEFT(Y98,SEARCH("CD",Y98)-1))+0.5,"")</f>
        <v/>
      </c>
      <c r="M103" s="394"/>
      <c r="N103" s="94"/>
      <c r="O103" s="395" t="s">
        <v>137</v>
      </c>
      <c r="P103" s="395"/>
      <c r="Q103" s="396" t="str">
        <f>IFERROR(Q102/L102,"")</f>
        <v/>
      </c>
      <c r="R103" s="396"/>
      <c r="S103" s="396"/>
      <c r="T103" s="396"/>
      <c r="U103" s="140"/>
      <c r="V103" s="397" t="str">
        <f>IF(G92&gt;150,"VERY LONG","")</f>
        <v/>
      </c>
      <c r="W103" s="398"/>
      <c r="X103" s="398"/>
      <c r="Y103" s="348" t="str">
        <f>IF(G98="MOTOVARIO","DD NOM SPEED: "&amp;INDEX($AG$104:$AG$157,MATCH(1,INDEX((G94&lt;=$AG$104:$AG$157)*(Q100&lt;=$AF$104:$AF$157)*(Q98&lt;=$AH$104:$AH$157),0,0),0)),IF(G98="DODGE)","DD NOM SPEED: "&amp;INDEX($AG$51:$AG$97,MATCH(1,INDEX((G94&lt;=$AG$51:$AG$97)*(Q100&lt;=$AF$51:$AF$97)*(Q98&lt;=$AH$51:$AH$97),0,0),0)),""))</f>
        <v/>
      </c>
      <c r="Z103" s="348"/>
      <c r="AA103" s="349"/>
      <c r="AD103" s="33" t="s">
        <v>364</v>
      </c>
      <c r="AE103" s="33" t="s">
        <v>128</v>
      </c>
      <c r="AF103" s="33" t="s">
        <v>108</v>
      </c>
      <c r="AG103" s="33" t="s">
        <v>144</v>
      </c>
      <c r="AH103" s="33" t="s">
        <v>145</v>
      </c>
      <c r="AI103" s="33" t="s">
        <v>135</v>
      </c>
      <c r="AJ103" s="33" t="s">
        <v>146</v>
      </c>
      <c r="AK103" s="33" t="s">
        <v>223</v>
      </c>
      <c r="AL103" s="33" t="s">
        <v>384</v>
      </c>
      <c r="AM103" s="2"/>
      <c r="AN103" s="2"/>
    </row>
    <row r="104" spans="2:40" ht="13.2" customHeight="1" thickBot="1" x14ac:dyDescent="0.25">
      <c r="AD104" s="34" t="s">
        <v>149</v>
      </c>
      <c r="AE104" s="34" t="s">
        <v>132</v>
      </c>
      <c r="AF104" s="34">
        <v>1</v>
      </c>
      <c r="AG104" s="34">
        <v>60</v>
      </c>
      <c r="AH104" s="34">
        <v>375</v>
      </c>
      <c r="AI104" s="46">
        <v>1881</v>
      </c>
      <c r="AJ104" s="34">
        <v>50</v>
      </c>
      <c r="AK104" s="34" t="s">
        <v>225</v>
      </c>
      <c r="AL104" s="34">
        <v>5650</v>
      </c>
      <c r="AM104" s="2"/>
      <c r="AN104" s="2"/>
    </row>
    <row r="105" spans="2:40" ht="13.2" customHeight="1" thickBot="1" x14ac:dyDescent="0.25">
      <c r="B105" s="95"/>
      <c r="C105" s="91" t="s">
        <v>5</v>
      </c>
      <c r="D105" s="403" t="s">
        <v>232</v>
      </c>
      <c r="E105" s="403"/>
      <c r="F105" s="404"/>
      <c r="G105" s="193"/>
      <c r="H105" s="96"/>
      <c r="I105" s="216" t="s">
        <v>233</v>
      </c>
      <c r="J105" s="91" t="s">
        <v>12</v>
      </c>
      <c r="K105" s="91" t="s">
        <v>234</v>
      </c>
      <c r="L105" s="91" t="s">
        <v>235</v>
      </c>
      <c r="M105" s="91" t="s">
        <v>236</v>
      </c>
      <c r="N105" s="91" t="s">
        <v>235</v>
      </c>
      <c r="O105" s="91" t="s">
        <v>237</v>
      </c>
      <c r="P105" s="91" t="s">
        <v>10</v>
      </c>
      <c r="Q105" s="97" t="s">
        <v>238</v>
      </c>
      <c r="R105" s="97"/>
      <c r="S105" s="97"/>
      <c r="T105" s="91"/>
      <c r="U105" s="91"/>
      <c r="V105" s="91"/>
      <c r="W105" s="91"/>
      <c r="X105" s="91"/>
      <c r="Y105" s="226" t="str">
        <f>IF(G107&gt;0,"Suggested Max LR","")</f>
        <v/>
      </c>
      <c r="Z105" s="227" t="str">
        <f>IF(G107&gt;0,"=","")</f>
        <v/>
      </c>
      <c r="AA105" s="228" t="str">
        <f>IF(G107&gt;0,G106-(AB108+AB110+AB112+AB114+AB116),"")</f>
        <v/>
      </c>
      <c r="AB105" s="90" t="s">
        <v>239</v>
      </c>
      <c r="AD105" s="38" t="s">
        <v>149</v>
      </c>
      <c r="AE105" s="38" t="s">
        <v>132</v>
      </c>
      <c r="AF105" s="34">
        <v>1</v>
      </c>
      <c r="AG105" s="38">
        <v>75</v>
      </c>
      <c r="AH105" s="38">
        <v>315</v>
      </c>
      <c r="AI105" s="47">
        <v>2029</v>
      </c>
      <c r="AJ105" s="38">
        <v>40</v>
      </c>
      <c r="AK105" s="38" t="s">
        <v>225</v>
      </c>
      <c r="AL105" s="38">
        <v>5640</v>
      </c>
      <c r="AM105" s="2" t="str">
        <f>IFERROR(INDEX(AM104:AM$159,MATCH($AG105,AI104:AI$159,0)),"")</f>
        <v/>
      </c>
      <c r="AN105" s="2" t="str">
        <f>IFERROR(INDEX(AN104:AN$159,MATCH($AG105,AM104:AM$159,0)),"")</f>
        <v/>
      </c>
    </row>
    <row r="106" spans="2:40" ht="13.2" customHeight="1" x14ac:dyDescent="0.2">
      <c r="B106" s="98"/>
      <c r="C106" s="405"/>
      <c r="D106" s="407" t="s">
        <v>242</v>
      </c>
      <c r="E106" s="408"/>
      <c r="F106" s="409"/>
      <c r="G106" s="194"/>
      <c r="I106" s="99">
        <f>IF(G113="1:1.3 Up",0.8*G110,G110)</f>
        <v>0</v>
      </c>
      <c r="J106" s="100"/>
      <c r="K106" s="100" t="e">
        <f>INDEX($AD$8:$AU$19,MATCH(G111,$AD$8:$AD$19,0),MATCH(G105,$AD$8:$AU$8,0))</f>
        <v>#N/A</v>
      </c>
      <c r="L106" s="100"/>
      <c r="M106" s="100">
        <f>G106-G107</f>
        <v>0</v>
      </c>
      <c r="N106" s="100"/>
      <c r="O106" s="100" t="e">
        <f>VLOOKUP(G111,$AD$9:$AU$19,12,FALSE)</f>
        <v>#N/A</v>
      </c>
      <c r="P106" s="100"/>
      <c r="Q106" s="101" t="e">
        <f>((I106+K106)*M106)*O106</f>
        <v>#N/A</v>
      </c>
      <c r="R106" s="101"/>
      <c r="S106" s="101"/>
      <c r="T106" s="100"/>
      <c r="U106" s="100"/>
      <c r="V106" s="100"/>
      <c r="W106" s="100"/>
      <c r="X106" s="100"/>
      <c r="Y106" s="100"/>
      <c r="Z106" s="100"/>
      <c r="AA106" s="102"/>
      <c r="AD106" s="38" t="s">
        <v>149</v>
      </c>
      <c r="AE106" s="38" t="s">
        <v>132</v>
      </c>
      <c r="AF106" s="34">
        <v>1</v>
      </c>
      <c r="AG106" s="38">
        <v>100</v>
      </c>
      <c r="AH106" s="38">
        <v>250</v>
      </c>
      <c r="AI106" s="47">
        <v>2028</v>
      </c>
      <c r="AJ106" s="38">
        <v>30</v>
      </c>
      <c r="AK106" s="38" t="s">
        <v>225</v>
      </c>
      <c r="AL106" s="38">
        <v>5630</v>
      </c>
      <c r="AM106" s="2"/>
      <c r="AN106" s="2"/>
    </row>
    <row r="107" spans="2:40" ht="13.2" customHeight="1" thickBot="1" x14ac:dyDescent="0.25">
      <c r="B107" s="98"/>
      <c r="C107" s="406"/>
      <c r="D107" s="410" t="s">
        <v>251</v>
      </c>
      <c r="E107" s="411"/>
      <c r="F107" s="412"/>
      <c r="G107" s="194"/>
      <c r="I107" s="108" t="s">
        <v>252</v>
      </c>
      <c r="J107" s="109" t="s">
        <v>12</v>
      </c>
      <c r="K107" s="109" t="s">
        <v>253</v>
      </c>
      <c r="L107" s="109" t="s">
        <v>12</v>
      </c>
      <c r="M107" s="109" t="s">
        <v>254</v>
      </c>
      <c r="N107" s="109" t="s">
        <v>235</v>
      </c>
      <c r="O107" s="109" t="s">
        <v>255</v>
      </c>
      <c r="P107" s="109" t="s">
        <v>12</v>
      </c>
      <c r="Q107" s="109" t="s">
        <v>256</v>
      </c>
      <c r="R107" s="109" t="s">
        <v>12</v>
      </c>
      <c r="S107" s="109" t="s">
        <v>257</v>
      </c>
      <c r="T107" s="109" t="s">
        <v>12</v>
      </c>
      <c r="U107" s="109" t="s">
        <v>258</v>
      </c>
      <c r="V107" s="109" t="s">
        <v>12</v>
      </c>
      <c r="W107" s="109" t="s">
        <v>259</v>
      </c>
      <c r="X107" s="109" t="s">
        <v>235</v>
      </c>
      <c r="Y107" s="109" t="s">
        <v>260</v>
      </c>
      <c r="Z107" s="109" t="s">
        <v>10</v>
      </c>
      <c r="AA107" s="110" t="s">
        <v>261</v>
      </c>
      <c r="AB107" s="202" t="s">
        <v>262</v>
      </c>
      <c r="AD107" s="38" t="s">
        <v>149</v>
      </c>
      <c r="AE107" s="38" t="s">
        <v>132</v>
      </c>
      <c r="AF107" s="34">
        <v>1</v>
      </c>
      <c r="AG107" s="38">
        <v>120</v>
      </c>
      <c r="AH107" s="38">
        <v>220</v>
      </c>
      <c r="AI107" s="47">
        <v>1784</v>
      </c>
      <c r="AJ107" s="38">
        <v>25</v>
      </c>
      <c r="AK107" s="38" t="s">
        <v>225</v>
      </c>
      <c r="AL107" s="38">
        <v>5625</v>
      </c>
      <c r="AM107" s="2"/>
      <c r="AN107" s="2"/>
    </row>
    <row r="108" spans="2:40" ht="13.2" customHeight="1" x14ac:dyDescent="0.2">
      <c r="B108" s="407" t="s">
        <v>267</v>
      </c>
      <c r="C108" s="408"/>
      <c r="D108" s="408"/>
      <c r="E108" s="408"/>
      <c r="F108" s="409"/>
      <c r="G108" s="194"/>
      <c r="I108" s="99">
        <f>I106</f>
        <v>0</v>
      </c>
      <c r="J108" s="100"/>
      <c r="K108" s="100" t="e">
        <f>K106</f>
        <v>#N/A</v>
      </c>
      <c r="L108" s="100"/>
      <c r="M108" s="100" t="e">
        <f>VLOOKUP(G105,$AD$24:$AK$29,6,FALSE)</f>
        <v>#N/A</v>
      </c>
      <c r="N108" s="100"/>
      <c r="O108" s="100">
        <f>G107</f>
        <v>0</v>
      </c>
      <c r="P108" s="100"/>
      <c r="Q108" s="120" t="e">
        <f>VLOOKUP(G105,$AD$24:$AH$29,2,FALSE)</f>
        <v>#N/A</v>
      </c>
      <c r="R108" s="100"/>
      <c r="S108" s="120" t="e">
        <f>IF(G113="None",0,VLOOKUP(G105,$AD$24:$AH$29,3,FALSE))</f>
        <v>#N/A</v>
      </c>
      <c r="T108" s="100"/>
      <c r="U108" s="120" t="e">
        <f>IF(G113="None",0,VLOOKUP(G105,$AD$24:$AH$29,4,FALSE))</f>
        <v>#N/A</v>
      </c>
      <c r="V108" s="100"/>
      <c r="W108" s="120">
        <f>IF(G115&gt;0,VLOOKUP(G105,$AD$24:$AH$29,5,FALSE),0)</f>
        <v>0</v>
      </c>
      <c r="X108" s="100"/>
      <c r="Y108" s="100">
        <v>0.05</v>
      </c>
      <c r="Z108" s="100"/>
      <c r="AA108" s="121" t="e">
        <f>(((I108+K108+M108)*O108)+Q108+S108+U108+W108)*Y108</f>
        <v>#N/A</v>
      </c>
      <c r="AB108" s="201">
        <f>IF(G113="None",2*$AL$39,$AL$39)</f>
        <v>3.3333333333333335</v>
      </c>
      <c r="AD108" s="38" t="s">
        <v>149</v>
      </c>
      <c r="AE108" s="38" t="s">
        <v>132</v>
      </c>
      <c r="AF108" s="34">
        <v>1</v>
      </c>
      <c r="AG108" s="38">
        <v>150</v>
      </c>
      <c r="AH108" s="38">
        <v>180</v>
      </c>
      <c r="AI108" s="47">
        <v>1953</v>
      </c>
      <c r="AJ108" s="38">
        <v>20</v>
      </c>
      <c r="AK108" s="38" t="s">
        <v>225</v>
      </c>
      <c r="AL108" s="38">
        <v>5620</v>
      </c>
      <c r="AM108" s="2"/>
      <c r="AN108" s="2"/>
    </row>
    <row r="109" spans="2:40" ht="13.2" customHeight="1" x14ac:dyDescent="0.2">
      <c r="B109" s="407" t="s">
        <v>272</v>
      </c>
      <c r="C109" s="408"/>
      <c r="D109" s="408"/>
      <c r="E109" s="408"/>
      <c r="F109" s="409"/>
      <c r="G109" s="194"/>
      <c r="I109" s="92" t="s">
        <v>110</v>
      </c>
      <c r="J109" s="90" t="s">
        <v>235</v>
      </c>
      <c r="K109" s="90" t="s">
        <v>273</v>
      </c>
      <c r="L109" s="90" t="s">
        <v>12</v>
      </c>
      <c r="M109" s="90" t="s">
        <v>274</v>
      </c>
      <c r="N109" s="90" t="s">
        <v>12</v>
      </c>
      <c r="O109" s="90" t="s">
        <v>275</v>
      </c>
      <c r="P109" s="90" t="s">
        <v>12</v>
      </c>
      <c r="Q109" s="90" t="s">
        <v>276</v>
      </c>
      <c r="R109" s="90" t="s">
        <v>10</v>
      </c>
      <c r="S109" s="112" t="s">
        <v>31</v>
      </c>
      <c r="AA109" s="126"/>
      <c r="AB109" s="200" t="s">
        <v>277</v>
      </c>
      <c r="AD109" s="38" t="s">
        <v>149</v>
      </c>
      <c r="AE109" s="38" t="s">
        <v>132</v>
      </c>
      <c r="AF109" s="34">
        <v>1</v>
      </c>
      <c r="AG109" s="38">
        <v>200</v>
      </c>
      <c r="AH109" s="38">
        <v>140</v>
      </c>
      <c r="AI109" s="47">
        <v>1900</v>
      </c>
      <c r="AJ109" s="38">
        <v>15</v>
      </c>
      <c r="AK109" s="38" t="s">
        <v>225</v>
      </c>
      <c r="AL109" s="38">
        <v>5615</v>
      </c>
      <c r="AM109" s="2"/>
      <c r="AN109" s="2"/>
    </row>
    <row r="110" spans="2:40" ht="13.2" customHeight="1" thickBot="1" x14ac:dyDescent="0.25">
      <c r="B110" s="407" t="s">
        <v>281</v>
      </c>
      <c r="C110" s="408"/>
      <c r="D110" s="408"/>
      <c r="E110" s="408"/>
      <c r="F110" s="409"/>
      <c r="G110" s="194"/>
      <c r="I110" s="99">
        <f>I106</f>
        <v>0</v>
      </c>
      <c r="J110" s="100"/>
      <c r="K110" s="100">
        <f>G109</f>
        <v>0</v>
      </c>
      <c r="L110" s="100"/>
      <c r="M110" s="127">
        <f>G115*0.05</f>
        <v>0</v>
      </c>
      <c r="N110" s="100"/>
      <c r="O110" s="128">
        <f>G114</f>
        <v>0</v>
      </c>
      <c r="P110" s="100"/>
      <c r="Q110" s="100">
        <f>G116*0.3</f>
        <v>0</v>
      </c>
      <c r="R110" s="100"/>
      <c r="S110" s="101">
        <f>(I110*K110)+M110+O110+Q110</f>
        <v>0</v>
      </c>
      <c r="AA110" s="126"/>
      <c r="AB110" s="201">
        <f>$AL$41</f>
        <v>9</v>
      </c>
      <c r="AD110" s="38" t="s">
        <v>149</v>
      </c>
      <c r="AE110" s="38" t="s">
        <v>132</v>
      </c>
      <c r="AF110" s="34">
        <v>1</v>
      </c>
      <c r="AG110" s="38">
        <v>300</v>
      </c>
      <c r="AH110" s="38">
        <v>90</v>
      </c>
      <c r="AI110" s="47">
        <v>1656</v>
      </c>
      <c r="AJ110" s="38">
        <v>10</v>
      </c>
      <c r="AK110" s="38" t="s">
        <v>225</v>
      </c>
      <c r="AL110" s="38">
        <v>5610</v>
      </c>
      <c r="AM110" s="2"/>
      <c r="AN110" s="2"/>
    </row>
    <row r="111" spans="2:40" ht="13.2" customHeight="1" x14ac:dyDescent="0.2">
      <c r="B111" s="407" t="s">
        <v>285</v>
      </c>
      <c r="C111" s="408"/>
      <c r="D111" s="408"/>
      <c r="E111" s="408"/>
      <c r="F111" s="409"/>
      <c r="G111" s="195"/>
      <c r="I111" s="108" t="s">
        <v>286</v>
      </c>
      <c r="J111" s="109" t="s">
        <v>12</v>
      </c>
      <c r="K111" s="109" t="s">
        <v>261</v>
      </c>
      <c r="L111" s="109" t="s">
        <v>12</v>
      </c>
      <c r="M111" s="109" t="s">
        <v>287</v>
      </c>
      <c r="N111" s="109" t="s">
        <v>235</v>
      </c>
      <c r="O111" s="109" t="s">
        <v>61</v>
      </c>
      <c r="P111" s="109" t="s">
        <v>10</v>
      </c>
      <c r="Q111" s="129" t="s">
        <v>58</v>
      </c>
      <c r="R111" s="129"/>
      <c r="S111" s="129"/>
      <c r="T111" s="109"/>
      <c r="U111" s="109"/>
      <c r="V111" s="435" t="s">
        <v>50</v>
      </c>
      <c r="W111" s="436"/>
      <c r="X111" s="436"/>
      <c r="Y111" s="436" t="s">
        <v>51</v>
      </c>
      <c r="Z111" s="436"/>
      <c r="AA111" s="437"/>
      <c r="AB111" s="202" t="s">
        <v>257</v>
      </c>
      <c r="AD111" s="38" t="s">
        <v>149</v>
      </c>
      <c r="AE111" s="38" t="s">
        <v>132</v>
      </c>
      <c r="AF111" s="34">
        <v>1</v>
      </c>
      <c r="AG111" s="38">
        <v>400</v>
      </c>
      <c r="AH111" s="38">
        <v>72</v>
      </c>
      <c r="AI111" s="47">
        <v>1555</v>
      </c>
      <c r="AJ111" s="38">
        <v>7.5</v>
      </c>
      <c r="AK111" s="38" t="s">
        <v>225</v>
      </c>
      <c r="AL111" s="38">
        <v>5675</v>
      </c>
      <c r="AM111" s="2"/>
      <c r="AN111" s="2"/>
    </row>
    <row r="112" spans="2:40" ht="13.2" customHeight="1" x14ac:dyDescent="0.2">
      <c r="B112" s="407" t="s">
        <v>124</v>
      </c>
      <c r="C112" s="408"/>
      <c r="D112" s="408"/>
      <c r="E112" s="408"/>
      <c r="F112" s="409"/>
      <c r="G112" s="208"/>
      <c r="I112" s="99" t="e">
        <f>Q106</f>
        <v>#N/A</v>
      </c>
      <c r="J112" s="100"/>
      <c r="K112" s="127" t="e">
        <f>AA108</f>
        <v>#N/A</v>
      </c>
      <c r="L112" s="100"/>
      <c r="M112" s="100">
        <f>S110</f>
        <v>0</v>
      </c>
      <c r="N112" s="100"/>
      <c r="O112" s="100">
        <v>1.25</v>
      </c>
      <c r="P112" s="100"/>
      <c r="Q112" s="101" t="e">
        <f>(I112+K112+M112)*O112</f>
        <v>#N/A</v>
      </c>
      <c r="R112" s="101"/>
      <c r="S112" s="101"/>
      <c r="T112" s="100"/>
      <c r="U112" s="100"/>
      <c r="V112" s="428" t="str">
        <f>IFERROR(IF(Q112&gt;MAX($AF$37:$AF$44),"EXCEEDS MAX EBP",""),"")</f>
        <v/>
      </c>
      <c r="W112" s="421"/>
      <c r="X112" s="421"/>
      <c r="Y112" s="429" t="str">
        <f>IFERROR(IF(G112="MOTOVARIO",INDEX($AE$104:$AE$157,MATCH(1,INDEX((G108&lt;=$AG$104:$AG$157)*(Q114&lt;=$AF$104:$AF$157)*(Q112&lt;=$AH$104:$AH$157),0,0),0))&amp;" DIRECT DRIVE",IF(G112="DODGE",INDEX($AE$51:$AE$97,MATCH(1,INDEX((G108&lt;=$AG$51:$AG$97)*(Q114&lt;=$AF$51:$AF$97)*(Q112&lt;=$AH$51:$AH$97),0,0),0))&amp;" DIRECT DRIVE",INDEX($AD$37:$AD$44,MATCH(1,INDEX((Q112&lt;=$AF$37:$AF$44)*(Q114&lt;=$AE$37:$AE$44),0,0),0)))),"")</f>
        <v/>
      </c>
      <c r="Z112" s="429"/>
      <c r="AA112" s="430"/>
      <c r="AB112" s="201" t="e">
        <f>IF(G113="none",0,VLOOKUP(G105,$AN$38:$AP$43,3,FALSE))</f>
        <v>#N/A</v>
      </c>
      <c r="AD112" s="38" t="s">
        <v>166</v>
      </c>
      <c r="AE112" s="38" t="s">
        <v>132</v>
      </c>
      <c r="AF112" s="38">
        <v>1.5</v>
      </c>
      <c r="AG112" s="38">
        <v>75</v>
      </c>
      <c r="AH112" s="38">
        <v>375</v>
      </c>
      <c r="AI112" s="47">
        <v>2029</v>
      </c>
      <c r="AJ112" s="38">
        <v>40</v>
      </c>
      <c r="AK112" s="38" t="s">
        <v>225</v>
      </c>
      <c r="AL112" s="38">
        <v>5640</v>
      </c>
      <c r="AM112" s="2"/>
      <c r="AN112" s="2"/>
    </row>
    <row r="113" spans="2:40" ht="13.2" customHeight="1" x14ac:dyDescent="0.2">
      <c r="B113" s="407" t="s">
        <v>296</v>
      </c>
      <c r="C113" s="408"/>
      <c r="D113" s="408"/>
      <c r="E113" s="408"/>
      <c r="F113" s="409"/>
      <c r="G113" s="196"/>
      <c r="I113" s="108" t="s">
        <v>297</v>
      </c>
      <c r="J113" s="109" t="s">
        <v>235</v>
      </c>
      <c r="K113" s="109" t="s">
        <v>298</v>
      </c>
      <c r="L113" s="109" t="s">
        <v>75</v>
      </c>
      <c r="M113" s="109" t="s">
        <v>299</v>
      </c>
      <c r="N113" s="109" t="s">
        <v>235</v>
      </c>
      <c r="O113" s="109" t="s">
        <v>300</v>
      </c>
      <c r="P113" s="109" t="s">
        <v>10</v>
      </c>
      <c r="Q113" s="129" t="s">
        <v>108</v>
      </c>
      <c r="R113" s="129"/>
      <c r="S113" s="129"/>
      <c r="T113" s="109"/>
      <c r="U113" s="109"/>
      <c r="V113" s="428" t="str">
        <f>IFERROR(IF(Q114&gt;MAX($AE$37:$AE$44),"EXCEEDS MAX HP",""),"")</f>
        <v/>
      </c>
      <c r="W113" s="421"/>
      <c r="X113" s="421"/>
      <c r="Y113" s="429" t="str">
        <f>IFERROR(IF(G112="Motovario",INDEX($AF$104:$AF$157,MATCH(1,INDEX((G108&lt;=$AG$104:$AG$157)*(Q114&lt;=$AF$104:$AF$157)*(Q112&lt;=$AH$104:$AH$157),0,0),0)),IF(G112="Dodge",INDEX($AF$51:$AF$97,MATCH(1,INDEX((G108&lt;=$AG$51:$AG$97)*(Q114&lt;=$AF$51:$AF$97)*(Q112&lt;=$AH$51:$AH$97),0,0),0)),INDEX($AE$37:$AE$44,MATCH(1,INDEX((Q112&lt;=$AF$37:$AF$44)*(Q114&lt;=$AE$37:$AE$44),0,0),0))))&amp;" HP","")</f>
        <v/>
      </c>
      <c r="Z113" s="429"/>
      <c r="AA113" s="430"/>
      <c r="AB113" s="200" t="s">
        <v>258</v>
      </c>
      <c r="AD113" s="38" t="s">
        <v>166</v>
      </c>
      <c r="AE113" s="38" t="s">
        <v>132</v>
      </c>
      <c r="AF113" s="38">
        <v>1.5</v>
      </c>
      <c r="AG113" s="38">
        <v>100</v>
      </c>
      <c r="AH113" s="48">
        <v>370</v>
      </c>
      <c r="AI113" s="47">
        <v>2028</v>
      </c>
      <c r="AJ113" s="38">
        <v>30</v>
      </c>
      <c r="AK113" s="38" t="s">
        <v>225</v>
      </c>
      <c r="AL113" s="38">
        <v>5630</v>
      </c>
      <c r="AM113" s="2"/>
      <c r="AN113" s="2"/>
    </row>
    <row r="114" spans="2:40" ht="13.2" customHeight="1" thickBot="1" x14ac:dyDescent="0.25">
      <c r="B114" s="410" t="s">
        <v>305</v>
      </c>
      <c r="C114" s="411"/>
      <c r="D114" s="411"/>
      <c r="E114" s="411"/>
      <c r="F114" s="412"/>
      <c r="G114" s="197"/>
      <c r="I114" s="136" t="e">
        <f>Q112</f>
        <v>#N/A</v>
      </c>
      <c r="K114" s="90">
        <f>G108</f>
        <v>0</v>
      </c>
      <c r="M114" s="90">
        <v>33000</v>
      </c>
      <c r="O114" s="90">
        <f>IF(G112="N",IF(G108&lt;100,0.8,IF(G108&lt;200,0.85,0.9)),0.95)</f>
        <v>0.95</v>
      </c>
      <c r="Q114" s="137" t="e">
        <f>(I114*K114)/(M114*O114)</f>
        <v>#N/A</v>
      </c>
      <c r="R114" s="137"/>
      <c r="S114" s="137"/>
      <c r="V114" s="428" t="str">
        <f>IF(Y114="","",IF(Y114&gt;VLOOKUP(G105,$AD$24:$AK$29,8),"EXCEEDS MAX QTY",""))</f>
        <v/>
      </c>
      <c r="W114" s="421"/>
      <c r="X114" s="421"/>
      <c r="Y114" s="215" t="str">
        <f>IFERROR(ROUNDUP(Q112/100,0),"")</f>
        <v/>
      </c>
      <c r="Z114" s="426" t="str">
        <f>IF(Y114="","","LONG SPRINGS")</f>
        <v/>
      </c>
      <c r="AA114" s="427"/>
      <c r="AB114" s="201" t="e">
        <f>IF(U108=0,0,$AL$40)</f>
        <v>#N/A</v>
      </c>
      <c r="AD114" s="38" t="s">
        <v>166</v>
      </c>
      <c r="AE114" s="38" t="s">
        <v>132</v>
      </c>
      <c r="AF114" s="38">
        <v>1.5</v>
      </c>
      <c r="AG114" s="38">
        <v>120</v>
      </c>
      <c r="AH114" s="48">
        <v>320</v>
      </c>
      <c r="AI114" s="47">
        <v>1784</v>
      </c>
      <c r="AJ114" s="38">
        <v>25</v>
      </c>
      <c r="AK114" s="38" t="s">
        <v>225</v>
      </c>
      <c r="AL114" s="38">
        <v>5625</v>
      </c>
      <c r="AM114" s="2"/>
      <c r="AN114" s="2"/>
    </row>
    <row r="115" spans="2:40" ht="13.2" customHeight="1" x14ac:dyDescent="0.2">
      <c r="B115" s="410" t="s">
        <v>309</v>
      </c>
      <c r="C115" s="411"/>
      <c r="D115" s="411"/>
      <c r="E115" s="411"/>
      <c r="F115" s="412"/>
      <c r="G115" s="198"/>
      <c r="I115" s="423" t="s">
        <v>133</v>
      </c>
      <c r="J115" s="424"/>
      <c r="K115" s="424"/>
      <c r="L115" s="424"/>
      <c r="M115" s="424"/>
      <c r="N115" s="424"/>
      <c r="O115" s="424"/>
      <c r="P115" s="424"/>
      <c r="Q115" s="424"/>
      <c r="R115" s="424"/>
      <c r="S115" s="424"/>
      <c r="T115" s="424"/>
      <c r="U115" s="425"/>
      <c r="V115" s="420" t="str">
        <f>IF(Y115="","",IF(Y115&gt;VLOOKUP(G105,$AD$24:$AK$29,8),"EXCEEDS MAX QTY",""))</f>
        <v/>
      </c>
      <c r="W115" s="421"/>
      <c r="X115" s="421"/>
      <c r="Y115" s="215" t="str">
        <f>IFERROR(ROUNDUP(Q112/80,0),"")</f>
        <v/>
      </c>
      <c r="Z115" s="426" t="str">
        <f>IF(Y115="","","SHORT SPRINGS")</f>
        <v/>
      </c>
      <c r="AA115" s="427"/>
      <c r="AB115" s="203" t="s">
        <v>310</v>
      </c>
      <c r="AD115" s="38" t="s">
        <v>166</v>
      </c>
      <c r="AE115" s="38" t="s">
        <v>132</v>
      </c>
      <c r="AF115" s="38">
        <v>1.5</v>
      </c>
      <c r="AG115" s="38">
        <v>150</v>
      </c>
      <c r="AH115" s="38">
        <v>270</v>
      </c>
      <c r="AI115" s="47">
        <v>1953</v>
      </c>
      <c r="AJ115" s="38">
        <v>20</v>
      </c>
      <c r="AK115" s="38" t="s">
        <v>225</v>
      </c>
      <c r="AL115" s="38">
        <v>5620</v>
      </c>
      <c r="AM115" s="2"/>
      <c r="AN115" s="2"/>
    </row>
    <row r="116" spans="2:40" ht="13.2" customHeight="1" thickBot="1" x14ac:dyDescent="0.25">
      <c r="B116" s="414" t="s">
        <v>315</v>
      </c>
      <c r="C116" s="415"/>
      <c r="D116" s="415"/>
      <c r="E116" s="415"/>
      <c r="F116" s="416"/>
      <c r="G116" s="199"/>
      <c r="I116" s="108"/>
      <c r="J116" s="417" t="s">
        <v>134</v>
      </c>
      <c r="K116" s="417"/>
      <c r="L116" s="418" t="str">
        <f>IFERROR(Q112*L117/2,"")</f>
        <v/>
      </c>
      <c r="M116" s="418"/>
      <c r="N116" s="109"/>
      <c r="O116" s="417" t="s">
        <v>135</v>
      </c>
      <c r="P116" s="417"/>
      <c r="Q116" s="419" t="str">
        <f>IFERROR(IF(G112="Motovario",INDEX($AI$104:$AI$157,MATCH(1,INDEX((G108&lt;=$AG$104:$AG$157)*(Q114&lt;=$AF$104:$AF$157)*(Q112&lt;=$AH$104:$AH$157),0,0),0)),IF(G112="Dodge",INDEX($AI$51:$AI$97,MATCH(1,INDEX((G108&lt;=$AG$51:$AG$97)*(Q114&lt;=$AF$51:$AF$97)*(Q112&lt;=$AH$51:$AH$97),0,0),0)),"")),"")</f>
        <v/>
      </c>
      <c r="R116" s="419"/>
      <c r="S116" s="419"/>
      <c r="T116" s="419"/>
      <c r="U116" s="139"/>
      <c r="V116" s="420" t="str">
        <f>IF(AA105&lt;0,"",IF(G107&gt;AA105,"EXCEEDS MAX LR",""))</f>
        <v/>
      </c>
      <c r="W116" s="421"/>
      <c r="X116" s="421"/>
      <c r="Y116" s="345"/>
      <c r="Z116" s="345"/>
      <c r="AA116" s="346"/>
      <c r="AB116" s="204">
        <f>IF(G115&gt;0,$AL$42,0)</f>
        <v>0</v>
      </c>
      <c r="AD116" s="38" t="s">
        <v>166</v>
      </c>
      <c r="AE116" s="38" t="s">
        <v>132</v>
      </c>
      <c r="AF116" s="38">
        <v>1.5</v>
      </c>
      <c r="AG116" s="38">
        <v>200</v>
      </c>
      <c r="AH116" s="38">
        <v>210</v>
      </c>
      <c r="AI116" s="47">
        <v>1900</v>
      </c>
      <c r="AJ116" s="38">
        <v>15</v>
      </c>
      <c r="AK116" s="38" t="s">
        <v>225</v>
      </c>
      <c r="AL116" s="38">
        <v>5615</v>
      </c>
      <c r="AM116" s="2"/>
      <c r="AN116" s="2"/>
    </row>
    <row r="117" spans="2:40" ht="13.2" customHeight="1" thickBot="1" x14ac:dyDescent="0.25">
      <c r="B117" s="388" t="s">
        <v>78</v>
      </c>
      <c r="C117" s="389"/>
      <c r="D117" s="390"/>
      <c r="E117" s="391"/>
      <c r="F117" s="391"/>
      <c r="G117" s="392"/>
      <c r="H117" s="391"/>
      <c r="I117" s="93"/>
      <c r="J117" s="393" t="s">
        <v>136</v>
      </c>
      <c r="K117" s="393"/>
      <c r="L117" s="394" t="str">
        <f>IFERROR(VALUE(LEFT(Y112,SEARCH("CD",Y112)-1))+0.5,"")</f>
        <v/>
      </c>
      <c r="M117" s="394"/>
      <c r="N117" s="94"/>
      <c r="O117" s="395" t="s">
        <v>137</v>
      </c>
      <c r="P117" s="395"/>
      <c r="Q117" s="396" t="str">
        <f>IFERROR(Q116/L116,"")</f>
        <v/>
      </c>
      <c r="R117" s="396"/>
      <c r="S117" s="396"/>
      <c r="T117" s="396"/>
      <c r="U117" s="140"/>
      <c r="V117" s="397" t="str">
        <f>IF(G106&gt;150,"VERY LONG","")</f>
        <v/>
      </c>
      <c r="W117" s="398"/>
      <c r="X117" s="398"/>
      <c r="Y117" s="348" t="str">
        <f>IF(G112="MOTOVARIO","DD NOM SPEED: "&amp;INDEX($AG$104:$AG$157,MATCH(1,INDEX((G108&lt;=$AG$104:$AG$157)*(Q114&lt;=$AF$104:$AF$157)*(Q112&lt;=$AH$104:$AH$157),0,0),0)),IF(G112="DODGE)","DD NOM SPEED: "&amp;INDEX($AG$51:$AG$97,MATCH(1,INDEX((G108&lt;=$AG$51:$AG$97)*(Q114&lt;=$AF$51:$AF$97)*(Q112&lt;=$AH$51:$AH$97),0,0),0)),""))</f>
        <v/>
      </c>
      <c r="Z117" s="348"/>
      <c r="AA117" s="349"/>
      <c r="AD117" s="38" t="s">
        <v>166</v>
      </c>
      <c r="AE117" s="38" t="s">
        <v>132</v>
      </c>
      <c r="AF117" s="38">
        <v>1.5</v>
      </c>
      <c r="AG117" s="38">
        <v>300</v>
      </c>
      <c r="AH117" s="38">
        <v>140</v>
      </c>
      <c r="AI117" s="47">
        <v>1656</v>
      </c>
      <c r="AJ117" s="38">
        <v>10</v>
      </c>
      <c r="AK117" s="38" t="s">
        <v>225</v>
      </c>
      <c r="AL117" s="38">
        <v>5610</v>
      </c>
      <c r="AM117" s="2"/>
      <c r="AN117" s="2"/>
    </row>
    <row r="118" spans="2:40" ht="13.2" customHeight="1" thickBot="1" x14ac:dyDescent="0.25">
      <c r="AD118" s="38" t="s">
        <v>166</v>
      </c>
      <c r="AE118" s="38" t="s">
        <v>132</v>
      </c>
      <c r="AF118" s="38">
        <v>1.5</v>
      </c>
      <c r="AG118" s="38">
        <v>400</v>
      </c>
      <c r="AH118" s="38">
        <v>109</v>
      </c>
      <c r="AI118" s="47">
        <v>1555</v>
      </c>
      <c r="AJ118" s="38">
        <v>7.5</v>
      </c>
      <c r="AK118" s="38" t="s">
        <v>225</v>
      </c>
      <c r="AL118" s="38">
        <v>5675</v>
      </c>
      <c r="AM118" s="2"/>
      <c r="AN118" s="2"/>
    </row>
    <row r="119" spans="2:40" ht="13.2" customHeight="1" thickBot="1" x14ac:dyDescent="0.25">
      <c r="B119" s="95"/>
      <c r="C119" s="91" t="s">
        <v>5</v>
      </c>
      <c r="D119" s="403" t="s">
        <v>232</v>
      </c>
      <c r="E119" s="403"/>
      <c r="F119" s="404"/>
      <c r="G119" s="193"/>
      <c r="H119" s="96"/>
      <c r="I119" s="216" t="s">
        <v>233</v>
      </c>
      <c r="J119" s="91" t="s">
        <v>12</v>
      </c>
      <c r="K119" s="91" t="s">
        <v>234</v>
      </c>
      <c r="L119" s="91" t="s">
        <v>235</v>
      </c>
      <c r="M119" s="91" t="s">
        <v>236</v>
      </c>
      <c r="N119" s="91" t="s">
        <v>235</v>
      </c>
      <c r="O119" s="91" t="s">
        <v>237</v>
      </c>
      <c r="P119" s="91" t="s">
        <v>10</v>
      </c>
      <c r="Q119" s="97" t="s">
        <v>238</v>
      </c>
      <c r="R119" s="97"/>
      <c r="S119" s="97"/>
      <c r="T119" s="91"/>
      <c r="U119" s="91"/>
      <c r="V119" s="91"/>
      <c r="W119" s="91"/>
      <c r="X119" s="91"/>
      <c r="Y119" s="226" t="str">
        <f>IF(G121&gt;0,"Suggested Max LR","")</f>
        <v/>
      </c>
      <c r="Z119" s="227" t="str">
        <f>IF(G121&gt;0,"=","")</f>
        <v/>
      </c>
      <c r="AA119" s="228" t="str">
        <f>IF(G121&gt;0,G120-(AB122+AB124+AB126+AB128+AB130),"")</f>
        <v/>
      </c>
      <c r="AB119" s="90" t="s">
        <v>239</v>
      </c>
      <c r="AD119" s="38" t="s">
        <v>179</v>
      </c>
      <c r="AE119" s="38" t="s">
        <v>138</v>
      </c>
      <c r="AF119" s="38">
        <v>1.5</v>
      </c>
      <c r="AG119" s="38">
        <v>60</v>
      </c>
      <c r="AH119" s="48">
        <v>520</v>
      </c>
      <c r="AI119" s="47">
        <v>2960</v>
      </c>
      <c r="AJ119" s="38">
        <v>60</v>
      </c>
      <c r="AK119" s="38" t="s">
        <v>226</v>
      </c>
      <c r="AL119" s="38">
        <v>5660</v>
      </c>
      <c r="AM119" s="2"/>
      <c r="AN119" s="2"/>
    </row>
    <row r="120" spans="2:40" ht="13.2" customHeight="1" x14ac:dyDescent="0.2">
      <c r="B120" s="98"/>
      <c r="C120" s="405"/>
      <c r="D120" s="407" t="s">
        <v>242</v>
      </c>
      <c r="E120" s="408"/>
      <c r="F120" s="409"/>
      <c r="G120" s="194"/>
      <c r="I120" s="99">
        <f>IF(G127="1:1.3 Up",0.8*G124,G124)</f>
        <v>0</v>
      </c>
      <c r="J120" s="100"/>
      <c r="K120" s="100" t="e">
        <f>INDEX($AD$8:$AU$19,MATCH(G125,$AD$8:$AD$19,0),MATCH(G119,$AD$8:$AU$8,0))</f>
        <v>#N/A</v>
      </c>
      <c r="L120" s="100"/>
      <c r="M120" s="100">
        <f>G120-G121</f>
        <v>0</v>
      </c>
      <c r="N120" s="100"/>
      <c r="O120" s="100" t="e">
        <f>VLOOKUP(G125,$AD$9:$AU$19,12,FALSE)</f>
        <v>#N/A</v>
      </c>
      <c r="P120" s="100"/>
      <c r="Q120" s="101" t="e">
        <f>((I120+K120)*M120)*O120</f>
        <v>#N/A</v>
      </c>
      <c r="R120" s="101"/>
      <c r="S120" s="101"/>
      <c r="T120" s="100"/>
      <c r="U120" s="100"/>
      <c r="V120" s="100"/>
      <c r="W120" s="100"/>
      <c r="X120" s="100"/>
      <c r="Y120" s="100"/>
      <c r="Z120" s="100"/>
      <c r="AA120" s="102"/>
      <c r="AD120" s="38" t="s">
        <v>179</v>
      </c>
      <c r="AE120" s="38" t="s">
        <v>138</v>
      </c>
      <c r="AF120" s="38">
        <v>1.5</v>
      </c>
      <c r="AG120" s="38">
        <v>80</v>
      </c>
      <c r="AH120" s="48">
        <v>450</v>
      </c>
      <c r="AI120" s="47">
        <v>3145</v>
      </c>
      <c r="AJ120" s="38">
        <v>50</v>
      </c>
      <c r="AK120" s="38" t="s">
        <v>226</v>
      </c>
      <c r="AL120" s="38">
        <v>5650</v>
      </c>
      <c r="AM120" s="2"/>
      <c r="AN120" s="2"/>
    </row>
    <row r="121" spans="2:40" ht="13.2" customHeight="1" thickBot="1" x14ac:dyDescent="0.25">
      <c r="B121" s="98"/>
      <c r="C121" s="406"/>
      <c r="D121" s="410" t="s">
        <v>251</v>
      </c>
      <c r="E121" s="411"/>
      <c r="F121" s="412"/>
      <c r="G121" s="194"/>
      <c r="I121" s="108" t="s">
        <v>252</v>
      </c>
      <c r="J121" s="109" t="s">
        <v>12</v>
      </c>
      <c r="K121" s="109" t="s">
        <v>253</v>
      </c>
      <c r="L121" s="109" t="s">
        <v>12</v>
      </c>
      <c r="M121" s="109" t="s">
        <v>254</v>
      </c>
      <c r="N121" s="109" t="s">
        <v>235</v>
      </c>
      <c r="O121" s="109" t="s">
        <v>255</v>
      </c>
      <c r="P121" s="109" t="s">
        <v>12</v>
      </c>
      <c r="Q121" s="109" t="s">
        <v>256</v>
      </c>
      <c r="R121" s="109" t="s">
        <v>12</v>
      </c>
      <c r="S121" s="109" t="s">
        <v>257</v>
      </c>
      <c r="T121" s="109" t="s">
        <v>12</v>
      </c>
      <c r="U121" s="109" t="s">
        <v>258</v>
      </c>
      <c r="V121" s="109" t="s">
        <v>12</v>
      </c>
      <c r="W121" s="109" t="s">
        <v>259</v>
      </c>
      <c r="X121" s="109" t="s">
        <v>235</v>
      </c>
      <c r="Y121" s="109" t="s">
        <v>260</v>
      </c>
      <c r="Z121" s="109" t="s">
        <v>10</v>
      </c>
      <c r="AA121" s="110" t="s">
        <v>261</v>
      </c>
      <c r="AB121" s="202" t="s">
        <v>262</v>
      </c>
      <c r="AD121" s="38" t="s">
        <v>179</v>
      </c>
      <c r="AE121" s="38" t="s">
        <v>138</v>
      </c>
      <c r="AF121" s="38">
        <v>1.5</v>
      </c>
      <c r="AG121" s="38">
        <v>100</v>
      </c>
      <c r="AH121" s="48">
        <v>375</v>
      </c>
      <c r="AI121" s="47">
        <v>3330</v>
      </c>
      <c r="AJ121" s="38">
        <v>40</v>
      </c>
      <c r="AK121" s="38" t="s">
        <v>226</v>
      </c>
      <c r="AL121" s="38">
        <v>5640</v>
      </c>
      <c r="AM121" s="2"/>
      <c r="AN121" s="2"/>
    </row>
    <row r="122" spans="2:40" ht="13.2" customHeight="1" x14ac:dyDescent="0.2">
      <c r="B122" s="407" t="s">
        <v>267</v>
      </c>
      <c r="C122" s="408"/>
      <c r="D122" s="408"/>
      <c r="E122" s="408"/>
      <c r="F122" s="409"/>
      <c r="G122" s="194"/>
      <c r="I122" s="99">
        <f>I120</f>
        <v>0</v>
      </c>
      <c r="J122" s="100"/>
      <c r="K122" s="100" t="e">
        <f>K120</f>
        <v>#N/A</v>
      </c>
      <c r="L122" s="100"/>
      <c r="M122" s="100" t="e">
        <f>VLOOKUP(G119,$AD$24:$AK$29,6,FALSE)</f>
        <v>#N/A</v>
      </c>
      <c r="N122" s="100"/>
      <c r="O122" s="100">
        <f>G121</f>
        <v>0</v>
      </c>
      <c r="P122" s="100"/>
      <c r="Q122" s="120" t="e">
        <f>VLOOKUP(G119,$AD$24:$AH$29,2,FALSE)</f>
        <v>#N/A</v>
      </c>
      <c r="R122" s="100"/>
      <c r="S122" s="120" t="e">
        <f>IF(G127="None",0,VLOOKUP(G119,$AD$24:$AH$29,3,FALSE))</f>
        <v>#N/A</v>
      </c>
      <c r="T122" s="100"/>
      <c r="U122" s="120" t="e">
        <f>IF(G127="None",0,VLOOKUP(G119,$AD$24:$AH$29,4,FALSE))</f>
        <v>#N/A</v>
      </c>
      <c r="V122" s="100"/>
      <c r="W122" s="120">
        <f>IF(G129&gt;0,VLOOKUP(G119,$AD$24:$AH$29,5,FALSE),0)</f>
        <v>0</v>
      </c>
      <c r="X122" s="100"/>
      <c r="Y122" s="100">
        <v>0.05</v>
      </c>
      <c r="Z122" s="100"/>
      <c r="AA122" s="121" t="e">
        <f>(((I122+K122+M122)*O122)+Q122+S122+U122+W122)*Y122</f>
        <v>#N/A</v>
      </c>
      <c r="AB122" s="201">
        <f>IF(G127="None",2*$AL$39,$AL$39)</f>
        <v>3.3333333333333335</v>
      </c>
      <c r="AD122" s="38" t="s">
        <v>179</v>
      </c>
      <c r="AE122" s="38" t="s">
        <v>138</v>
      </c>
      <c r="AF122" s="38">
        <v>1.5</v>
      </c>
      <c r="AG122" s="38">
        <v>130</v>
      </c>
      <c r="AH122" s="48">
        <v>290</v>
      </c>
      <c r="AI122" s="47">
        <v>3632</v>
      </c>
      <c r="AJ122" s="38">
        <v>30</v>
      </c>
      <c r="AK122" s="38" t="s">
        <v>226</v>
      </c>
      <c r="AL122" s="38">
        <v>5630</v>
      </c>
      <c r="AM122" s="2"/>
      <c r="AN122" s="2"/>
    </row>
    <row r="123" spans="2:40" ht="13.2" customHeight="1" x14ac:dyDescent="0.2">
      <c r="B123" s="407" t="s">
        <v>272</v>
      </c>
      <c r="C123" s="408"/>
      <c r="D123" s="408"/>
      <c r="E123" s="408"/>
      <c r="F123" s="409"/>
      <c r="G123" s="194"/>
      <c r="I123" s="92" t="s">
        <v>110</v>
      </c>
      <c r="J123" s="90" t="s">
        <v>235</v>
      </c>
      <c r="K123" s="90" t="s">
        <v>273</v>
      </c>
      <c r="L123" s="90" t="s">
        <v>12</v>
      </c>
      <c r="M123" s="90" t="s">
        <v>274</v>
      </c>
      <c r="N123" s="90" t="s">
        <v>12</v>
      </c>
      <c r="O123" s="90" t="s">
        <v>275</v>
      </c>
      <c r="P123" s="90" t="s">
        <v>12</v>
      </c>
      <c r="Q123" s="90" t="s">
        <v>276</v>
      </c>
      <c r="R123" s="90" t="s">
        <v>10</v>
      </c>
      <c r="S123" s="112" t="s">
        <v>31</v>
      </c>
      <c r="AA123" s="126"/>
      <c r="AB123" s="200" t="s">
        <v>277</v>
      </c>
      <c r="AD123" s="38" t="s">
        <v>179</v>
      </c>
      <c r="AE123" s="38" t="s">
        <v>138</v>
      </c>
      <c r="AF123" s="38">
        <v>1.5</v>
      </c>
      <c r="AG123" s="38">
        <v>160</v>
      </c>
      <c r="AH123" s="48">
        <v>250</v>
      </c>
      <c r="AI123" s="47">
        <v>3456</v>
      </c>
      <c r="AJ123" s="38">
        <v>25</v>
      </c>
      <c r="AK123" s="38" t="s">
        <v>226</v>
      </c>
      <c r="AL123" s="38">
        <v>5625</v>
      </c>
      <c r="AM123" s="2"/>
      <c r="AN123" s="2"/>
    </row>
    <row r="124" spans="2:40" ht="13.2" customHeight="1" thickBot="1" x14ac:dyDescent="0.25">
      <c r="B124" s="407" t="s">
        <v>281</v>
      </c>
      <c r="C124" s="408"/>
      <c r="D124" s="408"/>
      <c r="E124" s="408"/>
      <c r="F124" s="409"/>
      <c r="G124" s="194"/>
      <c r="I124" s="99">
        <f>I120</f>
        <v>0</v>
      </c>
      <c r="J124" s="100"/>
      <c r="K124" s="100">
        <f>G123</f>
        <v>0</v>
      </c>
      <c r="L124" s="100"/>
      <c r="M124" s="127">
        <f>G129*0.05</f>
        <v>0</v>
      </c>
      <c r="N124" s="100"/>
      <c r="O124" s="128">
        <f>G128</f>
        <v>0</v>
      </c>
      <c r="P124" s="100"/>
      <c r="Q124" s="100">
        <f>G130*0.3</f>
        <v>0</v>
      </c>
      <c r="R124" s="100"/>
      <c r="S124" s="101">
        <f>(I124*K124)+M124+O124+Q124</f>
        <v>0</v>
      </c>
      <c r="AA124" s="126"/>
      <c r="AB124" s="201">
        <f>$AL$41</f>
        <v>9</v>
      </c>
      <c r="AD124" s="38" t="s">
        <v>188</v>
      </c>
      <c r="AE124" s="38" t="s">
        <v>138</v>
      </c>
      <c r="AF124" s="38">
        <v>2</v>
      </c>
      <c r="AG124" s="38">
        <v>60</v>
      </c>
      <c r="AH124" s="38">
        <v>600</v>
      </c>
      <c r="AI124" s="47">
        <v>2960</v>
      </c>
      <c r="AJ124" s="38">
        <v>60</v>
      </c>
      <c r="AK124" s="38" t="s">
        <v>226</v>
      </c>
      <c r="AL124" s="38">
        <v>1460</v>
      </c>
      <c r="AM124" s="2"/>
      <c r="AN124" s="2"/>
    </row>
    <row r="125" spans="2:40" ht="13.2" customHeight="1" x14ac:dyDescent="0.2">
      <c r="B125" s="407" t="s">
        <v>285</v>
      </c>
      <c r="C125" s="408"/>
      <c r="D125" s="408"/>
      <c r="E125" s="408"/>
      <c r="F125" s="409"/>
      <c r="G125" s="195"/>
      <c r="I125" s="108" t="s">
        <v>286</v>
      </c>
      <c r="J125" s="109" t="s">
        <v>12</v>
      </c>
      <c r="K125" s="109" t="s">
        <v>261</v>
      </c>
      <c r="L125" s="109" t="s">
        <v>12</v>
      </c>
      <c r="M125" s="109" t="s">
        <v>287</v>
      </c>
      <c r="N125" s="109" t="s">
        <v>235</v>
      </c>
      <c r="O125" s="109" t="s">
        <v>61</v>
      </c>
      <c r="P125" s="109" t="s">
        <v>10</v>
      </c>
      <c r="Q125" s="129" t="s">
        <v>58</v>
      </c>
      <c r="R125" s="129"/>
      <c r="S125" s="129"/>
      <c r="T125" s="109"/>
      <c r="U125" s="109"/>
      <c r="V125" s="435" t="s">
        <v>50</v>
      </c>
      <c r="W125" s="436"/>
      <c r="X125" s="436"/>
      <c r="Y125" s="436" t="s">
        <v>51</v>
      </c>
      <c r="Z125" s="436"/>
      <c r="AA125" s="437"/>
      <c r="AB125" s="202" t="s">
        <v>257</v>
      </c>
      <c r="AD125" s="38" t="s">
        <v>188</v>
      </c>
      <c r="AE125" s="38" t="s">
        <v>138</v>
      </c>
      <c r="AF125" s="38">
        <v>2</v>
      </c>
      <c r="AG125" s="38">
        <v>80</v>
      </c>
      <c r="AH125" s="38">
        <v>600</v>
      </c>
      <c r="AI125" s="47">
        <v>3145</v>
      </c>
      <c r="AJ125" s="38">
        <v>50</v>
      </c>
      <c r="AK125" s="38" t="s">
        <v>226</v>
      </c>
      <c r="AL125" s="38">
        <v>1450</v>
      </c>
      <c r="AM125" s="2"/>
      <c r="AN125" s="2"/>
    </row>
    <row r="126" spans="2:40" ht="13.2" customHeight="1" x14ac:dyDescent="0.2">
      <c r="B126" s="407" t="s">
        <v>124</v>
      </c>
      <c r="C126" s="408"/>
      <c r="D126" s="408"/>
      <c r="E126" s="408"/>
      <c r="F126" s="409"/>
      <c r="G126" s="208"/>
      <c r="I126" s="99" t="e">
        <f>Q120</f>
        <v>#N/A</v>
      </c>
      <c r="J126" s="100"/>
      <c r="K126" s="127" t="e">
        <f>AA122</f>
        <v>#N/A</v>
      </c>
      <c r="L126" s="100"/>
      <c r="M126" s="100">
        <f>S124</f>
        <v>0</v>
      </c>
      <c r="N126" s="100"/>
      <c r="O126" s="100">
        <v>1.25</v>
      </c>
      <c r="P126" s="100"/>
      <c r="Q126" s="101" t="e">
        <f>(I126+K126+M126)*O126</f>
        <v>#N/A</v>
      </c>
      <c r="R126" s="101"/>
      <c r="S126" s="101"/>
      <c r="T126" s="100"/>
      <c r="U126" s="100"/>
      <c r="V126" s="428" t="str">
        <f>IFERROR(IF(Q126&gt;MAX($AF$37:$AF$44),"EXCEEDS MAX EBP",""),"")</f>
        <v/>
      </c>
      <c r="W126" s="421"/>
      <c r="X126" s="421"/>
      <c r="Y126" s="429" t="str">
        <f>IFERROR(IF(G126="MOTOVARIO",INDEX($AE$104:$AE$157,MATCH(1,INDEX((G122&lt;=$AG$104:$AG$157)*(Q128&lt;=$AF$104:$AF$157)*(Q126&lt;=$AH$104:$AH$157),0,0),0))&amp;" DIRECT DRIVE",IF(G126="DODGE",INDEX($AE$51:$AE$97,MATCH(1,INDEX((G122&lt;=$AG$51:$AG$97)*(Q128&lt;=$AF$51:$AF$97)*(Q126&lt;=$AH$51:$AH$97),0,0),0))&amp;" DIRECT DRIVE",INDEX($AD$37:$AD$44,MATCH(1,INDEX((Q126&lt;=$AF$37:$AF$44)*(Q128&lt;=$AE$37:$AE$44),0,0),0)))),"")</f>
        <v/>
      </c>
      <c r="Z126" s="429"/>
      <c r="AA126" s="430"/>
      <c r="AB126" s="201" t="e">
        <f>IF(G127="none",0,VLOOKUP(G119,$AN$38:$AP$43,3,FALSE))</f>
        <v>#N/A</v>
      </c>
      <c r="AD126" s="38" t="s">
        <v>188</v>
      </c>
      <c r="AE126" s="38" t="s">
        <v>138</v>
      </c>
      <c r="AF126" s="38">
        <v>2</v>
      </c>
      <c r="AG126" s="38">
        <v>100</v>
      </c>
      <c r="AH126" s="48">
        <v>510</v>
      </c>
      <c r="AI126" s="47">
        <v>3330</v>
      </c>
      <c r="AJ126" s="38">
        <v>40</v>
      </c>
      <c r="AK126" s="38" t="s">
        <v>226</v>
      </c>
      <c r="AL126" s="38">
        <v>1440</v>
      </c>
      <c r="AM126" s="2"/>
      <c r="AN126" s="2"/>
    </row>
    <row r="127" spans="2:40" ht="13.2" customHeight="1" x14ac:dyDescent="0.2">
      <c r="B127" s="407" t="s">
        <v>296</v>
      </c>
      <c r="C127" s="408"/>
      <c r="D127" s="408"/>
      <c r="E127" s="408"/>
      <c r="F127" s="409"/>
      <c r="G127" s="196"/>
      <c r="I127" s="108" t="s">
        <v>297</v>
      </c>
      <c r="J127" s="109" t="s">
        <v>235</v>
      </c>
      <c r="K127" s="109" t="s">
        <v>298</v>
      </c>
      <c r="L127" s="109" t="s">
        <v>75</v>
      </c>
      <c r="M127" s="109" t="s">
        <v>299</v>
      </c>
      <c r="N127" s="109" t="s">
        <v>235</v>
      </c>
      <c r="O127" s="109" t="s">
        <v>300</v>
      </c>
      <c r="P127" s="109" t="s">
        <v>10</v>
      </c>
      <c r="Q127" s="129" t="s">
        <v>108</v>
      </c>
      <c r="R127" s="129"/>
      <c r="S127" s="129"/>
      <c r="T127" s="109"/>
      <c r="U127" s="109"/>
      <c r="V127" s="428" t="str">
        <f>IFERROR(IF(Q128&gt;MAX($AE$37:$AE$44),"EXCEEDS MAX HP",""),"")</f>
        <v/>
      </c>
      <c r="W127" s="421"/>
      <c r="X127" s="421"/>
      <c r="Y127" s="429" t="str">
        <f>IFERROR(IF(G126="Motovario",INDEX($AF$104:$AF$157,MATCH(1,INDEX((G122&lt;=$AG$104:$AG$157)*(Q128&lt;=$AF$104:$AF$157)*(Q126&lt;=$AH$104:$AH$157),0,0),0)),IF(G126="Dodge",INDEX($AF$51:$AF$97,MATCH(1,INDEX((G122&lt;=$AG$51:$AG$97)*(Q128&lt;=$AF$51:$AF$97)*(Q126&lt;=$AH$51:$AH$97),0,0),0)),INDEX($AE$37:$AE$44,MATCH(1,INDEX((Q126&lt;=$AF$37:$AF$44)*(Q128&lt;=$AE$37:$AE$44),0,0),0))))&amp;" HP","")</f>
        <v/>
      </c>
      <c r="Z127" s="429"/>
      <c r="AA127" s="430"/>
      <c r="AB127" s="200" t="s">
        <v>258</v>
      </c>
      <c r="AD127" s="38" t="s">
        <v>188</v>
      </c>
      <c r="AE127" s="38" t="s">
        <v>138</v>
      </c>
      <c r="AF127" s="38">
        <v>2</v>
      </c>
      <c r="AG127" s="38">
        <v>130</v>
      </c>
      <c r="AH127" s="48">
        <v>400</v>
      </c>
      <c r="AI127" s="47">
        <v>3632</v>
      </c>
      <c r="AJ127" s="38">
        <v>30</v>
      </c>
      <c r="AK127" s="38" t="s">
        <v>226</v>
      </c>
      <c r="AL127" s="38">
        <v>1430</v>
      </c>
      <c r="AM127" s="2"/>
      <c r="AN127" s="2"/>
    </row>
    <row r="128" spans="2:40" ht="13.2" customHeight="1" thickBot="1" x14ac:dyDescent="0.25">
      <c r="B128" s="410" t="s">
        <v>305</v>
      </c>
      <c r="C128" s="411"/>
      <c r="D128" s="411"/>
      <c r="E128" s="411"/>
      <c r="F128" s="412"/>
      <c r="G128" s="197"/>
      <c r="I128" s="136" t="e">
        <f>Q126</f>
        <v>#N/A</v>
      </c>
      <c r="K128" s="90">
        <f>G122</f>
        <v>0</v>
      </c>
      <c r="M128" s="90">
        <v>33000</v>
      </c>
      <c r="O128" s="90">
        <f>IF(G126="N",IF(G122&lt;100,0.8,IF(G122&lt;200,0.85,0.9)),0.95)</f>
        <v>0.95</v>
      </c>
      <c r="Q128" s="137" t="e">
        <f>(I128*K128)/(M128*O128)</f>
        <v>#N/A</v>
      </c>
      <c r="R128" s="137"/>
      <c r="S128" s="137"/>
      <c r="V128" s="428" t="str">
        <f>IF(Y128="","",IF(Y128&gt;VLOOKUP(G119,$AD$24:$AK$29,8),"EXCEEDS MAX QTY",""))</f>
        <v/>
      </c>
      <c r="W128" s="421"/>
      <c r="X128" s="421"/>
      <c r="Y128" s="215" t="str">
        <f>IFERROR(ROUNDUP(Q126/100,0),"")</f>
        <v/>
      </c>
      <c r="Z128" s="426" t="str">
        <f>IF(Y128="","","LONG SPRINGS")</f>
        <v/>
      </c>
      <c r="AA128" s="427"/>
      <c r="AB128" s="201" t="e">
        <f>IF(U122=0,0,$AL$40)</f>
        <v>#N/A</v>
      </c>
      <c r="AD128" s="38" t="s">
        <v>188</v>
      </c>
      <c r="AE128" s="38" t="s">
        <v>138</v>
      </c>
      <c r="AF128" s="38">
        <v>2</v>
      </c>
      <c r="AG128" s="38">
        <v>160</v>
      </c>
      <c r="AH128" s="48">
        <v>350</v>
      </c>
      <c r="AI128" s="47">
        <v>3456</v>
      </c>
      <c r="AJ128" s="38">
        <v>25</v>
      </c>
      <c r="AK128" s="38" t="s">
        <v>226</v>
      </c>
      <c r="AL128" s="38">
        <v>1425</v>
      </c>
      <c r="AM128" s="2"/>
      <c r="AN128" s="2"/>
    </row>
    <row r="129" spans="2:40" ht="13.2" customHeight="1" x14ac:dyDescent="0.2">
      <c r="B129" s="410" t="s">
        <v>309</v>
      </c>
      <c r="C129" s="411"/>
      <c r="D129" s="411"/>
      <c r="E129" s="411"/>
      <c r="F129" s="412"/>
      <c r="G129" s="198"/>
      <c r="I129" s="423" t="s">
        <v>133</v>
      </c>
      <c r="J129" s="424"/>
      <c r="K129" s="424"/>
      <c r="L129" s="424"/>
      <c r="M129" s="424"/>
      <c r="N129" s="424"/>
      <c r="O129" s="424"/>
      <c r="P129" s="424"/>
      <c r="Q129" s="424"/>
      <c r="R129" s="424"/>
      <c r="S129" s="424"/>
      <c r="T129" s="424"/>
      <c r="U129" s="425"/>
      <c r="V129" s="420" t="str">
        <f>IF(Y129="","",IF(Y129&gt;VLOOKUP(G119,$AD$24:$AK$29,8),"EXCEEDS MAX QTY",""))</f>
        <v/>
      </c>
      <c r="W129" s="421"/>
      <c r="X129" s="421"/>
      <c r="Y129" s="215" t="str">
        <f>IFERROR(ROUNDUP(Q126/80,0),"")</f>
        <v/>
      </c>
      <c r="Z129" s="426" t="str">
        <f>IF(Y129="","","SHORT SPRINGS")</f>
        <v/>
      </c>
      <c r="AA129" s="427"/>
      <c r="AB129" s="203" t="s">
        <v>310</v>
      </c>
      <c r="AD129" s="38" t="s">
        <v>188</v>
      </c>
      <c r="AE129" s="38" t="s">
        <v>138</v>
      </c>
      <c r="AF129" s="38">
        <v>2</v>
      </c>
      <c r="AG129" s="38">
        <v>200</v>
      </c>
      <c r="AH129" s="48">
        <v>285</v>
      </c>
      <c r="AI129" s="47">
        <v>3629</v>
      </c>
      <c r="AJ129" s="38">
        <v>20</v>
      </c>
      <c r="AK129" s="38" t="s">
        <v>226</v>
      </c>
      <c r="AL129" s="38">
        <v>1420</v>
      </c>
      <c r="AM129" s="2"/>
      <c r="AN129" s="2"/>
    </row>
    <row r="130" spans="2:40" ht="13.2" customHeight="1" thickBot="1" x14ac:dyDescent="0.25">
      <c r="B130" s="414" t="s">
        <v>315</v>
      </c>
      <c r="C130" s="415"/>
      <c r="D130" s="415"/>
      <c r="E130" s="415"/>
      <c r="F130" s="416"/>
      <c r="G130" s="199"/>
      <c r="I130" s="108"/>
      <c r="J130" s="417" t="s">
        <v>134</v>
      </c>
      <c r="K130" s="417"/>
      <c r="L130" s="418" t="str">
        <f>IFERROR(Q126*L131/2,"")</f>
        <v/>
      </c>
      <c r="M130" s="418"/>
      <c r="N130" s="109"/>
      <c r="O130" s="417" t="s">
        <v>135</v>
      </c>
      <c r="P130" s="417"/>
      <c r="Q130" s="419" t="str">
        <f>IFERROR(IF(G126="Motovario",INDEX($AI$104:$AI$157,MATCH(1,INDEX((G122&lt;=$AG$104:$AG$157)*(Q128&lt;=$AF$104:$AF$157)*(Q126&lt;=$AH$104:$AH$157),0,0),0)),IF(G126="Dodge",INDEX($AI$51:$AI$97,MATCH(1,INDEX((G122&lt;=$AG$51:$AG$97)*(Q128&lt;=$AF$51:$AF$97)*(Q126&lt;=$AH$51:$AH$97),0,0),0)),"")),"")</f>
        <v/>
      </c>
      <c r="R130" s="419"/>
      <c r="S130" s="419"/>
      <c r="T130" s="419"/>
      <c r="U130" s="139"/>
      <c r="V130" s="420" t="str">
        <f>IF(AA119&lt;0,"",IF(G121&gt;AA119,"EXCEEDS MAX LR",""))</f>
        <v/>
      </c>
      <c r="W130" s="421"/>
      <c r="X130" s="421"/>
      <c r="Y130" s="345"/>
      <c r="Z130" s="345"/>
      <c r="AA130" s="346"/>
      <c r="AB130" s="204">
        <f>IF(G129&gt;0,$AL$42,0)</f>
        <v>0</v>
      </c>
      <c r="AD130" s="38" t="s">
        <v>188</v>
      </c>
      <c r="AE130" s="38" t="s">
        <v>138</v>
      </c>
      <c r="AF130" s="38">
        <v>2</v>
      </c>
      <c r="AG130" s="38">
        <v>260</v>
      </c>
      <c r="AH130" s="48">
        <v>215</v>
      </c>
      <c r="AI130" s="47">
        <v>3797</v>
      </c>
      <c r="AJ130" s="38">
        <v>15</v>
      </c>
      <c r="AK130" s="38" t="s">
        <v>226</v>
      </c>
      <c r="AL130" s="38">
        <v>1415</v>
      </c>
      <c r="AM130" s="2"/>
      <c r="AN130" s="2"/>
    </row>
    <row r="131" spans="2:40" ht="13.2" customHeight="1" thickBot="1" x14ac:dyDescent="0.25">
      <c r="B131" s="388" t="s">
        <v>78</v>
      </c>
      <c r="C131" s="389"/>
      <c r="D131" s="390"/>
      <c r="E131" s="391"/>
      <c r="F131" s="391"/>
      <c r="G131" s="392"/>
      <c r="H131" s="391"/>
      <c r="I131" s="93"/>
      <c r="J131" s="393" t="s">
        <v>136</v>
      </c>
      <c r="K131" s="393"/>
      <c r="L131" s="394" t="str">
        <f>IFERROR(VALUE(LEFT(Y126,SEARCH("CD",Y126)-1))+0.5,"")</f>
        <v/>
      </c>
      <c r="M131" s="394"/>
      <c r="N131" s="94"/>
      <c r="O131" s="395" t="s">
        <v>137</v>
      </c>
      <c r="P131" s="395"/>
      <c r="Q131" s="396" t="str">
        <f>IFERROR(Q130/L130,"")</f>
        <v/>
      </c>
      <c r="R131" s="396"/>
      <c r="S131" s="396"/>
      <c r="T131" s="396"/>
      <c r="U131" s="140"/>
      <c r="V131" s="397" t="str">
        <f>IF(G120&gt;150,"VERY LONG","")</f>
        <v/>
      </c>
      <c r="W131" s="398"/>
      <c r="X131" s="398"/>
      <c r="Y131" s="348" t="str">
        <f>IF(G126="MOTOVARIO","DD NOM SPEED: "&amp;INDEX($AG$104:$AG$157,MATCH(1,INDEX((G122&lt;=$AG$104:$AG$157)*(Q128&lt;=$AF$104:$AF$157)*(Q126&lt;=$AH$104:$AH$157),0,0),0)),IF(G126="DODGE)","DD NOM SPEED: "&amp;INDEX($AG$51:$AG$97,MATCH(1,INDEX((G122&lt;=$AG$51:$AG$97)*(Q128&lt;=$AF$51:$AF$97)*(Q126&lt;=$AH$51:$AH$97),0,0),0)),""))</f>
        <v/>
      </c>
      <c r="Z131" s="348"/>
      <c r="AA131" s="349"/>
      <c r="AD131" s="38" t="s">
        <v>188</v>
      </c>
      <c r="AE131" s="38" t="s">
        <v>138</v>
      </c>
      <c r="AF131" s="38">
        <v>2</v>
      </c>
      <c r="AG131" s="38">
        <v>400</v>
      </c>
      <c r="AH131" s="48">
        <v>150</v>
      </c>
      <c r="AI131" s="47">
        <v>3310</v>
      </c>
      <c r="AJ131" s="38">
        <v>10</v>
      </c>
      <c r="AK131" s="38" t="s">
        <v>226</v>
      </c>
      <c r="AL131" s="38">
        <v>1410</v>
      </c>
      <c r="AM131" s="2"/>
      <c r="AN131" s="2"/>
    </row>
    <row r="132" spans="2:40" ht="13.2" customHeight="1" thickBot="1" x14ac:dyDescent="0.25">
      <c r="AD132" s="38" t="s">
        <v>201</v>
      </c>
      <c r="AE132" s="38" t="s">
        <v>138</v>
      </c>
      <c r="AF132" s="38">
        <v>3</v>
      </c>
      <c r="AG132" s="38">
        <v>100</v>
      </c>
      <c r="AH132" s="38">
        <v>600</v>
      </c>
      <c r="AI132" s="47">
        <v>3330</v>
      </c>
      <c r="AJ132" s="38">
        <v>40</v>
      </c>
      <c r="AK132" s="38" t="s">
        <v>226</v>
      </c>
      <c r="AL132" s="38">
        <v>1840</v>
      </c>
      <c r="AM132" s="2"/>
      <c r="AN132" s="2"/>
    </row>
    <row r="133" spans="2:40" ht="13.2" customHeight="1" thickBot="1" x14ac:dyDescent="0.25">
      <c r="B133" s="95"/>
      <c r="C133" s="91" t="s">
        <v>5</v>
      </c>
      <c r="D133" s="403" t="s">
        <v>232</v>
      </c>
      <c r="E133" s="403"/>
      <c r="F133" s="404"/>
      <c r="G133" s="193"/>
      <c r="H133" s="96"/>
      <c r="I133" s="216" t="s">
        <v>233</v>
      </c>
      <c r="J133" s="91" t="s">
        <v>12</v>
      </c>
      <c r="K133" s="91" t="s">
        <v>234</v>
      </c>
      <c r="L133" s="91" t="s">
        <v>235</v>
      </c>
      <c r="M133" s="91" t="s">
        <v>236</v>
      </c>
      <c r="N133" s="91" t="s">
        <v>235</v>
      </c>
      <c r="O133" s="91" t="s">
        <v>237</v>
      </c>
      <c r="P133" s="91" t="s">
        <v>10</v>
      </c>
      <c r="Q133" s="97" t="s">
        <v>238</v>
      </c>
      <c r="R133" s="97"/>
      <c r="S133" s="97"/>
      <c r="T133" s="91"/>
      <c r="U133" s="91"/>
      <c r="V133" s="91"/>
      <c r="W133" s="91"/>
      <c r="X133" s="91"/>
      <c r="Y133" s="226" t="str">
        <f>IF(G135&gt;0,"Suggested Max LR","")</f>
        <v/>
      </c>
      <c r="Z133" s="227" t="str">
        <f>IF(G135&gt;0,"=","")</f>
        <v/>
      </c>
      <c r="AA133" s="228" t="str">
        <f>IF(G135&gt;0,G134-(AB136+AB138+AB140+AB142+AB144),"")</f>
        <v/>
      </c>
      <c r="AB133" s="90" t="s">
        <v>239</v>
      </c>
      <c r="AD133" s="38" t="s">
        <v>201</v>
      </c>
      <c r="AE133" s="38" t="s">
        <v>138</v>
      </c>
      <c r="AF133" s="38">
        <v>3</v>
      </c>
      <c r="AG133" s="38">
        <v>130</v>
      </c>
      <c r="AH133" s="48">
        <v>580</v>
      </c>
      <c r="AI133" s="47">
        <v>3632</v>
      </c>
      <c r="AJ133" s="38">
        <v>30</v>
      </c>
      <c r="AK133" s="38" t="s">
        <v>226</v>
      </c>
      <c r="AL133" s="38">
        <v>1830</v>
      </c>
      <c r="AM133" s="2"/>
      <c r="AN133" s="2"/>
    </row>
    <row r="134" spans="2:40" ht="13.2" customHeight="1" x14ac:dyDescent="0.2">
      <c r="B134" s="98"/>
      <c r="C134" s="405"/>
      <c r="D134" s="407" t="s">
        <v>242</v>
      </c>
      <c r="E134" s="408"/>
      <c r="F134" s="409"/>
      <c r="G134" s="194"/>
      <c r="I134" s="99">
        <f>IF(G141="1:1.3 Up",0.8*G138,G138)</f>
        <v>0</v>
      </c>
      <c r="J134" s="100"/>
      <c r="K134" s="100" t="e">
        <f>INDEX($AD$8:$AU$19,MATCH(G139,$AD$8:$AD$19,0),MATCH(G133,$AD$8:$AU$8,0))</f>
        <v>#N/A</v>
      </c>
      <c r="L134" s="100"/>
      <c r="M134" s="100">
        <f>G134-G135</f>
        <v>0</v>
      </c>
      <c r="N134" s="100"/>
      <c r="O134" s="100" t="e">
        <f>VLOOKUP(G139,$AD$9:$AU$19,12,FALSE)</f>
        <v>#N/A</v>
      </c>
      <c r="P134" s="100"/>
      <c r="Q134" s="101" t="e">
        <f>((I134+K134)*M134)*O134</f>
        <v>#N/A</v>
      </c>
      <c r="R134" s="101"/>
      <c r="S134" s="101"/>
      <c r="T134" s="100"/>
      <c r="U134" s="100"/>
      <c r="V134" s="100"/>
      <c r="W134" s="100"/>
      <c r="X134" s="100"/>
      <c r="Y134" s="100"/>
      <c r="Z134" s="100"/>
      <c r="AA134" s="102"/>
      <c r="AD134" s="38" t="s">
        <v>201</v>
      </c>
      <c r="AE134" s="38" t="s">
        <v>138</v>
      </c>
      <c r="AF134" s="38">
        <v>3</v>
      </c>
      <c r="AG134" s="38">
        <v>160</v>
      </c>
      <c r="AH134" s="48">
        <v>510</v>
      </c>
      <c r="AI134" s="47">
        <v>3456</v>
      </c>
      <c r="AJ134" s="38">
        <v>25</v>
      </c>
      <c r="AK134" s="38" t="s">
        <v>226</v>
      </c>
      <c r="AL134" s="38">
        <v>1825</v>
      </c>
      <c r="AM134" s="2"/>
      <c r="AN134" s="2"/>
    </row>
    <row r="135" spans="2:40" ht="13.2" customHeight="1" thickBot="1" x14ac:dyDescent="0.25">
      <c r="B135" s="98"/>
      <c r="C135" s="406"/>
      <c r="D135" s="410" t="s">
        <v>251</v>
      </c>
      <c r="E135" s="411"/>
      <c r="F135" s="412"/>
      <c r="G135" s="194"/>
      <c r="I135" s="108" t="s">
        <v>252</v>
      </c>
      <c r="J135" s="109" t="s">
        <v>12</v>
      </c>
      <c r="K135" s="109" t="s">
        <v>253</v>
      </c>
      <c r="L135" s="109" t="s">
        <v>12</v>
      </c>
      <c r="M135" s="109" t="s">
        <v>254</v>
      </c>
      <c r="N135" s="109" t="s">
        <v>235</v>
      </c>
      <c r="O135" s="109" t="s">
        <v>255</v>
      </c>
      <c r="P135" s="109" t="s">
        <v>12</v>
      </c>
      <c r="Q135" s="109" t="s">
        <v>256</v>
      </c>
      <c r="R135" s="109" t="s">
        <v>12</v>
      </c>
      <c r="S135" s="109" t="s">
        <v>257</v>
      </c>
      <c r="T135" s="109" t="s">
        <v>12</v>
      </c>
      <c r="U135" s="109" t="s">
        <v>258</v>
      </c>
      <c r="V135" s="109" t="s">
        <v>12</v>
      </c>
      <c r="W135" s="109" t="s">
        <v>259</v>
      </c>
      <c r="X135" s="109" t="s">
        <v>235</v>
      </c>
      <c r="Y135" s="109" t="s">
        <v>260</v>
      </c>
      <c r="Z135" s="109" t="s">
        <v>10</v>
      </c>
      <c r="AA135" s="110" t="s">
        <v>261</v>
      </c>
      <c r="AB135" s="202" t="s">
        <v>262</v>
      </c>
      <c r="AD135" s="38" t="s">
        <v>201</v>
      </c>
      <c r="AE135" s="38" t="s">
        <v>138</v>
      </c>
      <c r="AF135" s="38">
        <v>3</v>
      </c>
      <c r="AG135" s="38">
        <v>200</v>
      </c>
      <c r="AH135" s="48">
        <v>415</v>
      </c>
      <c r="AI135" s="47">
        <v>3629</v>
      </c>
      <c r="AJ135" s="38">
        <v>20</v>
      </c>
      <c r="AK135" s="38" t="s">
        <v>226</v>
      </c>
      <c r="AL135" s="38">
        <v>1820</v>
      </c>
      <c r="AM135" s="2"/>
      <c r="AN135" s="2"/>
    </row>
    <row r="136" spans="2:40" ht="13.2" customHeight="1" x14ac:dyDescent="0.2">
      <c r="B136" s="407" t="s">
        <v>267</v>
      </c>
      <c r="C136" s="408"/>
      <c r="D136" s="408"/>
      <c r="E136" s="408"/>
      <c r="F136" s="409"/>
      <c r="G136" s="194"/>
      <c r="I136" s="99">
        <f>I134</f>
        <v>0</v>
      </c>
      <c r="J136" s="100"/>
      <c r="K136" s="100" t="e">
        <f>K134</f>
        <v>#N/A</v>
      </c>
      <c r="L136" s="100"/>
      <c r="M136" s="100" t="e">
        <f>VLOOKUP(G133,$AD$24:$AK$29,6,FALSE)</f>
        <v>#N/A</v>
      </c>
      <c r="N136" s="100"/>
      <c r="O136" s="100">
        <f>G135</f>
        <v>0</v>
      </c>
      <c r="P136" s="100"/>
      <c r="Q136" s="120" t="e">
        <f>VLOOKUP(G133,$AD$24:$AH$29,2,FALSE)</f>
        <v>#N/A</v>
      </c>
      <c r="R136" s="100"/>
      <c r="S136" s="120" t="e">
        <f>IF(G141="None",0,VLOOKUP(G133,$AD$24:$AH$29,3,FALSE))</f>
        <v>#N/A</v>
      </c>
      <c r="T136" s="100"/>
      <c r="U136" s="120" t="e">
        <f>IF(G141="None",0,VLOOKUP(G133,$AD$24:$AH$29,4,FALSE))</f>
        <v>#N/A</v>
      </c>
      <c r="V136" s="100"/>
      <c r="W136" s="120">
        <f>IF(G143&gt;0,VLOOKUP(G133,$AD$24:$AH$29,5,FALSE),0)</f>
        <v>0</v>
      </c>
      <c r="X136" s="100"/>
      <c r="Y136" s="100">
        <v>0.05</v>
      </c>
      <c r="Z136" s="100"/>
      <c r="AA136" s="121" t="e">
        <f>(((I136+K136+M136)*O136)+Q136+S136+U136+W136)*Y136</f>
        <v>#N/A</v>
      </c>
      <c r="AB136" s="201">
        <f>IF(G141="None",2*$AL$39,$AL$39)</f>
        <v>3.3333333333333335</v>
      </c>
      <c r="AD136" s="38" t="s">
        <v>201</v>
      </c>
      <c r="AE136" s="38" t="s">
        <v>138</v>
      </c>
      <c r="AF136" s="38">
        <v>3</v>
      </c>
      <c r="AG136" s="38">
        <v>260</v>
      </c>
      <c r="AH136" s="48">
        <v>320</v>
      </c>
      <c r="AI136" s="47">
        <v>3797</v>
      </c>
      <c r="AJ136" s="38">
        <v>15</v>
      </c>
      <c r="AK136" s="38" t="s">
        <v>226</v>
      </c>
      <c r="AL136" s="38">
        <v>1815</v>
      </c>
      <c r="AM136" s="2"/>
      <c r="AN136" s="2"/>
    </row>
    <row r="137" spans="2:40" ht="13.2" customHeight="1" x14ac:dyDescent="0.2">
      <c r="B137" s="407" t="s">
        <v>272</v>
      </c>
      <c r="C137" s="408"/>
      <c r="D137" s="408"/>
      <c r="E137" s="408"/>
      <c r="F137" s="409"/>
      <c r="G137" s="194"/>
      <c r="I137" s="92" t="s">
        <v>110</v>
      </c>
      <c r="J137" s="90" t="s">
        <v>235</v>
      </c>
      <c r="K137" s="90" t="s">
        <v>273</v>
      </c>
      <c r="L137" s="90" t="s">
        <v>12</v>
      </c>
      <c r="M137" s="90" t="s">
        <v>274</v>
      </c>
      <c r="N137" s="90" t="s">
        <v>12</v>
      </c>
      <c r="O137" s="90" t="s">
        <v>275</v>
      </c>
      <c r="P137" s="90" t="s">
        <v>12</v>
      </c>
      <c r="Q137" s="90" t="s">
        <v>276</v>
      </c>
      <c r="R137" s="90" t="s">
        <v>10</v>
      </c>
      <c r="S137" s="112" t="s">
        <v>31</v>
      </c>
      <c r="AA137" s="126"/>
      <c r="AB137" s="200" t="s">
        <v>277</v>
      </c>
      <c r="AD137" s="38" t="s">
        <v>201</v>
      </c>
      <c r="AE137" s="38" t="s">
        <v>138</v>
      </c>
      <c r="AF137" s="38">
        <v>3</v>
      </c>
      <c r="AG137" s="38">
        <v>400</v>
      </c>
      <c r="AH137" s="48">
        <v>220</v>
      </c>
      <c r="AI137" s="47">
        <v>3310</v>
      </c>
      <c r="AJ137" s="38">
        <v>10</v>
      </c>
      <c r="AK137" s="38" t="s">
        <v>226</v>
      </c>
      <c r="AL137" s="38">
        <v>1810</v>
      </c>
      <c r="AM137" s="2"/>
      <c r="AN137" s="2"/>
    </row>
    <row r="138" spans="2:40" ht="13.2" customHeight="1" thickBot="1" x14ac:dyDescent="0.25">
      <c r="B138" s="407" t="s">
        <v>281</v>
      </c>
      <c r="C138" s="408"/>
      <c r="D138" s="408"/>
      <c r="E138" s="408"/>
      <c r="F138" s="409"/>
      <c r="G138" s="194"/>
      <c r="I138" s="99">
        <f>I134</f>
        <v>0</v>
      </c>
      <c r="J138" s="100"/>
      <c r="K138" s="100">
        <f>G137</f>
        <v>0</v>
      </c>
      <c r="L138" s="100"/>
      <c r="M138" s="127">
        <f>G143*0.05</f>
        <v>0</v>
      </c>
      <c r="N138" s="100"/>
      <c r="O138" s="128">
        <f>G142</f>
        <v>0</v>
      </c>
      <c r="P138" s="100"/>
      <c r="Q138" s="100">
        <f>G144*0.3</f>
        <v>0</v>
      </c>
      <c r="R138" s="100"/>
      <c r="S138" s="101">
        <f>(I138*K138)+M138+O138+Q138</f>
        <v>0</v>
      </c>
      <c r="AA138" s="126"/>
      <c r="AB138" s="201">
        <f>$AL$41</f>
        <v>9</v>
      </c>
      <c r="AD138" s="38" t="s">
        <v>212</v>
      </c>
      <c r="AE138" s="38" t="s">
        <v>139</v>
      </c>
      <c r="AF138" s="38">
        <v>2</v>
      </c>
      <c r="AG138" s="38">
        <v>80</v>
      </c>
      <c r="AH138" s="48">
        <v>600</v>
      </c>
      <c r="AI138" s="47">
        <v>5744</v>
      </c>
      <c r="AJ138" s="38">
        <v>60</v>
      </c>
      <c r="AK138" s="38" t="s">
        <v>227</v>
      </c>
      <c r="AL138" s="38">
        <v>1460</v>
      </c>
      <c r="AM138" s="2"/>
      <c r="AN138" s="2"/>
    </row>
    <row r="139" spans="2:40" ht="13.2" customHeight="1" x14ac:dyDescent="0.2">
      <c r="B139" s="407" t="s">
        <v>285</v>
      </c>
      <c r="C139" s="408"/>
      <c r="D139" s="408"/>
      <c r="E139" s="408"/>
      <c r="F139" s="409"/>
      <c r="G139" s="195"/>
      <c r="I139" s="108" t="s">
        <v>286</v>
      </c>
      <c r="J139" s="109" t="s">
        <v>12</v>
      </c>
      <c r="K139" s="109" t="s">
        <v>261</v>
      </c>
      <c r="L139" s="109" t="s">
        <v>12</v>
      </c>
      <c r="M139" s="109" t="s">
        <v>287</v>
      </c>
      <c r="N139" s="109" t="s">
        <v>235</v>
      </c>
      <c r="O139" s="109" t="s">
        <v>61</v>
      </c>
      <c r="P139" s="109" t="s">
        <v>10</v>
      </c>
      <c r="Q139" s="129" t="s">
        <v>58</v>
      </c>
      <c r="R139" s="129"/>
      <c r="S139" s="129"/>
      <c r="T139" s="109"/>
      <c r="U139" s="109"/>
      <c r="V139" s="435" t="s">
        <v>50</v>
      </c>
      <c r="W139" s="436"/>
      <c r="X139" s="436"/>
      <c r="Y139" s="436" t="s">
        <v>51</v>
      </c>
      <c r="Z139" s="436"/>
      <c r="AA139" s="437"/>
      <c r="AB139" s="202" t="s">
        <v>257</v>
      </c>
      <c r="AD139" s="38" t="s">
        <v>212</v>
      </c>
      <c r="AE139" s="38" t="s">
        <v>139</v>
      </c>
      <c r="AF139" s="38">
        <v>2</v>
      </c>
      <c r="AG139" s="38">
        <v>100</v>
      </c>
      <c r="AH139" s="48">
        <v>520</v>
      </c>
      <c r="AI139" s="47">
        <v>6231</v>
      </c>
      <c r="AJ139" s="38">
        <v>50</v>
      </c>
      <c r="AK139" s="38" t="s">
        <v>227</v>
      </c>
      <c r="AL139" s="38">
        <v>1450</v>
      </c>
      <c r="AM139" s="2"/>
      <c r="AN139" s="2"/>
    </row>
    <row r="140" spans="2:40" ht="13.2" customHeight="1" x14ac:dyDescent="0.2">
      <c r="B140" s="407" t="s">
        <v>124</v>
      </c>
      <c r="C140" s="408"/>
      <c r="D140" s="408"/>
      <c r="E140" s="408"/>
      <c r="F140" s="409"/>
      <c r="G140" s="208"/>
      <c r="I140" s="99" t="e">
        <f>Q134</f>
        <v>#N/A</v>
      </c>
      <c r="J140" s="100"/>
      <c r="K140" s="127" t="e">
        <f>AA136</f>
        <v>#N/A</v>
      </c>
      <c r="L140" s="100"/>
      <c r="M140" s="100">
        <f>S138</f>
        <v>0</v>
      </c>
      <c r="N140" s="100"/>
      <c r="O140" s="100">
        <v>1.25</v>
      </c>
      <c r="P140" s="100"/>
      <c r="Q140" s="101" t="e">
        <f>(I140+K140+M140)*O140</f>
        <v>#N/A</v>
      </c>
      <c r="R140" s="101"/>
      <c r="S140" s="101"/>
      <c r="T140" s="100"/>
      <c r="U140" s="100"/>
      <c r="V140" s="428" t="str">
        <f>IFERROR(IF(Q140&gt;MAX($AF$37:$AF$44),"EXCEEDS MAX EBP",""),"")</f>
        <v/>
      </c>
      <c r="W140" s="421"/>
      <c r="X140" s="421"/>
      <c r="Y140" s="429" t="str">
        <f>IFERROR(IF(G140="MOTOVARIO",INDEX($AE$104:$AE$157,MATCH(1,INDEX((G136&lt;=$AG$104:$AG$157)*(Q142&lt;=$AF$104:$AF$157)*(Q140&lt;=$AH$104:$AH$157),0,0),0))&amp;" DIRECT DRIVE",IF(G140="DODGE",INDEX($AE$51:$AE$97,MATCH(1,INDEX((G136&lt;=$AG$51:$AG$97)*(Q142&lt;=$AF$51:$AF$97)*(Q140&lt;=$AH$51:$AH$97),0,0),0))&amp;" DIRECT DRIVE",INDEX($AD$37:$AD$44,MATCH(1,INDEX((Q140&lt;=$AF$37:$AF$44)*(Q142&lt;=$AE$37:$AE$44),0,0),0)))),"")</f>
        <v/>
      </c>
      <c r="Z140" s="429"/>
      <c r="AA140" s="430"/>
      <c r="AB140" s="201" t="e">
        <f>IF(G141="none",0,VLOOKUP(G133,$AN$38:$AP$43,3,FALSE))</f>
        <v>#N/A</v>
      </c>
      <c r="AD140" s="38" t="s">
        <v>212</v>
      </c>
      <c r="AE140" s="38" t="s">
        <v>139</v>
      </c>
      <c r="AF140" s="38">
        <v>2</v>
      </c>
      <c r="AG140" s="38">
        <v>120</v>
      </c>
      <c r="AH140" s="48">
        <v>430</v>
      </c>
      <c r="AI140" s="47">
        <v>6620</v>
      </c>
      <c r="AJ140" s="38">
        <v>40</v>
      </c>
      <c r="AK140" s="38" t="s">
        <v>227</v>
      </c>
      <c r="AL140" s="38">
        <v>1440</v>
      </c>
      <c r="AM140" s="2"/>
      <c r="AN140" s="2"/>
    </row>
    <row r="141" spans="2:40" ht="13.2" customHeight="1" x14ac:dyDescent="0.2">
      <c r="B141" s="407" t="s">
        <v>296</v>
      </c>
      <c r="C141" s="408"/>
      <c r="D141" s="408"/>
      <c r="E141" s="408"/>
      <c r="F141" s="409"/>
      <c r="G141" s="196"/>
      <c r="I141" s="108" t="s">
        <v>297</v>
      </c>
      <c r="J141" s="109" t="s">
        <v>235</v>
      </c>
      <c r="K141" s="109" t="s">
        <v>298</v>
      </c>
      <c r="L141" s="109" t="s">
        <v>75</v>
      </c>
      <c r="M141" s="109" t="s">
        <v>299</v>
      </c>
      <c r="N141" s="109" t="s">
        <v>235</v>
      </c>
      <c r="O141" s="109" t="s">
        <v>300</v>
      </c>
      <c r="P141" s="109" t="s">
        <v>10</v>
      </c>
      <c r="Q141" s="129" t="s">
        <v>108</v>
      </c>
      <c r="R141" s="129"/>
      <c r="S141" s="129"/>
      <c r="T141" s="109"/>
      <c r="U141" s="109"/>
      <c r="V141" s="428" t="str">
        <f>IFERROR(IF(Q142&gt;MAX($AE$37:$AE$44),"EXCEEDS MAX HP",""),"")</f>
        <v/>
      </c>
      <c r="W141" s="421"/>
      <c r="X141" s="421"/>
      <c r="Y141" s="429" t="str">
        <f>IFERROR(IF(G140="Motovario",INDEX($AF$104:$AF$157,MATCH(1,INDEX((G136&lt;=$AG$104:$AG$157)*(Q142&lt;=$AF$104:$AF$157)*(Q140&lt;=$AH$104:$AH$157),0,0),0)),IF(G140="Dodge",INDEX($AF$51:$AF$97,MATCH(1,INDEX((G136&lt;=$AG$51:$AG$97)*(Q142&lt;=$AF$51:$AF$97)*(Q140&lt;=$AH$51:$AH$97),0,0),0)),INDEX($AE$37:$AE$44,MATCH(1,INDEX((Q140&lt;=$AF$37:$AF$44)*(Q142&lt;=$AE$37:$AE$44),0,0),0))))&amp;" HP","")</f>
        <v/>
      </c>
      <c r="Z141" s="429"/>
      <c r="AA141" s="430"/>
      <c r="AB141" s="200" t="s">
        <v>258</v>
      </c>
      <c r="AD141" s="38" t="s">
        <v>212</v>
      </c>
      <c r="AE141" s="38" t="s">
        <v>139</v>
      </c>
      <c r="AF141" s="38">
        <v>2</v>
      </c>
      <c r="AG141" s="38">
        <v>160</v>
      </c>
      <c r="AH141" s="48">
        <v>330</v>
      </c>
      <c r="AI141" s="47">
        <v>6926</v>
      </c>
      <c r="AJ141" s="38">
        <v>30</v>
      </c>
      <c r="AK141" s="38" t="s">
        <v>227</v>
      </c>
      <c r="AL141" s="38">
        <v>1430</v>
      </c>
      <c r="AM141" s="2"/>
      <c r="AN141" s="2"/>
    </row>
    <row r="142" spans="2:40" ht="13.2" customHeight="1" thickBot="1" x14ac:dyDescent="0.25">
      <c r="B142" s="410" t="s">
        <v>305</v>
      </c>
      <c r="C142" s="411"/>
      <c r="D142" s="411"/>
      <c r="E142" s="411"/>
      <c r="F142" s="412"/>
      <c r="G142" s="197"/>
      <c r="I142" s="136" t="e">
        <f>Q140</f>
        <v>#N/A</v>
      </c>
      <c r="K142" s="90">
        <f>G136</f>
        <v>0</v>
      </c>
      <c r="M142" s="90">
        <v>33000</v>
      </c>
      <c r="O142" s="90">
        <f>IF(G140="N",IF(G136&lt;100,0.8,IF(G136&lt;200,0.85,0.9)),0.95)</f>
        <v>0.95</v>
      </c>
      <c r="Q142" s="137" t="e">
        <f>(I142*K142)/(M142*O142)</f>
        <v>#N/A</v>
      </c>
      <c r="R142" s="137"/>
      <c r="S142" s="137"/>
      <c r="V142" s="428" t="str">
        <f>IF(Y142="","",IF(Y142&gt;VLOOKUP(G133,$AD$24:$AK$29,8),"EXCEEDS MAX QTY",""))</f>
        <v/>
      </c>
      <c r="W142" s="421"/>
      <c r="X142" s="421"/>
      <c r="Y142" s="215" t="str">
        <f>IFERROR(ROUNDUP(Q140/100,0),"")</f>
        <v/>
      </c>
      <c r="Z142" s="426" t="str">
        <f>IF(Y142="","","LONG SPRINGS")</f>
        <v/>
      </c>
      <c r="AA142" s="427"/>
      <c r="AB142" s="201" t="e">
        <f>IF(U136=0,0,$AL$40)</f>
        <v>#N/A</v>
      </c>
      <c r="AD142" s="38" t="s">
        <v>212</v>
      </c>
      <c r="AE142" s="38" t="s">
        <v>139</v>
      </c>
      <c r="AF142" s="38">
        <v>2</v>
      </c>
      <c r="AG142" s="38">
        <v>200</v>
      </c>
      <c r="AH142" s="48">
        <v>290</v>
      </c>
      <c r="AI142" s="47">
        <v>6364</v>
      </c>
      <c r="AJ142" s="38">
        <v>25</v>
      </c>
      <c r="AK142" s="38" t="s">
        <v>227</v>
      </c>
      <c r="AL142" s="38">
        <v>1425</v>
      </c>
      <c r="AM142" s="2"/>
      <c r="AN142" s="2"/>
    </row>
    <row r="143" spans="2:40" ht="13.2" customHeight="1" x14ac:dyDescent="0.2">
      <c r="B143" s="410" t="s">
        <v>309</v>
      </c>
      <c r="C143" s="411"/>
      <c r="D143" s="411"/>
      <c r="E143" s="411"/>
      <c r="F143" s="412"/>
      <c r="G143" s="198"/>
      <c r="I143" s="423" t="s">
        <v>133</v>
      </c>
      <c r="J143" s="424"/>
      <c r="K143" s="424"/>
      <c r="L143" s="424"/>
      <c r="M143" s="424"/>
      <c r="N143" s="424"/>
      <c r="O143" s="424"/>
      <c r="P143" s="424"/>
      <c r="Q143" s="424"/>
      <c r="R143" s="424"/>
      <c r="S143" s="424"/>
      <c r="T143" s="424"/>
      <c r="U143" s="425"/>
      <c r="V143" s="420" t="str">
        <f>IF(Y143="","",IF(Y143&gt;VLOOKUP(G133,$AD$24:$AK$29,8),"EXCEEDS MAX QTY",""))</f>
        <v/>
      </c>
      <c r="W143" s="421"/>
      <c r="X143" s="421"/>
      <c r="Y143" s="215" t="str">
        <f>IFERROR(ROUNDUP(Q140/80,0),"")</f>
        <v/>
      </c>
      <c r="Z143" s="426" t="str">
        <f>IF(Y143="","","SHORT SPRINGS")</f>
        <v/>
      </c>
      <c r="AA143" s="427"/>
      <c r="AB143" s="203" t="s">
        <v>310</v>
      </c>
      <c r="AD143" s="38" t="s">
        <v>212</v>
      </c>
      <c r="AE143" s="38" t="s">
        <v>139</v>
      </c>
      <c r="AF143" s="38">
        <v>2</v>
      </c>
      <c r="AG143" s="38">
        <v>240</v>
      </c>
      <c r="AH143" s="48">
        <v>230</v>
      </c>
      <c r="AI143" s="47">
        <v>6059</v>
      </c>
      <c r="AJ143" s="38">
        <v>20</v>
      </c>
      <c r="AK143" s="38" t="s">
        <v>227</v>
      </c>
      <c r="AL143" s="38">
        <v>1420</v>
      </c>
      <c r="AM143" s="2"/>
      <c r="AN143" s="2"/>
    </row>
    <row r="144" spans="2:40" ht="13.2" customHeight="1" thickBot="1" x14ac:dyDescent="0.25">
      <c r="B144" s="414" t="s">
        <v>315</v>
      </c>
      <c r="C144" s="415"/>
      <c r="D144" s="415"/>
      <c r="E144" s="415"/>
      <c r="F144" s="416"/>
      <c r="G144" s="199"/>
      <c r="I144" s="108"/>
      <c r="J144" s="417" t="s">
        <v>134</v>
      </c>
      <c r="K144" s="417"/>
      <c r="L144" s="418" t="str">
        <f>IFERROR(Q140*L145/2,"")</f>
        <v/>
      </c>
      <c r="M144" s="418"/>
      <c r="N144" s="109"/>
      <c r="O144" s="417" t="s">
        <v>135</v>
      </c>
      <c r="P144" s="417"/>
      <c r="Q144" s="419" t="str">
        <f>IFERROR(IF(G140="Motovario",INDEX($AI$104:$AI$157,MATCH(1,INDEX((G136&lt;=$AG$104:$AG$157)*(Q142&lt;=$AF$104:$AF$157)*(Q140&lt;=$AH$104:$AH$157),0,0),0)),IF(G140="Dodge",INDEX($AI$51:$AI$97,MATCH(1,INDEX((G136&lt;=$AG$51:$AG$97)*(Q142&lt;=$AF$51:$AF$97)*(Q140&lt;=$AH$51:$AH$97),0,0),0)),"")),"")</f>
        <v/>
      </c>
      <c r="R144" s="419"/>
      <c r="S144" s="419"/>
      <c r="T144" s="419"/>
      <c r="U144" s="139"/>
      <c r="V144" s="420" t="str">
        <f>IF(AA133&lt;0,"",IF(G135&gt;AA133,"EXCEEDS MAX LR",""))</f>
        <v/>
      </c>
      <c r="W144" s="421"/>
      <c r="X144" s="421"/>
      <c r="Y144" s="345"/>
      <c r="Z144" s="345"/>
      <c r="AA144" s="346"/>
      <c r="AB144" s="204">
        <f>IF(G143&gt;0,$AL$42,0)</f>
        <v>0</v>
      </c>
      <c r="AD144" s="38" t="s">
        <v>213</v>
      </c>
      <c r="AE144" s="38" t="s">
        <v>139</v>
      </c>
      <c r="AF144" s="38">
        <v>3</v>
      </c>
      <c r="AG144" s="38">
        <v>80</v>
      </c>
      <c r="AH144" s="38">
        <v>680</v>
      </c>
      <c r="AI144" s="47">
        <v>5744</v>
      </c>
      <c r="AJ144" s="38">
        <v>60</v>
      </c>
      <c r="AK144" s="38" t="s">
        <v>227</v>
      </c>
      <c r="AL144" s="38">
        <v>1860</v>
      </c>
      <c r="AM144" s="2"/>
      <c r="AN144" s="2"/>
    </row>
    <row r="145" spans="2:40" ht="13.2" customHeight="1" thickBot="1" x14ac:dyDescent="0.25">
      <c r="B145" s="388" t="s">
        <v>78</v>
      </c>
      <c r="C145" s="389"/>
      <c r="D145" s="390"/>
      <c r="E145" s="391"/>
      <c r="F145" s="391"/>
      <c r="G145" s="392"/>
      <c r="H145" s="391"/>
      <c r="I145" s="93"/>
      <c r="J145" s="393" t="s">
        <v>136</v>
      </c>
      <c r="K145" s="393"/>
      <c r="L145" s="394" t="str">
        <f>IFERROR(VALUE(LEFT(Y140,SEARCH("CD",Y140)-1))+0.5,"")</f>
        <v/>
      </c>
      <c r="M145" s="394"/>
      <c r="N145" s="94"/>
      <c r="O145" s="395" t="s">
        <v>137</v>
      </c>
      <c r="P145" s="395"/>
      <c r="Q145" s="396" t="str">
        <f>IFERROR(Q144/L144,"")</f>
        <v/>
      </c>
      <c r="R145" s="396"/>
      <c r="S145" s="396"/>
      <c r="T145" s="396"/>
      <c r="U145" s="140"/>
      <c r="V145" s="397" t="str">
        <f>IF(G134&gt;150,"VERY LONG","")</f>
        <v/>
      </c>
      <c r="W145" s="398"/>
      <c r="X145" s="398"/>
      <c r="Y145" s="348" t="str">
        <f>IF(G140="MOTOVARIO","DD NOM SPEED: "&amp;INDEX($AG$104:$AG$157,MATCH(1,INDEX((G136&lt;=$AG$104:$AG$157)*(Q142&lt;=$AF$104:$AF$157)*(Q140&lt;=$AH$104:$AH$157),0,0),0)),IF(G140="DODGE)","DD NOM SPEED: "&amp;INDEX($AG$51:$AG$97,MATCH(1,INDEX((G136&lt;=$AG$51:$AG$97)*(Q142&lt;=$AF$51:$AF$97)*(Q140&lt;=$AH$51:$AH$97),0,0),0)),""))</f>
        <v/>
      </c>
      <c r="Z145" s="348"/>
      <c r="AA145" s="349"/>
      <c r="AD145" s="38" t="s">
        <v>213</v>
      </c>
      <c r="AE145" s="38" t="s">
        <v>139</v>
      </c>
      <c r="AF145" s="38">
        <v>3</v>
      </c>
      <c r="AG145" s="38">
        <v>100</v>
      </c>
      <c r="AH145" s="38">
        <v>680</v>
      </c>
      <c r="AI145" s="47">
        <v>6231</v>
      </c>
      <c r="AJ145" s="38">
        <v>50</v>
      </c>
      <c r="AK145" s="38" t="s">
        <v>227</v>
      </c>
      <c r="AL145" s="38">
        <v>1850</v>
      </c>
      <c r="AM145" s="2"/>
      <c r="AN145" s="2"/>
    </row>
    <row r="146" spans="2:40" ht="13.2" customHeight="1" thickBot="1" x14ac:dyDescent="0.25">
      <c r="AD146" s="38" t="s">
        <v>213</v>
      </c>
      <c r="AE146" s="38" t="s">
        <v>139</v>
      </c>
      <c r="AF146" s="38">
        <v>3</v>
      </c>
      <c r="AG146" s="38">
        <v>120</v>
      </c>
      <c r="AH146" s="48">
        <v>650</v>
      </c>
      <c r="AI146" s="47">
        <v>6620</v>
      </c>
      <c r="AJ146" s="38">
        <v>40</v>
      </c>
      <c r="AK146" s="38" t="s">
        <v>227</v>
      </c>
      <c r="AL146" s="38">
        <v>1840</v>
      </c>
      <c r="AM146" s="2"/>
      <c r="AN146" s="2"/>
    </row>
    <row r="147" spans="2:40" ht="13.2" customHeight="1" thickBot="1" x14ac:dyDescent="0.25">
      <c r="B147" s="95"/>
      <c r="C147" s="91" t="s">
        <v>5</v>
      </c>
      <c r="D147" s="403" t="s">
        <v>232</v>
      </c>
      <c r="E147" s="403"/>
      <c r="F147" s="404"/>
      <c r="G147" s="193"/>
      <c r="H147" s="96"/>
      <c r="I147" s="216" t="s">
        <v>233</v>
      </c>
      <c r="J147" s="91" t="s">
        <v>12</v>
      </c>
      <c r="K147" s="91" t="s">
        <v>234</v>
      </c>
      <c r="L147" s="91" t="s">
        <v>235</v>
      </c>
      <c r="M147" s="91" t="s">
        <v>236</v>
      </c>
      <c r="N147" s="91" t="s">
        <v>235</v>
      </c>
      <c r="O147" s="91" t="s">
        <v>237</v>
      </c>
      <c r="P147" s="91" t="s">
        <v>10</v>
      </c>
      <c r="Q147" s="97" t="s">
        <v>238</v>
      </c>
      <c r="R147" s="97"/>
      <c r="S147" s="97"/>
      <c r="T147" s="91"/>
      <c r="U147" s="91"/>
      <c r="V147" s="91"/>
      <c r="W147" s="91"/>
      <c r="X147" s="91"/>
      <c r="Y147" s="226" t="str">
        <f>IF(G149&gt;0,"Suggested Max LR","")</f>
        <v/>
      </c>
      <c r="Z147" s="227" t="str">
        <f>IF(G149&gt;0,"=","")</f>
        <v/>
      </c>
      <c r="AA147" s="228" t="str">
        <f>IF(G149&gt;0,G148-(AB150+AB152+AB154+AB156+AB158),"")</f>
        <v/>
      </c>
      <c r="AB147" s="90" t="s">
        <v>239</v>
      </c>
      <c r="AD147" s="38" t="s">
        <v>213</v>
      </c>
      <c r="AE147" s="38" t="s">
        <v>139</v>
      </c>
      <c r="AF147" s="38">
        <v>3</v>
      </c>
      <c r="AG147" s="38">
        <v>160</v>
      </c>
      <c r="AH147" s="48">
        <v>500</v>
      </c>
      <c r="AI147" s="47">
        <v>6926</v>
      </c>
      <c r="AJ147" s="38">
        <v>30</v>
      </c>
      <c r="AK147" s="38" t="s">
        <v>227</v>
      </c>
      <c r="AL147" s="38">
        <v>1830</v>
      </c>
      <c r="AM147" s="2"/>
      <c r="AN147" s="2"/>
    </row>
    <row r="148" spans="2:40" ht="13.2" customHeight="1" x14ac:dyDescent="0.2">
      <c r="B148" s="98"/>
      <c r="C148" s="405"/>
      <c r="D148" s="407" t="s">
        <v>242</v>
      </c>
      <c r="E148" s="408"/>
      <c r="F148" s="409"/>
      <c r="G148" s="194"/>
      <c r="I148" s="99">
        <f>IF(G155="1:1.3 Up",0.8*G152,G152)</f>
        <v>0</v>
      </c>
      <c r="J148" s="100"/>
      <c r="K148" s="100" t="e">
        <f>INDEX($AD$8:$AU$19,MATCH(G153,$AD$8:$AD$19,0),MATCH(G147,$AD$8:$AU$8,0))</f>
        <v>#N/A</v>
      </c>
      <c r="L148" s="100"/>
      <c r="M148" s="100">
        <f>G148-G149</f>
        <v>0</v>
      </c>
      <c r="N148" s="100"/>
      <c r="O148" s="100" t="e">
        <f>VLOOKUP(G153,$AD$9:$AU$19,12,FALSE)</f>
        <v>#N/A</v>
      </c>
      <c r="P148" s="100"/>
      <c r="Q148" s="101" t="e">
        <f>((I148+K148)*M148)*O148</f>
        <v>#N/A</v>
      </c>
      <c r="R148" s="101"/>
      <c r="S148" s="101"/>
      <c r="T148" s="100"/>
      <c r="U148" s="100"/>
      <c r="V148" s="100"/>
      <c r="W148" s="100"/>
      <c r="X148" s="100"/>
      <c r="Y148" s="100"/>
      <c r="Z148" s="100"/>
      <c r="AA148" s="102"/>
      <c r="AD148" s="38" t="s">
        <v>213</v>
      </c>
      <c r="AE148" s="38" t="s">
        <v>139</v>
      </c>
      <c r="AF148" s="38">
        <v>3</v>
      </c>
      <c r="AG148" s="38">
        <v>200</v>
      </c>
      <c r="AH148" s="48">
        <v>440</v>
      </c>
      <c r="AI148" s="47">
        <v>6364</v>
      </c>
      <c r="AJ148" s="38">
        <v>25</v>
      </c>
      <c r="AK148" s="38" t="s">
        <v>227</v>
      </c>
      <c r="AL148" s="38">
        <v>1825</v>
      </c>
      <c r="AM148" s="2"/>
      <c r="AN148" s="2"/>
    </row>
    <row r="149" spans="2:40" ht="13.2" customHeight="1" thickBot="1" x14ac:dyDescent="0.25">
      <c r="B149" s="98"/>
      <c r="C149" s="406"/>
      <c r="D149" s="410" t="s">
        <v>251</v>
      </c>
      <c r="E149" s="411"/>
      <c r="F149" s="412"/>
      <c r="G149" s="194"/>
      <c r="I149" s="108" t="s">
        <v>252</v>
      </c>
      <c r="J149" s="109" t="s">
        <v>12</v>
      </c>
      <c r="K149" s="109" t="s">
        <v>253</v>
      </c>
      <c r="L149" s="109" t="s">
        <v>12</v>
      </c>
      <c r="M149" s="109" t="s">
        <v>254</v>
      </c>
      <c r="N149" s="109" t="s">
        <v>235</v>
      </c>
      <c r="O149" s="109" t="s">
        <v>255</v>
      </c>
      <c r="P149" s="109" t="s">
        <v>12</v>
      </c>
      <c r="Q149" s="109" t="s">
        <v>256</v>
      </c>
      <c r="R149" s="109" t="s">
        <v>12</v>
      </c>
      <c r="S149" s="109" t="s">
        <v>257</v>
      </c>
      <c r="T149" s="109" t="s">
        <v>12</v>
      </c>
      <c r="U149" s="109" t="s">
        <v>258</v>
      </c>
      <c r="V149" s="109" t="s">
        <v>12</v>
      </c>
      <c r="W149" s="109" t="s">
        <v>259</v>
      </c>
      <c r="X149" s="109" t="s">
        <v>235</v>
      </c>
      <c r="Y149" s="109" t="s">
        <v>260</v>
      </c>
      <c r="Z149" s="109" t="s">
        <v>10</v>
      </c>
      <c r="AA149" s="110" t="s">
        <v>261</v>
      </c>
      <c r="AB149" s="202" t="s">
        <v>262</v>
      </c>
      <c r="AD149" s="38" t="s">
        <v>213</v>
      </c>
      <c r="AE149" s="38" t="s">
        <v>139</v>
      </c>
      <c r="AF149" s="38">
        <v>3</v>
      </c>
      <c r="AG149" s="38">
        <v>240</v>
      </c>
      <c r="AH149" s="48">
        <v>350</v>
      </c>
      <c r="AI149" s="47">
        <v>6059</v>
      </c>
      <c r="AJ149" s="38">
        <v>20</v>
      </c>
      <c r="AK149" s="38" t="s">
        <v>227</v>
      </c>
      <c r="AL149" s="38">
        <v>1820</v>
      </c>
      <c r="AM149" s="2"/>
      <c r="AN149" s="2"/>
    </row>
    <row r="150" spans="2:40" ht="13.2" customHeight="1" x14ac:dyDescent="0.2">
      <c r="B150" s="407" t="s">
        <v>267</v>
      </c>
      <c r="C150" s="408"/>
      <c r="D150" s="408"/>
      <c r="E150" s="408"/>
      <c r="F150" s="409"/>
      <c r="G150" s="194"/>
      <c r="I150" s="99">
        <f>I148</f>
        <v>0</v>
      </c>
      <c r="J150" s="100"/>
      <c r="K150" s="100" t="e">
        <f>K148</f>
        <v>#N/A</v>
      </c>
      <c r="L150" s="100"/>
      <c r="M150" s="100" t="e">
        <f>VLOOKUP(G147,$AD$24:$AK$29,6,FALSE)</f>
        <v>#N/A</v>
      </c>
      <c r="N150" s="100"/>
      <c r="O150" s="100">
        <f>G149</f>
        <v>0</v>
      </c>
      <c r="P150" s="100"/>
      <c r="Q150" s="120" t="e">
        <f>VLOOKUP(G147,$AD$24:$AH$29,2,FALSE)</f>
        <v>#N/A</v>
      </c>
      <c r="R150" s="100"/>
      <c r="S150" s="120" t="e">
        <f>IF(G155="None",0,VLOOKUP(G147,$AD$24:$AH$29,3,FALSE))</f>
        <v>#N/A</v>
      </c>
      <c r="T150" s="100"/>
      <c r="U150" s="120" t="e">
        <f>IF(G155="None",0,VLOOKUP(G147,$AD$24:$AH$29,4,FALSE))</f>
        <v>#N/A</v>
      </c>
      <c r="V150" s="100"/>
      <c r="W150" s="120">
        <f>IF(G157&gt;0,VLOOKUP(G147,$AD$24:$AH$29,5,FALSE),0)</f>
        <v>0</v>
      </c>
      <c r="X150" s="100"/>
      <c r="Y150" s="100">
        <v>0.05</v>
      </c>
      <c r="Z150" s="100"/>
      <c r="AA150" s="121" t="e">
        <f>(((I150+K150+M150)*O150)+Q150+S150+U150+W150)*Y150</f>
        <v>#N/A</v>
      </c>
      <c r="AB150" s="201">
        <f>IF(G155="None",2*$AL$39,$AL$39)</f>
        <v>3.3333333333333335</v>
      </c>
      <c r="AD150" s="38" t="s">
        <v>213</v>
      </c>
      <c r="AE150" s="38" t="s">
        <v>139</v>
      </c>
      <c r="AF150" s="38">
        <v>3</v>
      </c>
      <c r="AG150" s="38">
        <v>320</v>
      </c>
      <c r="AH150" s="48">
        <v>270</v>
      </c>
      <c r="AI150" s="47">
        <v>6262</v>
      </c>
      <c r="AJ150" s="38">
        <v>15</v>
      </c>
      <c r="AK150" s="38" t="s">
        <v>227</v>
      </c>
      <c r="AL150" s="38">
        <v>1815</v>
      </c>
      <c r="AM150" s="2"/>
      <c r="AN150" s="2"/>
    </row>
    <row r="151" spans="2:40" ht="13.2" customHeight="1" x14ac:dyDescent="0.2">
      <c r="B151" s="407" t="s">
        <v>272</v>
      </c>
      <c r="C151" s="408"/>
      <c r="D151" s="408"/>
      <c r="E151" s="408"/>
      <c r="F151" s="409"/>
      <c r="G151" s="194"/>
      <c r="I151" s="92" t="s">
        <v>110</v>
      </c>
      <c r="J151" s="90" t="s">
        <v>235</v>
      </c>
      <c r="K151" s="90" t="s">
        <v>273</v>
      </c>
      <c r="L151" s="90" t="s">
        <v>12</v>
      </c>
      <c r="M151" s="90" t="s">
        <v>274</v>
      </c>
      <c r="N151" s="90" t="s">
        <v>12</v>
      </c>
      <c r="O151" s="90" t="s">
        <v>275</v>
      </c>
      <c r="P151" s="90" t="s">
        <v>12</v>
      </c>
      <c r="Q151" s="90" t="s">
        <v>276</v>
      </c>
      <c r="R151" s="90" t="s">
        <v>10</v>
      </c>
      <c r="S151" s="112" t="s">
        <v>31</v>
      </c>
      <c r="AA151" s="126"/>
      <c r="AB151" s="200" t="s">
        <v>277</v>
      </c>
      <c r="AD151" s="38" t="s">
        <v>213</v>
      </c>
      <c r="AE151" s="38" t="s">
        <v>139</v>
      </c>
      <c r="AF151" s="38">
        <v>3</v>
      </c>
      <c r="AG151" s="38">
        <v>480</v>
      </c>
      <c r="AH151" s="48">
        <v>180</v>
      </c>
      <c r="AI151" s="47">
        <v>5802</v>
      </c>
      <c r="AJ151" s="38">
        <v>10</v>
      </c>
      <c r="AK151" s="38" t="s">
        <v>227</v>
      </c>
      <c r="AL151" s="38">
        <v>1810</v>
      </c>
      <c r="AM151" s="2"/>
      <c r="AN151" s="2"/>
    </row>
    <row r="152" spans="2:40" ht="13.2" customHeight="1" thickBot="1" x14ac:dyDescent="0.25">
      <c r="B152" s="407" t="s">
        <v>281</v>
      </c>
      <c r="C152" s="408"/>
      <c r="D152" s="408"/>
      <c r="E152" s="408"/>
      <c r="F152" s="409"/>
      <c r="G152" s="194"/>
      <c r="I152" s="99">
        <f>I148</f>
        <v>0</v>
      </c>
      <c r="J152" s="100"/>
      <c r="K152" s="100">
        <f>G151</f>
        <v>0</v>
      </c>
      <c r="L152" s="100"/>
      <c r="M152" s="127">
        <f>G157*0.05</f>
        <v>0</v>
      </c>
      <c r="N152" s="100"/>
      <c r="O152" s="128">
        <f>G156</f>
        <v>0</v>
      </c>
      <c r="P152" s="100"/>
      <c r="Q152" s="100">
        <f>G158*0.3</f>
        <v>0</v>
      </c>
      <c r="R152" s="100"/>
      <c r="S152" s="101">
        <f>(I152*K152)+M152+O152+Q152</f>
        <v>0</v>
      </c>
      <c r="AA152" s="126"/>
      <c r="AB152" s="201">
        <f>$AL$41</f>
        <v>9</v>
      </c>
      <c r="AD152" s="38" t="s">
        <v>214</v>
      </c>
      <c r="AE152" s="38" t="s">
        <v>139</v>
      </c>
      <c r="AF152" s="38">
        <v>5</v>
      </c>
      <c r="AG152" s="38">
        <v>120</v>
      </c>
      <c r="AH152" s="48">
        <v>650</v>
      </c>
      <c r="AI152" s="47">
        <v>6620</v>
      </c>
      <c r="AJ152" s="38">
        <v>40</v>
      </c>
      <c r="AK152" s="38" t="s">
        <v>227</v>
      </c>
      <c r="AL152" s="38">
        <v>1840</v>
      </c>
      <c r="AM152" s="2"/>
      <c r="AN152" s="2"/>
    </row>
    <row r="153" spans="2:40" ht="13.2" customHeight="1" x14ac:dyDescent="0.2">
      <c r="B153" s="407" t="s">
        <v>285</v>
      </c>
      <c r="C153" s="408"/>
      <c r="D153" s="408"/>
      <c r="E153" s="408"/>
      <c r="F153" s="409"/>
      <c r="G153" s="195"/>
      <c r="I153" s="108" t="s">
        <v>286</v>
      </c>
      <c r="J153" s="109" t="s">
        <v>12</v>
      </c>
      <c r="K153" s="109" t="s">
        <v>261</v>
      </c>
      <c r="L153" s="109" t="s">
        <v>12</v>
      </c>
      <c r="M153" s="109" t="s">
        <v>287</v>
      </c>
      <c r="N153" s="109" t="s">
        <v>235</v>
      </c>
      <c r="O153" s="109" t="s">
        <v>61</v>
      </c>
      <c r="P153" s="109" t="s">
        <v>10</v>
      </c>
      <c r="Q153" s="129" t="s">
        <v>58</v>
      </c>
      <c r="R153" s="129"/>
      <c r="S153" s="129"/>
      <c r="T153" s="109"/>
      <c r="U153" s="109"/>
      <c r="V153" s="435" t="s">
        <v>50</v>
      </c>
      <c r="W153" s="436"/>
      <c r="X153" s="436"/>
      <c r="Y153" s="436" t="s">
        <v>51</v>
      </c>
      <c r="Z153" s="436"/>
      <c r="AA153" s="437"/>
      <c r="AB153" s="202" t="s">
        <v>257</v>
      </c>
      <c r="AD153" s="38" t="s">
        <v>214</v>
      </c>
      <c r="AE153" s="38" t="s">
        <v>139</v>
      </c>
      <c r="AF153" s="38">
        <v>5</v>
      </c>
      <c r="AG153" s="38">
        <v>160</v>
      </c>
      <c r="AH153" s="48">
        <v>680</v>
      </c>
      <c r="AI153" s="47">
        <v>6926</v>
      </c>
      <c r="AJ153" s="38">
        <v>30</v>
      </c>
      <c r="AK153" s="38" t="s">
        <v>227</v>
      </c>
      <c r="AL153" s="38">
        <v>1830</v>
      </c>
      <c r="AM153" s="2"/>
      <c r="AN153" s="2"/>
    </row>
    <row r="154" spans="2:40" ht="13.2" customHeight="1" x14ac:dyDescent="0.2">
      <c r="B154" s="407" t="s">
        <v>124</v>
      </c>
      <c r="C154" s="408"/>
      <c r="D154" s="408"/>
      <c r="E154" s="408"/>
      <c r="F154" s="409"/>
      <c r="G154" s="208"/>
      <c r="I154" s="99" t="e">
        <f>Q148</f>
        <v>#N/A</v>
      </c>
      <c r="J154" s="100"/>
      <c r="K154" s="127" t="e">
        <f>AA150</f>
        <v>#N/A</v>
      </c>
      <c r="L154" s="100"/>
      <c r="M154" s="100">
        <f>S152</f>
        <v>0</v>
      </c>
      <c r="N154" s="100"/>
      <c r="O154" s="100">
        <v>1.25</v>
      </c>
      <c r="P154" s="100"/>
      <c r="Q154" s="101" t="e">
        <f>(I154+K154+M154)*O154</f>
        <v>#N/A</v>
      </c>
      <c r="R154" s="101"/>
      <c r="S154" s="101"/>
      <c r="T154" s="100"/>
      <c r="U154" s="100"/>
      <c r="V154" s="428" t="str">
        <f>IFERROR(IF(Q154&gt;MAX($AF$37:$AF$44),"EXCEEDS MAX EBP",""),"")</f>
        <v/>
      </c>
      <c r="W154" s="421"/>
      <c r="X154" s="421"/>
      <c r="Y154" s="429" t="str">
        <f>IFERROR(IF(G154="MOTOVARIO",INDEX($AE$104:$AE$157,MATCH(1,INDEX((G150&lt;=$AG$104:$AG$157)*(Q156&lt;=$AF$104:$AF$157)*(Q154&lt;=$AH$104:$AH$157),0,0),0))&amp;" DIRECT DRIVE",IF(G154="DODGE",INDEX($AE$51:$AE$97,MATCH(1,INDEX((G150&lt;=$AG$51:$AG$97)*(Q156&lt;=$AF$51:$AF$97)*(Q154&lt;=$AH$51:$AH$97),0,0),0))&amp;" DIRECT DRIVE",INDEX($AD$37:$AD$44,MATCH(1,INDEX((Q154&lt;=$AF$37:$AF$44)*(Q156&lt;=$AE$37:$AE$44),0,0),0)))),"")</f>
        <v/>
      </c>
      <c r="Z154" s="429"/>
      <c r="AA154" s="430"/>
      <c r="AB154" s="201" t="e">
        <f>IF(G155="none",0,VLOOKUP(G147,$AN$38:$AP$43,3,FALSE))</f>
        <v>#N/A</v>
      </c>
      <c r="AD154" s="38" t="s">
        <v>214</v>
      </c>
      <c r="AE154" s="38" t="s">
        <v>139</v>
      </c>
      <c r="AF154" s="38">
        <v>5</v>
      </c>
      <c r="AG154" s="38">
        <v>200</v>
      </c>
      <c r="AH154" s="48">
        <v>680</v>
      </c>
      <c r="AI154" s="47">
        <v>6364</v>
      </c>
      <c r="AJ154" s="38">
        <v>25</v>
      </c>
      <c r="AK154" s="38" t="s">
        <v>227</v>
      </c>
      <c r="AL154" s="38">
        <v>1825</v>
      </c>
      <c r="AM154" s="2"/>
      <c r="AN154" s="2"/>
    </row>
    <row r="155" spans="2:40" ht="13.2" customHeight="1" x14ac:dyDescent="0.2">
      <c r="B155" s="407" t="s">
        <v>296</v>
      </c>
      <c r="C155" s="408"/>
      <c r="D155" s="408"/>
      <c r="E155" s="408"/>
      <c r="F155" s="409"/>
      <c r="G155" s="196"/>
      <c r="I155" s="108" t="s">
        <v>297</v>
      </c>
      <c r="J155" s="109" t="s">
        <v>235</v>
      </c>
      <c r="K155" s="109" t="s">
        <v>298</v>
      </c>
      <c r="L155" s="109" t="s">
        <v>75</v>
      </c>
      <c r="M155" s="109" t="s">
        <v>299</v>
      </c>
      <c r="N155" s="109" t="s">
        <v>235</v>
      </c>
      <c r="O155" s="109" t="s">
        <v>300</v>
      </c>
      <c r="P155" s="109" t="s">
        <v>10</v>
      </c>
      <c r="Q155" s="129" t="s">
        <v>108</v>
      </c>
      <c r="R155" s="129"/>
      <c r="S155" s="129"/>
      <c r="T155" s="109"/>
      <c r="U155" s="109"/>
      <c r="V155" s="428" t="str">
        <f>IFERROR(IF(Q156&gt;MAX($AE$37:$AE$44),"EXCEEDS MAX HP",""),"")</f>
        <v/>
      </c>
      <c r="W155" s="421"/>
      <c r="X155" s="421"/>
      <c r="Y155" s="429" t="str">
        <f>IFERROR(IF(G154="Motovario",INDEX($AF$104:$AF$157,MATCH(1,INDEX((G150&lt;=$AG$104:$AG$157)*(Q156&lt;=$AF$104:$AF$157)*(Q154&lt;=$AH$104:$AH$157),0,0),0)),IF(G154="Dodge",INDEX($AF$51:$AF$97,MATCH(1,INDEX((G150&lt;=$AG$51:$AG$97)*(Q156&lt;=$AF$51:$AF$97)*(Q154&lt;=$AH$51:$AH$97),0,0),0)),INDEX($AE$37:$AE$44,MATCH(1,INDEX((Q154&lt;=$AF$37:$AF$44)*(Q156&lt;=$AE$37:$AE$44),0,0),0))))&amp;" HP","")</f>
        <v/>
      </c>
      <c r="Z155" s="429"/>
      <c r="AA155" s="430"/>
      <c r="AB155" s="200" t="s">
        <v>258</v>
      </c>
      <c r="AD155" s="38" t="s">
        <v>214</v>
      </c>
      <c r="AE155" s="38" t="s">
        <v>139</v>
      </c>
      <c r="AF155" s="38">
        <v>5</v>
      </c>
      <c r="AG155" s="38">
        <v>240</v>
      </c>
      <c r="AH155" s="48">
        <v>620</v>
      </c>
      <c r="AI155" s="47">
        <v>6059</v>
      </c>
      <c r="AJ155" s="38">
        <v>20</v>
      </c>
      <c r="AK155" s="38" t="s">
        <v>227</v>
      </c>
      <c r="AL155" s="38">
        <v>1820</v>
      </c>
      <c r="AM155" s="2"/>
      <c r="AN155" s="2"/>
    </row>
    <row r="156" spans="2:40" ht="13.2" customHeight="1" thickBot="1" x14ac:dyDescent="0.25">
      <c r="B156" s="410" t="s">
        <v>305</v>
      </c>
      <c r="C156" s="411"/>
      <c r="D156" s="411"/>
      <c r="E156" s="411"/>
      <c r="F156" s="412"/>
      <c r="G156" s="197"/>
      <c r="I156" s="136" t="e">
        <f>Q154</f>
        <v>#N/A</v>
      </c>
      <c r="K156" s="90">
        <f>G150</f>
        <v>0</v>
      </c>
      <c r="M156" s="90">
        <v>33000</v>
      </c>
      <c r="O156" s="90">
        <f>IF(G154="N",IF(G150&lt;100,0.8,IF(G150&lt;200,0.85,0.9)),0.95)</f>
        <v>0.95</v>
      </c>
      <c r="Q156" s="137" t="e">
        <f>(I156*K156)/(M156*O156)</f>
        <v>#N/A</v>
      </c>
      <c r="R156" s="137"/>
      <c r="S156" s="137"/>
      <c r="V156" s="428" t="str">
        <f>IF(Y156="","",IF(Y156&gt;VLOOKUP(G147,$AD$24:$AK$29,8),"EXCEEDS MAX QTY",""))</f>
        <v/>
      </c>
      <c r="W156" s="421"/>
      <c r="X156" s="421"/>
      <c r="Y156" s="215" t="str">
        <f>IFERROR(ROUNDUP(Q154/100,0),"")</f>
        <v/>
      </c>
      <c r="Z156" s="426" t="str">
        <f>IF(Y156="","","LONG SPRINGS")</f>
        <v/>
      </c>
      <c r="AA156" s="427"/>
      <c r="AB156" s="201" t="e">
        <f>IF(U150=0,0,$AL$40)</f>
        <v>#N/A</v>
      </c>
      <c r="AD156" s="38" t="s">
        <v>214</v>
      </c>
      <c r="AE156" s="38" t="s">
        <v>139</v>
      </c>
      <c r="AF156" s="38">
        <v>5</v>
      </c>
      <c r="AG156" s="38">
        <v>320</v>
      </c>
      <c r="AH156" s="48">
        <v>470</v>
      </c>
      <c r="AI156" s="47">
        <v>6262</v>
      </c>
      <c r="AJ156" s="38">
        <v>15</v>
      </c>
      <c r="AK156" s="38" t="s">
        <v>227</v>
      </c>
      <c r="AL156" s="38">
        <v>1815</v>
      </c>
      <c r="AM156" s="2"/>
      <c r="AN156" s="2"/>
    </row>
    <row r="157" spans="2:40" ht="13.2" customHeight="1" x14ac:dyDescent="0.2">
      <c r="B157" s="410" t="s">
        <v>309</v>
      </c>
      <c r="C157" s="411"/>
      <c r="D157" s="411"/>
      <c r="E157" s="411"/>
      <c r="F157" s="412"/>
      <c r="G157" s="198"/>
      <c r="I157" s="423" t="s">
        <v>133</v>
      </c>
      <c r="J157" s="424"/>
      <c r="K157" s="424"/>
      <c r="L157" s="424"/>
      <c r="M157" s="424"/>
      <c r="N157" s="424"/>
      <c r="O157" s="424"/>
      <c r="P157" s="424"/>
      <c r="Q157" s="424"/>
      <c r="R157" s="424"/>
      <c r="S157" s="424"/>
      <c r="T157" s="424"/>
      <c r="U157" s="425"/>
      <c r="V157" s="420" t="str">
        <f>IF(Y157="","",IF(Y157&gt;VLOOKUP(G147,$AD$24:$AK$29,8),"EXCEEDS MAX QTY",""))</f>
        <v/>
      </c>
      <c r="W157" s="421"/>
      <c r="X157" s="421"/>
      <c r="Y157" s="215" t="str">
        <f>IFERROR(ROUNDUP(Q154/80,0),"")</f>
        <v/>
      </c>
      <c r="Z157" s="426" t="str">
        <f>IF(Y157="","","SHORT SPRINGS")</f>
        <v/>
      </c>
      <c r="AA157" s="427"/>
      <c r="AB157" s="203" t="s">
        <v>310</v>
      </c>
      <c r="AD157" s="38" t="s">
        <v>214</v>
      </c>
      <c r="AE157" s="38" t="s">
        <v>139</v>
      </c>
      <c r="AF157" s="38">
        <v>5</v>
      </c>
      <c r="AG157" s="38">
        <v>480</v>
      </c>
      <c r="AH157" s="48">
        <v>320</v>
      </c>
      <c r="AI157" s="47">
        <v>5802</v>
      </c>
      <c r="AJ157" s="38">
        <v>10</v>
      </c>
      <c r="AK157" s="38" t="s">
        <v>227</v>
      </c>
      <c r="AL157" s="38">
        <v>1810</v>
      </c>
      <c r="AM157" s="2"/>
      <c r="AN157" s="2"/>
    </row>
    <row r="158" spans="2:40" ht="13.2" customHeight="1" thickBot="1" x14ac:dyDescent="0.25">
      <c r="B158" s="414" t="s">
        <v>315</v>
      </c>
      <c r="C158" s="415"/>
      <c r="D158" s="415"/>
      <c r="E158" s="415"/>
      <c r="F158" s="416"/>
      <c r="G158" s="199"/>
      <c r="I158" s="108"/>
      <c r="J158" s="417" t="s">
        <v>134</v>
      </c>
      <c r="K158" s="417"/>
      <c r="L158" s="418" t="str">
        <f>IFERROR(Q154*L159/2,"")</f>
        <v/>
      </c>
      <c r="M158" s="418"/>
      <c r="N158" s="109"/>
      <c r="O158" s="417" t="s">
        <v>135</v>
      </c>
      <c r="P158" s="417"/>
      <c r="Q158" s="419" t="str">
        <f>IFERROR(IF(G154="Motovario",INDEX($AI$104:$AI$157,MATCH(1,INDEX((G150&lt;=$AG$104:$AG$157)*(Q156&lt;=$AF$104:$AF$157)*(Q154&lt;=$AH$104:$AH$157),0,0),0)),IF(G154="Dodge",INDEX($AI$51:$AI$97,MATCH(1,INDEX((G150&lt;=$AG$51:$AG$97)*(Q156&lt;=$AF$51:$AF$97)*(Q154&lt;=$AH$51:$AH$97),0,0),0)),"")),"")</f>
        <v/>
      </c>
      <c r="R158" s="419"/>
      <c r="S158" s="419"/>
      <c r="T158" s="419"/>
      <c r="U158" s="139"/>
      <c r="V158" s="420" t="str">
        <f>IF(AA147&lt;0,"",IF(G149&gt;AA147,"EXCEEDS MAX LR",""))</f>
        <v/>
      </c>
      <c r="W158" s="421"/>
      <c r="X158" s="421"/>
      <c r="Y158" s="345"/>
      <c r="Z158" s="345"/>
      <c r="AA158" s="346"/>
      <c r="AB158" s="204">
        <f>IF(G157&gt;0,$AL$42,0)</f>
        <v>0</v>
      </c>
    </row>
    <row r="159" spans="2:40" ht="13.2" customHeight="1" thickBot="1" x14ac:dyDescent="0.25">
      <c r="B159" s="388" t="s">
        <v>78</v>
      </c>
      <c r="C159" s="389"/>
      <c r="D159" s="390"/>
      <c r="E159" s="391"/>
      <c r="F159" s="391"/>
      <c r="G159" s="392"/>
      <c r="H159" s="391"/>
      <c r="I159" s="93"/>
      <c r="J159" s="393" t="s">
        <v>136</v>
      </c>
      <c r="K159" s="393"/>
      <c r="L159" s="394" t="str">
        <f>IFERROR(VALUE(LEFT(Y154,SEARCH("CD",Y154)-1))+0.5,"")</f>
        <v/>
      </c>
      <c r="M159" s="394"/>
      <c r="N159" s="94"/>
      <c r="O159" s="395" t="s">
        <v>137</v>
      </c>
      <c r="P159" s="395"/>
      <c r="Q159" s="396" t="str">
        <f>IFERROR(Q158/L158,"")</f>
        <v/>
      </c>
      <c r="R159" s="396"/>
      <c r="S159" s="396"/>
      <c r="T159" s="396"/>
      <c r="U159" s="140"/>
      <c r="V159" s="397" t="str">
        <f>IF(G148&gt;150,"VERY LONG","")</f>
        <v/>
      </c>
      <c r="W159" s="398"/>
      <c r="X159" s="398"/>
      <c r="Y159" s="348" t="str">
        <f>IF(G154="MOTOVARIO","DD NOM SPEED: "&amp;INDEX($AG$104:$AG$157,MATCH(1,INDEX((G150&lt;=$AG$104:$AG$157)*(Q156&lt;=$AF$104:$AF$157)*(Q154&lt;=$AH$104:$AH$157),0,0),0)),IF(G154="DODGE)","DD NOM SPEED: "&amp;INDEX($AG$51:$AG$97,MATCH(1,INDEX((G150&lt;=$AG$51:$AG$97)*(Q156&lt;=$AF$51:$AF$97)*(Q154&lt;=$AH$51:$AH$97),0,0),0)),""))</f>
        <v/>
      </c>
      <c r="Z159" s="348"/>
      <c r="AA159" s="349"/>
    </row>
    <row r="160" spans="2:40" ht="13.2" customHeight="1" thickBot="1" x14ac:dyDescent="0.25"/>
    <row r="161" spans="2:28" ht="13.2" customHeight="1" thickBot="1" x14ac:dyDescent="0.25">
      <c r="B161" s="95"/>
      <c r="C161" s="91" t="s">
        <v>5</v>
      </c>
      <c r="D161" s="403" t="s">
        <v>232</v>
      </c>
      <c r="E161" s="403"/>
      <c r="F161" s="404"/>
      <c r="G161" s="193"/>
      <c r="H161" s="96"/>
      <c r="I161" s="216" t="s">
        <v>233</v>
      </c>
      <c r="J161" s="91" t="s">
        <v>12</v>
      </c>
      <c r="K161" s="91" t="s">
        <v>234</v>
      </c>
      <c r="L161" s="91" t="s">
        <v>235</v>
      </c>
      <c r="M161" s="91" t="s">
        <v>236</v>
      </c>
      <c r="N161" s="91" t="s">
        <v>235</v>
      </c>
      <c r="O161" s="91" t="s">
        <v>237</v>
      </c>
      <c r="P161" s="91" t="s">
        <v>10</v>
      </c>
      <c r="Q161" s="97" t="s">
        <v>238</v>
      </c>
      <c r="R161" s="97"/>
      <c r="S161" s="97"/>
      <c r="T161" s="91"/>
      <c r="U161" s="91"/>
      <c r="V161" s="91"/>
      <c r="W161" s="91"/>
      <c r="X161" s="91"/>
      <c r="Y161" s="226" t="str">
        <f>IF(G163&gt;0,"Suggested Max LR","")</f>
        <v/>
      </c>
      <c r="Z161" s="227" t="str">
        <f>IF(G163&gt;0,"=","")</f>
        <v/>
      </c>
      <c r="AA161" s="228" t="str">
        <f>IF(G163&gt;0,G162-(AB164+AB166+AB168+AB170+AB172),"")</f>
        <v/>
      </c>
      <c r="AB161" s="90" t="s">
        <v>239</v>
      </c>
    </row>
    <row r="162" spans="2:28" ht="13.2" customHeight="1" x14ac:dyDescent="0.2">
      <c r="B162" s="98"/>
      <c r="C162" s="405"/>
      <c r="D162" s="407" t="s">
        <v>242</v>
      </c>
      <c r="E162" s="408"/>
      <c r="F162" s="409"/>
      <c r="G162" s="194"/>
      <c r="I162" s="99">
        <f>IF(G169="1:1.3 Up",0.8*G166,G166)</f>
        <v>0</v>
      </c>
      <c r="J162" s="100"/>
      <c r="K162" s="100" t="e">
        <f>INDEX($AD$8:$AU$19,MATCH(G167,$AD$8:$AD$19,0),MATCH(G161,$AD$8:$AU$8,0))</f>
        <v>#N/A</v>
      </c>
      <c r="L162" s="100"/>
      <c r="M162" s="100">
        <f>G162-G163</f>
        <v>0</v>
      </c>
      <c r="N162" s="100"/>
      <c r="O162" s="100" t="e">
        <f>VLOOKUP(G167,$AD$9:$AU$19,12,FALSE)</f>
        <v>#N/A</v>
      </c>
      <c r="P162" s="100"/>
      <c r="Q162" s="101" t="e">
        <f>((I162+K162)*M162)*O162</f>
        <v>#N/A</v>
      </c>
      <c r="R162" s="101"/>
      <c r="S162" s="101"/>
      <c r="T162" s="100"/>
      <c r="U162" s="100"/>
      <c r="V162" s="100"/>
      <c r="W162" s="100"/>
      <c r="X162" s="100"/>
      <c r="Y162" s="100"/>
      <c r="Z162" s="100"/>
      <c r="AA162" s="102"/>
    </row>
    <row r="163" spans="2:28" ht="13.2" customHeight="1" thickBot="1" x14ac:dyDescent="0.25">
      <c r="B163" s="98"/>
      <c r="C163" s="406"/>
      <c r="D163" s="410" t="s">
        <v>251</v>
      </c>
      <c r="E163" s="411"/>
      <c r="F163" s="412"/>
      <c r="G163" s="194"/>
      <c r="I163" s="108" t="s">
        <v>252</v>
      </c>
      <c r="J163" s="109" t="s">
        <v>12</v>
      </c>
      <c r="K163" s="109" t="s">
        <v>253</v>
      </c>
      <c r="L163" s="109" t="s">
        <v>12</v>
      </c>
      <c r="M163" s="109" t="s">
        <v>254</v>
      </c>
      <c r="N163" s="109" t="s">
        <v>235</v>
      </c>
      <c r="O163" s="109" t="s">
        <v>255</v>
      </c>
      <c r="P163" s="109" t="s">
        <v>12</v>
      </c>
      <c r="Q163" s="109" t="s">
        <v>256</v>
      </c>
      <c r="R163" s="109" t="s">
        <v>12</v>
      </c>
      <c r="S163" s="109" t="s">
        <v>257</v>
      </c>
      <c r="T163" s="109" t="s">
        <v>12</v>
      </c>
      <c r="U163" s="109" t="s">
        <v>258</v>
      </c>
      <c r="V163" s="109" t="s">
        <v>12</v>
      </c>
      <c r="W163" s="109" t="s">
        <v>259</v>
      </c>
      <c r="X163" s="109" t="s">
        <v>235</v>
      </c>
      <c r="Y163" s="109" t="s">
        <v>260</v>
      </c>
      <c r="Z163" s="109" t="s">
        <v>10</v>
      </c>
      <c r="AA163" s="110" t="s">
        <v>261</v>
      </c>
      <c r="AB163" s="202" t="s">
        <v>262</v>
      </c>
    </row>
    <row r="164" spans="2:28" ht="13.2" customHeight="1" x14ac:dyDescent="0.2">
      <c r="B164" s="407" t="s">
        <v>267</v>
      </c>
      <c r="C164" s="408"/>
      <c r="D164" s="408"/>
      <c r="E164" s="408"/>
      <c r="F164" s="409"/>
      <c r="G164" s="194"/>
      <c r="I164" s="99">
        <f>I162</f>
        <v>0</v>
      </c>
      <c r="J164" s="100"/>
      <c r="K164" s="100" t="e">
        <f>K162</f>
        <v>#N/A</v>
      </c>
      <c r="L164" s="100"/>
      <c r="M164" s="100" t="e">
        <f>VLOOKUP(G161,$AD$24:$AK$29,6,FALSE)</f>
        <v>#N/A</v>
      </c>
      <c r="N164" s="100"/>
      <c r="O164" s="100">
        <f>G163</f>
        <v>0</v>
      </c>
      <c r="P164" s="100"/>
      <c r="Q164" s="120" t="e">
        <f>VLOOKUP(G161,$AD$24:$AH$29,2,FALSE)</f>
        <v>#N/A</v>
      </c>
      <c r="R164" s="100"/>
      <c r="S164" s="120" t="e">
        <f>IF(G169="None",0,VLOOKUP(G161,$AD$24:$AH$29,3,FALSE))</f>
        <v>#N/A</v>
      </c>
      <c r="T164" s="100"/>
      <c r="U164" s="120" t="e">
        <f>IF(G169="None",0,VLOOKUP(G161,$AD$24:$AH$29,4,FALSE))</f>
        <v>#N/A</v>
      </c>
      <c r="V164" s="100"/>
      <c r="W164" s="120">
        <f>IF(G171&gt;0,VLOOKUP(G161,$AD$24:$AH$29,5,FALSE),0)</f>
        <v>0</v>
      </c>
      <c r="X164" s="100"/>
      <c r="Y164" s="100">
        <v>0.05</v>
      </c>
      <c r="Z164" s="100"/>
      <c r="AA164" s="121" t="e">
        <f>(((I164+K164+M164)*O164)+Q164+S164+U164+W164)*Y164</f>
        <v>#N/A</v>
      </c>
      <c r="AB164" s="201">
        <f>IF(G169="None",2*$AL$39,$AL$39)</f>
        <v>3.3333333333333335</v>
      </c>
    </row>
    <row r="165" spans="2:28" ht="13.2" customHeight="1" x14ac:dyDescent="0.2">
      <c r="B165" s="407" t="s">
        <v>272</v>
      </c>
      <c r="C165" s="408"/>
      <c r="D165" s="408"/>
      <c r="E165" s="408"/>
      <c r="F165" s="409"/>
      <c r="G165" s="194"/>
      <c r="I165" s="92" t="s">
        <v>110</v>
      </c>
      <c r="J165" s="90" t="s">
        <v>235</v>
      </c>
      <c r="K165" s="90" t="s">
        <v>273</v>
      </c>
      <c r="L165" s="90" t="s">
        <v>12</v>
      </c>
      <c r="M165" s="90" t="s">
        <v>274</v>
      </c>
      <c r="N165" s="90" t="s">
        <v>12</v>
      </c>
      <c r="O165" s="90" t="s">
        <v>275</v>
      </c>
      <c r="P165" s="90" t="s">
        <v>12</v>
      </c>
      <c r="Q165" s="90" t="s">
        <v>276</v>
      </c>
      <c r="R165" s="90" t="s">
        <v>10</v>
      </c>
      <c r="S165" s="112" t="s">
        <v>31</v>
      </c>
      <c r="AA165" s="126"/>
      <c r="AB165" s="200" t="s">
        <v>277</v>
      </c>
    </row>
    <row r="166" spans="2:28" ht="13.2" customHeight="1" thickBot="1" x14ac:dyDescent="0.25">
      <c r="B166" s="407" t="s">
        <v>281</v>
      </c>
      <c r="C166" s="408"/>
      <c r="D166" s="408"/>
      <c r="E166" s="408"/>
      <c r="F166" s="409"/>
      <c r="G166" s="194"/>
      <c r="I166" s="99">
        <f>I162</f>
        <v>0</v>
      </c>
      <c r="J166" s="100"/>
      <c r="K166" s="100">
        <f>G165</f>
        <v>0</v>
      </c>
      <c r="L166" s="100"/>
      <c r="M166" s="127">
        <f>G171*0.05</f>
        <v>0</v>
      </c>
      <c r="N166" s="100"/>
      <c r="O166" s="128">
        <f>G170</f>
        <v>0</v>
      </c>
      <c r="P166" s="100"/>
      <c r="Q166" s="100">
        <f>G172*0.3</f>
        <v>0</v>
      </c>
      <c r="R166" s="100"/>
      <c r="S166" s="101">
        <f>(I166*K166)+M166+O166+Q166</f>
        <v>0</v>
      </c>
      <c r="AA166" s="126"/>
      <c r="AB166" s="201">
        <f>$AL$41</f>
        <v>9</v>
      </c>
    </row>
    <row r="167" spans="2:28" ht="13.2" customHeight="1" x14ac:dyDescent="0.2">
      <c r="B167" s="407" t="s">
        <v>285</v>
      </c>
      <c r="C167" s="408"/>
      <c r="D167" s="408"/>
      <c r="E167" s="408"/>
      <c r="F167" s="409"/>
      <c r="G167" s="195"/>
      <c r="I167" s="108" t="s">
        <v>286</v>
      </c>
      <c r="J167" s="109" t="s">
        <v>12</v>
      </c>
      <c r="K167" s="109" t="s">
        <v>261</v>
      </c>
      <c r="L167" s="109" t="s">
        <v>12</v>
      </c>
      <c r="M167" s="109" t="s">
        <v>287</v>
      </c>
      <c r="N167" s="109" t="s">
        <v>235</v>
      </c>
      <c r="O167" s="109" t="s">
        <v>61</v>
      </c>
      <c r="P167" s="109" t="s">
        <v>10</v>
      </c>
      <c r="Q167" s="129" t="s">
        <v>58</v>
      </c>
      <c r="R167" s="129"/>
      <c r="S167" s="129"/>
      <c r="T167" s="109"/>
      <c r="U167" s="109"/>
      <c r="V167" s="435" t="s">
        <v>50</v>
      </c>
      <c r="W167" s="436"/>
      <c r="X167" s="436"/>
      <c r="Y167" s="436" t="s">
        <v>51</v>
      </c>
      <c r="Z167" s="436"/>
      <c r="AA167" s="437"/>
      <c r="AB167" s="202" t="s">
        <v>257</v>
      </c>
    </row>
    <row r="168" spans="2:28" ht="13.2" customHeight="1" x14ac:dyDescent="0.2">
      <c r="B168" s="407" t="s">
        <v>124</v>
      </c>
      <c r="C168" s="408"/>
      <c r="D168" s="408"/>
      <c r="E168" s="408"/>
      <c r="F168" s="409"/>
      <c r="G168" s="208"/>
      <c r="I168" s="99" t="e">
        <f>Q162</f>
        <v>#N/A</v>
      </c>
      <c r="J168" s="100"/>
      <c r="K168" s="127" t="e">
        <f>AA164</f>
        <v>#N/A</v>
      </c>
      <c r="L168" s="100"/>
      <c r="M168" s="100">
        <f>S166</f>
        <v>0</v>
      </c>
      <c r="N168" s="100"/>
      <c r="O168" s="100">
        <v>1.25</v>
      </c>
      <c r="P168" s="100"/>
      <c r="Q168" s="101" t="e">
        <f>(I168+K168+M168)*O168</f>
        <v>#N/A</v>
      </c>
      <c r="R168" s="101"/>
      <c r="S168" s="101"/>
      <c r="T168" s="100"/>
      <c r="U168" s="100"/>
      <c r="V168" s="428" t="str">
        <f>IFERROR(IF(Q168&gt;MAX($AF$37:$AF$44),"EXCEEDS MAX EBP",""),"")</f>
        <v/>
      </c>
      <c r="W168" s="421"/>
      <c r="X168" s="421"/>
      <c r="Y168" s="429" t="str">
        <f>IFERROR(IF(G168="MOTOVARIO",INDEX($AE$104:$AE$157,MATCH(1,INDEX((G164&lt;=$AG$104:$AG$157)*(Q170&lt;=$AF$104:$AF$157)*(Q168&lt;=$AH$104:$AH$157),0,0),0))&amp;" DIRECT DRIVE",IF(G168="DODGE",INDEX($AE$51:$AE$97,MATCH(1,INDEX((G164&lt;=$AG$51:$AG$97)*(Q170&lt;=$AF$51:$AF$97)*(Q168&lt;=$AH$51:$AH$97),0,0),0))&amp;" DIRECT DRIVE",INDEX($AD$37:$AD$44,MATCH(1,INDEX((Q168&lt;=$AF$37:$AF$44)*(Q170&lt;=$AE$37:$AE$44),0,0),0)))),"")</f>
        <v/>
      </c>
      <c r="Z168" s="429"/>
      <c r="AA168" s="430"/>
      <c r="AB168" s="201" t="e">
        <f>IF(G169="none",0,VLOOKUP(G161,$AN$38:$AP$43,3,FALSE))</f>
        <v>#N/A</v>
      </c>
    </row>
    <row r="169" spans="2:28" ht="13.2" customHeight="1" x14ac:dyDescent="0.2">
      <c r="B169" s="407" t="s">
        <v>296</v>
      </c>
      <c r="C169" s="408"/>
      <c r="D169" s="408"/>
      <c r="E169" s="408"/>
      <c r="F169" s="409"/>
      <c r="G169" s="196"/>
      <c r="I169" s="108" t="s">
        <v>297</v>
      </c>
      <c r="J169" s="109" t="s">
        <v>235</v>
      </c>
      <c r="K169" s="109" t="s">
        <v>298</v>
      </c>
      <c r="L169" s="109" t="s">
        <v>75</v>
      </c>
      <c r="M169" s="109" t="s">
        <v>299</v>
      </c>
      <c r="N169" s="109" t="s">
        <v>235</v>
      </c>
      <c r="O169" s="109" t="s">
        <v>300</v>
      </c>
      <c r="P169" s="109" t="s">
        <v>10</v>
      </c>
      <c r="Q169" s="129" t="s">
        <v>108</v>
      </c>
      <c r="R169" s="129"/>
      <c r="S169" s="129"/>
      <c r="T169" s="109"/>
      <c r="U169" s="109"/>
      <c r="V169" s="428" t="str">
        <f>IFERROR(IF(Q170&gt;MAX($AE$37:$AE$44),"EXCEEDS MAX HP",""),"")</f>
        <v/>
      </c>
      <c r="W169" s="421"/>
      <c r="X169" s="421"/>
      <c r="Y169" s="429" t="str">
        <f>IFERROR(IF(G168="Motovario",INDEX($AF$104:$AF$157,MATCH(1,INDEX((G164&lt;=$AG$104:$AG$157)*(Q170&lt;=$AF$104:$AF$157)*(Q168&lt;=$AH$104:$AH$157),0,0),0)),IF(G168="Dodge",INDEX($AF$51:$AF$97,MATCH(1,INDEX((G164&lt;=$AG$51:$AG$97)*(Q170&lt;=$AF$51:$AF$97)*(Q168&lt;=$AH$51:$AH$97),0,0),0)),INDEX($AE$37:$AE$44,MATCH(1,INDEX((Q168&lt;=$AF$37:$AF$44)*(Q170&lt;=$AE$37:$AE$44),0,0),0))))&amp;" HP","")</f>
        <v/>
      </c>
      <c r="Z169" s="429"/>
      <c r="AA169" s="430"/>
      <c r="AB169" s="200" t="s">
        <v>258</v>
      </c>
    </row>
    <row r="170" spans="2:28" ht="13.2" customHeight="1" thickBot="1" x14ac:dyDescent="0.25">
      <c r="B170" s="410" t="s">
        <v>305</v>
      </c>
      <c r="C170" s="411"/>
      <c r="D170" s="411"/>
      <c r="E170" s="411"/>
      <c r="F170" s="412"/>
      <c r="G170" s="197"/>
      <c r="I170" s="136" t="e">
        <f>Q168</f>
        <v>#N/A</v>
      </c>
      <c r="K170" s="90">
        <f>G164</f>
        <v>0</v>
      </c>
      <c r="M170" s="90">
        <v>33000</v>
      </c>
      <c r="O170" s="90">
        <f>IF(G168="N",IF(G164&lt;100,0.8,IF(G164&lt;200,0.85,0.9)),0.95)</f>
        <v>0.95</v>
      </c>
      <c r="Q170" s="137" t="e">
        <f>(I170*K170)/(M170*O170)</f>
        <v>#N/A</v>
      </c>
      <c r="R170" s="137"/>
      <c r="S170" s="137"/>
      <c r="V170" s="428" t="str">
        <f>IF(Y170="","",IF(Y170&gt;VLOOKUP(G161,$AD$24:$AK$29,8),"EXCEEDS MAX QTY",""))</f>
        <v/>
      </c>
      <c r="W170" s="421"/>
      <c r="X170" s="421"/>
      <c r="Y170" s="215" t="str">
        <f>IFERROR(ROUNDUP(Q168/100,0),"")</f>
        <v/>
      </c>
      <c r="Z170" s="426" t="str">
        <f>IF(Y170="","","LONG SPRINGS")</f>
        <v/>
      </c>
      <c r="AA170" s="427"/>
      <c r="AB170" s="201" t="e">
        <f>IF(U164=0,0,$AL$40)</f>
        <v>#N/A</v>
      </c>
    </row>
    <row r="171" spans="2:28" ht="13.2" customHeight="1" x14ac:dyDescent="0.2">
      <c r="B171" s="410" t="s">
        <v>309</v>
      </c>
      <c r="C171" s="411"/>
      <c r="D171" s="411"/>
      <c r="E171" s="411"/>
      <c r="F171" s="412"/>
      <c r="G171" s="198"/>
      <c r="I171" s="423" t="s">
        <v>133</v>
      </c>
      <c r="J171" s="424"/>
      <c r="K171" s="424"/>
      <c r="L171" s="424"/>
      <c r="M171" s="424"/>
      <c r="N171" s="424"/>
      <c r="O171" s="424"/>
      <c r="P171" s="424"/>
      <c r="Q171" s="424"/>
      <c r="R171" s="424"/>
      <c r="S171" s="424"/>
      <c r="T171" s="424"/>
      <c r="U171" s="425"/>
      <c r="V171" s="420" t="str">
        <f>IF(Y171="","",IF(Y171&gt;VLOOKUP(G161,$AD$24:$AK$29,8),"EXCEEDS MAX QTY",""))</f>
        <v/>
      </c>
      <c r="W171" s="421"/>
      <c r="X171" s="421"/>
      <c r="Y171" s="215" t="str">
        <f>IFERROR(ROUNDUP(Q168/80,0),"")</f>
        <v/>
      </c>
      <c r="Z171" s="426" t="str">
        <f>IF(Y171="","","SHORT SPRINGS")</f>
        <v/>
      </c>
      <c r="AA171" s="427"/>
      <c r="AB171" s="203" t="s">
        <v>310</v>
      </c>
    </row>
    <row r="172" spans="2:28" ht="13.2" customHeight="1" thickBot="1" x14ac:dyDescent="0.25">
      <c r="B172" s="414" t="s">
        <v>315</v>
      </c>
      <c r="C172" s="415"/>
      <c r="D172" s="415"/>
      <c r="E172" s="415"/>
      <c r="F172" s="416"/>
      <c r="G172" s="199"/>
      <c r="I172" s="108"/>
      <c r="J172" s="417" t="s">
        <v>134</v>
      </c>
      <c r="K172" s="417"/>
      <c r="L172" s="418" t="str">
        <f>IFERROR(Q168*L173/2,"")</f>
        <v/>
      </c>
      <c r="M172" s="418"/>
      <c r="N172" s="109"/>
      <c r="O172" s="417" t="s">
        <v>135</v>
      </c>
      <c r="P172" s="417"/>
      <c r="Q172" s="419" t="str">
        <f>IFERROR(IF(G168="Motovario",INDEX($AI$104:$AI$157,MATCH(1,INDEX((G164&lt;=$AG$104:$AG$157)*(Q170&lt;=$AF$104:$AF$157)*(Q168&lt;=$AH$104:$AH$157),0,0),0)),IF(G168="Dodge",INDEX($AI$51:$AI$97,MATCH(1,INDEX((G164&lt;=$AG$51:$AG$97)*(Q170&lt;=$AF$51:$AF$97)*(Q168&lt;=$AH$51:$AH$97),0,0),0)),"")),"")</f>
        <v/>
      </c>
      <c r="R172" s="419"/>
      <c r="S172" s="419"/>
      <c r="T172" s="419"/>
      <c r="U172" s="139"/>
      <c r="V172" s="420" t="str">
        <f>IF(AA161&lt;0,"",IF(G163&gt;AA161,"EXCEEDS MAX LR",""))</f>
        <v/>
      </c>
      <c r="W172" s="421"/>
      <c r="X172" s="421"/>
      <c r="Y172" s="345"/>
      <c r="Z172" s="345"/>
      <c r="AA172" s="346"/>
      <c r="AB172" s="204">
        <f>IF(G171&gt;0,$AL$42,0)</f>
        <v>0</v>
      </c>
    </row>
    <row r="173" spans="2:28" ht="13.2" customHeight="1" thickBot="1" x14ac:dyDescent="0.25">
      <c r="B173" s="388" t="s">
        <v>78</v>
      </c>
      <c r="C173" s="389"/>
      <c r="D173" s="390"/>
      <c r="E173" s="391"/>
      <c r="F173" s="391"/>
      <c r="G173" s="392"/>
      <c r="H173" s="391"/>
      <c r="I173" s="93"/>
      <c r="J173" s="393" t="s">
        <v>136</v>
      </c>
      <c r="K173" s="393"/>
      <c r="L173" s="394" t="str">
        <f>IFERROR(VALUE(LEFT(Y168,SEARCH("CD",Y168)-1))+0.5,"")</f>
        <v/>
      </c>
      <c r="M173" s="394"/>
      <c r="N173" s="94"/>
      <c r="O173" s="395" t="s">
        <v>137</v>
      </c>
      <c r="P173" s="395"/>
      <c r="Q173" s="396" t="str">
        <f>IFERROR(Q172/L172,"")</f>
        <v/>
      </c>
      <c r="R173" s="396"/>
      <c r="S173" s="396"/>
      <c r="T173" s="396"/>
      <c r="U173" s="140"/>
      <c r="V173" s="397" t="str">
        <f>IF(G162&gt;150,"VERY LONG","")</f>
        <v/>
      </c>
      <c r="W173" s="398"/>
      <c r="X173" s="398"/>
      <c r="Y173" s="348" t="str">
        <f>IF(G168="MOTOVARIO","DD NOM SPEED: "&amp;INDEX($AG$104:$AG$157,MATCH(1,INDEX((G164&lt;=$AG$104:$AG$157)*(Q170&lt;=$AF$104:$AF$157)*(Q168&lt;=$AH$104:$AH$157),0,0),0)),IF(G168="DODGE)","DD NOM SPEED: "&amp;INDEX($AG$51:$AG$97,MATCH(1,INDEX((G164&lt;=$AG$51:$AG$97)*(Q170&lt;=$AF$51:$AF$97)*(Q168&lt;=$AH$51:$AH$97),0,0),0)),""))</f>
        <v/>
      </c>
      <c r="Z173" s="348"/>
      <c r="AA173" s="349"/>
    </row>
    <row r="174" spans="2:28" ht="13.2" customHeight="1" thickBot="1" x14ac:dyDescent="0.25"/>
    <row r="175" spans="2:28" ht="13.2" customHeight="1" thickBot="1" x14ac:dyDescent="0.25">
      <c r="B175" s="95"/>
      <c r="C175" s="91" t="s">
        <v>5</v>
      </c>
      <c r="D175" s="403" t="s">
        <v>232</v>
      </c>
      <c r="E175" s="403"/>
      <c r="F175" s="404"/>
      <c r="G175" s="193"/>
      <c r="H175" s="96"/>
      <c r="I175" s="216" t="s">
        <v>233</v>
      </c>
      <c r="J175" s="91" t="s">
        <v>12</v>
      </c>
      <c r="K175" s="91" t="s">
        <v>234</v>
      </c>
      <c r="L175" s="91" t="s">
        <v>235</v>
      </c>
      <c r="M175" s="91" t="s">
        <v>236</v>
      </c>
      <c r="N175" s="91" t="s">
        <v>235</v>
      </c>
      <c r="O175" s="91" t="s">
        <v>237</v>
      </c>
      <c r="P175" s="91" t="s">
        <v>10</v>
      </c>
      <c r="Q175" s="97" t="s">
        <v>238</v>
      </c>
      <c r="R175" s="97"/>
      <c r="S175" s="97"/>
      <c r="T175" s="91"/>
      <c r="U175" s="91"/>
      <c r="V175" s="91"/>
      <c r="W175" s="91"/>
      <c r="X175" s="91"/>
      <c r="Y175" s="226" t="str">
        <f>IF(G177&gt;0,"Suggested Max LR","")</f>
        <v/>
      </c>
      <c r="Z175" s="227" t="str">
        <f>IF(G177&gt;0,"=","")</f>
        <v/>
      </c>
      <c r="AA175" s="228" t="str">
        <f>IF(G177&gt;0,G176-(AB178+AB180+AB182+AB184+AB186),"")</f>
        <v/>
      </c>
      <c r="AB175" s="90" t="s">
        <v>239</v>
      </c>
    </row>
    <row r="176" spans="2:28" ht="13.2" customHeight="1" x14ac:dyDescent="0.2">
      <c r="B176" s="98"/>
      <c r="C176" s="405"/>
      <c r="D176" s="407" t="s">
        <v>242</v>
      </c>
      <c r="E176" s="408"/>
      <c r="F176" s="409"/>
      <c r="G176" s="194"/>
      <c r="I176" s="99">
        <f>IF(G183="1:1.3 Up",0.8*G180,G180)</f>
        <v>0</v>
      </c>
      <c r="J176" s="100"/>
      <c r="K176" s="100" t="e">
        <f>INDEX($AD$8:$AU$19,MATCH(G181,$AD$8:$AD$19,0),MATCH(G175,$AD$8:$AU$8,0))</f>
        <v>#N/A</v>
      </c>
      <c r="L176" s="100"/>
      <c r="M176" s="100">
        <f>G176-G177</f>
        <v>0</v>
      </c>
      <c r="N176" s="100"/>
      <c r="O176" s="100" t="e">
        <f>VLOOKUP(G181,$AD$9:$AU$19,12,FALSE)</f>
        <v>#N/A</v>
      </c>
      <c r="P176" s="100"/>
      <c r="Q176" s="101" t="e">
        <f>((I176+K176)*M176)*O176</f>
        <v>#N/A</v>
      </c>
      <c r="R176" s="101"/>
      <c r="S176" s="101"/>
      <c r="T176" s="100"/>
      <c r="U176" s="100"/>
      <c r="V176" s="100"/>
      <c r="W176" s="100"/>
      <c r="X176" s="100"/>
      <c r="Y176" s="100"/>
      <c r="Z176" s="100"/>
      <c r="AA176" s="102"/>
    </row>
    <row r="177" spans="2:28" ht="13.2" customHeight="1" thickBot="1" x14ac:dyDescent="0.25">
      <c r="B177" s="98"/>
      <c r="C177" s="406"/>
      <c r="D177" s="410" t="s">
        <v>251</v>
      </c>
      <c r="E177" s="411"/>
      <c r="F177" s="412"/>
      <c r="G177" s="194"/>
      <c r="I177" s="108" t="s">
        <v>252</v>
      </c>
      <c r="J177" s="109" t="s">
        <v>12</v>
      </c>
      <c r="K177" s="109" t="s">
        <v>253</v>
      </c>
      <c r="L177" s="109" t="s">
        <v>12</v>
      </c>
      <c r="M177" s="109" t="s">
        <v>254</v>
      </c>
      <c r="N177" s="109" t="s">
        <v>235</v>
      </c>
      <c r="O177" s="109" t="s">
        <v>255</v>
      </c>
      <c r="P177" s="109" t="s">
        <v>12</v>
      </c>
      <c r="Q177" s="109" t="s">
        <v>256</v>
      </c>
      <c r="R177" s="109" t="s">
        <v>12</v>
      </c>
      <c r="S177" s="109" t="s">
        <v>257</v>
      </c>
      <c r="T177" s="109" t="s">
        <v>12</v>
      </c>
      <c r="U177" s="109" t="s">
        <v>258</v>
      </c>
      <c r="V177" s="109" t="s">
        <v>12</v>
      </c>
      <c r="W177" s="109" t="s">
        <v>259</v>
      </c>
      <c r="X177" s="109" t="s">
        <v>235</v>
      </c>
      <c r="Y177" s="109" t="s">
        <v>260</v>
      </c>
      <c r="Z177" s="109" t="s">
        <v>10</v>
      </c>
      <c r="AA177" s="110" t="s">
        <v>261</v>
      </c>
      <c r="AB177" s="202" t="s">
        <v>262</v>
      </c>
    </row>
    <row r="178" spans="2:28" ht="13.2" customHeight="1" x14ac:dyDescent="0.2">
      <c r="B178" s="407" t="s">
        <v>267</v>
      </c>
      <c r="C178" s="408"/>
      <c r="D178" s="408"/>
      <c r="E178" s="408"/>
      <c r="F178" s="409"/>
      <c r="G178" s="194"/>
      <c r="I178" s="99">
        <f>I176</f>
        <v>0</v>
      </c>
      <c r="J178" s="100"/>
      <c r="K178" s="100" t="e">
        <f>K176</f>
        <v>#N/A</v>
      </c>
      <c r="L178" s="100"/>
      <c r="M178" s="100" t="e">
        <f>VLOOKUP(G175,$AD$24:$AK$29,6,FALSE)</f>
        <v>#N/A</v>
      </c>
      <c r="N178" s="100"/>
      <c r="O178" s="100">
        <f>G177</f>
        <v>0</v>
      </c>
      <c r="P178" s="100"/>
      <c r="Q178" s="120" t="e">
        <f>VLOOKUP(G175,$AD$24:$AH$29,2,FALSE)</f>
        <v>#N/A</v>
      </c>
      <c r="R178" s="100"/>
      <c r="S178" s="120" t="e">
        <f>IF(G183="None",0,VLOOKUP(G175,$AD$24:$AH$29,3,FALSE))</f>
        <v>#N/A</v>
      </c>
      <c r="T178" s="100"/>
      <c r="U178" s="120" t="e">
        <f>IF(G183="None",0,VLOOKUP(G175,$AD$24:$AH$29,4,FALSE))</f>
        <v>#N/A</v>
      </c>
      <c r="V178" s="100"/>
      <c r="W178" s="120">
        <f>IF(G185&gt;0,VLOOKUP(G175,$AD$24:$AH$29,5,FALSE),0)</f>
        <v>0</v>
      </c>
      <c r="X178" s="100"/>
      <c r="Y178" s="100">
        <v>0.05</v>
      </c>
      <c r="Z178" s="100"/>
      <c r="AA178" s="121" t="e">
        <f>(((I178+K178+M178)*O178)+Q178+S178+U178+W178)*Y178</f>
        <v>#N/A</v>
      </c>
      <c r="AB178" s="201">
        <f>IF(G183="None",2*$AL$39,$AL$39)</f>
        <v>3.3333333333333335</v>
      </c>
    </row>
    <row r="179" spans="2:28" ht="13.2" customHeight="1" x14ac:dyDescent="0.2">
      <c r="B179" s="407" t="s">
        <v>272</v>
      </c>
      <c r="C179" s="408"/>
      <c r="D179" s="408"/>
      <c r="E179" s="408"/>
      <c r="F179" s="409"/>
      <c r="G179" s="194"/>
      <c r="I179" s="92" t="s">
        <v>110</v>
      </c>
      <c r="J179" s="90" t="s">
        <v>235</v>
      </c>
      <c r="K179" s="90" t="s">
        <v>273</v>
      </c>
      <c r="L179" s="90" t="s">
        <v>12</v>
      </c>
      <c r="M179" s="90" t="s">
        <v>274</v>
      </c>
      <c r="N179" s="90" t="s">
        <v>12</v>
      </c>
      <c r="O179" s="90" t="s">
        <v>275</v>
      </c>
      <c r="P179" s="90" t="s">
        <v>12</v>
      </c>
      <c r="Q179" s="90" t="s">
        <v>276</v>
      </c>
      <c r="R179" s="90" t="s">
        <v>10</v>
      </c>
      <c r="S179" s="112" t="s">
        <v>31</v>
      </c>
      <c r="AA179" s="126"/>
      <c r="AB179" s="200" t="s">
        <v>277</v>
      </c>
    </row>
    <row r="180" spans="2:28" ht="13.2" customHeight="1" thickBot="1" x14ac:dyDescent="0.25">
      <c r="B180" s="407" t="s">
        <v>281</v>
      </c>
      <c r="C180" s="408"/>
      <c r="D180" s="408"/>
      <c r="E180" s="408"/>
      <c r="F180" s="409"/>
      <c r="G180" s="194"/>
      <c r="I180" s="99">
        <f>I176</f>
        <v>0</v>
      </c>
      <c r="J180" s="100"/>
      <c r="K180" s="100">
        <f>G179</f>
        <v>0</v>
      </c>
      <c r="L180" s="100"/>
      <c r="M180" s="127">
        <f>G185*0.05</f>
        <v>0</v>
      </c>
      <c r="N180" s="100"/>
      <c r="O180" s="128">
        <f>G184</f>
        <v>0</v>
      </c>
      <c r="P180" s="100"/>
      <c r="Q180" s="100">
        <f>G186*0.3</f>
        <v>0</v>
      </c>
      <c r="R180" s="100"/>
      <c r="S180" s="101">
        <f>(I180*K180)+M180+O180+Q180</f>
        <v>0</v>
      </c>
      <c r="AA180" s="126"/>
      <c r="AB180" s="201">
        <f>$AL$41</f>
        <v>9</v>
      </c>
    </row>
    <row r="181" spans="2:28" ht="13.2" customHeight="1" x14ac:dyDescent="0.2">
      <c r="B181" s="407" t="s">
        <v>285</v>
      </c>
      <c r="C181" s="408"/>
      <c r="D181" s="408"/>
      <c r="E181" s="408"/>
      <c r="F181" s="409"/>
      <c r="G181" s="195"/>
      <c r="I181" s="108" t="s">
        <v>286</v>
      </c>
      <c r="J181" s="109" t="s">
        <v>12</v>
      </c>
      <c r="K181" s="109" t="s">
        <v>261</v>
      </c>
      <c r="L181" s="109" t="s">
        <v>12</v>
      </c>
      <c r="M181" s="109" t="s">
        <v>287</v>
      </c>
      <c r="N181" s="109" t="s">
        <v>235</v>
      </c>
      <c r="O181" s="109" t="s">
        <v>61</v>
      </c>
      <c r="P181" s="109" t="s">
        <v>10</v>
      </c>
      <c r="Q181" s="129" t="s">
        <v>58</v>
      </c>
      <c r="R181" s="129"/>
      <c r="S181" s="129"/>
      <c r="T181" s="109"/>
      <c r="U181" s="109"/>
      <c r="V181" s="435" t="s">
        <v>50</v>
      </c>
      <c r="W181" s="436"/>
      <c r="X181" s="436"/>
      <c r="Y181" s="436" t="s">
        <v>51</v>
      </c>
      <c r="Z181" s="436"/>
      <c r="AA181" s="437"/>
      <c r="AB181" s="202" t="s">
        <v>257</v>
      </c>
    </row>
    <row r="182" spans="2:28" ht="13.2" customHeight="1" x14ac:dyDescent="0.2">
      <c r="B182" s="407" t="s">
        <v>124</v>
      </c>
      <c r="C182" s="408"/>
      <c r="D182" s="408"/>
      <c r="E182" s="408"/>
      <c r="F182" s="409"/>
      <c r="G182" s="208"/>
      <c r="I182" s="99" t="e">
        <f>Q176</f>
        <v>#N/A</v>
      </c>
      <c r="J182" s="100"/>
      <c r="K182" s="127" t="e">
        <f>AA178</f>
        <v>#N/A</v>
      </c>
      <c r="L182" s="100"/>
      <c r="M182" s="100">
        <f>S180</f>
        <v>0</v>
      </c>
      <c r="N182" s="100"/>
      <c r="O182" s="100">
        <v>1.25</v>
      </c>
      <c r="P182" s="100"/>
      <c r="Q182" s="101" t="e">
        <f>(I182+K182+M182)*O182</f>
        <v>#N/A</v>
      </c>
      <c r="R182" s="101"/>
      <c r="S182" s="101"/>
      <c r="T182" s="100"/>
      <c r="U182" s="100"/>
      <c r="V182" s="428" t="str">
        <f>IFERROR(IF(Q182&gt;MAX($AF$37:$AF$44),"EXCEEDS MAX EBP",""),"")</f>
        <v/>
      </c>
      <c r="W182" s="421"/>
      <c r="X182" s="421"/>
      <c r="Y182" s="429" t="str">
        <f>IFERROR(IF(G182="MOTOVARIO",INDEX($AE$104:$AE$157,MATCH(1,INDEX((G178&lt;=$AG$104:$AG$157)*(Q184&lt;=$AF$104:$AF$157)*(Q182&lt;=$AH$104:$AH$157),0,0),0))&amp;" DIRECT DRIVE",IF(G182="DODGE",INDEX($AE$51:$AE$97,MATCH(1,INDEX((G178&lt;=$AG$51:$AG$97)*(Q184&lt;=$AF$51:$AF$97)*(Q182&lt;=$AH$51:$AH$97),0,0),0))&amp;" DIRECT DRIVE",INDEX($AD$37:$AD$44,MATCH(1,INDEX((Q182&lt;=$AF$37:$AF$44)*(Q184&lt;=$AE$37:$AE$44),0,0),0)))),"")</f>
        <v/>
      </c>
      <c r="Z182" s="429"/>
      <c r="AA182" s="430"/>
      <c r="AB182" s="201" t="e">
        <f>IF(G183="none",0,VLOOKUP(G175,$AN$38:$AP$43,3,FALSE))</f>
        <v>#N/A</v>
      </c>
    </row>
    <row r="183" spans="2:28" ht="13.2" customHeight="1" x14ac:dyDescent="0.2">
      <c r="B183" s="407" t="s">
        <v>296</v>
      </c>
      <c r="C183" s="408"/>
      <c r="D183" s="408"/>
      <c r="E183" s="408"/>
      <c r="F183" s="409"/>
      <c r="G183" s="196"/>
      <c r="I183" s="108" t="s">
        <v>297</v>
      </c>
      <c r="J183" s="109" t="s">
        <v>235</v>
      </c>
      <c r="K183" s="109" t="s">
        <v>298</v>
      </c>
      <c r="L183" s="109" t="s">
        <v>75</v>
      </c>
      <c r="M183" s="109" t="s">
        <v>299</v>
      </c>
      <c r="N183" s="109" t="s">
        <v>235</v>
      </c>
      <c r="O183" s="109" t="s">
        <v>300</v>
      </c>
      <c r="P183" s="109" t="s">
        <v>10</v>
      </c>
      <c r="Q183" s="129" t="s">
        <v>108</v>
      </c>
      <c r="R183" s="129"/>
      <c r="S183" s="129"/>
      <c r="T183" s="109"/>
      <c r="U183" s="109"/>
      <c r="V183" s="428" t="str">
        <f>IFERROR(IF(Q184&gt;MAX($AE$37:$AE$44),"EXCEEDS MAX HP",""),"")</f>
        <v/>
      </c>
      <c r="W183" s="421"/>
      <c r="X183" s="421"/>
      <c r="Y183" s="429" t="str">
        <f>IFERROR(IF(G182="Motovario",INDEX($AF$104:$AF$157,MATCH(1,INDEX((G178&lt;=$AG$104:$AG$157)*(Q184&lt;=$AF$104:$AF$157)*(Q182&lt;=$AH$104:$AH$157),0,0),0)),IF(G182="Dodge",INDEX($AF$51:$AF$97,MATCH(1,INDEX((G178&lt;=$AG$51:$AG$97)*(Q184&lt;=$AF$51:$AF$97)*(Q182&lt;=$AH$51:$AH$97),0,0),0)),INDEX($AE$37:$AE$44,MATCH(1,INDEX((Q182&lt;=$AF$37:$AF$44)*(Q184&lt;=$AE$37:$AE$44),0,0),0))))&amp;" HP","")</f>
        <v/>
      </c>
      <c r="Z183" s="429"/>
      <c r="AA183" s="430"/>
      <c r="AB183" s="200" t="s">
        <v>258</v>
      </c>
    </row>
    <row r="184" spans="2:28" ht="13.2" customHeight="1" thickBot="1" x14ac:dyDescent="0.25">
      <c r="B184" s="410" t="s">
        <v>305</v>
      </c>
      <c r="C184" s="411"/>
      <c r="D184" s="411"/>
      <c r="E184" s="411"/>
      <c r="F184" s="412"/>
      <c r="G184" s="197"/>
      <c r="I184" s="136" t="e">
        <f>Q182</f>
        <v>#N/A</v>
      </c>
      <c r="K184" s="90">
        <f>G178</f>
        <v>0</v>
      </c>
      <c r="M184" s="90">
        <v>33000</v>
      </c>
      <c r="O184" s="90">
        <f>IF(G182="N",IF(G178&lt;100,0.8,IF(G178&lt;200,0.85,0.9)),0.95)</f>
        <v>0.95</v>
      </c>
      <c r="Q184" s="137" t="e">
        <f>(I184*K184)/(M184*O184)</f>
        <v>#N/A</v>
      </c>
      <c r="R184" s="137"/>
      <c r="S184" s="137"/>
      <c r="V184" s="428" t="str">
        <f>IF(Y184="","",IF(Y184&gt;VLOOKUP(G175,$AD$24:$AK$29,8),"EXCEEDS MAX QTY",""))</f>
        <v/>
      </c>
      <c r="W184" s="421"/>
      <c r="X184" s="421"/>
      <c r="Y184" s="215" t="str">
        <f>IFERROR(ROUNDUP(Q182/100,0),"")</f>
        <v/>
      </c>
      <c r="Z184" s="426" t="str">
        <f>IF(Y184="","","LONG SPRINGS")</f>
        <v/>
      </c>
      <c r="AA184" s="427"/>
      <c r="AB184" s="201" t="e">
        <f>IF(U178=0,0,$AL$40)</f>
        <v>#N/A</v>
      </c>
    </row>
    <row r="185" spans="2:28" ht="13.2" customHeight="1" x14ac:dyDescent="0.2">
      <c r="B185" s="410" t="s">
        <v>309</v>
      </c>
      <c r="C185" s="411"/>
      <c r="D185" s="411"/>
      <c r="E185" s="411"/>
      <c r="F185" s="412"/>
      <c r="G185" s="198"/>
      <c r="I185" s="423" t="s">
        <v>133</v>
      </c>
      <c r="J185" s="424"/>
      <c r="K185" s="424"/>
      <c r="L185" s="424"/>
      <c r="M185" s="424"/>
      <c r="N185" s="424"/>
      <c r="O185" s="424"/>
      <c r="P185" s="424"/>
      <c r="Q185" s="424"/>
      <c r="R185" s="424"/>
      <c r="S185" s="424"/>
      <c r="T185" s="424"/>
      <c r="U185" s="425"/>
      <c r="V185" s="420" t="str">
        <f>IF(Y185="","",IF(Y185&gt;VLOOKUP(G175,$AD$24:$AK$29,8),"EXCEEDS MAX QTY",""))</f>
        <v/>
      </c>
      <c r="W185" s="421"/>
      <c r="X185" s="421"/>
      <c r="Y185" s="215" t="str">
        <f>IFERROR(ROUNDUP(Q182/80,0),"")</f>
        <v/>
      </c>
      <c r="Z185" s="426" t="str">
        <f>IF(Y185="","","SHORT SPRINGS")</f>
        <v/>
      </c>
      <c r="AA185" s="427"/>
      <c r="AB185" s="203" t="s">
        <v>310</v>
      </c>
    </row>
    <row r="186" spans="2:28" ht="13.2" customHeight="1" thickBot="1" x14ac:dyDescent="0.25">
      <c r="B186" s="414" t="s">
        <v>315</v>
      </c>
      <c r="C186" s="415"/>
      <c r="D186" s="415"/>
      <c r="E186" s="415"/>
      <c r="F186" s="416"/>
      <c r="G186" s="199"/>
      <c r="I186" s="108"/>
      <c r="J186" s="417" t="s">
        <v>134</v>
      </c>
      <c r="K186" s="417"/>
      <c r="L186" s="418" t="str">
        <f>IFERROR(Q182*L187/2,"")</f>
        <v/>
      </c>
      <c r="M186" s="418"/>
      <c r="N186" s="109"/>
      <c r="O186" s="417" t="s">
        <v>135</v>
      </c>
      <c r="P186" s="417"/>
      <c r="Q186" s="419" t="str">
        <f>IFERROR(IF(G182="Motovario",INDEX($AI$104:$AI$157,MATCH(1,INDEX((G178&lt;=$AG$104:$AG$157)*(Q184&lt;=$AF$104:$AF$157)*(Q182&lt;=$AH$104:$AH$157),0,0),0)),IF(G182="Dodge",INDEX($AI$51:$AI$97,MATCH(1,INDEX((G178&lt;=$AG$51:$AG$97)*(Q184&lt;=$AF$51:$AF$97)*(Q182&lt;=$AH$51:$AH$97),0,0),0)),"")),"")</f>
        <v/>
      </c>
      <c r="R186" s="419"/>
      <c r="S186" s="419"/>
      <c r="T186" s="419"/>
      <c r="U186" s="139"/>
      <c r="V186" s="420" t="str">
        <f>IF(AA175&lt;0,"",IF(G177&gt;AA175,"EXCEEDS MAX LR",""))</f>
        <v/>
      </c>
      <c r="W186" s="421"/>
      <c r="X186" s="421"/>
      <c r="Y186" s="345"/>
      <c r="Z186" s="345"/>
      <c r="AA186" s="346"/>
      <c r="AB186" s="204">
        <f>IF(G185&gt;0,$AL$42,0)</f>
        <v>0</v>
      </c>
    </row>
    <row r="187" spans="2:28" ht="13.2" customHeight="1" thickBot="1" x14ac:dyDescent="0.25">
      <c r="B187" s="388" t="s">
        <v>78</v>
      </c>
      <c r="C187" s="389"/>
      <c r="D187" s="390"/>
      <c r="E187" s="391"/>
      <c r="F187" s="391"/>
      <c r="G187" s="392"/>
      <c r="H187" s="391"/>
      <c r="I187" s="93"/>
      <c r="J187" s="393" t="s">
        <v>136</v>
      </c>
      <c r="K187" s="393"/>
      <c r="L187" s="394" t="str">
        <f>IFERROR(VALUE(LEFT(Y182,SEARCH("CD",Y182)-1))+0.5,"")</f>
        <v/>
      </c>
      <c r="M187" s="394"/>
      <c r="N187" s="94"/>
      <c r="O187" s="395" t="s">
        <v>137</v>
      </c>
      <c r="P187" s="395"/>
      <c r="Q187" s="396" t="str">
        <f>IFERROR(Q186/L186,"")</f>
        <v/>
      </c>
      <c r="R187" s="396"/>
      <c r="S187" s="396"/>
      <c r="T187" s="396"/>
      <c r="U187" s="140"/>
      <c r="V187" s="397" t="str">
        <f>IF(G176&gt;150,"VERY LONG","")</f>
        <v/>
      </c>
      <c r="W187" s="398"/>
      <c r="X187" s="398"/>
      <c r="Y187" s="348" t="str">
        <f>IF(G182="MOTOVARIO","DD NOM SPEED: "&amp;INDEX($AG$104:$AG$157,MATCH(1,INDEX((G178&lt;=$AG$104:$AG$157)*(Q184&lt;=$AF$104:$AF$157)*(Q182&lt;=$AH$104:$AH$157),0,0),0)),IF(G182="DODGE)","DD NOM SPEED: "&amp;INDEX($AG$51:$AG$97,MATCH(1,INDEX((G178&lt;=$AG$51:$AG$97)*(Q184&lt;=$AF$51:$AF$97)*(Q182&lt;=$AH$51:$AH$97),0,0),0)),""))</f>
        <v/>
      </c>
      <c r="Z187" s="348"/>
      <c r="AA187" s="349"/>
    </row>
    <row r="188" spans="2:28" ht="13.2" customHeight="1" thickBot="1" x14ac:dyDescent="0.25"/>
    <row r="189" spans="2:28" ht="13.2" customHeight="1" thickBot="1" x14ac:dyDescent="0.25">
      <c r="B189" s="95"/>
      <c r="C189" s="91" t="s">
        <v>5</v>
      </c>
      <c r="D189" s="403" t="s">
        <v>232</v>
      </c>
      <c r="E189" s="403"/>
      <c r="F189" s="404"/>
      <c r="G189" s="193"/>
      <c r="H189" s="96"/>
      <c r="I189" s="216" t="s">
        <v>233</v>
      </c>
      <c r="J189" s="91" t="s">
        <v>12</v>
      </c>
      <c r="K189" s="91" t="s">
        <v>234</v>
      </c>
      <c r="L189" s="91" t="s">
        <v>235</v>
      </c>
      <c r="M189" s="91" t="s">
        <v>236</v>
      </c>
      <c r="N189" s="91" t="s">
        <v>235</v>
      </c>
      <c r="O189" s="91" t="s">
        <v>237</v>
      </c>
      <c r="P189" s="91" t="s">
        <v>10</v>
      </c>
      <c r="Q189" s="97" t="s">
        <v>238</v>
      </c>
      <c r="R189" s="97"/>
      <c r="S189" s="97"/>
      <c r="T189" s="91"/>
      <c r="U189" s="91"/>
      <c r="V189" s="91"/>
      <c r="W189" s="91"/>
      <c r="X189" s="91"/>
      <c r="Y189" s="226" t="str">
        <f>IF(G191&gt;0,"Suggested Max LR","")</f>
        <v/>
      </c>
      <c r="Z189" s="227" t="str">
        <f>IF(G191&gt;0,"=","")</f>
        <v/>
      </c>
      <c r="AA189" s="228" t="str">
        <f>IF(G191&gt;0,G190-(AB192+AB194+AB196+AB198+AB200),"")</f>
        <v/>
      </c>
      <c r="AB189" s="90" t="s">
        <v>239</v>
      </c>
    </row>
    <row r="190" spans="2:28" ht="13.2" customHeight="1" x14ac:dyDescent="0.2">
      <c r="B190" s="98"/>
      <c r="C190" s="405"/>
      <c r="D190" s="407" t="s">
        <v>242</v>
      </c>
      <c r="E190" s="408"/>
      <c r="F190" s="409"/>
      <c r="G190" s="194"/>
      <c r="I190" s="99">
        <f>IF(G197="1:1.3 Up",0.8*G194,G194)</f>
        <v>0</v>
      </c>
      <c r="J190" s="100"/>
      <c r="K190" s="100" t="e">
        <f>INDEX($AD$8:$AU$19,MATCH(G195,$AD$8:$AD$19,0),MATCH(G189,$AD$8:$AU$8,0))</f>
        <v>#N/A</v>
      </c>
      <c r="L190" s="100"/>
      <c r="M190" s="100">
        <f>G190-G191</f>
        <v>0</v>
      </c>
      <c r="N190" s="100"/>
      <c r="O190" s="100" t="e">
        <f>VLOOKUP(G195,$AD$9:$AU$19,12,FALSE)</f>
        <v>#N/A</v>
      </c>
      <c r="P190" s="100"/>
      <c r="Q190" s="101" t="e">
        <f>((I190+K190)*M190)*O190</f>
        <v>#N/A</v>
      </c>
      <c r="R190" s="101"/>
      <c r="S190" s="101"/>
      <c r="T190" s="100"/>
      <c r="U190" s="100"/>
      <c r="V190" s="100"/>
      <c r="W190" s="100"/>
      <c r="X190" s="100"/>
      <c r="Y190" s="100"/>
      <c r="Z190" s="100"/>
      <c r="AA190" s="102"/>
    </row>
    <row r="191" spans="2:28" ht="13.2" customHeight="1" thickBot="1" x14ac:dyDescent="0.25">
      <c r="B191" s="98"/>
      <c r="C191" s="406"/>
      <c r="D191" s="410" t="s">
        <v>251</v>
      </c>
      <c r="E191" s="411"/>
      <c r="F191" s="412"/>
      <c r="G191" s="194"/>
      <c r="I191" s="108" t="s">
        <v>252</v>
      </c>
      <c r="J191" s="109" t="s">
        <v>12</v>
      </c>
      <c r="K191" s="109" t="s">
        <v>253</v>
      </c>
      <c r="L191" s="109" t="s">
        <v>12</v>
      </c>
      <c r="M191" s="109" t="s">
        <v>254</v>
      </c>
      <c r="N191" s="109" t="s">
        <v>235</v>
      </c>
      <c r="O191" s="109" t="s">
        <v>255</v>
      </c>
      <c r="P191" s="109" t="s">
        <v>12</v>
      </c>
      <c r="Q191" s="109" t="s">
        <v>256</v>
      </c>
      <c r="R191" s="109" t="s">
        <v>12</v>
      </c>
      <c r="S191" s="109" t="s">
        <v>257</v>
      </c>
      <c r="T191" s="109" t="s">
        <v>12</v>
      </c>
      <c r="U191" s="109" t="s">
        <v>258</v>
      </c>
      <c r="V191" s="109" t="s">
        <v>12</v>
      </c>
      <c r="W191" s="109" t="s">
        <v>259</v>
      </c>
      <c r="X191" s="109" t="s">
        <v>235</v>
      </c>
      <c r="Y191" s="109" t="s">
        <v>260</v>
      </c>
      <c r="Z191" s="109" t="s">
        <v>10</v>
      </c>
      <c r="AA191" s="110" t="s">
        <v>261</v>
      </c>
      <c r="AB191" s="202" t="s">
        <v>262</v>
      </c>
    </row>
    <row r="192" spans="2:28" ht="13.2" customHeight="1" x14ac:dyDescent="0.2">
      <c r="B192" s="407" t="s">
        <v>267</v>
      </c>
      <c r="C192" s="408"/>
      <c r="D192" s="408"/>
      <c r="E192" s="408"/>
      <c r="F192" s="409"/>
      <c r="G192" s="194"/>
      <c r="I192" s="99">
        <f>I190</f>
        <v>0</v>
      </c>
      <c r="J192" s="100"/>
      <c r="K192" s="100" t="e">
        <f>K190</f>
        <v>#N/A</v>
      </c>
      <c r="L192" s="100"/>
      <c r="M192" s="100" t="e">
        <f>VLOOKUP(G189,$AD$24:$AK$29,6,FALSE)</f>
        <v>#N/A</v>
      </c>
      <c r="N192" s="100"/>
      <c r="O192" s="100">
        <f>G191</f>
        <v>0</v>
      </c>
      <c r="P192" s="100"/>
      <c r="Q192" s="120" t="e">
        <f>VLOOKUP(G189,$AD$24:$AH$29,2,FALSE)</f>
        <v>#N/A</v>
      </c>
      <c r="R192" s="100"/>
      <c r="S192" s="120" t="e">
        <f>IF(G197="None",0,VLOOKUP(G189,$AD$24:$AH$29,3,FALSE))</f>
        <v>#N/A</v>
      </c>
      <c r="T192" s="100"/>
      <c r="U192" s="120" t="e">
        <f>IF(G197="None",0,VLOOKUP(G189,$AD$24:$AH$29,4,FALSE))</f>
        <v>#N/A</v>
      </c>
      <c r="V192" s="100"/>
      <c r="W192" s="120">
        <f>IF(G199&gt;0,VLOOKUP(G189,$AD$24:$AH$29,5,FALSE),0)</f>
        <v>0</v>
      </c>
      <c r="X192" s="100"/>
      <c r="Y192" s="100">
        <v>0.05</v>
      </c>
      <c r="Z192" s="100"/>
      <c r="AA192" s="121" t="e">
        <f>(((I192+K192+M192)*O192)+Q192+S192+U192+W192)*Y192</f>
        <v>#N/A</v>
      </c>
      <c r="AB192" s="201">
        <f>IF(G197="None",2*$AL$39,$AL$39)</f>
        <v>3.3333333333333335</v>
      </c>
    </row>
    <row r="193" spans="2:28" ht="13.2" customHeight="1" x14ac:dyDescent="0.2">
      <c r="B193" s="407" t="s">
        <v>272</v>
      </c>
      <c r="C193" s="408"/>
      <c r="D193" s="408"/>
      <c r="E193" s="408"/>
      <c r="F193" s="409"/>
      <c r="G193" s="194"/>
      <c r="I193" s="92" t="s">
        <v>110</v>
      </c>
      <c r="J193" s="90" t="s">
        <v>235</v>
      </c>
      <c r="K193" s="90" t="s">
        <v>273</v>
      </c>
      <c r="L193" s="90" t="s">
        <v>12</v>
      </c>
      <c r="M193" s="90" t="s">
        <v>274</v>
      </c>
      <c r="N193" s="90" t="s">
        <v>12</v>
      </c>
      <c r="O193" s="90" t="s">
        <v>275</v>
      </c>
      <c r="P193" s="90" t="s">
        <v>12</v>
      </c>
      <c r="Q193" s="90" t="s">
        <v>276</v>
      </c>
      <c r="R193" s="90" t="s">
        <v>10</v>
      </c>
      <c r="S193" s="112" t="s">
        <v>31</v>
      </c>
      <c r="AA193" s="126"/>
      <c r="AB193" s="200" t="s">
        <v>277</v>
      </c>
    </row>
    <row r="194" spans="2:28" ht="13.2" customHeight="1" thickBot="1" x14ac:dyDescent="0.25">
      <c r="B194" s="407" t="s">
        <v>281</v>
      </c>
      <c r="C194" s="408"/>
      <c r="D194" s="408"/>
      <c r="E194" s="408"/>
      <c r="F194" s="409"/>
      <c r="G194" s="194"/>
      <c r="I194" s="99">
        <f>I190</f>
        <v>0</v>
      </c>
      <c r="J194" s="100"/>
      <c r="K194" s="100">
        <f>G193</f>
        <v>0</v>
      </c>
      <c r="L194" s="100"/>
      <c r="M194" s="127">
        <f>G199*0.05</f>
        <v>0</v>
      </c>
      <c r="N194" s="100"/>
      <c r="O194" s="128">
        <f>G198</f>
        <v>0</v>
      </c>
      <c r="P194" s="100"/>
      <c r="Q194" s="100">
        <f>G200*0.3</f>
        <v>0</v>
      </c>
      <c r="R194" s="100"/>
      <c r="S194" s="101">
        <f>(I194*K194)+M194+O194+Q194</f>
        <v>0</v>
      </c>
      <c r="AA194" s="126"/>
      <c r="AB194" s="201">
        <f>$AL$41</f>
        <v>9</v>
      </c>
    </row>
    <row r="195" spans="2:28" ht="13.2" customHeight="1" x14ac:dyDescent="0.2">
      <c r="B195" s="407" t="s">
        <v>285</v>
      </c>
      <c r="C195" s="408"/>
      <c r="D195" s="408"/>
      <c r="E195" s="408"/>
      <c r="F195" s="409"/>
      <c r="G195" s="195"/>
      <c r="I195" s="108" t="s">
        <v>286</v>
      </c>
      <c r="J195" s="109" t="s">
        <v>12</v>
      </c>
      <c r="K195" s="109" t="s">
        <v>261</v>
      </c>
      <c r="L195" s="109" t="s">
        <v>12</v>
      </c>
      <c r="M195" s="109" t="s">
        <v>287</v>
      </c>
      <c r="N195" s="109" t="s">
        <v>235</v>
      </c>
      <c r="O195" s="109" t="s">
        <v>61</v>
      </c>
      <c r="P195" s="109" t="s">
        <v>10</v>
      </c>
      <c r="Q195" s="129" t="s">
        <v>58</v>
      </c>
      <c r="R195" s="129"/>
      <c r="S195" s="129"/>
      <c r="T195" s="109"/>
      <c r="U195" s="109"/>
      <c r="V195" s="435" t="s">
        <v>50</v>
      </c>
      <c r="W195" s="436"/>
      <c r="X195" s="436"/>
      <c r="Y195" s="436" t="s">
        <v>51</v>
      </c>
      <c r="Z195" s="436"/>
      <c r="AA195" s="437"/>
      <c r="AB195" s="202" t="s">
        <v>257</v>
      </c>
    </row>
    <row r="196" spans="2:28" ht="13.2" customHeight="1" x14ac:dyDescent="0.2">
      <c r="B196" s="407" t="s">
        <v>124</v>
      </c>
      <c r="C196" s="408"/>
      <c r="D196" s="408"/>
      <c r="E196" s="408"/>
      <c r="F196" s="409"/>
      <c r="G196" s="208"/>
      <c r="I196" s="99" t="e">
        <f>Q190</f>
        <v>#N/A</v>
      </c>
      <c r="J196" s="100"/>
      <c r="K196" s="127" t="e">
        <f>AA192</f>
        <v>#N/A</v>
      </c>
      <c r="L196" s="100"/>
      <c r="M196" s="100">
        <f>S194</f>
        <v>0</v>
      </c>
      <c r="N196" s="100"/>
      <c r="O196" s="100">
        <v>1.25</v>
      </c>
      <c r="P196" s="100"/>
      <c r="Q196" s="101" t="e">
        <f>(I196+K196+M196)*O196</f>
        <v>#N/A</v>
      </c>
      <c r="R196" s="101"/>
      <c r="S196" s="101"/>
      <c r="T196" s="100"/>
      <c r="U196" s="100"/>
      <c r="V196" s="428" t="str">
        <f>IFERROR(IF(Q196&gt;MAX($AF$37:$AF$44),"EXCEEDS MAX EBP",""),"")</f>
        <v/>
      </c>
      <c r="W196" s="421"/>
      <c r="X196" s="421"/>
      <c r="Y196" s="429" t="str">
        <f>IFERROR(IF(G196="MOTOVARIO",INDEX($AE$104:$AE$157,MATCH(1,INDEX((G192&lt;=$AG$104:$AG$157)*(Q198&lt;=$AF$104:$AF$157)*(Q196&lt;=$AH$104:$AH$157),0,0),0))&amp;" DIRECT DRIVE",IF(G196="DODGE",INDEX($AE$51:$AE$97,MATCH(1,INDEX((G192&lt;=$AG$51:$AG$97)*(Q198&lt;=$AF$51:$AF$97)*(Q196&lt;=$AH$51:$AH$97),0,0),0))&amp;" DIRECT DRIVE",INDEX($AD$37:$AD$44,MATCH(1,INDEX((Q196&lt;=$AF$37:$AF$44)*(Q198&lt;=$AE$37:$AE$44),0,0),0)))),"")</f>
        <v/>
      </c>
      <c r="Z196" s="429"/>
      <c r="AA196" s="430"/>
      <c r="AB196" s="201" t="e">
        <f>IF(G197="none",0,VLOOKUP(G189,$AN$38:$AP$43,3,FALSE))</f>
        <v>#N/A</v>
      </c>
    </row>
    <row r="197" spans="2:28" ht="13.2" customHeight="1" x14ac:dyDescent="0.2">
      <c r="B197" s="407" t="s">
        <v>296</v>
      </c>
      <c r="C197" s="408"/>
      <c r="D197" s="408"/>
      <c r="E197" s="408"/>
      <c r="F197" s="409"/>
      <c r="G197" s="196"/>
      <c r="I197" s="108" t="s">
        <v>297</v>
      </c>
      <c r="J197" s="109" t="s">
        <v>235</v>
      </c>
      <c r="K197" s="109" t="s">
        <v>298</v>
      </c>
      <c r="L197" s="109" t="s">
        <v>75</v>
      </c>
      <c r="M197" s="109" t="s">
        <v>299</v>
      </c>
      <c r="N197" s="109" t="s">
        <v>235</v>
      </c>
      <c r="O197" s="109" t="s">
        <v>300</v>
      </c>
      <c r="P197" s="109" t="s">
        <v>10</v>
      </c>
      <c r="Q197" s="129" t="s">
        <v>108</v>
      </c>
      <c r="R197" s="129"/>
      <c r="S197" s="129"/>
      <c r="T197" s="109"/>
      <c r="U197" s="109"/>
      <c r="V197" s="428" t="str">
        <f>IFERROR(IF(Q198&gt;MAX($AE$37:$AE$44),"EXCEEDS MAX HP",""),"")</f>
        <v/>
      </c>
      <c r="W197" s="421"/>
      <c r="X197" s="421"/>
      <c r="Y197" s="429" t="str">
        <f>IFERROR(IF(G196="Motovario",INDEX($AF$104:$AF$157,MATCH(1,INDEX((G192&lt;=$AG$104:$AG$157)*(Q198&lt;=$AF$104:$AF$157)*(Q196&lt;=$AH$104:$AH$157),0,0),0)),IF(G196="Dodge",INDEX($AF$51:$AF$97,MATCH(1,INDEX((G192&lt;=$AG$51:$AG$97)*(Q198&lt;=$AF$51:$AF$97)*(Q196&lt;=$AH$51:$AH$97),0,0),0)),INDEX($AE$37:$AE$44,MATCH(1,INDEX((Q196&lt;=$AF$37:$AF$44)*(Q198&lt;=$AE$37:$AE$44),0,0),0))))&amp;" HP","")</f>
        <v/>
      </c>
      <c r="Z197" s="429"/>
      <c r="AA197" s="430"/>
      <c r="AB197" s="200" t="s">
        <v>258</v>
      </c>
    </row>
    <row r="198" spans="2:28" ht="13.2" customHeight="1" thickBot="1" x14ac:dyDescent="0.25">
      <c r="B198" s="410" t="s">
        <v>305</v>
      </c>
      <c r="C198" s="411"/>
      <c r="D198" s="411"/>
      <c r="E198" s="411"/>
      <c r="F198" s="412"/>
      <c r="G198" s="197"/>
      <c r="I198" s="136" t="e">
        <f>Q196</f>
        <v>#N/A</v>
      </c>
      <c r="K198" s="90">
        <f>G192</f>
        <v>0</v>
      </c>
      <c r="M198" s="90">
        <v>33000</v>
      </c>
      <c r="O198" s="90">
        <f>IF(G196="N",IF(G192&lt;100,0.8,IF(G192&lt;200,0.85,0.9)),0.95)</f>
        <v>0.95</v>
      </c>
      <c r="Q198" s="137" t="e">
        <f>(I198*K198)/(M198*O198)</f>
        <v>#N/A</v>
      </c>
      <c r="R198" s="137"/>
      <c r="S198" s="137"/>
      <c r="V198" s="428" t="str">
        <f>IF(Y198="","",IF(Y198&gt;VLOOKUP(G189,$AD$24:$AK$29,8),"EXCEEDS MAX QTY",""))</f>
        <v/>
      </c>
      <c r="W198" s="421"/>
      <c r="X198" s="421"/>
      <c r="Y198" s="215" t="str">
        <f>IFERROR(ROUNDUP(Q196/100,0),"")</f>
        <v/>
      </c>
      <c r="Z198" s="426" t="str">
        <f>IF(Y198="","","LONG SPRINGS")</f>
        <v/>
      </c>
      <c r="AA198" s="427"/>
      <c r="AB198" s="201" t="e">
        <f>IF(U192=0,0,$AL$40)</f>
        <v>#N/A</v>
      </c>
    </row>
    <row r="199" spans="2:28" ht="13.2" customHeight="1" x14ac:dyDescent="0.2">
      <c r="B199" s="410" t="s">
        <v>309</v>
      </c>
      <c r="C199" s="411"/>
      <c r="D199" s="411"/>
      <c r="E199" s="411"/>
      <c r="F199" s="412"/>
      <c r="G199" s="198"/>
      <c r="I199" s="423" t="s">
        <v>133</v>
      </c>
      <c r="J199" s="424"/>
      <c r="K199" s="424"/>
      <c r="L199" s="424"/>
      <c r="M199" s="424"/>
      <c r="N199" s="424"/>
      <c r="O199" s="424"/>
      <c r="P199" s="424"/>
      <c r="Q199" s="424"/>
      <c r="R199" s="424"/>
      <c r="S199" s="424"/>
      <c r="T199" s="424"/>
      <c r="U199" s="425"/>
      <c r="V199" s="420" t="str">
        <f>IF(Y199="","",IF(Y199&gt;VLOOKUP(G189,$AD$24:$AK$29,8),"EXCEEDS MAX QTY",""))</f>
        <v/>
      </c>
      <c r="W199" s="421"/>
      <c r="X199" s="421"/>
      <c r="Y199" s="215" t="str">
        <f>IFERROR(ROUNDUP(Q196/80,0),"")</f>
        <v/>
      </c>
      <c r="Z199" s="426" t="str">
        <f>IF(Y199="","","SHORT SPRINGS")</f>
        <v/>
      </c>
      <c r="AA199" s="427"/>
      <c r="AB199" s="203" t="s">
        <v>310</v>
      </c>
    </row>
    <row r="200" spans="2:28" ht="13.2" customHeight="1" thickBot="1" x14ac:dyDescent="0.25">
      <c r="B200" s="414" t="s">
        <v>315</v>
      </c>
      <c r="C200" s="415"/>
      <c r="D200" s="415"/>
      <c r="E200" s="415"/>
      <c r="F200" s="416"/>
      <c r="G200" s="199"/>
      <c r="I200" s="108"/>
      <c r="J200" s="417" t="s">
        <v>134</v>
      </c>
      <c r="K200" s="417"/>
      <c r="L200" s="418" t="str">
        <f>IFERROR(Q196*L201/2,"")</f>
        <v/>
      </c>
      <c r="M200" s="418"/>
      <c r="N200" s="109"/>
      <c r="O200" s="417" t="s">
        <v>135</v>
      </c>
      <c r="P200" s="417"/>
      <c r="Q200" s="419" t="str">
        <f>IFERROR(IF(G196="Motovario",INDEX($AI$104:$AI$157,MATCH(1,INDEX((G192&lt;=$AG$104:$AG$157)*(Q198&lt;=$AF$104:$AF$157)*(Q196&lt;=$AH$104:$AH$157),0,0),0)),IF(G196="Dodge",INDEX($AI$51:$AI$97,MATCH(1,INDEX((G192&lt;=$AG$51:$AG$97)*(Q198&lt;=$AF$51:$AF$97)*(Q196&lt;=$AH$51:$AH$97),0,0),0)),"")),"")</f>
        <v/>
      </c>
      <c r="R200" s="419"/>
      <c r="S200" s="419"/>
      <c r="T200" s="419"/>
      <c r="U200" s="139"/>
      <c r="V200" s="420" t="str">
        <f>IF(AA189&lt;0,"",IF(G191&gt;AA189,"EXCEEDS MAX LR",""))</f>
        <v/>
      </c>
      <c r="W200" s="421"/>
      <c r="X200" s="421"/>
      <c r="Y200" s="345"/>
      <c r="Z200" s="345"/>
      <c r="AA200" s="346"/>
      <c r="AB200" s="204">
        <f>IF(G199&gt;0,$AL$42,0)</f>
        <v>0</v>
      </c>
    </row>
    <row r="201" spans="2:28" ht="13.2" customHeight="1" thickBot="1" x14ac:dyDescent="0.25">
      <c r="B201" s="388" t="s">
        <v>78</v>
      </c>
      <c r="C201" s="389"/>
      <c r="D201" s="390"/>
      <c r="E201" s="391"/>
      <c r="F201" s="391"/>
      <c r="G201" s="392"/>
      <c r="H201" s="391"/>
      <c r="I201" s="93"/>
      <c r="J201" s="393" t="s">
        <v>136</v>
      </c>
      <c r="K201" s="393"/>
      <c r="L201" s="394" t="str">
        <f>IFERROR(VALUE(LEFT(Y196,SEARCH("CD",Y196)-1))+0.5,"")</f>
        <v/>
      </c>
      <c r="M201" s="394"/>
      <c r="N201" s="94"/>
      <c r="O201" s="395" t="s">
        <v>137</v>
      </c>
      <c r="P201" s="395"/>
      <c r="Q201" s="396" t="str">
        <f>IFERROR(Q200/L200,"")</f>
        <v/>
      </c>
      <c r="R201" s="396"/>
      <c r="S201" s="396"/>
      <c r="T201" s="396"/>
      <c r="U201" s="140"/>
      <c r="V201" s="397" t="str">
        <f>IF(G190&gt;150,"VERY LONG","")</f>
        <v/>
      </c>
      <c r="W201" s="398"/>
      <c r="X201" s="398"/>
      <c r="Y201" s="348" t="str">
        <f>IF(G196="MOTOVARIO","DD NOM SPEED: "&amp;INDEX($AG$104:$AG$157,MATCH(1,INDEX((G192&lt;=$AG$104:$AG$157)*(Q198&lt;=$AF$104:$AF$157)*(Q196&lt;=$AH$104:$AH$157),0,0),0)),IF(G196="DODGE)","DD NOM SPEED: "&amp;INDEX($AG$51:$AG$97,MATCH(1,INDEX((G192&lt;=$AG$51:$AG$97)*(Q198&lt;=$AF$51:$AF$97)*(Q196&lt;=$AH$51:$AH$97),0,0),0)),""))</f>
        <v/>
      </c>
      <c r="Z201" s="348"/>
      <c r="AA201" s="349"/>
    </row>
    <row r="202" spans="2:28" ht="13.2" customHeight="1" thickBot="1" x14ac:dyDescent="0.25"/>
    <row r="203" spans="2:28" ht="13.2" customHeight="1" thickBot="1" x14ac:dyDescent="0.25">
      <c r="B203" s="95"/>
      <c r="C203" s="91" t="s">
        <v>5</v>
      </c>
      <c r="D203" s="403" t="s">
        <v>232</v>
      </c>
      <c r="E203" s="403"/>
      <c r="F203" s="404"/>
      <c r="G203" s="193"/>
      <c r="H203" s="96"/>
      <c r="I203" s="216" t="s">
        <v>233</v>
      </c>
      <c r="J203" s="91" t="s">
        <v>12</v>
      </c>
      <c r="K203" s="91" t="s">
        <v>234</v>
      </c>
      <c r="L203" s="91" t="s">
        <v>235</v>
      </c>
      <c r="M203" s="91" t="s">
        <v>236</v>
      </c>
      <c r="N203" s="91" t="s">
        <v>235</v>
      </c>
      <c r="O203" s="91" t="s">
        <v>237</v>
      </c>
      <c r="P203" s="91" t="s">
        <v>10</v>
      </c>
      <c r="Q203" s="97" t="s">
        <v>238</v>
      </c>
      <c r="R203" s="97"/>
      <c r="S203" s="97"/>
      <c r="T203" s="91"/>
      <c r="U203" s="91"/>
      <c r="V203" s="91"/>
      <c r="W203" s="91"/>
      <c r="X203" s="91"/>
      <c r="Y203" s="226" t="str">
        <f>IF(G205&gt;0,"Suggested Max LR","")</f>
        <v/>
      </c>
      <c r="Z203" s="227" t="str">
        <f>IF(G205&gt;0,"=","")</f>
        <v/>
      </c>
      <c r="AA203" s="228" t="str">
        <f>IF(G205&gt;0,G204-(AB206+AB208+AB210+AB212+AB214),"")</f>
        <v/>
      </c>
      <c r="AB203" s="90" t="s">
        <v>239</v>
      </c>
    </row>
    <row r="204" spans="2:28" ht="13.2" customHeight="1" x14ac:dyDescent="0.2">
      <c r="B204" s="98"/>
      <c r="C204" s="405"/>
      <c r="D204" s="407" t="s">
        <v>242</v>
      </c>
      <c r="E204" s="408"/>
      <c r="F204" s="409"/>
      <c r="G204" s="194"/>
      <c r="I204" s="99">
        <f>IF(G211="1:1.3 Up",0.8*G208,G208)</f>
        <v>0</v>
      </c>
      <c r="J204" s="100"/>
      <c r="K204" s="100" t="e">
        <f>INDEX($AD$8:$AU$19,MATCH(G209,$AD$8:$AD$19,0),MATCH(G203,$AD$8:$AU$8,0))</f>
        <v>#N/A</v>
      </c>
      <c r="L204" s="100"/>
      <c r="M204" s="100">
        <f>G204-G205</f>
        <v>0</v>
      </c>
      <c r="N204" s="100"/>
      <c r="O204" s="100" t="e">
        <f>VLOOKUP(G209,$AD$9:$AU$19,12,FALSE)</f>
        <v>#N/A</v>
      </c>
      <c r="P204" s="100"/>
      <c r="Q204" s="101" t="e">
        <f>((I204+K204)*M204)*O204</f>
        <v>#N/A</v>
      </c>
      <c r="R204" s="101"/>
      <c r="S204" s="101"/>
      <c r="T204" s="100"/>
      <c r="U204" s="100"/>
      <c r="V204" s="100"/>
      <c r="W204" s="100"/>
      <c r="X204" s="100"/>
      <c r="Y204" s="100"/>
      <c r="Z204" s="100"/>
      <c r="AA204" s="102"/>
    </row>
    <row r="205" spans="2:28" ht="13.2" customHeight="1" thickBot="1" x14ac:dyDescent="0.25">
      <c r="B205" s="98"/>
      <c r="C205" s="406"/>
      <c r="D205" s="410" t="s">
        <v>251</v>
      </c>
      <c r="E205" s="411"/>
      <c r="F205" s="412"/>
      <c r="G205" s="194"/>
      <c r="I205" s="108" t="s">
        <v>252</v>
      </c>
      <c r="J205" s="109" t="s">
        <v>12</v>
      </c>
      <c r="K205" s="109" t="s">
        <v>253</v>
      </c>
      <c r="L205" s="109" t="s">
        <v>12</v>
      </c>
      <c r="M205" s="109" t="s">
        <v>254</v>
      </c>
      <c r="N205" s="109" t="s">
        <v>235</v>
      </c>
      <c r="O205" s="109" t="s">
        <v>255</v>
      </c>
      <c r="P205" s="109" t="s">
        <v>12</v>
      </c>
      <c r="Q205" s="109" t="s">
        <v>256</v>
      </c>
      <c r="R205" s="109" t="s">
        <v>12</v>
      </c>
      <c r="S205" s="109" t="s">
        <v>257</v>
      </c>
      <c r="T205" s="109" t="s">
        <v>12</v>
      </c>
      <c r="U205" s="109" t="s">
        <v>258</v>
      </c>
      <c r="V205" s="109" t="s">
        <v>12</v>
      </c>
      <c r="W205" s="109" t="s">
        <v>259</v>
      </c>
      <c r="X205" s="109" t="s">
        <v>235</v>
      </c>
      <c r="Y205" s="109" t="s">
        <v>260</v>
      </c>
      <c r="Z205" s="109" t="s">
        <v>10</v>
      </c>
      <c r="AA205" s="110" t="s">
        <v>261</v>
      </c>
      <c r="AB205" s="202" t="s">
        <v>262</v>
      </c>
    </row>
    <row r="206" spans="2:28" ht="13.2" customHeight="1" x14ac:dyDescent="0.2">
      <c r="B206" s="407" t="s">
        <v>267</v>
      </c>
      <c r="C206" s="408"/>
      <c r="D206" s="408"/>
      <c r="E206" s="408"/>
      <c r="F206" s="409"/>
      <c r="G206" s="194"/>
      <c r="I206" s="99">
        <f>I204</f>
        <v>0</v>
      </c>
      <c r="J206" s="100"/>
      <c r="K206" s="100" t="e">
        <f>K204</f>
        <v>#N/A</v>
      </c>
      <c r="L206" s="100"/>
      <c r="M206" s="100" t="e">
        <f>VLOOKUP(G203,$AD$24:$AK$29,6,FALSE)</f>
        <v>#N/A</v>
      </c>
      <c r="N206" s="100"/>
      <c r="O206" s="100">
        <f>G205</f>
        <v>0</v>
      </c>
      <c r="P206" s="100"/>
      <c r="Q206" s="120" t="e">
        <f>VLOOKUP(G203,$AD$24:$AH$29,2,FALSE)</f>
        <v>#N/A</v>
      </c>
      <c r="R206" s="100"/>
      <c r="S206" s="120" t="e">
        <f>IF(G211="None",0,VLOOKUP(G203,$AD$24:$AH$29,3,FALSE))</f>
        <v>#N/A</v>
      </c>
      <c r="T206" s="100"/>
      <c r="U206" s="120" t="e">
        <f>IF(G211="None",0,VLOOKUP(G203,$AD$24:$AH$29,4,FALSE))</f>
        <v>#N/A</v>
      </c>
      <c r="V206" s="100"/>
      <c r="W206" s="120">
        <f>IF(G213&gt;0,VLOOKUP(G203,$AD$24:$AH$29,5,FALSE),0)</f>
        <v>0</v>
      </c>
      <c r="X206" s="100"/>
      <c r="Y206" s="100">
        <v>0.05</v>
      </c>
      <c r="Z206" s="100"/>
      <c r="AA206" s="121" t="e">
        <f>(((I206+K206+M206)*O206)+Q206+S206+U206+W206)*Y206</f>
        <v>#N/A</v>
      </c>
      <c r="AB206" s="201">
        <f>IF(G211="None",2*$AL$39,$AL$39)</f>
        <v>3.3333333333333335</v>
      </c>
    </row>
    <row r="207" spans="2:28" ht="13.2" customHeight="1" x14ac:dyDescent="0.2">
      <c r="B207" s="407" t="s">
        <v>272</v>
      </c>
      <c r="C207" s="408"/>
      <c r="D207" s="408"/>
      <c r="E207" s="408"/>
      <c r="F207" s="409"/>
      <c r="G207" s="194"/>
      <c r="I207" s="92" t="s">
        <v>110</v>
      </c>
      <c r="J207" s="90" t="s">
        <v>235</v>
      </c>
      <c r="K207" s="90" t="s">
        <v>273</v>
      </c>
      <c r="L207" s="90" t="s">
        <v>12</v>
      </c>
      <c r="M207" s="90" t="s">
        <v>274</v>
      </c>
      <c r="N207" s="90" t="s">
        <v>12</v>
      </c>
      <c r="O207" s="90" t="s">
        <v>275</v>
      </c>
      <c r="P207" s="90" t="s">
        <v>12</v>
      </c>
      <c r="Q207" s="90" t="s">
        <v>276</v>
      </c>
      <c r="R207" s="90" t="s">
        <v>10</v>
      </c>
      <c r="S207" s="112" t="s">
        <v>31</v>
      </c>
      <c r="AA207" s="126"/>
      <c r="AB207" s="200" t="s">
        <v>277</v>
      </c>
    </row>
    <row r="208" spans="2:28" ht="13.2" customHeight="1" thickBot="1" x14ac:dyDescent="0.25">
      <c r="B208" s="407" t="s">
        <v>281</v>
      </c>
      <c r="C208" s="408"/>
      <c r="D208" s="408"/>
      <c r="E208" s="408"/>
      <c r="F208" s="409"/>
      <c r="G208" s="194"/>
      <c r="I208" s="99">
        <f>I204</f>
        <v>0</v>
      </c>
      <c r="J208" s="100"/>
      <c r="K208" s="100">
        <f>G207</f>
        <v>0</v>
      </c>
      <c r="L208" s="100"/>
      <c r="M208" s="127">
        <f>G213*0.05</f>
        <v>0</v>
      </c>
      <c r="N208" s="100"/>
      <c r="O208" s="128">
        <f>G212</f>
        <v>0</v>
      </c>
      <c r="P208" s="100"/>
      <c r="Q208" s="100">
        <f>G214*0.3</f>
        <v>0</v>
      </c>
      <c r="R208" s="100"/>
      <c r="S208" s="101">
        <f>(I208*K208)+M208+O208+Q208</f>
        <v>0</v>
      </c>
      <c r="AA208" s="126"/>
      <c r="AB208" s="201">
        <f>$AL$41</f>
        <v>9</v>
      </c>
    </row>
    <row r="209" spans="2:28" ht="13.2" customHeight="1" x14ac:dyDescent="0.2">
      <c r="B209" s="407" t="s">
        <v>285</v>
      </c>
      <c r="C209" s="408"/>
      <c r="D209" s="408"/>
      <c r="E209" s="408"/>
      <c r="F209" s="409"/>
      <c r="G209" s="195"/>
      <c r="I209" s="108" t="s">
        <v>286</v>
      </c>
      <c r="J209" s="109" t="s">
        <v>12</v>
      </c>
      <c r="K209" s="109" t="s">
        <v>261</v>
      </c>
      <c r="L209" s="109" t="s">
        <v>12</v>
      </c>
      <c r="M209" s="109" t="s">
        <v>287</v>
      </c>
      <c r="N209" s="109" t="s">
        <v>235</v>
      </c>
      <c r="O209" s="109" t="s">
        <v>61</v>
      </c>
      <c r="P209" s="109" t="s">
        <v>10</v>
      </c>
      <c r="Q209" s="129" t="s">
        <v>58</v>
      </c>
      <c r="R209" s="129"/>
      <c r="S209" s="129"/>
      <c r="T209" s="109"/>
      <c r="U209" s="109"/>
      <c r="V209" s="435" t="s">
        <v>50</v>
      </c>
      <c r="W209" s="436"/>
      <c r="X209" s="436"/>
      <c r="Y209" s="436" t="s">
        <v>51</v>
      </c>
      <c r="Z209" s="436"/>
      <c r="AA209" s="437"/>
      <c r="AB209" s="202" t="s">
        <v>257</v>
      </c>
    </row>
    <row r="210" spans="2:28" ht="13.2" customHeight="1" x14ac:dyDescent="0.2">
      <c r="B210" s="407" t="s">
        <v>124</v>
      </c>
      <c r="C210" s="408"/>
      <c r="D210" s="408"/>
      <c r="E210" s="408"/>
      <c r="F210" s="409"/>
      <c r="G210" s="208"/>
      <c r="I210" s="99" t="e">
        <f>Q204</f>
        <v>#N/A</v>
      </c>
      <c r="J210" s="100"/>
      <c r="K210" s="127" t="e">
        <f>AA206</f>
        <v>#N/A</v>
      </c>
      <c r="L210" s="100"/>
      <c r="M210" s="100">
        <f>S208</f>
        <v>0</v>
      </c>
      <c r="N210" s="100"/>
      <c r="O210" s="100">
        <v>1.25</v>
      </c>
      <c r="P210" s="100"/>
      <c r="Q210" s="101" t="e">
        <f>(I210+K210+M210)*O210</f>
        <v>#N/A</v>
      </c>
      <c r="R210" s="101"/>
      <c r="S210" s="101"/>
      <c r="T210" s="100"/>
      <c r="U210" s="100"/>
      <c r="V210" s="428" t="str">
        <f>IFERROR(IF(Q210&gt;MAX($AF$37:$AF$44),"EXCEEDS MAX EBP",""),"")</f>
        <v/>
      </c>
      <c r="W210" s="421"/>
      <c r="X210" s="421"/>
      <c r="Y210" s="429" t="str">
        <f>IFERROR(IF(G210="MOTOVARIO",INDEX($AE$104:$AE$157,MATCH(1,INDEX((G206&lt;=$AG$104:$AG$157)*(Q212&lt;=$AF$104:$AF$157)*(Q210&lt;=$AH$104:$AH$157),0,0),0))&amp;" DIRECT DRIVE",IF(G210="DODGE",INDEX($AE$51:$AE$97,MATCH(1,INDEX((G206&lt;=$AG$51:$AG$97)*(Q212&lt;=$AF$51:$AF$97)*(Q210&lt;=$AH$51:$AH$97),0,0),0))&amp;" DIRECT DRIVE",INDEX($AD$37:$AD$44,MATCH(1,INDEX((Q210&lt;=$AF$37:$AF$44)*(Q212&lt;=$AE$37:$AE$44),0,0),0)))),"")</f>
        <v/>
      </c>
      <c r="Z210" s="429"/>
      <c r="AA210" s="430"/>
      <c r="AB210" s="201" t="e">
        <f>IF(G211="none",0,VLOOKUP(G203,$AN$38:$AP$43,3,FALSE))</f>
        <v>#N/A</v>
      </c>
    </row>
    <row r="211" spans="2:28" ht="13.2" customHeight="1" x14ac:dyDescent="0.2">
      <c r="B211" s="407" t="s">
        <v>296</v>
      </c>
      <c r="C211" s="408"/>
      <c r="D211" s="408"/>
      <c r="E211" s="408"/>
      <c r="F211" s="409"/>
      <c r="G211" s="196"/>
      <c r="I211" s="108" t="s">
        <v>297</v>
      </c>
      <c r="J211" s="109" t="s">
        <v>235</v>
      </c>
      <c r="K211" s="109" t="s">
        <v>298</v>
      </c>
      <c r="L211" s="109" t="s">
        <v>75</v>
      </c>
      <c r="M211" s="109" t="s">
        <v>299</v>
      </c>
      <c r="N211" s="109" t="s">
        <v>235</v>
      </c>
      <c r="O211" s="109" t="s">
        <v>300</v>
      </c>
      <c r="P211" s="109" t="s">
        <v>10</v>
      </c>
      <c r="Q211" s="129" t="s">
        <v>108</v>
      </c>
      <c r="R211" s="129"/>
      <c r="S211" s="129"/>
      <c r="T211" s="109"/>
      <c r="U211" s="109"/>
      <c r="V211" s="428" t="str">
        <f>IFERROR(IF(Q212&gt;MAX($AE$37:$AE$44),"EXCEEDS MAX HP",""),"")</f>
        <v/>
      </c>
      <c r="W211" s="421"/>
      <c r="X211" s="421"/>
      <c r="Y211" s="429" t="str">
        <f>IFERROR(IF(G210="Motovario",INDEX($AF$104:$AF$157,MATCH(1,INDEX((G206&lt;=$AG$104:$AG$157)*(Q212&lt;=$AF$104:$AF$157)*(Q210&lt;=$AH$104:$AH$157),0,0),0)),IF(G210="Dodge",INDEX($AF$51:$AF$97,MATCH(1,INDEX((G206&lt;=$AG$51:$AG$97)*(Q212&lt;=$AF$51:$AF$97)*(Q210&lt;=$AH$51:$AH$97),0,0),0)),INDEX($AE$37:$AE$44,MATCH(1,INDEX((Q210&lt;=$AF$37:$AF$44)*(Q212&lt;=$AE$37:$AE$44),0,0),0))))&amp;" HP","")</f>
        <v/>
      </c>
      <c r="Z211" s="429"/>
      <c r="AA211" s="430"/>
      <c r="AB211" s="200" t="s">
        <v>258</v>
      </c>
    </row>
    <row r="212" spans="2:28" ht="13.2" customHeight="1" thickBot="1" x14ac:dyDescent="0.25">
      <c r="B212" s="410" t="s">
        <v>305</v>
      </c>
      <c r="C212" s="411"/>
      <c r="D212" s="411"/>
      <c r="E212" s="411"/>
      <c r="F212" s="412"/>
      <c r="G212" s="197"/>
      <c r="I212" s="136" t="e">
        <f>Q210</f>
        <v>#N/A</v>
      </c>
      <c r="K212" s="90">
        <f>G206</f>
        <v>0</v>
      </c>
      <c r="M212" s="90">
        <v>33000</v>
      </c>
      <c r="O212" s="90">
        <f>IF(G210="N",IF(G206&lt;100,0.8,IF(G206&lt;200,0.85,0.9)),0.95)</f>
        <v>0.95</v>
      </c>
      <c r="Q212" s="137" t="e">
        <f>(I212*K212)/(M212*O212)</f>
        <v>#N/A</v>
      </c>
      <c r="R212" s="137"/>
      <c r="S212" s="137"/>
      <c r="V212" s="428" t="str">
        <f>IF(Y212="","",IF(Y212&gt;VLOOKUP(G203,$AD$24:$AK$29,8),"EXCEEDS MAX QTY",""))</f>
        <v/>
      </c>
      <c r="W212" s="421"/>
      <c r="X212" s="421"/>
      <c r="Y212" s="215" t="str">
        <f>IFERROR(ROUNDUP(Q210/100,0),"")</f>
        <v/>
      </c>
      <c r="Z212" s="426" t="str">
        <f>IF(Y212="","","LONG SPRINGS")</f>
        <v/>
      </c>
      <c r="AA212" s="427"/>
      <c r="AB212" s="201" t="e">
        <f>IF(U206=0,0,$AL$40)</f>
        <v>#N/A</v>
      </c>
    </row>
    <row r="213" spans="2:28" ht="13.2" customHeight="1" x14ac:dyDescent="0.2">
      <c r="B213" s="410" t="s">
        <v>309</v>
      </c>
      <c r="C213" s="411"/>
      <c r="D213" s="411"/>
      <c r="E213" s="411"/>
      <c r="F213" s="412"/>
      <c r="G213" s="198"/>
      <c r="I213" s="423" t="s">
        <v>133</v>
      </c>
      <c r="J213" s="424"/>
      <c r="K213" s="424"/>
      <c r="L213" s="424"/>
      <c r="M213" s="424"/>
      <c r="N213" s="424"/>
      <c r="O213" s="424"/>
      <c r="P213" s="424"/>
      <c r="Q213" s="424"/>
      <c r="R213" s="424"/>
      <c r="S213" s="424"/>
      <c r="T213" s="424"/>
      <c r="U213" s="425"/>
      <c r="V213" s="420" t="str">
        <f>IF(Y213="","",IF(Y213&gt;VLOOKUP(G203,$AD$24:$AK$29,8),"EXCEEDS MAX QTY",""))</f>
        <v/>
      </c>
      <c r="W213" s="421"/>
      <c r="X213" s="421"/>
      <c r="Y213" s="215" t="str">
        <f>IFERROR(ROUNDUP(Q210/80,0),"")</f>
        <v/>
      </c>
      <c r="Z213" s="426" t="str">
        <f>IF(Y213="","","SHORT SPRINGS")</f>
        <v/>
      </c>
      <c r="AA213" s="427"/>
      <c r="AB213" s="203" t="s">
        <v>310</v>
      </c>
    </row>
    <row r="214" spans="2:28" ht="13.2" customHeight="1" thickBot="1" x14ac:dyDescent="0.25">
      <c r="B214" s="414" t="s">
        <v>315</v>
      </c>
      <c r="C214" s="415"/>
      <c r="D214" s="415"/>
      <c r="E214" s="415"/>
      <c r="F214" s="416"/>
      <c r="G214" s="199"/>
      <c r="I214" s="108"/>
      <c r="J214" s="417" t="s">
        <v>134</v>
      </c>
      <c r="K214" s="417"/>
      <c r="L214" s="418" t="str">
        <f>IFERROR(Q210*L215/2,"")</f>
        <v/>
      </c>
      <c r="M214" s="418"/>
      <c r="N214" s="109"/>
      <c r="O214" s="417" t="s">
        <v>135</v>
      </c>
      <c r="P214" s="417"/>
      <c r="Q214" s="419" t="str">
        <f>IFERROR(IF(G210="Motovario",INDEX($AI$104:$AI$157,MATCH(1,INDEX((G206&lt;=$AG$104:$AG$157)*(Q212&lt;=$AF$104:$AF$157)*(Q210&lt;=$AH$104:$AH$157),0,0),0)),IF(G210="Dodge",INDEX($AI$51:$AI$97,MATCH(1,INDEX((G206&lt;=$AG$51:$AG$97)*(Q212&lt;=$AF$51:$AF$97)*(Q210&lt;=$AH$51:$AH$97),0,0),0)),"")),"")</f>
        <v/>
      </c>
      <c r="R214" s="419"/>
      <c r="S214" s="419"/>
      <c r="T214" s="419"/>
      <c r="U214" s="139"/>
      <c r="V214" s="420" t="str">
        <f>IF(AA203&lt;0,"",IF(G205&gt;AA203,"EXCEEDS MAX LR",""))</f>
        <v/>
      </c>
      <c r="W214" s="421"/>
      <c r="X214" s="421"/>
      <c r="Y214" s="345"/>
      <c r="Z214" s="345"/>
      <c r="AA214" s="346"/>
      <c r="AB214" s="204">
        <f>IF(G213&gt;0,$AL$42,0)</f>
        <v>0</v>
      </c>
    </row>
    <row r="215" spans="2:28" ht="13.2" customHeight="1" thickBot="1" x14ac:dyDescent="0.25">
      <c r="B215" s="388" t="s">
        <v>78</v>
      </c>
      <c r="C215" s="389"/>
      <c r="D215" s="390"/>
      <c r="E215" s="391"/>
      <c r="F215" s="391"/>
      <c r="G215" s="392"/>
      <c r="H215" s="391"/>
      <c r="I215" s="93"/>
      <c r="J215" s="393" t="s">
        <v>136</v>
      </c>
      <c r="K215" s="393"/>
      <c r="L215" s="394" t="str">
        <f>IFERROR(VALUE(LEFT(Y210,SEARCH("CD",Y210)-1))+0.5,"")</f>
        <v/>
      </c>
      <c r="M215" s="394"/>
      <c r="N215" s="94"/>
      <c r="O215" s="395" t="s">
        <v>137</v>
      </c>
      <c r="P215" s="395"/>
      <c r="Q215" s="396" t="str">
        <f>IFERROR(Q214/L214,"")</f>
        <v/>
      </c>
      <c r="R215" s="396"/>
      <c r="S215" s="396"/>
      <c r="T215" s="396"/>
      <c r="U215" s="140"/>
      <c r="V215" s="397" t="str">
        <f>IF(G204&gt;150,"VERY LONG","")</f>
        <v/>
      </c>
      <c r="W215" s="398"/>
      <c r="X215" s="398"/>
      <c r="Y215" s="348" t="str">
        <f>IF(G210="MOTOVARIO","DD NOM SPEED: "&amp;INDEX($AG$104:$AG$157,MATCH(1,INDEX((G206&lt;=$AG$104:$AG$157)*(Q212&lt;=$AF$104:$AF$157)*(Q210&lt;=$AH$104:$AH$157),0,0),0)),IF(G210="DODGE)","DD NOM SPEED: "&amp;INDEX($AG$51:$AG$97,MATCH(1,INDEX((G206&lt;=$AG$51:$AG$97)*(Q212&lt;=$AF$51:$AF$97)*(Q210&lt;=$AH$51:$AH$97),0,0),0)),""))</f>
        <v/>
      </c>
      <c r="Z215" s="348"/>
      <c r="AA215" s="349"/>
    </row>
    <row r="216" spans="2:28" ht="13.2" customHeight="1" thickBot="1" x14ac:dyDescent="0.25"/>
    <row r="217" spans="2:28" ht="13.2" customHeight="1" thickBot="1" x14ac:dyDescent="0.25">
      <c r="B217" s="95"/>
      <c r="C217" s="91" t="s">
        <v>5</v>
      </c>
      <c r="D217" s="403" t="s">
        <v>232</v>
      </c>
      <c r="E217" s="403"/>
      <c r="F217" s="404"/>
      <c r="G217" s="193"/>
      <c r="H217" s="96"/>
      <c r="I217" s="216" t="s">
        <v>233</v>
      </c>
      <c r="J217" s="91" t="s">
        <v>12</v>
      </c>
      <c r="K217" s="91" t="s">
        <v>234</v>
      </c>
      <c r="L217" s="91" t="s">
        <v>235</v>
      </c>
      <c r="M217" s="91" t="s">
        <v>236</v>
      </c>
      <c r="N217" s="91" t="s">
        <v>235</v>
      </c>
      <c r="O217" s="91" t="s">
        <v>237</v>
      </c>
      <c r="P217" s="91" t="s">
        <v>10</v>
      </c>
      <c r="Q217" s="97" t="s">
        <v>238</v>
      </c>
      <c r="R217" s="97"/>
      <c r="S217" s="97"/>
      <c r="T217" s="91"/>
      <c r="U217" s="91"/>
      <c r="V217" s="91"/>
      <c r="W217" s="91"/>
      <c r="X217" s="91"/>
      <c r="Y217" s="226" t="str">
        <f>IF(G219&gt;0,"Suggested Max LR","")</f>
        <v/>
      </c>
      <c r="Z217" s="227" t="str">
        <f>IF(G219&gt;0,"=","")</f>
        <v/>
      </c>
      <c r="AA217" s="228" t="str">
        <f>IF(G219&gt;0,G218-(AB220+AB222+AB224+AB226+AB228),"")</f>
        <v/>
      </c>
      <c r="AB217" s="90" t="s">
        <v>239</v>
      </c>
    </row>
    <row r="218" spans="2:28" ht="13.2" customHeight="1" x14ac:dyDescent="0.2">
      <c r="B218" s="98"/>
      <c r="C218" s="405"/>
      <c r="D218" s="407" t="s">
        <v>242</v>
      </c>
      <c r="E218" s="408"/>
      <c r="F218" s="409"/>
      <c r="G218" s="194"/>
      <c r="I218" s="99">
        <f>IF(G225="1:1.3 Up",0.8*G222,G222)</f>
        <v>0</v>
      </c>
      <c r="J218" s="100"/>
      <c r="K218" s="100" t="e">
        <f>INDEX($AD$8:$AU$19,MATCH(G223,$AD$8:$AD$19,0),MATCH(G217,$AD$8:$AU$8,0))</f>
        <v>#N/A</v>
      </c>
      <c r="L218" s="100"/>
      <c r="M218" s="100">
        <f>G218-G219</f>
        <v>0</v>
      </c>
      <c r="N218" s="100"/>
      <c r="O218" s="100" t="e">
        <f>VLOOKUP(G223,$AD$9:$AU$19,12,FALSE)</f>
        <v>#N/A</v>
      </c>
      <c r="P218" s="100"/>
      <c r="Q218" s="101" t="e">
        <f>((I218+K218)*M218)*O218</f>
        <v>#N/A</v>
      </c>
      <c r="R218" s="101"/>
      <c r="S218" s="101"/>
      <c r="T218" s="100"/>
      <c r="U218" s="100"/>
      <c r="V218" s="100"/>
      <c r="W218" s="100"/>
      <c r="X218" s="100"/>
      <c r="Y218" s="100"/>
      <c r="Z218" s="100"/>
      <c r="AA218" s="102"/>
    </row>
    <row r="219" spans="2:28" ht="13.2" customHeight="1" thickBot="1" x14ac:dyDescent="0.25">
      <c r="B219" s="98"/>
      <c r="C219" s="406"/>
      <c r="D219" s="410" t="s">
        <v>251</v>
      </c>
      <c r="E219" s="411"/>
      <c r="F219" s="412"/>
      <c r="G219" s="194"/>
      <c r="I219" s="108" t="s">
        <v>252</v>
      </c>
      <c r="J219" s="109" t="s">
        <v>12</v>
      </c>
      <c r="K219" s="109" t="s">
        <v>253</v>
      </c>
      <c r="L219" s="109" t="s">
        <v>12</v>
      </c>
      <c r="M219" s="109" t="s">
        <v>254</v>
      </c>
      <c r="N219" s="109" t="s">
        <v>235</v>
      </c>
      <c r="O219" s="109" t="s">
        <v>255</v>
      </c>
      <c r="P219" s="109" t="s">
        <v>12</v>
      </c>
      <c r="Q219" s="109" t="s">
        <v>256</v>
      </c>
      <c r="R219" s="109" t="s">
        <v>12</v>
      </c>
      <c r="S219" s="109" t="s">
        <v>257</v>
      </c>
      <c r="T219" s="109" t="s">
        <v>12</v>
      </c>
      <c r="U219" s="109" t="s">
        <v>258</v>
      </c>
      <c r="V219" s="109" t="s">
        <v>12</v>
      </c>
      <c r="W219" s="109" t="s">
        <v>259</v>
      </c>
      <c r="X219" s="109" t="s">
        <v>235</v>
      </c>
      <c r="Y219" s="109" t="s">
        <v>260</v>
      </c>
      <c r="Z219" s="109" t="s">
        <v>10</v>
      </c>
      <c r="AA219" s="110" t="s">
        <v>261</v>
      </c>
      <c r="AB219" s="202" t="s">
        <v>262</v>
      </c>
    </row>
    <row r="220" spans="2:28" ht="13.2" customHeight="1" x14ac:dyDescent="0.2">
      <c r="B220" s="407" t="s">
        <v>267</v>
      </c>
      <c r="C220" s="408"/>
      <c r="D220" s="408"/>
      <c r="E220" s="408"/>
      <c r="F220" s="409"/>
      <c r="G220" s="194"/>
      <c r="I220" s="99">
        <f>I218</f>
        <v>0</v>
      </c>
      <c r="J220" s="100"/>
      <c r="K220" s="100" t="e">
        <f>K218</f>
        <v>#N/A</v>
      </c>
      <c r="L220" s="100"/>
      <c r="M220" s="100" t="e">
        <f>VLOOKUP(G217,$AD$24:$AK$29,6,FALSE)</f>
        <v>#N/A</v>
      </c>
      <c r="N220" s="100"/>
      <c r="O220" s="100">
        <f>G219</f>
        <v>0</v>
      </c>
      <c r="P220" s="100"/>
      <c r="Q220" s="120" t="e">
        <f>VLOOKUP(G217,$AD$24:$AH$29,2,FALSE)</f>
        <v>#N/A</v>
      </c>
      <c r="R220" s="100"/>
      <c r="S220" s="120" t="e">
        <f>IF(G225="None",0,VLOOKUP(G217,$AD$24:$AH$29,3,FALSE))</f>
        <v>#N/A</v>
      </c>
      <c r="T220" s="100"/>
      <c r="U220" s="120" t="e">
        <f>IF(G225="None",0,VLOOKUP(G217,$AD$24:$AH$29,4,FALSE))</f>
        <v>#N/A</v>
      </c>
      <c r="V220" s="100"/>
      <c r="W220" s="120">
        <f>IF(G227&gt;0,VLOOKUP(G217,$AD$24:$AH$29,5,FALSE),0)</f>
        <v>0</v>
      </c>
      <c r="X220" s="100"/>
      <c r="Y220" s="100">
        <v>0.05</v>
      </c>
      <c r="Z220" s="100"/>
      <c r="AA220" s="121" t="e">
        <f>(((I220+K220+M220)*O220)+Q220+S220+U220+W220)*Y220</f>
        <v>#N/A</v>
      </c>
      <c r="AB220" s="201">
        <f>IF(G225="None",2*$AL$39,$AL$39)</f>
        <v>3.3333333333333335</v>
      </c>
    </row>
    <row r="221" spans="2:28" ht="13.2" customHeight="1" x14ac:dyDescent="0.2">
      <c r="B221" s="407" t="s">
        <v>272</v>
      </c>
      <c r="C221" s="408"/>
      <c r="D221" s="408"/>
      <c r="E221" s="408"/>
      <c r="F221" s="409"/>
      <c r="G221" s="194"/>
      <c r="I221" s="92" t="s">
        <v>110</v>
      </c>
      <c r="J221" s="90" t="s">
        <v>235</v>
      </c>
      <c r="K221" s="90" t="s">
        <v>273</v>
      </c>
      <c r="L221" s="90" t="s">
        <v>12</v>
      </c>
      <c r="M221" s="90" t="s">
        <v>274</v>
      </c>
      <c r="N221" s="90" t="s">
        <v>12</v>
      </c>
      <c r="O221" s="90" t="s">
        <v>275</v>
      </c>
      <c r="P221" s="90" t="s">
        <v>12</v>
      </c>
      <c r="Q221" s="90" t="s">
        <v>276</v>
      </c>
      <c r="R221" s="90" t="s">
        <v>10</v>
      </c>
      <c r="S221" s="112" t="s">
        <v>31</v>
      </c>
      <c r="AA221" s="126"/>
      <c r="AB221" s="200" t="s">
        <v>277</v>
      </c>
    </row>
    <row r="222" spans="2:28" ht="13.2" customHeight="1" thickBot="1" x14ac:dyDescent="0.25">
      <c r="B222" s="407" t="s">
        <v>281</v>
      </c>
      <c r="C222" s="408"/>
      <c r="D222" s="408"/>
      <c r="E222" s="408"/>
      <c r="F222" s="409"/>
      <c r="G222" s="194"/>
      <c r="I222" s="99">
        <f>I218</f>
        <v>0</v>
      </c>
      <c r="J222" s="100"/>
      <c r="K222" s="100">
        <f>G221</f>
        <v>0</v>
      </c>
      <c r="L222" s="100"/>
      <c r="M222" s="127">
        <f>G227*0.05</f>
        <v>0</v>
      </c>
      <c r="N222" s="100"/>
      <c r="O222" s="128">
        <f>G226</f>
        <v>0</v>
      </c>
      <c r="P222" s="100"/>
      <c r="Q222" s="100">
        <f>G228*0.3</f>
        <v>0</v>
      </c>
      <c r="R222" s="100"/>
      <c r="S222" s="101">
        <f>(I222*K222)+M222+O222+Q222</f>
        <v>0</v>
      </c>
      <c r="AA222" s="126"/>
      <c r="AB222" s="201">
        <f>$AL$41</f>
        <v>9</v>
      </c>
    </row>
    <row r="223" spans="2:28" ht="13.2" customHeight="1" x14ac:dyDescent="0.2">
      <c r="B223" s="407" t="s">
        <v>285</v>
      </c>
      <c r="C223" s="408"/>
      <c r="D223" s="408"/>
      <c r="E223" s="408"/>
      <c r="F223" s="409"/>
      <c r="G223" s="195"/>
      <c r="I223" s="108" t="s">
        <v>286</v>
      </c>
      <c r="J223" s="109" t="s">
        <v>12</v>
      </c>
      <c r="K223" s="109" t="s">
        <v>261</v>
      </c>
      <c r="L223" s="109" t="s">
        <v>12</v>
      </c>
      <c r="M223" s="109" t="s">
        <v>287</v>
      </c>
      <c r="N223" s="109" t="s">
        <v>235</v>
      </c>
      <c r="O223" s="109" t="s">
        <v>61</v>
      </c>
      <c r="P223" s="109" t="s">
        <v>10</v>
      </c>
      <c r="Q223" s="129" t="s">
        <v>58</v>
      </c>
      <c r="R223" s="129"/>
      <c r="S223" s="129"/>
      <c r="T223" s="109"/>
      <c r="U223" s="109"/>
      <c r="V223" s="435" t="s">
        <v>50</v>
      </c>
      <c r="W223" s="436"/>
      <c r="X223" s="436"/>
      <c r="Y223" s="436" t="s">
        <v>51</v>
      </c>
      <c r="Z223" s="436"/>
      <c r="AA223" s="437"/>
      <c r="AB223" s="202" t="s">
        <v>257</v>
      </c>
    </row>
    <row r="224" spans="2:28" ht="13.2" customHeight="1" x14ac:dyDescent="0.2">
      <c r="B224" s="407" t="s">
        <v>124</v>
      </c>
      <c r="C224" s="408"/>
      <c r="D224" s="408"/>
      <c r="E224" s="408"/>
      <c r="F224" s="409"/>
      <c r="G224" s="208"/>
      <c r="I224" s="99" t="e">
        <f>Q218</f>
        <v>#N/A</v>
      </c>
      <c r="J224" s="100"/>
      <c r="K224" s="127" t="e">
        <f>AA220</f>
        <v>#N/A</v>
      </c>
      <c r="L224" s="100"/>
      <c r="M224" s="100">
        <f>S222</f>
        <v>0</v>
      </c>
      <c r="N224" s="100"/>
      <c r="O224" s="100">
        <v>1.25</v>
      </c>
      <c r="P224" s="100"/>
      <c r="Q224" s="101" t="e">
        <f>(I224+K224+M224)*O224</f>
        <v>#N/A</v>
      </c>
      <c r="R224" s="101"/>
      <c r="S224" s="101"/>
      <c r="T224" s="100"/>
      <c r="U224" s="100"/>
      <c r="V224" s="428" t="str">
        <f>IFERROR(IF(Q224&gt;MAX($AF$37:$AF$44),"EXCEEDS MAX EBP",""),"")</f>
        <v/>
      </c>
      <c r="W224" s="421"/>
      <c r="X224" s="421"/>
      <c r="Y224" s="429" t="str">
        <f>IFERROR(IF(G224="MOTOVARIO",INDEX($AE$104:$AE$157,MATCH(1,INDEX((G220&lt;=$AG$104:$AG$157)*(Q226&lt;=$AF$104:$AF$157)*(Q224&lt;=$AH$104:$AH$157),0,0),0))&amp;" DIRECT DRIVE",IF(G224="DODGE",INDEX($AE$51:$AE$97,MATCH(1,INDEX((G220&lt;=$AG$51:$AG$97)*(Q226&lt;=$AF$51:$AF$97)*(Q224&lt;=$AH$51:$AH$97),0,0),0))&amp;" DIRECT DRIVE",INDEX($AD$37:$AD$44,MATCH(1,INDEX((Q224&lt;=$AF$37:$AF$44)*(Q226&lt;=$AE$37:$AE$44),0,0),0)))),"")</f>
        <v/>
      </c>
      <c r="Z224" s="429"/>
      <c r="AA224" s="430"/>
      <c r="AB224" s="201" t="e">
        <f>IF(G225="none",0,VLOOKUP(G217,$AN$38:$AP$43,3,FALSE))</f>
        <v>#N/A</v>
      </c>
    </row>
    <row r="225" spans="2:28" ht="13.2" customHeight="1" x14ac:dyDescent="0.2">
      <c r="B225" s="407" t="s">
        <v>296</v>
      </c>
      <c r="C225" s="408"/>
      <c r="D225" s="408"/>
      <c r="E225" s="408"/>
      <c r="F225" s="409"/>
      <c r="G225" s="196"/>
      <c r="I225" s="108" t="s">
        <v>297</v>
      </c>
      <c r="J225" s="109" t="s">
        <v>235</v>
      </c>
      <c r="K225" s="109" t="s">
        <v>298</v>
      </c>
      <c r="L225" s="109" t="s">
        <v>75</v>
      </c>
      <c r="M225" s="109" t="s">
        <v>299</v>
      </c>
      <c r="N225" s="109" t="s">
        <v>235</v>
      </c>
      <c r="O225" s="109" t="s">
        <v>300</v>
      </c>
      <c r="P225" s="109" t="s">
        <v>10</v>
      </c>
      <c r="Q225" s="129" t="s">
        <v>108</v>
      </c>
      <c r="R225" s="129"/>
      <c r="S225" s="129"/>
      <c r="T225" s="109"/>
      <c r="U225" s="109"/>
      <c r="V225" s="428" t="str">
        <f>IFERROR(IF(Q226&gt;MAX($AE$37:$AE$44),"EXCEEDS MAX HP",""),"")</f>
        <v/>
      </c>
      <c r="W225" s="421"/>
      <c r="X225" s="421"/>
      <c r="Y225" s="429" t="str">
        <f>IFERROR(IF(G224="Motovario",INDEX($AF$104:$AF$157,MATCH(1,INDEX((G220&lt;=$AG$104:$AG$157)*(Q226&lt;=$AF$104:$AF$157)*(Q224&lt;=$AH$104:$AH$157),0,0),0)),IF(G224="Dodge",INDEX($AF$51:$AF$97,MATCH(1,INDEX((G220&lt;=$AG$51:$AG$97)*(Q226&lt;=$AF$51:$AF$97)*(Q224&lt;=$AH$51:$AH$97),0,0),0)),INDEX($AE$37:$AE$44,MATCH(1,INDEX((Q224&lt;=$AF$37:$AF$44)*(Q226&lt;=$AE$37:$AE$44),0,0),0))))&amp;" HP","")</f>
        <v/>
      </c>
      <c r="Z225" s="429"/>
      <c r="AA225" s="430"/>
      <c r="AB225" s="200" t="s">
        <v>258</v>
      </c>
    </row>
    <row r="226" spans="2:28" ht="13.2" customHeight="1" thickBot="1" x14ac:dyDescent="0.25">
      <c r="B226" s="410" t="s">
        <v>305</v>
      </c>
      <c r="C226" s="411"/>
      <c r="D226" s="411"/>
      <c r="E226" s="411"/>
      <c r="F226" s="412"/>
      <c r="G226" s="197"/>
      <c r="I226" s="136" t="e">
        <f>Q224</f>
        <v>#N/A</v>
      </c>
      <c r="K226" s="90">
        <f>G220</f>
        <v>0</v>
      </c>
      <c r="M226" s="90">
        <v>33000</v>
      </c>
      <c r="O226" s="90">
        <f>IF(G224="N",IF(G220&lt;100,0.8,IF(G220&lt;200,0.85,0.9)),0.95)</f>
        <v>0.95</v>
      </c>
      <c r="Q226" s="137" t="e">
        <f>(I226*K226)/(M226*O226)</f>
        <v>#N/A</v>
      </c>
      <c r="R226" s="137"/>
      <c r="S226" s="137"/>
      <c r="V226" s="428" t="str">
        <f>IF(Y226="","",IF(Y226&gt;VLOOKUP(G217,$AD$24:$AK$29,8),"EXCEEDS MAX QTY",""))</f>
        <v/>
      </c>
      <c r="W226" s="421"/>
      <c r="X226" s="421"/>
      <c r="Y226" s="215" t="str">
        <f>IFERROR(ROUNDUP(Q224/100,0),"")</f>
        <v/>
      </c>
      <c r="Z226" s="426" t="str">
        <f>IF(Y226="","","LONG SPRINGS")</f>
        <v/>
      </c>
      <c r="AA226" s="427"/>
      <c r="AB226" s="201" t="e">
        <f>IF(U220=0,0,$AL$40)</f>
        <v>#N/A</v>
      </c>
    </row>
    <row r="227" spans="2:28" ht="13.2" customHeight="1" x14ac:dyDescent="0.2">
      <c r="B227" s="410" t="s">
        <v>309</v>
      </c>
      <c r="C227" s="411"/>
      <c r="D227" s="411"/>
      <c r="E227" s="411"/>
      <c r="F227" s="412"/>
      <c r="G227" s="198"/>
      <c r="I227" s="423" t="s">
        <v>133</v>
      </c>
      <c r="J227" s="424"/>
      <c r="K227" s="424"/>
      <c r="L227" s="424"/>
      <c r="M227" s="424"/>
      <c r="N227" s="424"/>
      <c r="O227" s="424"/>
      <c r="P227" s="424"/>
      <c r="Q227" s="424"/>
      <c r="R227" s="424"/>
      <c r="S227" s="424"/>
      <c r="T227" s="424"/>
      <c r="U227" s="425"/>
      <c r="V227" s="420" t="str">
        <f>IF(Y227="","",IF(Y227&gt;VLOOKUP(G217,$AD$24:$AK$29,8),"EXCEEDS MAX QTY",""))</f>
        <v/>
      </c>
      <c r="W227" s="421"/>
      <c r="X227" s="421"/>
      <c r="Y227" s="215" t="str">
        <f>IFERROR(ROUNDUP(Q224/80,0),"")</f>
        <v/>
      </c>
      <c r="Z227" s="426" t="str">
        <f>IF(Y227="","","SHORT SPRINGS")</f>
        <v/>
      </c>
      <c r="AA227" s="427"/>
      <c r="AB227" s="203" t="s">
        <v>310</v>
      </c>
    </row>
    <row r="228" spans="2:28" ht="13.2" customHeight="1" thickBot="1" x14ac:dyDescent="0.25">
      <c r="B228" s="414" t="s">
        <v>315</v>
      </c>
      <c r="C228" s="415"/>
      <c r="D228" s="415"/>
      <c r="E228" s="415"/>
      <c r="F228" s="416"/>
      <c r="G228" s="199"/>
      <c r="I228" s="108"/>
      <c r="J228" s="417" t="s">
        <v>134</v>
      </c>
      <c r="K228" s="417"/>
      <c r="L228" s="418" t="str">
        <f>IFERROR(Q224*L229/2,"")</f>
        <v/>
      </c>
      <c r="M228" s="418"/>
      <c r="N228" s="109"/>
      <c r="O228" s="417" t="s">
        <v>135</v>
      </c>
      <c r="P228" s="417"/>
      <c r="Q228" s="419" t="str">
        <f>IFERROR(IF(G224="Motovario",INDEX($AI$104:$AI$157,MATCH(1,INDEX((G220&lt;=$AG$104:$AG$157)*(Q226&lt;=$AF$104:$AF$157)*(Q224&lt;=$AH$104:$AH$157),0,0),0)),IF(G224="Dodge",INDEX($AI$51:$AI$97,MATCH(1,INDEX((G220&lt;=$AG$51:$AG$97)*(Q226&lt;=$AF$51:$AF$97)*(Q224&lt;=$AH$51:$AH$97),0,0),0)),"")),"")</f>
        <v/>
      </c>
      <c r="R228" s="419"/>
      <c r="S228" s="419"/>
      <c r="T228" s="419"/>
      <c r="U228" s="139"/>
      <c r="V228" s="420" t="str">
        <f>IF(AA217&lt;0,"",IF(G219&gt;AA217,"EXCEEDS MAX LR",""))</f>
        <v/>
      </c>
      <c r="W228" s="421"/>
      <c r="X228" s="421"/>
      <c r="Y228" s="345"/>
      <c r="Z228" s="345"/>
      <c r="AA228" s="346"/>
      <c r="AB228" s="204">
        <f>IF(G227&gt;0,$AL$42,0)</f>
        <v>0</v>
      </c>
    </row>
    <row r="229" spans="2:28" ht="13.2" customHeight="1" thickBot="1" x14ac:dyDescent="0.25">
      <c r="B229" s="388" t="s">
        <v>78</v>
      </c>
      <c r="C229" s="389"/>
      <c r="D229" s="390"/>
      <c r="E229" s="391"/>
      <c r="F229" s="391"/>
      <c r="G229" s="392"/>
      <c r="H229" s="391"/>
      <c r="I229" s="93"/>
      <c r="J229" s="393" t="s">
        <v>136</v>
      </c>
      <c r="K229" s="393"/>
      <c r="L229" s="394" t="str">
        <f>IFERROR(VALUE(LEFT(Y224,SEARCH("CD",Y224)-1))+0.5,"")</f>
        <v/>
      </c>
      <c r="M229" s="394"/>
      <c r="N229" s="94"/>
      <c r="O229" s="395" t="s">
        <v>137</v>
      </c>
      <c r="P229" s="395"/>
      <c r="Q229" s="396" t="str">
        <f>IFERROR(Q228/L228,"")</f>
        <v/>
      </c>
      <c r="R229" s="396"/>
      <c r="S229" s="396"/>
      <c r="T229" s="396"/>
      <c r="U229" s="140"/>
      <c r="V229" s="397" t="str">
        <f>IF(G218&gt;150,"VERY LONG","")</f>
        <v/>
      </c>
      <c r="W229" s="398"/>
      <c r="X229" s="398"/>
      <c r="Y229" s="348" t="str">
        <f>IF(G224="MOTOVARIO","DD NOM SPEED: "&amp;INDEX($AG$104:$AG$157,MATCH(1,INDEX((G220&lt;=$AG$104:$AG$157)*(Q226&lt;=$AF$104:$AF$157)*(Q224&lt;=$AH$104:$AH$157),0,0),0)),IF(G224="DODGE)","DD NOM SPEED: "&amp;INDEX($AG$51:$AG$97,MATCH(1,INDEX((G220&lt;=$AG$51:$AG$97)*(Q226&lt;=$AF$51:$AF$97)*(Q224&lt;=$AH$51:$AH$97),0,0),0)),""))</f>
        <v/>
      </c>
      <c r="Z229" s="348"/>
      <c r="AA229" s="349"/>
    </row>
    <row r="230" spans="2:28" ht="13.2" customHeight="1" thickBot="1" x14ac:dyDescent="0.25"/>
    <row r="231" spans="2:28" ht="13.2" customHeight="1" thickBot="1" x14ac:dyDescent="0.25">
      <c r="B231" s="95"/>
      <c r="C231" s="91" t="s">
        <v>5</v>
      </c>
      <c r="D231" s="403" t="s">
        <v>232</v>
      </c>
      <c r="E231" s="403"/>
      <c r="F231" s="404"/>
      <c r="G231" s="193"/>
      <c r="H231" s="96"/>
      <c r="I231" s="216" t="s">
        <v>233</v>
      </c>
      <c r="J231" s="91" t="s">
        <v>12</v>
      </c>
      <c r="K231" s="91" t="s">
        <v>234</v>
      </c>
      <c r="L231" s="91" t="s">
        <v>235</v>
      </c>
      <c r="M231" s="91" t="s">
        <v>236</v>
      </c>
      <c r="N231" s="91" t="s">
        <v>235</v>
      </c>
      <c r="O231" s="91" t="s">
        <v>237</v>
      </c>
      <c r="P231" s="91" t="s">
        <v>10</v>
      </c>
      <c r="Q231" s="97" t="s">
        <v>238</v>
      </c>
      <c r="R231" s="97"/>
      <c r="S231" s="97"/>
      <c r="T231" s="91"/>
      <c r="U231" s="91"/>
      <c r="V231" s="91"/>
      <c r="W231" s="91"/>
      <c r="X231" s="91"/>
      <c r="Y231" s="226" t="str">
        <f>IF(G233&gt;0,"Suggested Max LR","")</f>
        <v/>
      </c>
      <c r="Z231" s="227" t="str">
        <f>IF(G233&gt;0,"=","")</f>
        <v/>
      </c>
      <c r="AA231" s="228" t="str">
        <f>IF(G233&gt;0,G232-(AB234+AB236+AB238+AB240+AB242),"")</f>
        <v/>
      </c>
      <c r="AB231" s="90" t="s">
        <v>239</v>
      </c>
    </row>
    <row r="232" spans="2:28" ht="13.2" customHeight="1" x14ac:dyDescent="0.2">
      <c r="B232" s="98"/>
      <c r="C232" s="405"/>
      <c r="D232" s="407" t="s">
        <v>242</v>
      </c>
      <c r="E232" s="408"/>
      <c r="F232" s="409"/>
      <c r="G232" s="194"/>
      <c r="I232" s="99">
        <f>IF(G239="1:1.3 Up",0.8*G236,G236)</f>
        <v>0</v>
      </c>
      <c r="J232" s="100"/>
      <c r="K232" s="100" t="e">
        <f>INDEX($AD$8:$AU$19,MATCH(G237,$AD$8:$AD$19,0),MATCH(G231,$AD$8:$AU$8,0))</f>
        <v>#N/A</v>
      </c>
      <c r="L232" s="100"/>
      <c r="M232" s="100">
        <f>G232-G233</f>
        <v>0</v>
      </c>
      <c r="N232" s="100"/>
      <c r="O232" s="100" t="e">
        <f>VLOOKUP(G237,$AD$9:$AU$19,12,FALSE)</f>
        <v>#N/A</v>
      </c>
      <c r="P232" s="100"/>
      <c r="Q232" s="101" t="e">
        <f>((I232+K232)*M232)*O232</f>
        <v>#N/A</v>
      </c>
      <c r="R232" s="101"/>
      <c r="S232" s="101"/>
      <c r="T232" s="100"/>
      <c r="U232" s="100"/>
      <c r="V232" s="100"/>
      <c r="W232" s="100"/>
      <c r="X232" s="100"/>
      <c r="Y232" s="100"/>
      <c r="Z232" s="100"/>
      <c r="AA232" s="102"/>
    </row>
    <row r="233" spans="2:28" ht="13.2" customHeight="1" thickBot="1" x14ac:dyDescent="0.25">
      <c r="B233" s="98"/>
      <c r="C233" s="406"/>
      <c r="D233" s="410" t="s">
        <v>251</v>
      </c>
      <c r="E233" s="411"/>
      <c r="F233" s="412"/>
      <c r="G233" s="194"/>
      <c r="I233" s="108" t="s">
        <v>252</v>
      </c>
      <c r="J233" s="109" t="s">
        <v>12</v>
      </c>
      <c r="K233" s="109" t="s">
        <v>253</v>
      </c>
      <c r="L233" s="109" t="s">
        <v>12</v>
      </c>
      <c r="M233" s="109" t="s">
        <v>254</v>
      </c>
      <c r="N233" s="109" t="s">
        <v>235</v>
      </c>
      <c r="O233" s="109" t="s">
        <v>255</v>
      </c>
      <c r="P233" s="109" t="s">
        <v>12</v>
      </c>
      <c r="Q233" s="109" t="s">
        <v>256</v>
      </c>
      <c r="R233" s="109" t="s">
        <v>12</v>
      </c>
      <c r="S233" s="109" t="s">
        <v>257</v>
      </c>
      <c r="T233" s="109" t="s">
        <v>12</v>
      </c>
      <c r="U233" s="109" t="s">
        <v>258</v>
      </c>
      <c r="V233" s="109" t="s">
        <v>12</v>
      </c>
      <c r="W233" s="109" t="s">
        <v>259</v>
      </c>
      <c r="X233" s="109" t="s">
        <v>235</v>
      </c>
      <c r="Y233" s="109" t="s">
        <v>260</v>
      </c>
      <c r="Z233" s="109" t="s">
        <v>10</v>
      </c>
      <c r="AA233" s="110" t="s">
        <v>261</v>
      </c>
      <c r="AB233" s="202" t="s">
        <v>262</v>
      </c>
    </row>
    <row r="234" spans="2:28" ht="13.2" customHeight="1" x14ac:dyDescent="0.2">
      <c r="B234" s="407" t="s">
        <v>267</v>
      </c>
      <c r="C234" s="408"/>
      <c r="D234" s="408"/>
      <c r="E234" s="408"/>
      <c r="F234" s="409"/>
      <c r="G234" s="194"/>
      <c r="I234" s="99">
        <f>I232</f>
        <v>0</v>
      </c>
      <c r="J234" s="100"/>
      <c r="K234" s="100" t="e">
        <f>K232</f>
        <v>#N/A</v>
      </c>
      <c r="L234" s="100"/>
      <c r="M234" s="100" t="e">
        <f>VLOOKUP(G231,$AD$24:$AK$29,6,FALSE)</f>
        <v>#N/A</v>
      </c>
      <c r="N234" s="100"/>
      <c r="O234" s="100">
        <f>G233</f>
        <v>0</v>
      </c>
      <c r="P234" s="100"/>
      <c r="Q234" s="120" t="e">
        <f>VLOOKUP(G231,$AD$24:$AH$29,2,FALSE)</f>
        <v>#N/A</v>
      </c>
      <c r="R234" s="100"/>
      <c r="S234" s="120" t="e">
        <f>IF(G239="None",0,VLOOKUP(G231,$AD$24:$AH$29,3,FALSE))</f>
        <v>#N/A</v>
      </c>
      <c r="T234" s="100"/>
      <c r="U234" s="120" t="e">
        <f>IF(G239="None",0,VLOOKUP(G231,$AD$24:$AH$29,4,FALSE))</f>
        <v>#N/A</v>
      </c>
      <c r="V234" s="100"/>
      <c r="W234" s="120">
        <f>IF(G241&gt;0,VLOOKUP(G231,$AD$24:$AH$29,5,FALSE),0)</f>
        <v>0</v>
      </c>
      <c r="X234" s="100"/>
      <c r="Y234" s="100">
        <v>0.05</v>
      </c>
      <c r="Z234" s="100"/>
      <c r="AA234" s="121" t="e">
        <f>(((I234+K234+M234)*O234)+Q234+S234+U234+W234)*Y234</f>
        <v>#N/A</v>
      </c>
      <c r="AB234" s="201">
        <f>IF(G239="None",2*$AL$39,$AL$39)</f>
        <v>3.3333333333333335</v>
      </c>
    </row>
    <row r="235" spans="2:28" ht="13.2" customHeight="1" x14ac:dyDescent="0.2">
      <c r="B235" s="407" t="s">
        <v>272</v>
      </c>
      <c r="C235" s="408"/>
      <c r="D235" s="408"/>
      <c r="E235" s="408"/>
      <c r="F235" s="409"/>
      <c r="G235" s="194"/>
      <c r="I235" s="92" t="s">
        <v>110</v>
      </c>
      <c r="J235" s="90" t="s">
        <v>235</v>
      </c>
      <c r="K235" s="90" t="s">
        <v>273</v>
      </c>
      <c r="L235" s="90" t="s">
        <v>12</v>
      </c>
      <c r="M235" s="90" t="s">
        <v>274</v>
      </c>
      <c r="N235" s="90" t="s">
        <v>12</v>
      </c>
      <c r="O235" s="90" t="s">
        <v>275</v>
      </c>
      <c r="P235" s="90" t="s">
        <v>12</v>
      </c>
      <c r="Q235" s="90" t="s">
        <v>276</v>
      </c>
      <c r="R235" s="90" t="s">
        <v>10</v>
      </c>
      <c r="S235" s="112" t="s">
        <v>31</v>
      </c>
      <c r="AA235" s="126"/>
      <c r="AB235" s="200" t="s">
        <v>277</v>
      </c>
    </row>
    <row r="236" spans="2:28" ht="13.2" customHeight="1" thickBot="1" x14ac:dyDescent="0.25">
      <c r="B236" s="407" t="s">
        <v>281</v>
      </c>
      <c r="C236" s="408"/>
      <c r="D236" s="408"/>
      <c r="E236" s="408"/>
      <c r="F236" s="409"/>
      <c r="G236" s="194"/>
      <c r="I236" s="99">
        <f>I232</f>
        <v>0</v>
      </c>
      <c r="J236" s="100"/>
      <c r="K236" s="100">
        <f>G235</f>
        <v>0</v>
      </c>
      <c r="L236" s="100"/>
      <c r="M236" s="127">
        <f>G241*0.05</f>
        <v>0</v>
      </c>
      <c r="N236" s="100"/>
      <c r="O236" s="128">
        <f>G240</f>
        <v>0</v>
      </c>
      <c r="P236" s="100"/>
      <c r="Q236" s="100">
        <f>G242*0.3</f>
        <v>0</v>
      </c>
      <c r="R236" s="100"/>
      <c r="S236" s="101">
        <f>(I236*K236)+M236+O236+Q236</f>
        <v>0</v>
      </c>
      <c r="AA236" s="126"/>
      <c r="AB236" s="201">
        <f>$AL$41</f>
        <v>9</v>
      </c>
    </row>
    <row r="237" spans="2:28" ht="13.2" customHeight="1" x14ac:dyDescent="0.2">
      <c r="B237" s="407" t="s">
        <v>285</v>
      </c>
      <c r="C237" s="408"/>
      <c r="D237" s="408"/>
      <c r="E237" s="408"/>
      <c r="F237" s="409"/>
      <c r="G237" s="195"/>
      <c r="I237" s="108" t="s">
        <v>286</v>
      </c>
      <c r="J237" s="109" t="s">
        <v>12</v>
      </c>
      <c r="K237" s="109" t="s">
        <v>261</v>
      </c>
      <c r="L237" s="109" t="s">
        <v>12</v>
      </c>
      <c r="M237" s="109" t="s">
        <v>287</v>
      </c>
      <c r="N237" s="109" t="s">
        <v>235</v>
      </c>
      <c r="O237" s="109" t="s">
        <v>61</v>
      </c>
      <c r="P237" s="109" t="s">
        <v>10</v>
      </c>
      <c r="Q237" s="129" t="s">
        <v>58</v>
      </c>
      <c r="R237" s="129"/>
      <c r="S237" s="129"/>
      <c r="T237" s="109"/>
      <c r="U237" s="109"/>
      <c r="V237" s="435" t="s">
        <v>50</v>
      </c>
      <c r="W237" s="436"/>
      <c r="X237" s="436"/>
      <c r="Y237" s="436" t="s">
        <v>51</v>
      </c>
      <c r="Z237" s="436"/>
      <c r="AA237" s="437"/>
      <c r="AB237" s="202" t="s">
        <v>257</v>
      </c>
    </row>
    <row r="238" spans="2:28" ht="13.2" customHeight="1" x14ac:dyDescent="0.2">
      <c r="B238" s="407" t="s">
        <v>124</v>
      </c>
      <c r="C238" s="408"/>
      <c r="D238" s="408"/>
      <c r="E238" s="408"/>
      <c r="F238" s="409"/>
      <c r="G238" s="208"/>
      <c r="I238" s="99" t="e">
        <f>Q232</f>
        <v>#N/A</v>
      </c>
      <c r="J238" s="100"/>
      <c r="K238" s="127" t="e">
        <f>AA234</f>
        <v>#N/A</v>
      </c>
      <c r="L238" s="100"/>
      <c r="M238" s="100">
        <f>S236</f>
        <v>0</v>
      </c>
      <c r="N238" s="100"/>
      <c r="O238" s="100">
        <v>1.25</v>
      </c>
      <c r="P238" s="100"/>
      <c r="Q238" s="101" t="e">
        <f>(I238+K238+M238)*O238</f>
        <v>#N/A</v>
      </c>
      <c r="R238" s="101"/>
      <c r="S238" s="101"/>
      <c r="T238" s="100"/>
      <c r="U238" s="100"/>
      <c r="V238" s="428" t="str">
        <f>IFERROR(IF(Q238&gt;MAX($AF$37:$AF$44),"EXCEEDS MAX EBP",""),"")</f>
        <v/>
      </c>
      <c r="W238" s="421"/>
      <c r="X238" s="421"/>
      <c r="Y238" s="429" t="str">
        <f>IFERROR(IF(G238="MOTOVARIO",INDEX($AE$104:$AE$157,MATCH(1,INDEX((G234&lt;=$AG$104:$AG$157)*(Q240&lt;=$AF$104:$AF$157)*(Q238&lt;=$AH$104:$AH$157),0,0),0))&amp;" DIRECT DRIVE",IF(G238="DODGE",INDEX($AE$51:$AE$97,MATCH(1,INDEX((G234&lt;=$AG$51:$AG$97)*(Q240&lt;=$AF$51:$AF$97)*(Q238&lt;=$AH$51:$AH$97),0,0),0))&amp;" DIRECT DRIVE",INDEX($AD$37:$AD$44,MATCH(1,INDEX((Q238&lt;=$AF$37:$AF$44)*(Q240&lt;=$AE$37:$AE$44),0,0),0)))),"")</f>
        <v/>
      </c>
      <c r="Z238" s="429"/>
      <c r="AA238" s="430"/>
      <c r="AB238" s="201" t="e">
        <f>IF(G239="none",0,VLOOKUP(G231,$AN$38:$AP$43,3,FALSE))</f>
        <v>#N/A</v>
      </c>
    </row>
    <row r="239" spans="2:28" ht="13.2" customHeight="1" x14ac:dyDescent="0.2">
      <c r="B239" s="407" t="s">
        <v>296</v>
      </c>
      <c r="C239" s="408"/>
      <c r="D239" s="408"/>
      <c r="E239" s="408"/>
      <c r="F239" s="409"/>
      <c r="G239" s="196"/>
      <c r="I239" s="108" t="s">
        <v>297</v>
      </c>
      <c r="J239" s="109" t="s">
        <v>235</v>
      </c>
      <c r="K239" s="109" t="s">
        <v>298</v>
      </c>
      <c r="L239" s="109" t="s">
        <v>75</v>
      </c>
      <c r="M239" s="109" t="s">
        <v>299</v>
      </c>
      <c r="N239" s="109" t="s">
        <v>235</v>
      </c>
      <c r="O239" s="109" t="s">
        <v>300</v>
      </c>
      <c r="P239" s="109" t="s">
        <v>10</v>
      </c>
      <c r="Q239" s="129" t="s">
        <v>108</v>
      </c>
      <c r="R239" s="129"/>
      <c r="S239" s="129"/>
      <c r="T239" s="109"/>
      <c r="U239" s="109"/>
      <c r="V239" s="428" t="str">
        <f>IFERROR(IF(Q240&gt;MAX($AE$37:$AE$44),"EXCEEDS MAX HP",""),"")</f>
        <v/>
      </c>
      <c r="W239" s="421"/>
      <c r="X239" s="421"/>
      <c r="Y239" s="429" t="str">
        <f>IFERROR(IF(G238="Motovario",INDEX($AF$104:$AF$157,MATCH(1,INDEX((G234&lt;=$AG$104:$AG$157)*(Q240&lt;=$AF$104:$AF$157)*(Q238&lt;=$AH$104:$AH$157),0,0),0)),IF(G238="Dodge",INDEX($AF$51:$AF$97,MATCH(1,INDEX((G234&lt;=$AG$51:$AG$97)*(Q240&lt;=$AF$51:$AF$97)*(Q238&lt;=$AH$51:$AH$97),0,0),0)),INDEX($AE$37:$AE$44,MATCH(1,INDEX((Q238&lt;=$AF$37:$AF$44)*(Q240&lt;=$AE$37:$AE$44),0,0),0))))&amp;" HP","")</f>
        <v/>
      </c>
      <c r="Z239" s="429"/>
      <c r="AA239" s="430"/>
      <c r="AB239" s="200" t="s">
        <v>258</v>
      </c>
    </row>
    <row r="240" spans="2:28" ht="13.2" customHeight="1" thickBot="1" x14ac:dyDescent="0.25">
      <c r="B240" s="410" t="s">
        <v>305</v>
      </c>
      <c r="C240" s="411"/>
      <c r="D240" s="411"/>
      <c r="E240" s="411"/>
      <c r="F240" s="412"/>
      <c r="G240" s="197"/>
      <c r="I240" s="136" t="e">
        <f>Q238</f>
        <v>#N/A</v>
      </c>
      <c r="K240" s="90">
        <f>G234</f>
        <v>0</v>
      </c>
      <c r="M240" s="90">
        <v>33000</v>
      </c>
      <c r="O240" s="90">
        <f>IF(G238="N",IF(G234&lt;100,0.8,IF(G234&lt;200,0.85,0.9)),0.95)</f>
        <v>0.95</v>
      </c>
      <c r="Q240" s="137" t="e">
        <f>(I240*K240)/(M240*O240)</f>
        <v>#N/A</v>
      </c>
      <c r="R240" s="137"/>
      <c r="S240" s="137"/>
      <c r="V240" s="428" t="str">
        <f>IF(Y240="","",IF(Y240&gt;VLOOKUP(G231,$AD$24:$AK$29,8),"EXCEEDS MAX QTY",""))</f>
        <v/>
      </c>
      <c r="W240" s="421"/>
      <c r="X240" s="421"/>
      <c r="Y240" s="215" t="str">
        <f>IFERROR(ROUNDUP(Q238/100,0),"")</f>
        <v/>
      </c>
      <c r="Z240" s="426" t="str">
        <f>IF(Y240="","","LONG SPRINGS")</f>
        <v/>
      </c>
      <c r="AA240" s="427"/>
      <c r="AB240" s="201" t="e">
        <f>IF(U234=0,0,$AL$40)</f>
        <v>#N/A</v>
      </c>
    </row>
    <row r="241" spans="2:28" ht="13.2" customHeight="1" x14ac:dyDescent="0.2">
      <c r="B241" s="410" t="s">
        <v>309</v>
      </c>
      <c r="C241" s="411"/>
      <c r="D241" s="411"/>
      <c r="E241" s="411"/>
      <c r="F241" s="412"/>
      <c r="G241" s="198"/>
      <c r="I241" s="423" t="s">
        <v>133</v>
      </c>
      <c r="J241" s="424"/>
      <c r="K241" s="424"/>
      <c r="L241" s="424"/>
      <c r="M241" s="424"/>
      <c r="N241" s="424"/>
      <c r="O241" s="424"/>
      <c r="P241" s="424"/>
      <c r="Q241" s="424"/>
      <c r="R241" s="424"/>
      <c r="S241" s="424"/>
      <c r="T241" s="424"/>
      <c r="U241" s="425"/>
      <c r="V241" s="420" t="str">
        <f>IF(Y241="","",IF(Y241&gt;VLOOKUP(G231,$AD$24:$AK$29,8),"EXCEEDS MAX QTY",""))</f>
        <v/>
      </c>
      <c r="W241" s="421"/>
      <c r="X241" s="421"/>
      <c r="Y241" s="215" t="str">
        <f>IFERROR(ROUNDUP(Q238/80,0),"")</f>
        <v/>
      </c>
      <c r="Z241" s="426" t="str">
        <f>IF(Y241="","","SHORT SPRINGS")</f>
        <v/>
      </c>
      <c r="AA241" s="427"/>
      <c r="AB241" s="203" t="s">
        <v>310</v>
      </c>
    </row>
    <row r="242" spans="2:28" ht="13.2" customHeight="1" thickBot="1" x14ac:dyDescent="0.25">
      <c r="B242" s="414" t="s">
        <v>315</v>
      </c>
      <c r="C242" s="415"/>
      <c r="D242" s="415"/>
      <c r="E242" s="415"/>
      <c r="F242" s="416"/>
      <c r="G242" s="199"/>
      <c r="I242" s="108"/>
      <c r="J242" s="417" t="s">
        <v>134</v>
      </c>
      <c r="K242" s="417"/>
      <c r="L242" s="418" t="str">
        <f>IFERROR(Q238*L243/2,"")</f>
        <v/>
      </c>
      <c r="M242" s="418"/>
      <c r="N242" s="109"/>
      <c r="O242" s="417" t="s">
        <v>135</v>
      </c>
      <c r="P242" s="417"/>
      <c r="Q242" s="419" t="str">
        <f>IFERROR(IF(G238="Motovario",INDEX($AI$104:$AI$157,MATCH(1,INDEX((G234&lt;=$AG$104:$AG$157)*(Q240&lt;=$AF$104:$AF$157)*(Q238&lt;=$AH$104:$AH$157),0,0),0)),IF(G238="Dodge",INDEX($AI$51:$AI$97,MATCH(1,INDEX((G234&lt;=$AG$51:$AG$97)*(Q240&lt;=$AF$51:$AF$97)*(Q238&lt;=$AH$51:$AH$97),0,0),0)),"")),"")</f>
        <v/>
      </c>
      <c r="R242" s="419"/>
      <c r="S242" s="419"/>
      <c r="T242" s="419"/>
      <c r="U242" s="139"/>
      <c r="V242" s="420" t="str">
        <f>IF(AA231&lt;0,"",IF(G233&gt;AA231,"EXCEEDS MAX LR",""))</f>
        <v/>
      </c>
      <c r="W242" s="421"/>
      <c r="X242" s="421"/>
      <c r="Y242" s="345"/>
      <c r="Z242" s="345"/>
      <c r="AA242" s="346"/>
      <c r="AB242" s="204">
        <f>IF(G241&gt;0,$AL$42,0)</f>
        <v>0</v>
      </c>
    </row>
    <row r="243" spans="2:28" ht="13.2" customHeight="1" thickBot="1" x14ac:dyDescent="0.25">
      <c r="B243" s="388" t="s">
        <v>78</v>
      </c>
      <c r="C243" s="389"/>
      <c r="D243" s="390"/>
      <c r="E243" s="391"/>
      <c r="F243" s="391"/>
      <c r="G243" s="392"/>
      <c r="H243" s="391"/>
      <c r="I243" s="93"/>
      <c r="J243" s="393" t="s">
        <v>136</v>
      </c>
      <c r="K243" s="393"/>
      <c r="L243" s="394" t="str">
        <f>IFERROR(VALUE(LEFT(Y238,SEARCH("CD",Y238)-1))+0.5,"")</f>
        <v/>
      </c>
      <c r="M243" s="394"/>
      <c r="N243" s="94"/>
      <c r="O243" s="395" t="s">
        <v>137</v>
      </c>
      <c r="P243" s="395"/>
      <c r="Q243" s="396" t="str">
        <f>IFERROR(Q242/L242,"")</f>
        <v/>
      </c>
      <c r="R243" s="396"/>
      <c r="S243" s="396"/>
      <c r="T243" s="396"/>
      <c r="U243" s="140"/>
      <c r="V243" s="397" t="str">
        <f>IF(G232&gt;150,"VERY LONG","")</f>
        <v/>
      </c>
      <c r="W243" s="398"/>
      <c r="X243" s="398"/>
      <c r="Y243" s="348" t="str">
        <f>IF(G238="MOTOVARIO","DD NOM SPEED: "&amp;INDEX($AG$104:$AG$157,MATCH(1,INDEX((G234&lt;=$AG$104:$AG$157)*(Q240&lt;=$AF$104:$AF$157)*(Q238&lt;=$AH$104:$AH$157),0,0),0)),IF(G238="DODGE)","DD NOM SPEED: "&amp;INDEX($AG$51:$AG$97,MATCH(1,INDEX((G234&lt;=$AG$51:$AG$97)*(Q240&lt;=$AF$51:$AF$97)*(Q238&lt;=$AH$51:$AH$97),0,0),0)),""))</f>
        <v/>
      </c>
      <c r="Z243" s="348"/>
      <c r="AA243" s="349"/>
    </row>
    <row r="244" spans="2:28" ht="13.2" customHeight="1" thickBot="1" x14ac:dyDescent="0.25"/>
    <row r="245" spans="2:28" ht="13.2" customHeight="1" thickBot="1" x14ac:dyDescent="0.25">
      <c r="B245" s="95"/>
      <c r="C245" s="91" t="s">
        <v>5</v>
      </c>
      <c r="D245" s="403" t="s">
        <v>232</v>
      </c>
      <c r="E245" s="403"/>
      <c r="F245" s="404"/>
      <c r="G245" s="193"/>
      <c r="H245" s="96"/>
      <c r="I245" s="216" t="s">
        <v>233</v>
      </c>
      <c r="J245" s="91" t="s">
        <v>12</v>
      </c>
      <c r="K245" s="91" t="s">
        <v>234</v>
      </c>
      <c r="L245" s="91" t="s">
        <v>235</v>
      </c>
      <c r="M245" s="91" t="s">
        <v>236</v>
      </c>
      <c r="N245" s="91" t="s">
        <v>235</v>
      </c>
      <c r="O245" s="91" t="s">
        <v>237</v>
      </c>
      <c r="P245" s="91" t="s">
        <v>10</v>
      </c>
      <c r="Q245" s="97" t="s">
        <v>238</v>
      </c>
      <c r="R245" s="97"/>
      <c r="S245" s="97"/>
      <c r="T245" s="91"/>
      <c r="U245" s="91"/>
      <c r="V245" s="91"/>
      <c r="W245" s="91"/>
      <c r="X245" s="91"/>
      <c r="Y245" s="226" t="str">
        <f>IF(G247&gt;0,"Suggested Max LR","")</f>
        <v/>
      </c>
      <c r="Z245" s="227" t="str">
        <f>IF(G247&gt;0,"=","")</f>
        <v/>
      </c>
      <c r="AA245" s="228" t="str">
        <f>IF(G247&gt;0,G246-(AB248+AB250+AB252+AB254+AB256),"")</f>
        <v/>
      </c>
      <c r="AB245" s="90" t="s">
        <v>239</v>
      </c>
    </row>
    <row r="246" spans="2:28" ht="13.2" customHeight="1" x14ac:dyDescent="0.2">
      <c r="B246" s="98"/>
      <c r="C246" s="405"/>
      <c r="D246" s="407" t="s">
        <v>242</v>
      </c>
      <c r="E246" s="408"/>
      <c r="F246" s="409"/>
      <c r="G246" s="194"/>
      <c r="I246" s="99">
        <f>IF(G253="1:1.3 Up",0.8*G250,G250)</f>
        <v>0</v>
      </c>
      <c r="J246" s="100"/>
      <c r="K246" s="100" t="e">
        <f>INDEX($AD$8:$AU$19,MATCH(G251,$AD$8:$AD$19,0),MATCH(G245,$AD$8:$AU$8,0))</f>
        <v>#N/A</v>
      </c>
      <c r="L246" s="100"/>
      <c r="M246" s="100">
        <f>G246-G247</f>
        <v>0</v>
      </c>
      <c r="N246" s="100"/>
      <c r="O246" s="100" t="e">
        <f>VLOOKUP(G251,$AD$9:$AU$19,12,FALSE)</f>
        <v>#N/A</v>
      </c>
      <c r="P246" s="100"/>
      <c r="Q246" s="101" t="e">
        <f>((I246+K246)*M246)*O246</f>
        <v>#N/A</v>
      </c>
      <c r="R246" s="101"/>
      <c r="S246" s="101"/>
      <c r="T246" s="100"/>
      <c r="U246" s="100"/>
      <c r="V246" s="100"/>
      <c r="W246" s="100"/>
      <c r="X246" s="100"/>
      <c r="Y246" s="100"/>
      <c r="Z246" s="100"/>
      <c r="AA246" s="102"/>
    </row>
    <row r="247" spans="2:28" ht="13.2" customHeight="1" thickBot="1" x14ac:dyDescent="0.25">
      <c r="B247" s="98"/>
      <c r="C247" s="406"/>
      <c r="D247" s="410" t="s">
        <v>251</v>
      </c>
      <c r="E247" s="411"/>
      <c r="F247" s="412"/>
      <c r="G247" s="194"/>
      <c r="I247" s="108" t="s">
        <v>252</v>
      </c>
      <c r="J247" s="109" t="s">
        <v>12</v>
      </c>
      <c r="K247" s="109" t="s">
        <v>253</v>
      </c>
      <c r="L247" s="109" t="s">
        <v>12</v>
      </c>
      <c r="M247" s="109" t="s">
        <v>254</v>
      </c>
      <c r="N247" s="109" t="s">
        <v>235</v>
      </c>
      <c r="O247" s="109" t="s">
        <v>255</v>
      </c>
      <c r="P247" s="109" t="s">
        <v>12</v>
      </c>
      <c r="Q247" s="109" t="s">
        <v>256</v>
      </c>
      <c r="R247" s="109" t="s">
        <v>12</v>
      </c>
      <c r="S247" s="109" t="s">
        <v>257</v>
      </c>
      <c r="T247" s="109" t="s">
        <v>12</v>
      </c>
      <c r="U247" s="109" t="s">
        <v>258</v>
      </c>
      <c r="V247" s="109" t="s">
        <v>12</v>
      </c>
      <c r="W247" s="109" t="s">
        <v>259</v>
      </c>
      <c r="X247" s="109" t="s">
        <v>235</v>
      </c>
      <c r="Y247" s="109" t="s">
        <v>260</v>
      </c>
      <c r="Z247" s="109" t="s">
        <v>10</v>
      </c>
      <c r="AA247" s="110" t="s">
        <v>261</v>
      </c>
      <c r="AB247" s="202" t="s">
        <v>262</v>
      </c>
    </row>
    <row r="248" spans="2:28" ht="13.2" customHeight="1" x14ac:dyDescent="0.2">
      <c r="B248" s="407" t="s">
        <v>267</v>
      </c>
      <c r="C248" s="408"/>
      <c r="D248" s="408"/>
      <c r="E248" s="408"/>
      <c r="F248" s="409"/>
      <c r="G248" s="194"/>
      <c r="I248" s="99">
        <f>I246</f>
        <v>0</v>
      </c>
      <c r="J248" s="100"/>
      <c r="K248" s="100" t="e">
        <f>K246</f>
        <v>#N/A</v>
      </c>
      <c r="L248" s="100"/>
      <c r="M248" s="100" t="e">
        <f>VLOOKUP(G245,$AD$24:$AK$29,6,FALSE)</f>
        <v>#N/A</v>
      </c>
      <c r="N248" s="100"/>
      <c r="O248" s="100">
        <f>G247</f>
        <v>0</v>
      </c>
      <c r="P248" s="100"/>
      <c r="Q248" s="120" t="e">
        <f>VLOOKUP(G245,$AD$24:$AH$29,2,FALSE)</f>
        <v>#N/A</v>
      </c>
      <c r="R248" s="100"/>
      <c r="S248" s="120" t="e">
        <f>IF(G253="None",0,VLOOKUP(G245,$AD$24:$AH$29,3,FALSE))</f>
        <v>#N/A</v>
      </c>
      <c r="T248" s="100"/>
      <c r="U248" s="120" t="e">
        <f>IF(G253="None",0,VLOOKUP(G245,$AD$24:$AH$29,4,FALSE))</f>
        <v>#N/A</v>
      </c>
      <c r="V248" s="100"/>
      <c r="W248" s="120">
        <f>IF(G255&gt;0,VLOOKUP(G245,$AD$24:$AH$29,5,FALSE),0)</f>
        <v>0</v>
      </c>
      <c r="X248" s="100"/>
      <c r="Y248" s="100">
        <v>0.05</v>
      </c>
      <c r="Z248" s="100"/>
      <c r="AA248" s="121" t="e">
        <f>(((I248+K248+M248)*O248)+Q248+S248+U248+W248)*Y248</f>
        <v>#N/A</v>
      </c>
      <c r="AB248" s="201">
        <f>IF(G253="None",2*$AL$39,$AL$39)</f>
        <v>3.3333333333333335</v>
      </c>
    </row>
    <row r="249" spans="2:28" ht="13.2" customHeight="1" x14ac:dyDescent="0.2">
      <c r="B249" s="407" t="s">
        <v>272</v>
      </c>
      <c r="C249" s="408"/>
      <c r="D249" s="408"/>
      <c r="E249" s="408"/>
      <c r="F249" s="409"/>
      <c r="G249" s="194"/>
      <c r="I249" s="92" t="s">
        <v>110</v>
      </c>
      <c r="J249" s="90" t="s">
        <v>235</v>
      </c>
      <c r="K249" s="90" t="s">
        <v>273</v>
      </c>
      <c r="L249" s="90" t="s">
        <v>12</v>
      </c>
      <c r="M249" s="90" t="s">
        <v>274</v>
      </c>
      <c r="N249" s="90" t="s">
        <v>12</v>
      </c>
      <c r="O249" s="90" t="s">
        <v>275</v>
      </c>
      <c r="P249" s="90" t="s">
        <v>12</v>
      </c>
      <c r="Q249" s="90" t="s">
        <v>276</v>
      </c>
      <c r="R249" s="90" t="s">
        <v>10</v>
      </c>
      <c r="S249" s="112" t="s">
        <v>31</v>
      </c>
      <c r="AA249" s="126"/>
      <c r="AB249" s="200" t="s">
        <v>277</v>
      </c>
    </row>
    <row r="250" spans="2:28" ht="13.2" customHeight="1" thickBot="1" x14ac:dyDescent="0.25">
      <c r="B250" s="407" t="s">
        <v>281</v>
      </c>
      <c r="C250" s="408"/>
      <c r="D250" s="408"/>
      <c r="E250" s="408"/>
      <c r="F250" s="409"/>
      <c r="G250" s="194"/>
      <c r="I250" s="99">
        <f>I246</f>
        <v>0</v>
      </c>
      <c r="J250" s="100"/>
      <c r="K250" s="100">
        <f>G249</f>
        <v>0</v>
      </c>
      <c r="L250" s="100"/>
      <c r="M250" s="127">
        <f>G255*0.05</f>
        <v>0</v>
      </c>
      <c r="N250" s="100"/>
      <c r="O250" s="128">
        <f>G254</f>
        <v>0</v>
      </c>
      <c r="P250" s="100"/>
      <c r="Q250" s="100">
        <f>G256*0.3</f>
        <v>0</v>
      </c>
      <c r="R250" s="100"/>
      <c r="S250" s="101">
        <f>(I250*K250)+M250+O250+Q250</f>
        <v>0</v>
      </c>
      <c r="AA250" s="126"/>
      <c r="AB250" s="201">
        <f>$AL$41</f>
        <v>9</v>
      </c>
    </row>
    <row r="251" spans="2:28" ht="13.2" customHeight="1" x14ac:dyDescent="0.2">
      <c r="B251" s="407" t="s">
        <v>285</v>
      </c>
      <c r="C251" s="408"/>
      <c r="D251" s="408"/>
      <c r="E251" s="408"/>
      <c r="F251" s="409"/>
      <c r="G251" s="195"/>
      <c r="I251" s="108" t="s">
        <v>286</v>
      </c>
      <c r="J251" s="109" t="s">
        <v>12</v>
      </c>
      <c r="K251" s="109" t="s">
        <v>261</v>
      </c>
      <c r="L251" s="109" t="s">
        <v>12</v>
      </c>
      <c r="M251" s="109" t="s">
        <v>287</v>
      </c>
      <c r="N251" s="109" t="s">
        <v>235</v>
      </c>
      <c r="O251" s="109" t="s">
        <v>61</v>
      </c>
      <c r="P251" s="109" t="s">
        <v>10</v>
      </c>
      <c r="Q251" s="129" t="s">
        <v>58</v>
      </c>
      <c r="R251" s="129"/>
      <c r="S251" s="129"/>
      <c r="T251" s="109"/>
      <c r="U251" s="109"/>
      <c r="V251" s="435" t="s">
        <v>50</v>
      </c>
      <c r="W251" s="436"/>
      <c r="X251" s="436"/>
      <c r="Y251" s="436" t="s">
        <v>51</v>
      </c>
      <c r="Z251" s="436"/>
      <c r="AA251" s="437"/>
      <c r="AB251" s="202" t="s">
        <v>257</v>
      </c>
    </row>
    <row r="252" spans="2:28" ht="13.2" customHeight="1" x14ac:dyDescent="0.2">
      <c r="B252" s="407" t="s">
        <v>124</v>
      </c>
      <c r="C252" s="408"/>
      <c r="D252" s="408"/>
      <c r="E252" s="408"/>
      <c r="F252" s="409"/>
      <c r="G252" s="208"/>
      <c r="I252" s="99" t="e">
        <f>Q246</f>
        <v>#N/A</v>
      </c>
      <c r="J252" s="100"/>
      <c r="K252" s="127" t="e">
        <f>AA248</f>
        <v>#N/A</v>
      </c>
      <c r="L252" s="100"/>
      <c r="M252" s="100">
        <f>S250</f>
        <v>0</v>
      </c>
      <c r="N252" s="100"/>
      <c r="O252" s="100">
        <v>1.25</v>
      </c>
      <c r="P252" s="100"/>
      <c r="Q252" s="101" t="e">
        <f>(I252+K252+M252)*O252</f>
        <v>#N/A</v>
      </c>
      <c r="R252" s="101"/>
      <c r="S252" s="101"/>
      <c r="T252" s="100"/>
      <c r="U252" s="100"/>
      <c r="V252" s="428" t="str">
        <f>IFERROR(IF(Q252&gt;MAX($AF$37:$AF$44),"EXCEEDS MAX EBP",""),"")</f>
        <v/>
      </c>
      <c r="W252" s="421"/>
      <c r="X252" s="421"/>
      <c r="Y252" s="429" t="str">
        <f>IFERROR(IF(G252="MOTOVARIO",INDEX($AE$104:$AE$157,MATCH(1,INDEX((G248&lt;=$AG$104:$AG$157)*(Q254&lt;=$AF$104:$AF$157)*(Q252&lt;=$AH$104:$AH$157),0,0),0))&amp;" DIRECT DRIVE",IF(G252="DODGE",INDEX($AE$51:$AE$97,MATCH(1,INDEX((G248&lt;=$AG$51:$AG$97)*(Q254&lt;=$AF$51:$AF$97)*(Q252&lt;=$AH$51:$AH$97),0,0),0))&amp;" DIRECT DRIVE",INDEX($AD$37:$AD$44,MATCH(1,INDEX((Q252&lt;=$AF$37:$AF$44)*(Q254&lt;=$AE$37:$AE$44),0,0),0)))),"")</f>
        <v/>
      </c>
      <c r="Z252" s="429"/>
      <c r="AA252" s="430"/>
      <c r="AB252" s="201" t="e">
        <f>IF(G253="none",0,VLOOKUP(G245,$AN$38:$AP$43,3,FALSE))</f>
        <v>#N/A</v>
      </c>
    </row>
    <row r="253" spans="2:28" ht="13.2" customHeight="1" x14ac:dyDescent="0.2">
      <c r="B253" s="407" t="s">
        <v>296</v>
      </c>
      <c r="C253" s="408"/>
      <c r="D253" s="408"/>
      <c r="E253" s="408"/>
      <c r="F253" s="409"/>
      <c r="G253" s="196"/>
      <c r="I253" s="108" t="s">
        <v>297</v>
      </c>
      <c r="J253" s="109" t="s">
        <v>235</v>
      </c>
      <c r="K253" s="109" t="s">
        <v>298</v>
      </c>
      <c r="L253" s="109" t="s">
        <v>75</v>
      </c>
      <c r="M253" s="109" t="s">
        <v>299</v>
      </c>
      <c r="N253" s="109" t="s">
        <v>235</v>
      </c>
      <c r="O253" s="109" t="s">
        <v>300</v>
      </c>
      <c r="P253" s="109" t="s">
        <v>10</v>
      </c>
      <c r="Q253" s="129" t="s">
        <v>108</v>
      </c>
      <c r="R253" s="129"/>
      <c r="S253" s="129"/>
      <c r="T253" s="109"/>
      <c r="U253" s="109"/>
      <c r="V253" s="428" t="str">
        <f>IFERROR(IF(Q254&gt;MAX($AE$37:$AE$44),"EXCEEDS MAX HP",""),"")</f>
        <v/>
      </c>
      <c r="W253" s="421"/>
      <c r="X253" s="421"/>
      <c r="Y253" s="429" t="str">
        <f>IFERROR(IF(G252="Motovario",INDEX($AF$104:$AF$157,MATCH(1,INDEX((G248&lt;=$AG$104:$AG$157)*(Q254&lt;=$AF$104:$AF$157)*(Q252&lt;=$AH$104:$AH$157),0,0),0)),IF(G252="Dodge",INDEX($AF$51:$AF$97,MATCH(1,INDEX((G248&lt;=$AG$51:$AG$97)*(Q254&lt;=$AF$51:$AF$97)*(Q252&lt;=$AH$51:$AH$97),0,0),0)),INDEX($AE$37:$AE$44,MATCH(1,INDEX((Q252&lt;=$AF$37:$AF$44)*(Q254&lt;=$AE$37:$AE$44),0,0),0))))&amp;" HP","")</f>
        <v/>
      </c>
      <c r="Z253" s="429"/>
      <c r="AA253" s="430"/>
      <c r="AB253" s="200" t="s">
        <v>258</v>
      </c>
    </row>
    <row r="254" spans="2:28" ht="13.2" customHeight="1" thickBot="1" x14ac:dyDescent="0.25">
      <c r="B254" s="410" t="s">
        <v>305</v>
      </c>
      <c r="C254" s="411"/>
      <c r="D254" s="411"/>
      <c r="E254" s="411"/>
      <c r="F254" s="412"/>
      <c r="G254" s="197"/>
      <c r="I254" s="136" t="e">
        <f>Q252</f>
        <v>#N/A</v>
      </c>
      <c r="K254" s="90">
        <f>G248</f>
        <v>0</v>
      </c>
      <c r="M254" s="90">
        <v>33000</v>
      </c>
      <c r="O254" s="90">
        <f>IF(G252="N",IF(G248&lt;100,0.8,IF(G248&lt;200,0.85,0.9)),0.95)</f>
        <v>0.95</v>
      </c>
      <c r="Q254" s="137" t="e">
        <f>(I254*K254)/(M254*O254)</f>
        <v>#N/A</v>
      </c>
      <c r="R254" s="137"/>
      <c r="S254" s="137"/>
      <c r="V254" s="428" t="str">
        <f>IF(Y254="","",IF(Y254&gt;VLOOKUP(G245,$AD$24:$AK$29,8),"EXCEEDS MAX QTY",""))</f>
        <v/>
      </c>
      <c r="W254" s="421"/>
      <c r="X254" s="421"/>
      <c r="Y254" s="215" t="str">
        <f>IFERROR(ROUNDUP(Q252/100,0),"")</f>
        <v/>
      </c>
      <c r="Z254" s="426" t="str">
        <f>IF(Y254="","","LONG SPRINGS")</f>
        <v/>
      </c>
      <c r="AA254" s="427"/>
      <c r="AB254" s="201" t="e">
        <f>IF(U248=0,0,$AL$40)</f>
        <v>#N/A</v>
      </c>
    </row>
    <row r="255" spans="2:28" ht="13.2" customHeight="1" x14ac:dyDescent="0.2">
      <c r="B255" s="410" t="s">
        <v>309</v>
      </c>
      <c r="C255" s="411"/>
      <c r="D255" s="411"/>
      <c r="E255" s="411"/>
      <c r="F255" s="412"/>
      <c r="G255" s="198"/>
      <c r="I255" s="423" t="s">
        <v>133</v>
      </c>
      <c r="J255" s="424"/>
      <c r="K255" s="424"/>
      <c r="L255" s="424"/>
      <c r="M255" s="424"/>
      <c r="N255" s="424"/>
      <c r="O255" s="424"/>
      <c r="P255" s="424"/>
      <c r="Q255" s="424"/>
      <c r="R255" s="424"/>
      <c r="S255" s="424"/>
      <c r="T255" s="424"/>
      <c r="U255" s="425"/>
      <c r="V255" s="420" t="str">
        <f>IF(Y255="","",IF(Y255&gt;VLOOKUP(G245,$AD$24:$AK$29,8),"EXCEEDS MAX QTY",""))</f>
        <v/>
      </c>
      <c r="W255" s="421"/>
      <c r="X255" s="421"/>
      <c r="Y255" s="215" t="str">
        <f>IFERROR(ROUNDUP(Q252/80,0),"")</f>
        <v/>
      </c>
      <c r="Z255" s="426" t="str">
        <f>IF(Y255="","","SHORT SPRINGS")</f>
        <v/>
      </c>
      <c r="AA255" s="427"/>
      <c r="AB255" s="203" t="s">
        <v>310</v>
      </c>
    </row>
    <row r="256" spans="2:28" ht="13.2" customHeight="1" thickBot="1" x14ac:dyDescent="0.25">
      <c r="B256" s="414" t="s">
        <v>315</v>
      </c>
      <c r="C256" s="415"/>
      <c r="D256" s="415"/>
      <c r="E256" s="415"/>
      <c r="F256" s="416"/>
      <c r="G256" s="199"/>
      <c r="I256" s="108"/>
      <c r="J256" s="417" t="s">
        <v>134</v>
      </c>
      <c r="K256" s="417"/>
      <c r="L256" s="418" t="str">
        <f>IFERROR(Q252*L257/2,"")</f>
        <v/>
      </c>
      <c r="M256" s="418"/>
      <c r="N256" s="109"/>
      <c r="O256" s="417" t="s">
        <v>135</v>
      </c>
      <c r="P256" s="417"/>
      <c r="Q256" s="419" t="str">
        <f>IFERROR(IF(G252="Motovario",INDEX($AI$104:$AI$157,MATCH(1,INDEX((G248&lt;=$AG$104:$AG$157)*(Q254&lt;=$AF$104:$AF$157)*(Q252&lt;=$AH$104:$AH$157),0,0),0)),IF(G252="Dodge",INDEX($AI$51:$AI$97,MATCH(1,INDEX((G248&lt;=$AG$51:$AG$97)*(Q254&lt;=$AF$51:$AF$97)*(Q252&lt;=$AH$51:$AH$97),0,0),0)),"")),"")</f>
        <v/>
      </c>
      <c r="R256" s="419"/>
      <c r="S256" s="419"/>
      <c r="T256" s="419"/>
      <c r="U256" s="139"/>
      <c r="V256" s="420" t="str">
        <f>IF(AA245&lt;0,"",IF(G247&gt;AA245,"EXCEEDS MAX LR",""))</f>
        <v/>
      </c>
      <c r="W256" s="421"/>
      <c r="X256" s="421"/>
      <c r="Y256" s="345"/>
      <c r="Z256" s="345"/>
      <c r="AA256" s="346"/>
      <c r="AB256" s="204">
        <f>IF(G255&gt;0,$AL$42,0)</f>
        <v>0</v>
      </c>
    </row>
    <row r="257" spans="2:28" ht="13.2" customHeight="1" thickBot="1" x14ac:dyDescent="0.25">
      <c r="B257" s="388" t="s">
        <v>78</v>
      </c>
      <c r="C257" s="389"/>
      <c r="D257" s="390"/>
      <c r="E257" s="391"/>
      <c r="F257" s="391"/>
      <c r="G257" s="392"/>
      <c r="H257" s="391"/>
      <c r="I257" s="93"/>
      <c r="J257" s="393" t="s">
        <v>136</v>
      </c>
      <c r="K257" s="393"/>
      <c r="L257" s="394" t="str">
        <f>IFERROR(VALUE(LEFT(Y252,SEARCH("CD",Y252)-1))+0.5,"")</f>
        <v/>
      </c>
      <c r="M257" s="394"/>
      <c r="N257" s="94"/>
      <c r="O257" s="395" t="s">
        <v>137</v>
      </c>
      <c r="P257" s="395"/>
      <c r="Q257" s="396" t="str">
        <f>IFERROR(Q256/L256,"")</f>
        <v/>
      </c>
      <c r="R257" s="396"/>
      <c r="S257" s="396"/>
      <c r="T257" s="396"/>
      <c r="U257" s="140"/>
      <c r="V257" s="397" t="str">
        <f>IF(G246&gt;150,"VERY LONG","")</f>
        <v/>
      </c>
      <c r="W257" s="398"/>
      <c r="X257" s="398"/>
      <c r="Y257" s="348" t="str">
        <f>IF(G252="MOTOVARIO","DD NOM SPEED: "&amp;INDEX($AG$104:$AG$157,MATCH(1,INDEX((G248&lt;=$AG$104:$AG$157)*(Q254&lt;=$AF$104:$AF$157)*(Q252&lt;=$AH$104:$AH$157),0,0),0)),IF(G252="DODGE)","DD NOM SPEED: "&amp;INDEX($AG$51:$AG$97,MATCH(1,INDEX((G248&lt;=$AG$51:$AG$97)*(Q254&lt;=$AF$51:$AF$97)*(Q252&lt;=$AH$51:$AH$97),0,0),0)),""))</f>
        <v/>
      </c>
      <c r="Z257" s="348"/>
      <c r="AA257" s="349"/>
    </row>
    <row r="258" spans="2:28" ht="13.2" customHeight="1" thickBot="1" x14ac:dyDescent="0.25"/>
    <row r="259" spans="2:28" ht="13.2" customHeight="1" thickBot="1" x14ac:dyDescent="0.25">
      <c r="B259" s="95"/>
      <c r="C259" s="91" t="s">
        <v>5</v>
      </c>
      <c r="D259" s="403" t="s">
        <v>232</v>
      </c>
      <c r="E259" s="403"/>
      <c r="F259" s="404"/>
      <c r="G259" s="193"/>
      <c r="H259" s="96"/>
      <c r="I259" s="216" t="s">
        <v>233</v>
      </c>
      <c r="J259" s="91" t="s">
        <v>12</v>
      </c>
      <c r="K259" s="91" t="s">
        <v>234</v>
      </c>
      <c r="L259" s="91" t="s">
        <v>235</v>
      </c>
      <c r="M259" s="91" t="s">
        <v>236</v>
      </c>
      <c r="N259" s="91" t="s">
        <v>235</v>
      </c>
      <c r="O259" s="91" t="s">
        <v>237</v>
      </c>
      <c r="P259" s="91" t="s">
        <v>10</v>
      </c>
      <c r="Q259" s="97" t="s">
        <v>238</v>
      </c>
      <c r="R259" s="97"/>
      <c r="S259" s="97"/>
      <c r="T259" s="91"/>
      <c r="U259" s="91"/>
      <c r="V259" s="91"/>
      <c r="W259" s="91"/>
      <c r="X259" s="91"/>
      <c r="Y259" s="226" t="str">
        <f>IF(G261&gt;0,"Suggested Max LR","")</f>
        <v/>
      </c>
      <c r="Z259" s="227" t="str">
        <f>IF(G261&gt;0,"=","")</f>
        <v/>
      </c>
      <c r="AA259" s="228" t="str">
        <f>IF(G261&gt;0,G260-(AB262+AB264+AB266+AB268+AB270),"")</f>
        <v/>
      </c>
      <c r="AB259" s="90" t="s">
        <v>239</v>
      </c>
    </row>
    <row r="260" spans="2:28" ht="13.2" customHeight="1" x14ac:dyDescent="0.2">
      <c r="B260" s="98"/>
      <c r="C260" s="405"/>
      <c r="D260" s="407" t="s">
        <v>242</v>
      </c>
      <c r="E260" s="408"/>
      <c r="F260" s="409"/>
      <c r="G260" s="194"/>
      <c r="I260" s="99">
        <f>IF(G267="1:1.3 Up",0.8*G264,G264)</f>
        <v>0</v>
      </c>
      <c r="J260" s="100"/>
      <c r="K260" s="100" t="e">
        <f>INDEX($AD$8:$AU$19,MATCH(G265,$AD$8:$AD$19,0),MATCH(G259,$AD$8:$AU$8,0))</f>
        <v>#N/A</v>
      </c>
      <c r="L260" s="100"/>
      <c r="M260" s="100">
        <f>G260-G261</f>
        <v>0</v>
      </c>
      <c r="N260" s="100"/>
      <c r="O260" s="100" t="e">
        <f>VLOOKUP(G265,$AD$9:$AU$19,12,FALSE)</f>
        <v>#N/A</v>
      </c>
      <c r="P260" s="100"/>
      <c r="Q260" s="101" t="e">
        <f>((I260+K260)*M260)*O260</f>
        <v>#N/A</v>
      </c>
      <c r="R260" s="101"/>
      <c r="S260" s="101"/>
      <c r="T260" s="100"/>
      <c r="U260" s="100"/>
      <c r="V260" s="100"/>
      <c r="W260" s="100"/>
      <c r="X260" s="100"/>
      <c r="Y260" s="100"/>
      <c r="Z260" s="100"/>
      <c r="AA260" s="102"/>
    </row>
    <row r="261" spans="2:28" ht="13.2" customHeight="1" thickBot="1" x14ac:dyDescent="0.25">
      <c r="B261" s="98"/>
      <c r="C261" s="406"/>
      <c r="D261" s="410" t="s">
        <v>251</v>
      </c>
      <c r="E261" s="411"/>
      <c r="F261" s="412"/>
      <c r="G261" s="194"/>
      <c r="I261" s="108" t="s">
        <v>252</v>
      </c>
      <c r="J261" s="109" t="s">
        <v>12</v>
      </c>
      <c r="K261" s="109" t="s">
        <v>253</v>
      </c>
      <c r="L261" s="109" t="s">
        <v>12</v>
      </c>
      <c r="M261" s="109" t="s">
        <v>254</v>
      </c>
      <c r="N261" s="109" t="s">
        <v>235</v>
      </c>
      <c r="O261" s="109" t="s">
        <v>255</v>
      </c>
      <c r="P261" s="109" t="s">
        <v>12</v>
      </c>
      <c r="Q261" s="109" t="s">
        <v>256</v>
      </c>
      <c r="R261" s="109" t="s">
        <v>12</v>
      </c>
      <c r="S261" s="109" t="s">
        <v>257</v>
      </c>
      <c r="T261" s="109" t="s">
        <v>12</v>
      </c>
      <c r="U261" s="109" t="s">
        <v>258</v>
      </c>
      <c r="V261" s="109" t="s">
        <v>12</v>
      </c>
      <c r="W261" s="109" t="s">
        <v>259</v>
      </c>
      <c r="X261" s="109" t="s">
        <v>235</v>
      </c>
      <c r="Y261" s="109" t="s">
        <v>260</v>
      </c>
      <c r="Z261" s="109" t="s">
        <v>10</v>
      </c>
      <c r="AA261" s="110" t="s">
        <v>261</v>
      </c>
      <c r="AB261" s="202" t="s">
        <v>262</v>
      </c>
    </row>
    <row r="262" spans="2:28" ht="13.2" customHeight="1" x14ac:dyDescent="0.2">
      <c r="B262" s="407" t="s">
        <v>267</v>
      </c>
      <c r="C262" s="408"/>
      <c r="D262" s="408"/>
      <c r="E262" s="408"/>
      <c r="F262" s="409"/>
      <c r="G262" s="194"/>
      <c r="I262" s="99">
        <f>I260</f>
        <v>0</v>
      </c>
      <c r="J262" s="100"/>
      <c r="K262" s="100" t="e">
        <f>K260</f>
        <v>#N/A</v>
      </c>
      <c r="L262" s="100"/>
      <c r="M262" s="100" t="e">
        <f>VLOOKUP(G259,$AD$24:$AK$29,6,FALSE)</f>
        <v>#N/A</v>
      </c>
      <c r="N262" s="100"/>
      <c r="O262" s="100">
        <f>G261</f>
        <v>0</v>
      </c>
      <c r="P262" s="100"/>
      <c r="Q262" s="120" t="e">
        <f>VLOOKUP(G259,$AD$24:$AH$29,2,FALSE)</f>
        <v>#N/A</v>
      </c>
      <c r="R262" s="100"/>
      <c r="S262" s="120" t="e">
        <f>IF(G267="None",0,VLOOKUP(G259,$AD$24:$AH$29,3,FALSE))</f>
        <v>#N/A</v>
      </c>
      <c r="T262" s="100"/>
      <c r="U262" s="120" t="e">
        <f>IF(G267="None",0,VLOOKUP(G259,$AD$24:$AH$29,4,FALSE))</f>
        <v>#N/A</v>
      </c>
      <c r="V262" s="100"/>
      <c r="W262" s="120">
        <f>IF(G269&gt;0,VLOOKUP(G259,$AD$24:$AH$29,5,FALSE),0)</f>
        <v>0</v>
      </c>
      <c r="X262" s="100"/>
      <c r="Y262" s="100">
        <v>0.05</v>
      </c>
      <c r="Z262" s="100"/>
      <c r="AA262" s="121" t="e">
        <f>(((I262+K262+M262)*O262)+Q262+S262+U262+W262)*Y262</f>
        <v>#N/A</v>
      </c>
      <c r="AB262" s="201">
        <f>IF(G267="None",2*$AL$39,$AL$39)</f>
        <v>3.3333333333333335</v>
      </c>
    </row>
    <row r="263" spans="2:28" ht="13.2" customHeight="1" x14ac:dyDescent="0.2">
      <c r="B263" s="407" t="s">
        <v>272</v>
      </c>
      <c r="C263" s="408"/>
      <c r="D263" s="408"/>
      <c r="E263" s="408"/>
      <c r="F263" s="409"/>
      <c r="G263" s="194"/>
      <c r="I263" s="92" t="s">
        <v>110</v>
      </c>
      <c r="J263" s="90" t="s">
        <v>235</v>
      </c>
      <c r="K263" s="90" t="s">
        <v>273</v>
      </c>
      <c r="L263" s="90" t="s">
        <v>12</v>
      </c>
      <c r="M263" s="90" t="s">
        <v>274</v>
      </c>
      <c r="N263" s="90" t="s">
        <v>12</v>
      </c>
      <c r="O263" s="90" t="s">
        <v>275</v>
      </c>
      <c r="P263" s="90" t="s">
        <v>12</v>
      </c>
      <c r="Q263" s="90" t="s">
        <v>276</v>
      </c>
      <c r="R263" s="90" t="s">
        <v>10</v>
      </c>
      <c r="S263" s="112" t="s">
        <v>31</v>
      </c>
      <c r="AA263" s="126"/>
      <c r="AB263" s="200" t="s">
        <v>277</v>
      </c>
    </row>
    <row r="264" spans="2:28" ht="13.2" customHeight="1" thickBot="1" x14ac:dyDescent="0.25">
      <c r="B264" s="407" t="s">
        <v>281</v>
      </c>
      <c r="C264" s="408"/>
      <c r="D264" s="408"/>
      <c r="E264" s="408"/>
      <c r="F264" s="409"/>
      <c r="G264" s="194"/>
      <c r="I264" s="99">
        <f>I260</f>
        <v>0</v>
      </c>
      <c r="J264" s="100"/>
      <c r="K264" s="100">
        <f>G263</f>
        <v>0</v>
      </c>
      <c r="L264" s="100"/>
      <c r="M264" s="127">
        <f>G269*0.05</f>
        <v>0</v>
      </c>
      <c r="N264" s="100"/>
      <c r="O264" s="128">
        <f>G268</f>
        <v>0</v>
      </c>
      <c r="P264" s="100"/>
      <c r="Q264" s="100">
        <f>G270*0.3</f>
        <v>0</v>
      </c>
      <c r="R264" s="100"/>
      <c r="S264" s="101">
        <f>(I264*K264)+M264+O264+Q264</f>
        <v>0</v>
      </c>
      <c r="AA264" s="126"/>
      <c r="AB264" s="201">
        <f>$AL$41</f>
        <v>9</v>
      </c>
    </row>
    <row r="265" spans="2:28" ht="13.2" customHeight="1" x14ac:dyDescent="0.2">
      <c r="B265" s="407" t="s">
        <v>285</v>
      </c>
      <c r="C265" s="408"/>
      <c r="D265" s="408"/>
      <c r="E265" s="408"/>
      <c r="F265" s="409"/>
      <c r="G265" s="195"/>
      <c r="I265" s="108" t="s">
        <v>286</v>
      </c>
      <c r="J265" s="109" t="s">
        <v>12</v>
      </c>
      <c r="K265" s="109" t="s">
        <v>261</v>
      </c>
      <c r="L265" s="109" t="s">
        <v>12</v>
      </c>
      <c r="M265" s="109" t="s">
        <v>287</v>
      </c>
      <c r="N265" s="109" t="s">
        <v>235</v>
      </c>
      <c r="O265" s="109" t="s">
        <v>61</v>
      </c>
      <c r="P265" s="109" t="s">
        <v>10</v>
      </c>
      <c r="Q265" s="129" t="s">
        <v>58</v>
      </c>
      <c r="R265" s="129"/>
      <c r="S265" s="129"/>
      <c r="T265" s="109"/>
      <c r="U265" s="109"/>
      <c r="V265" s="435" t="s">
        <v>50</v>
      </c>
      <c r="W265" s="436"/>
      <c r="X265" s="436"/>
      <c r="Y265" s="436" t="s">
        <v>51</v>
      </c>
      <c r="Z265" s="436"/>
      <c r="AA265" s="437"/>
      <c r="AB265" s="202" t="s">
        <v>257</v>
      </c>
    </row>
    <row r="266" spans="2:28" ht="13.2" customHeight="1" x14ac:dyDescent="0.2">
      <c r="B266" s="407" t="s">
        <v>124</v>
      </c>
      <c r="C266" s="408"/>
      <c r="D266" s="408"/>
      <c r="E266" s="408"/>
      <c r="F266" s="409"/>
      <c r="G266" s="208"/>
      <c r="I266" s="99" t="e">
        <f>Q260</f>
        <v>#N/A</v>
      </c>
      <c r="J266" s="100"/>
      <c r="K266" s="127" t="e">
        <f>AA262</f>
        <v>#N/A</v>
      </c>
      <c r="L266" s="100"/>
      <c r="M266" s="100">
        <f>S264</f>
        <v>0</v>
      </c>
      <c r="N266" s="100"/>
      <c r="O266" s="100">
        <v>1.25</v>
      </c>
      <c r="P266" s="100"/>
      <c r="Q266" s="101" t="e">
        <f>(I266+K266+M266)*O266</f>
        <v>#N/A</v>
      </c>
      <c r="R266" s="101"/>
      <c r="S266" s="101"/>
      <c r="T266" s="100"/>
      <c r="U266" s="100"/>
      <c r="V266" s="428" t="str">
        <f>IFERROR(IF(Q266&gt;MAX($AF$37:$AF$44),"EXCEEDS MAX EBP",""),"")</f>
        <v/>
      </c>
      <c r="W266" s="421"/>
      <c r="X266" s="421"/>
      <c r="Y266" s="429" t="str">
        <f>IFERROR(IF(G266="MOTOVARIO",INDEX($AE$104:$AE$157,MATCH(1,INDEX((G262&lt;=$AG$104:$AG$157)*(Q268&lt;=$AF$104:$AF$157)*(Q266&lt;=$AH$104:$AH$157),0,0),0))&amp;" DIRECT DRIVE",IF(G266="DODGE",INDEX($AE$51:$AE$97,MATCH(1,INDEX((G262&lt;=$AG$51:$AG$97)*(Q268&lt;=$AF$51:$AF$97)*(Q266&lt;=$AH$51:$AH$97),0,0),0))&amp;" DIRECT DRIVE",INDEX($AD$37:$AD$44,MATCH(1,INDEX((Q266&lt;=$AF$37:$AF$44)*(Q268&lt;=$AE$37:$AE$44),0,0),0)))),"")</f>
        <v/>
      </c>
      <c r="Z266" s="429"/>
      <c r="AA266" s="430"/>
      <c r="AB266" s="201" t="e">
        <f>IF(G267="none",0,VLOOKUP(G259,$AN$38:$AP$43,3,FALSE))</f>
        <v>#N/A</v>
      </c>
    </row>
    <row r="267" spans="2:28" ht="13.2" customHeight="1" x14ac:dyDescent="0.2">
      <c r="B267" s="407" t="s">
        <v>296</v>
      </c>
      <c r="C267" s="408"/>
      <c r="D267" s="408"/>
      <c r="E267" s="408"/>
      <c r="F267" s="409"/>
      <c r="G267" s="196"/>
      <c r="I267" s="108" t="s">
        <v>297</v>
      </c>
      <c r="J267" s="109" t="s">
        <v>235</v>
      </c>
      <c r="K267" s="109" t="s">
        <v>298</v>
      </c>
      <c r="L267" s="109" t="s">
        <v>75</v>
      </c>
      <c r="M267" s="109" t="s">
        <v>299</v>
      </c>
      <c r="N267" s="109" t="s">
        <v>235</v>
      </c>
      <c r="O267" s="109" t="s">
        <v>300</v>
      </c>
      <c r="P267" s="109" t="s">
        <v>10</v>
      </c>
      <c r="Q267" s="129" t="s">
        <v>108</v>
      </c>
      <c r="R267" s="129"/>
      <c r="S267" s="129"/>
      <c r="T267" s="109"/>
      <c r="U267" s="109"/>
      <c r="V267" s="428" t="str">
        <f>IFERROR(IF(Q268&gt;MAX($AE$37:$AE$44),"EXCEEDS MAX HP",""),"")</f>
        <v/>
      </c>
      <c r="W267" s="421"/>
      <c r="X267" s="421"/>
      <c r="Y267" s="429" t="str">
        <f>IFERROR(IF(G266="Motovario",INDEX($AF$104:$AF$157,MATCH(1,INDEX((G262&lt;=$AG$104:$AG$157)*(Q268&lt;=$AF$104:$AF$157)*(Q266&lt;=$AH$104:$AH$157),0,0),0)),IF(G266="Dodge",INDEX($AF$51:$AF$97,MATCH(1,INDEX((G262&lt;=$AG$51:$AG$97)*(Q268&lt;=$AF$51:$AF$97)*(Q266&lt;=$AH$51:$AH$97),0,0),0)),INDEX($AE$37:$AE$44,MATCH(1,INDEX((Q266&lt;=$AF$37:$AF$44)*(Q268&lt;=$AE$37:$AE$44),0,0),0))))&amp;" HP","")</f>
        <v/>
      </c>
      <c r="Z267" s="429"/>
      <c r="AA267" s="430"/>
      <c r="AB267" s="200" t="s">
        <v>258</v>
      </c>
    </row>
    <row r="268" spans="2:28" ht="13.2" customHeight="1" thickBot="1" x14ac:dyDescent="0.25">
      <c r="B268" s="410" t="s">
        <v>305</v>
      </c>
      <c r="C268" s="411"/>
      <c r="D268" s="411"/>
      <c r="E268" s="411"/>
      <c r="F268" s="412"/>
      <c r="G268" s="197"/>
      <c r="I268" s="136" t="e">
        <f>Q266</f>
        <v>#N/A</v>
      </c>
      <c r="K268" s="90">
        <f>G262</f>
        <v>0</v>
      </c>
      <c r="M268" s="90">
        <v>33000</v>
      </c>
      <c r="O268" s="90">
        <f>IF(G266="N",IF(G262&lt;100,0.8,IF(G262&lt;200,0.85,0.9)),0.95)</f>
        <v>0.95</v>
      </c>
      <c r="Q268" s="137" t="e">
        <f>(I268*K268)/(M268*O268)</f>
        <v>#N/A</v>
      </c>
      <c r="R268" s="137"/>
      <c r="S268" s="137"/>
      <c r="V268" s="428" t="str">
        <f>IF(Y268="","",IF(Y268&gt;VLOOKUP(G259,$AD$24:$AK$29,8),"EXCEEDS MAX QTY",""))</f>
        <v/>
      </c>
      <c r="W268" s="421"/>
      <c r="X268" s="421"/>
      <c r="Y268" s="215" t="str">
        <f>IFERROR(ROUNDUP(Q266/100,0),"")</f>
        <v/>
      </c>
      <c r="Z268" s="426" t="str">
        <f>IF(Y268="","","LONG SPRINGS")</f>
        <v/>
      </c>
      <c r="AA268" s="427"/>
      <c r="AB268" s="201" t="e">
        <f>IF(U262=0,0,$AL$40)</f>
        <v>#N/A</v>
      </c>
    </row>
    <row r="269" spans="2:28" ht="13.2" customHeight="1" x14ac:dyDescent="0.2">
      <c r="B269" s="410" t="s">
        <v>309</v>
      </c>
      <c r="C269" s="411"/>
      <c r="D269" s="411"/>
      <c r="E269" s="411"/>
      <c r="F269" s="412"/>
      <c r="G269" s="198"/>
      <c r="I269" s="423" t="s">
        <v>133</v>
      </c>
      <c r="J269" s="424"/>
      <c r="K269" s="424"/>
      <c r="L269" s="424"/>
      <c r="M269" s="424"/>
      <c r="N269" s="424"/>
      <c r="O269" s="424"/>
      <c r="P269" s="424"/>
      <c r="Q269" s="424"/>
      <c r="R269" s="424"/>
      <c r="S269" s="424"/>
      <c r="T269" s="424"/>
      <c r="U269" s="425"/>
      <c r="V269" s="420" t="str">
        <f>IF(Y269="","",IF(Y269&gt;VLOOKUP(G259,$AD$24:$AK$29,8),"EXCEEDS MAX QTY",""))</f>
        <v/>
      </c>
      <c r="W269" s="421"/>
      <c r="X269" s="421"/>
      <c r="Y269" s="215" t="str">
        <f>IFERROR(ROUNDUP(Q266/80,0),"")</f>
        <v/>
      </c>
      <c r="Z269" s="426" t="str">
        <f>IF(Y269="","","SHORT SPRINGS")</f>
        <v/>
      </c>
      <c r="AA269" s="427"/>
      <c r="AB269" s="203" t="s">
        <v>310</v>
      </c>
    </row>
    <row r="270" spans="2:28" ht="13.2" customHeight="1" thickBot="1" x14ac:dyDescent="0.25">
      <c r="B270" s="414" t="s">
        <v>315</v>
      </c>
      <c r="C270" s="415"/>
      <c r="D270" s="415"/>
      <c r="E270" s="415"/>
      <c r="F270" s="416"/>
      <c r="G270" s="199"/>
      <c r="I270" s="108"/>
      <c r="J270" s="417" t="s">
        <v>134</v>
      </c>
      <c r="K270" s="417"/>
      <c r="L270" s="418" t="str">
        <f>IFERROR(Q266*L271/2,"")</f>
        <v/>
      </c>
      <c r="M270" s="418"/>
      <c r="N270" s="109"/>
      <c r="O270" s="417" t="s">
        <v>135</v>
      </c>
      <c r="P270" s="417"/>
      <c r="Q270" s="419" t="str">
        <f>IFERROR(IF(G266="Motovario",INDEX($AI$104:$AI$157,MATCH(1,INDEX((G262&lt;=$AG$104:$AG$157)*(Q268&lt;=$AF$104:$AF$157)*(Q266&lt;=$AH$104:$AH$157),0,0),0)),IF(G266="Dodge",INDEX($AI$51:$AI$97,MATCH(1,INDEX((G262&lt;=$AG$51:$AG$97)*(Q268&lt;=$AF$51:$AF$97)*(Q266&lt;=$AH$51:$AH$97),0,0),0)),"")),"")</f>
        <v/>
      </c>
      <c r="R270" s="419"/>
      <c r="S270" s="419"/>
      <c r="T270" s="419"/>
      <c r="U270" s="139"/>
      <c r="V270" s="420" t="str">
        <f>IF(AA259&lt;0,"",IF(G261&gt;AA259,"EXCEEDS MAX LR",""))</f>
        <v/>
      </c>
      <c r="W270" s="421"/>
      <c r="X270" s="421"/>
      <c r="Y270" s="345"/>
      <c r="Z270" s="345"/>
      <c r="AA270" s="346"/>
      <c r="AB270" s="204">
        <f>IF(G269&gt;0,$AL$42,0)</f>
        <v>0</v>
      </c>
    </row>
    <row r="271" spans="2:28" ht="13.2" customHeight="1" thickBot="1" x14ac:dyDescent="0.25">
      <c r="B271" s="388" t="s">
        <v>78</v>
      </c>
      <c r="C271" s="389"/>
      <c r="D271" s="390"/>
      <c r="E271" s="391"/>
      <c r="F271" s="391"/>
      <c r="G271" s="392"/>
      <c r="H271" s="391"/>
      <c r="I271" s="93"/>
      <c r="J271" s="393" t="s">
        <v>136</v>
      </c>
      <c r="K271" s="393"/>
      <c r="L271" s="394" t="str">
        <f>IFERROR(VALUE(LEFT(Y266,SEARCH("CD",Y266)-1))+0.5,"")</f>
        <v/>
      </c>
      <c r="M271" s="394"/>
      <c r="N271" s="94"/>
      <c r="O271" s="395" t="s">
        <v>137</v>
      </c>
      <c r="P271" s="395"/>
      <c r="Q271" s="396" t="str">
        <f>IFERROR(Q270/L270,"")</f>
        <v/>
      </c>
      <c r="R271" s="396"/>
      <c r="S271" s="396"/>
      <c r="T271" s="396"/>
      <c r="U271" s="140"/>
      <c r="V271" s="397" t="str">
        <f>IF(G260&gt;150,"VERY LONG","")</f>
        <v/>
      </c>
      <c r="W271" s="398"/>
      <c r="X271" s="398"/>
      <c r="Y271" s="348" t="str">
        <f>IF(G266="MOTOVARIO","DD NOM SPEED: "&amp;INDEX($AG$104:$AG$157,MATCH(1,INDEX((G262&lt;=$AG$104:$AG$157)*(Q268&lt;=$AF$104:$AF$157)*(Q266&lt;=$AH$104:$AH$157),0,0),0)),IF(G266="DODGE)","DD NOM SPEED: "&amp;INDEX($AG$51:$AG$97,MATCH(1,INDEX((G262&lt;=$AG$51:$AG$97)*(Q268&lt;=$AF$51:$AF$97)*(Q266&lt;=$AH$51:$AH$97),0,0),0)),""))</f>
        <v/>
      </c>
      <c r="Z271" s="348"/>
      <c r="AA271" s="349"/>
    </row>
    <row r="272" spans="2:28" ht="13.2" customHeight="1" thickBot="1" x14ac:dyDescent="0.25"/>
    <row r="273" spans="2:28" ht="13.2" customHeight="1" thickBot="1" x14ac:dyDescent="0.25">
      <c r="B273" s="95"/>
      <c r="C273" s="91" t="s">
        <v>5</v>
      </c>
      <c r="D273" s="403" t="s">
        <v>232</v>
      </c>
      <c r="E273" s="403"/>
      <c r="F273" s="404"/>
      <c r="G273" s="193"/>
      <c r="H273" s="96"/>
      <c r="I273" s="216" t="s">
        <v>233</v>
      </c>
      <c r="J273" s="91" t="s">
        <v>12</v>
      </c>
      <c r="K273" s="91" t="s">
        <v>234</v>
      </c>
      <c r="L273" s="91" t="s">
        <v>235</v>
      </c>
      <c r="M273" s="91" t="s">
        <v>236</v>
      </c>
      <c r="N273" s="91" t="s">
        <v>235</v>
      </c>
      <c r="O273" s="91" t="s">
        <v>237</v>
      </c>
      <c r="P273" s="91" t="s">
        <v>10</v>
      </c>
      <c r="Q273" s="97" t="s">
        <v>238</v>
      </c>
      <c r="R273" s="97"/>
      <c r="S273" s="97"/>
      <c r="T273" s="91"/>
      <c r="U273" s="91"/>
      <c r="V273" s="91"/>
      <c r="W273" s="91"/>
      <c r="X273" s="91"/>
      <c r="Y273" s="226" t="str">
        <f>IF(G275&gt;0,"Suggested Max LR","")</f>
        <v/>
      </c>
      <c r="Z273" s="227" t="str">
        <f>IF(G275&gt;0,"=","")</f>
        <v/>
      </c>
      <c r="AA273" s="228" t="str">
        <f>IF(G275&gt;0,G274-(AB276+AB278+AB280+AB282+AB284),"")</f>
        <v/>
      </c>
      <c r="AB273" s="90" t="s">
        <v>239</v>
      </c>
    </row>
    <row r="274" spans="2:28" ht="13.2" customHeight="1" x14ac:dyDescent="0.2">
      <c r="B274" s="98"/>
      <c r="C274" s="405"/>
      <c r="D274" s="407" t="s">
        <v>242</v>
      </c>
      <c r="E274" s="408"/>
      <c r="F274" s="409"/>
      <c r="G274" s="194"/>
      <c r="I274" s="99">
        <f>IF(G281="1:1.3 Up",0.8*G278,G278)</f>
        <v>0</v>
      </c>
      <c r="J274" s="100"/>
      <c r="K274" s="100" t="e">
        <f>INDEX($AD$8:$AU$19,MATCH(G279,$AD$8:$AD$19,0),MATCH(G273,$AD$8:$AU$8,0))</f>
        <v>#N/A</v>
      </c>
      <c r="L274" s="100"/>
      <c r="M274" s="100">
        <f>G274-G275</f>
        <v>0</v>
      </c>
      <c r="N274" s="100"/>
      <c r="O274" s="100" t="e">
        <f>VLOOKUP(G279,$AD$9:$AU$19,12,FALSE)</f>
        <v>#N/A</v>
      </c>
      <c r="P274" s="100"/>
      <c r="Q274" s="101" t="e">
        <f>((I274+K274)*M274)*O274</f>
        <v>#N/A</v>
      </c>
      <c r="R274" s="101"/>
      <c r="S274" s="101"/>
      <c r="T274" s="100"/>
      <c r="U274" s="100"/>
      <c r="V274" s="100"/>
      <c r="W274" s="100"/>
      <c r="X274" s="100"/>
      <c r="Y274" s="100"/>
      <c r="Z274" s="100"/>
      <c r="AA274" s="102"/>
    </row>
    <row r="275" spans="2:28" ht="13.2" customHeight="1" thickBot="1" x14ac:dyDescent="0.25">
      <c r="B275" s="98"/>
      <c r="C275" s="406"/>
      <c r="D275" s="410" t="s">
        <v>251</v>
      </c>
      <c r="E275" s="411"/>
      <c r="F275" s="412"/>
      <c r="G275" s="194"/>
      <c r="I275" s="108" t="s">
        <v>252</v>
      </c>
      <c r="J275" s="109" t="s">
        <v>12</v>
      </c>
      <c r="K275" s="109" t="s">
        <v>253</v>
      </c>
      <c r="L275" s="109" t="s">
        <v>12</v>
      </c>
      <c r="M275" s="109" t="s">
        <v>254</v>
      </c>
      <c r="N275" s="109" t="s">
        <v>235</v>
      </c>
      <c r="O275" s="109" t="s">
        <v>255</v>
      </c>
      <c r="P275" s="109" t="s">
        <v>12</v>
      </c>
      <c r="Q275" s="109" t="s">
        <v>256</v>
      </c>
      <c r="R275" s="109" t="s">
        <v>12</v>
      </c>
      <c r="S275" s="109" t="s">
        <v>257</v>
      </c>
      <c r="T275" s="109" t="s">
        <v>12</v>
      </c>
      <c r="U275" s="109" t="s">
        <v>258</v>
      </c>
      <c r="V275" s="109" t="s">
        <v>12</v>
      </c>
      <c r="W275" s="109" t="s">
        <v>259</v>
      </c>
      <c r="X275" s="109" t="s">
        <v>235</v>
      </c>
      <c r="Y275" s="109" t="s">
        <v>260</v>
      </c>
      <c r="Z275" s="109" t="s">
        <v>10</v>
      </c>
      <c r="AA275" s="110" t="s">
        <v>261</v>
      </c>
      <c r="AB275" s="202" t="s">
        <v>262</v>
      </c>
    </row>
    <row r="276" spans="2:28" ht="13.2" customHeight="1" x14ac:dyDescent="0.2">
      <c r="B276" s="407" t="s">
        <v>267</v>
      </c>
      <c r="C276" s="408"/>
      <c r="D276" s="408"/>
      <c r="E276" s="408"/>
      <c r="F276" s="409"/>
      <c r="G276" s="194"/>
      <c r="I276" s="99">
        <f>I274</f>
        <v>0</v>
      </c>
      <c r="J276" s="100"/>
      <c r="K276" s="100" t="e">
        <f>K274</f>
        <v>#N/A</v>
      </c>
      <c r="L276" s="100"/>
      <c r="M276" s="100" t="e">
        <f>VLOOKUP(G273,$AD$24:$AK$29,6,FALSE)</f>
        <v>#N/A</v>
      </c>
      <c r="N276" s="100"/>
      <c r="O276" s="100">
        <f>G275</f>
        <v>0</v>
      </c>
      <c r="P276" s="100"/>
      <c r="Q276" s="120" t="e">
        <f>VLOOKUP(G273,$AD$24:$AH$29,2,FALSE)</f>
        <v>#N/A</v>
      </c>
      <c r="R276" s="100"/>
      <c r="S276" s="120" t="e">
        <f>IF(G281="None",0,VLOOKUP(G273,$AD$24:$AH$29,3,FALSE))</f>
        <v>#N/A</v>
      </c>
      <c r="T276" s="100"/>
      <c r="U276" s="120" t="e">
        <f>IF(G281="None",0,VLOOKUP(G273,$AD$24:$AH$29,4,FALSE))</f>
        <v>#N/A</v>
      </c>
      <c r="V276" s="100"/>
      <c r="W276" s="120">
        <f>IF(G283&gt;0,VLOOKUP(G273,$AD$24:$AH$29,5,FALSE),0)</f>
        <v>0</v>
      </c>
      <c r="X276" s="100"/>
      <c r="Y276" s="100">
        <v>0.05</v>
      </c>
      <c r="Z276" s="100"/>
      <c r="AA276" s="121" t="e">
        <f>(((I276+K276+M276)*O276)+Q276+S276+U276+W276)*Y276</f>
        <v>#N/A</v>
      </c>
      <c r="AB276" s="201">
        <f>IF(G281="None",2*$AL$39,$AL$39)</f>
        <v>3.3333333333333335</v>
      </c>
    </row>
    <row r="277" spans="2:28" ht="13.2" customHeight="1" x14ac:dyDescent="0.2">
      <c r="B277" s="407" t="s">
        <v>272</v>
      </c>
      <c r="C277" s="408"/>
      <c r="D277" s="408"/>
      <c r="E277" s="408"/>
      <c r="F277" s="409"/>
      <c r="G277" s="194"/>
      <c r="I277" s="92" t="s">
        <v>110</v>
      </c>
      <c r="J277" s="90" t="s">
        <v>235</v>
      </c>
      <c r="K277" s="90" t="s">
        <v>273</v>
      </c>
      <c r="L277" s="90" t="s">
        <v>12</v>
      </c>
      <c r="M277" s="90" t="s">
        <v>274</v>
      </c>
      <c r="N277" s="90" t="s">
        <v>12</v>
      </c>
      <c r="O277" s="90" t="s">
        <v>275</v>
      </c>
      <c r="P277" s="90" t="s">
        <v>12</v>
      </c>
      <c r="Q277" s="90" t="s">
        <v>276</v>
      </c>
      <c r="R277" s="90" t="s">
        <v>10</v>
      </c>
      <c r="S277" s="112" t="s">
        <v>31</v>
      </c>
      <c r="AA277" s="126"/>
      <c r="AB277" s="200" t="s">
        <v>277</v>
      </c>
    </row>
    <row r="278" spans="2:28" ht="13.2" customHeight="1" thickBot="1" x14ac:dyDescent="0.25">
      <c r="B278" s="407" t="s">
        <v>281</v>
      </c>
      <c r="C278" s="408"/>
      <c r="D278" s="408"/>
      <c r="E278" s="408"/>
      <c r="F278" s="409"/>
      <c r="G278" s="194"/>
      <c r="I278" s="99">
        <f>I274</f>
        <v>0</v>
      </c>
      <c r="J278" s="100"/>
      <c r="K278" s="100">
        <f>G277</f>
        <v>0</v>
      </c>
      <c r="L278" s="100"/>
      <c r="M278" s="127">
        <f>G283*0.05</f>
        <v>0</v>
      </c>
      <c r="N278" s="100"/>
      <c r="O278" s="128">
        <f>G282</f>
        <v>0</v>
      </c>
      <c r="P278" s="100"/>
      <c r="Q278" s="100">
        <f>G284*0.3</f>
        <v>0</v>
      </c>
      <c r="R278" s="100"/>
      <c r="S278" s="101">
        <f>(I278*K278)+M278+O278+Q278</f>
        <v>0</v>
      </c>
      <c r="AA278" s="126"/>
      <c r="AB278" s="201">
        <f>$AL$41</f>
        <v>9</v>
      </c>
    </row>
    <row r="279" spans="2:28" ht="13.2" customHeight="1" x14ac:dyDescent="0.2">
      <c r="B279" s="407" t="s">
        <v>285</v>
      </c>
      <c r="C279" s="408"/>
      <c r="D279" s="408"/>
      <c r="E279" s="408"/>
      <c r="F279" s="409"/>
      <c r="G279" s="195"/>
      <c r="I279" s="108" t="s">
        <v>286</v>
      </c>
      <c r="J279" s="109" t="s">
        <v>12</v>
      </c>
      <c r="K279" s="109" t="s">
        <v>261</v>
      </c>
      <c r="L279" s="109" t="s">
        <v>12</v>
      </c>
      <c r="M279" s="109" t="s">
        <v>287</v>
      </c>
      <c r="N279" s="109" t="s">
        <v>235</v>
      </c>
      <c r="O279" s="109" t="s">
        <v>61</v>
      </c>
      <c r="P279" s="109" t="s">
        <v>10</v>
      </c>
      <c r="Q279" s="129" t="s">
        <v>58</v>
      </c>
      <c r="R279" s="129"/>
      <c r="S279" s="129"/>
      <c r="T279" s="109"/>
      <c r="U279" s="109"/>
      <c r="V279" s="435" t="s">
        <v>50</v>
      </c>
      <c r="W279" s="436"/>
      <c r="X279" s="436"/>
      <c r="Y279" s="436" t="s">
        <v>51</v>
      </c>
      <c r="Z279" s="436"/>
      <c r="AA279" s="437"/>
      <c r="AB279" s="202" t="s">
        <v>257</v>
      </c>
    </row>
    <row r="280" spans="2:28" ht="13.2" customHeight="1" x14ac:dyDescent="0.2">
      <c r="B280" s="407" t="s">
        <v>124</v>
      </c>
      <c r="C280" s="408"/>
      <c r="D280" s="408"/>
      <c r="E280" s="408"/>
      <c r="F280" s="409"/>
      <c r="G280" s="208"/>
      <c r="I280" s="99" t="e">
        <f>Q274</f>
        <v>#N/A</v>
      </c>
      <c r="J280" s="100"/>
      <c r="K280" s="127" t="e">
        <f>AA276</f>
        <v>#N/A</v>
      </c>
      <c r="L280" s="100"/>
      <c r="M280" s="100">
        <f>S278</f>
        <v>0</v>
      </c>
      <c r="N280" s="100"/>
      <c r="O280" s="100">
        <v>1.25</v>
      </c>
      <c r="P280" s="100"/>
      <c r="Q280" s="101" t="e">
        <f>(I280+K280+M280)*O280</f>
        <v>#N/A</v>
      </c>
      <c r="R280" s="101"/>
      <c r="S280" s="101"/>
      <c r="T280" s="100"/>
      <c r="U280" s="100"/>
      <c r="V280" s="428" t="str">
        <f>IFERROR(IF(Q280&gt;MAX($AF$37:$AF$44),"EXCEEDS MAX EBP",""),"")</f>
        <v/>
      </c>
      <c r="W280" s="421"/>
      <c r="X280" s="421"/>
      <c r="Y280" s="429" t="str">
        <f>IFERROR(IF(G280="MOTOVARIO",INDEX($AE$104:$AE$157,MATCH(1,INDEX((G276&lt;=$AG$104:$AG$157)*(Q282&lt;=$AF$104:$AF$157)*(Q280&lt;=$AH$104:$AH$157),0,0),0))&amp;" DIRECT DRIVE",IF(G280="DODGE",INDEX($AE$51:$AE$97,MATCH(1,INDEX((G276&lt;=$AG$51:$AG$97)*(Q282&lt;=$AF$51:$AF$97)*(Q280&lt;=$AH$51:$AH$97),0,0),0))&amp;" DIRECT DRIVE",INDEX($AD$37:$AD$44,MATCH(1,INDEX((Q280&lt;=$AF$37:$AF$44)*(Q282&lt;=$AE$37:$AE$44),0,0),0)))),"")</f>
        <v/>
      </c>
      <c r="Z280" s="429"/>
      <c r="AA280" s="430"/>
      <c r="AB280" s="201" t="e">
        <f>IF(G281="none",0,VLOOKUP(G273,$AN$38:$AP$43,3,FALSE))</f>
        <v>#N/A</v>
      </c>
    </row>
    <row r="281" spans="2:28" ht="13.2" customHeight="1" x14ac:dyDescent="0.2">
      <c r="B281" s="407" t="s">
        <v>296</v>
      </c>
      <c r="C281" s="408"/>
      <c r="D281" s="408"/>
      <c r="E281" s="408"/>
      <c r="F281" s="409"/>
      <c r="G281" s="196"/>
      <c r="I281" s="108" t="s">
        <v>297</v>
      </c>
      <c r="J281" s="109" t="s">
        <v>235</v>
      </c>
      <c r="K281" s="109" t="s">
        <v>298</v>
      </c>
      <c r="L281" s="109" t="s">
        <v>75</v>
      </c>
      <c r="M281" s="109" t="s">
        <v>299</v>
      </c>
      <c r="N281" s="109" t="s">
        <v>235</v>
      </c>
      <c r="O281" s="109" t="s">
        <v>300</v>
      </c>
      <c r="P281" s="109" t="s">
        <v>10</v>
      </c>
      <c r="Q281" s="129" t="s">
        <v>108</v>
      </c>
      <c r="R281" s="129"/>
      <c r="S281" s="129"/>
      <c r="T281" s="109"/>
      <c r="U281" s="109"/>
      <c r="V281" s="428" t="str">
        <f>IFERROR(IF(Q282&gt;MAX($AE$37:$AE$44),"EXCEEDS MAX HP",""),"")</f>
        <v/>
      </c>
      <c r="W281" s="421"/>
      <c r="X281" s="421"/>
      <c r="Y281" s="429" t="str">
        <f>IFERROR(IF(G280="Motovario",INDEX($AF$104:$AF$157,MATCH(1,INDEX((G276&lt;=$AG$104:$AG$157)*(Q282&lt;=$AF$104:$AF$157)*(Q280&lt;=$AH$104:$AH$157),0,0),0)),IF(G280="Dodge",INDEX($AF$51:$AF$97,MATCH(1,INDEX((G276&lt;=$AG$51:$AG$97)*(Q282&lt;=$AF$51:$AF$97)*(Q280&lt;=$AH$51:$AH$97),0,0),0)),INDEX($AE$37:$AE$44,MATCH(1,INDEX((Q280&lt;=$AF$37:$AF$44)*(Q282&lt;=$AE$37:$AE$44),0,0),0))))&amp;" HP","")</f>
        <v/>
      </c>
      <c r="Z281" s="429"/>
      <c r="AA281" s="430"/>
      <c r="AB281" s="200" t="s">
        <v>258</v>
      </c>
    </row>
    <row r="282" spans="2:28" ht="13.2" customHeight="1" thickBot="1" x14ac:dyDescent="0.25">
      <c r="B282" s="410" t="s">
        <v>305</v>
      </c>
      <c r="C282" s="411"/>
      <c r="D282" s="411"/>
      <c r="E282" s="411"/>
      <c r="F282" s="412"/>
      <c r="G282" s="197"/>
      <c r="I282" s="136" t="e">
        <f>Q280</f>
        <v>#N/A</v>
      </c>
      <c r="K282" s="90">
        <f>G276</f>
        <v>0</v>
      </c>
      <c r="M282" s="90">
        <v>33000</v>
      </c>
      <c r="O282" s="90">
        <f>IF(G280="N",IF(G276&lt;100,0.8,IF(G276&lt;200,0.85,0.9)),0.95)</f>
        <v>0.95</v>
      </c>
      <c r="Q282" s="137" t="e">
        <f>(I282*K282)/(M282*O282)</f>
        <v>#N/A</v>
      </c>
      <c r="R282" s="137"/>
      <c r="S282" s="137"/>
      <c r="V282" s="428" t="str">
        <f>IF(Y282="","",IF(Y282&gt;VLOOKUP(G273,$AD$24:$AK$29,8),"EXCEEDS MAX QTY",""))</f>
        <v/>
      </c>
      <c r="W282" s="421"/>
      <c r="X282" s="421"/>
      <c r="Y282" s="215" t="str">
        <f>IFERROR(ROUNDUP(Q280/100,0),"")</f>
        <v/>
      </c>
      <c r="Z282" s="426" t="str">
        <f>IF(Y282="","","LONG SPRINGS")</f>
        <v/>
      </c>
      <c r="AA282" s="427"/>
      <c r="AB282" s="201" t="e">
        <f>IF(U276=0,0,$AL$40)</f>
        <v>#N/A</v>
      </c>
    </row>
    <row r="283" spans="2:28" ht="13.2" customHeight="1" x14ac:dyDescent="0.2">
      <c r="B283" s="410" t="s">
        <v>309</v>
      </c>
      <c r="C283" s="411"/>
      <c r="D283" s="411"/>
      <c r="E283" s="411"/>
      <c r="F283" s="412"/>
      <c r="G283" s="198"/>
      <c r="I283" s="423" t="s">
        <v>133</v>
      </c>
      <c r="J283" s="424"/>
      <c r="K283" s="424"/>
      <c r="L283" s="424"/>
      <c r="M283" s="424"/>
      <c r="N283" s="424"/>
      <c r="O283" s="424"/>
      <c r="P283" s="424"/>
      <c r="Q283" s="424"/>
      <c r="R283" s="424"/>
      <c r="S283" s="424"/>
      <c r="T283" s="424"/>
      <c r="U283" s="425"/>
      <c r="V283" s="420" t="str">
        <f>IF(Y283="","",IF(Y283&gt;VLOOKUP(G273,$AD$24:$AK$29,8),"EXCEEDS MAX QTY",""))</f>
        <v/>
      </c>
      <c r="W283" s="421"/>
      <c r="X283" s="421"/>
      <c r="Y283" s="215" t="str">
        <f>IFERROR(ROUNDUP(Q280/80,0),"")</f>
        <v/>
      </c>
      <c r="Z283" s="426" t="str">
        <f>IF(Y283="","","SHORT SPRINGS")</f>
        <v/>
      </c>
      <c r="AA283" s="427"/>
      <c r="AB283" s="203" t="s">
        <v>310</v>
      </c>
    </row>
    <row r="284" spans="2:28" ht="13.2" customHeight="1" thickBot="1" x14ac:dyDescent="0.25">
      <c r="B284" s="414" t="s">
        <v>315</v>
      </c>
      <c r="C284" s="415"/>
      <c r="D284" s="415"/>
      <c r="E284" s="415"/>
      <c r="F284" s="416"/>
      <c r="G284" s="199"/>
      <c r="I284" s="108"/>
      <c r="J284" s="417" t="s">
        <v>134</v>
      </c>
      <c r="K284" s="417"/>
      <c r="L284" s="418" t="str">
        <f>IFERROR(Q280*L285/2,"")</f>
        <v/>
      </c>
      <c r="M284" s="418"/>
      <c r="N284" s="109"/>
      <c r="O284" s="417" t="s">
        <v>135</v>
      </c>
      <c r="P284" s="417"/>
      <c r="Q284" s="419" t="str">
        <f>IFERROR(IF(G280="Motovario",INDEX($AI$104:$AI$157,MATCH(1,INDEX((G276&lt;=$AG$104:$AG$157)*(Q282&lt;=$AF$104:$AF$157)*(Q280&lt;=$AH$104:$AH$157),0,0),0)),IF(G280="Dodge",INDEX($AI$51:$AI$97,MATCH(1,INDEX((G276&lt;=$AG$51:$AG$97)*(Q282&lt;=$AF$51:$AF$97)*(Q280&lt;=$AH$51:$AH$97),0,0),0)),"")),"")</f>
        <v/>
      </c>
      <c r="R284" s="419"/>
      <c r="S284" s="419"/>
      <c r="T284" s="419"/>
      <c r="U284" s="139"/>
      <c r="V284" s="420" t="str">
        <f>IF(AA273&lt;0,"",IF(G275&gt;AA273,"EXCEEDS MAX LR",""))</f>
        <v/>
      </c>
      <c r="W284" s="421"/>
      <c r="X284" s="421"/>
      <c r="Y284" s="345"/>
      <c r="Z284" s="345"/>
      <c r="AA284" s="346"/>
      <c r="AB284" s="204">
        <f>IF(G283&gt;0,$AL$42,0)</f>
        <v>0</v>
      </c>
    </row>
    <row r="285" spans="2:28" ht="13.2" customHeight="1" thickBot="1" x14ac:dyDescent="0.25">
      <c r="B285" s="388" t="s">
        <v>78</v>
      </c>
      <c r="C285" s="389"/>
      <c r="D285" s="390"/>
      <c r="E285" s="391"/>
      <c r="F285" s="391"/>
      <c r="G285" s="392"/>
      <c r="H285" s="391"/>
      <c r="I285" s="93"/>
      <c r="J285" s="393" t="s">
        <v>136</v>
      </c>
      <c r="K285" s="393"/>
      <c r="L285" s="394" t="str">
        <f>IFERROR(VALUE(LEFT(Y280,SEARCH("CD",Y280)-1))+0.5,"")</f>
        <v/>
      </c>
      <c r="M285" s="394"/>
      <c r="N285" s="94"/>
      <c r="O285" s="395" t="s">
        <v>137</v>
      </c>
      <c r="P285" s="395"/>
      <c r="Q285" s="396" t="str">
        <f>IFERROR(Q284/L284,"")</f>
        <v/>
      </c>
      <c r="R285" s="396"/>
      <c r="S285" s="396"/>
      <c r="T285" s="396"/>
      <c r="U285" s="140"/>
      <c r="V285" s="397" t="str">
        <f>IF(G274&gt;150,"VERY LONG","")</f>
        <v/>
      </c>
      <c r="W285" s="398"/>
      <c r="X285" s="398"/>
      <c r="Y285" s="348" t="str">
        <f>IF(G280="MOTOVARIO","DD NOM SPEED: "&amp;INDEX($AG$104:$AG$157,MATCH(1,INDEX((G276&lt;=$AG$104:$AG$157)*(Q282&lt;=$AF$104:$AF$157)*(Q280&lt;=$AH$104:$AH$157),0,0),0)),IF(G280="DODGE)","DD NOM SPEED: "&amp;INDEX($AG$51:$AG$97,MATCH(1,INDEX((G276&lt;=$AG$51:$AG$97)*(Q282&lt;=$AF$51:$AF$97)*(Q280&lt;=$AH$51:$AH$97),0,0),0)),""))</f>
        <v/>
      </c>
      <c r="Z285" s="348"/>
      <c r="AA285" s="349"/>
    </row>
  </sheetData>
  <mergeCells count="926">
    <mergeCell ref="B285:C285"/>
    <mergeCell ref="D285:H285"/>
    <mergeCell ref="J285:K285"/>
    <mergeCell ref="L285:M285"/>
    <mergeCell ref="O285:P285"/>
    <mergeCell ref="Q285:T285"/>
    <mergeCell ref="V285:X285"/>
    <mergeCell ref="Y285:AA285"/>
    <mergeCell ref="B283:F283"/>
    <mergeCell ref="I283:U283"/>
    <mergeCell ref="V283:X283"/>
    <mergeCell ref="Z283:AA283"/>
    <mergeCell ref="B284:F284"/>
    <mergeCell ref="J284:K284"/>
    <mergeCell ref="L284:M284"/>
    <mergeCell ref="O284:P284"/>
    <mergeCell ref="Q284:T284"/>
    <mergeCell ref="V284:X284"/>
    <mergeCell ref="Y284:AA284"/>
    <mergeCell ref="B280:F280"/>
    <mergeCell ref="V280:X280"/>
    <mergeCell ref="Y280:AA280"/>
    <mergeCell ref="B281:F281"/>
    <mergeCell ref="V281:X281"/>
    <mergeCell ref="Y281:AA281"/>
    <mergeCell ref="B282:F282"/>
    <mergeCell ref="V282:X282"/>
    <mergeCell ref="Z282:AA282"/>
    <mergeCell ref="C274:C275"/>
    <mergeCell ref="D274:F274"/>
    <mergeCell ref="D275:F275"/>
    <mergeCell ref="B276:F276"/>
    <mergeCell ref="B277:F277"/>
    <mergeCell ref="B278:F278"/>
    <mergeCell ref="B279:F279"/>
    <mergeCell ref="V279:X279"/>
    <mergeCell ref="Y279:AA279"/>
    <mergeCell ref="B271:C271"/>
    <mergeCell ref="D271:H271"/>
    <mergeCell ref="J271:K271"/>
    <mergeCell ref="L271:M271"/>
    <mergeCell ref="O271:P271"/>
    <mergeCell ref="Q271:T271"/>
    <mergeCell ref="V271:X271"/>
    <mergeCell ref="Y271:AA271"/>
    <mergeCell ref="D273:F273"/>
    <mergeCell ref="B269:F269"/>
    <mergeCell ref="I269:U269"/>
    <mergeCell ref="V269:X269"/>
    <mergeCell ref="Z269:AA269"/>
    <mergeCell ref="B270:F270"/>
    <mergeCell ref="J270:K270"/>
    <mergeCell ref="L270:M270"/>
    <mergeCell ref="O270:P270"/>
    <mergeCell ref="Q270:T270"/>
    <mergeCell ref="V270:X270"/>
    <mergeCell ref="Y270:AA270"/>
    <mergeCell ref="B266:F266"/>
    <mergeCell ref="V266:X266"/>
    <mergeCell ref="Y266:AA266"/>
    <mergeCell ref="B267:F267"/>
    <mergeCell ref="V267:X267"/>
    <mergeCell ref="Y267:AA267"/>
    <mergeCell ref="B268:F268"/>
    <mergeCell ref="V268:X268"/>
    <mergeCell ref="Z268:AA268"/>
    <mergeCell ref="C260:C261"/>
    <mergeCell ref="D260:F260"/>
    <mergeCell ref="D261:F261"/>
    <mergeCell ref="B262:F262"/>
    <mergeCell ref="B263:F263"/>
    <mergeCell ref="B264:F264"/>
    <mergeCell ref="B265:F265"/>
    <mergeCell ref="V265:X265"/>
    <mergeCell ref="Y265:AA265"/>
    <mergeCell ref="B257:C257"/>
    <mergeCell ref="D257:H257"/>
    <mergeCell ref="J257:K257"/>
    <mergeCell ref="L257:M257"/>
    <mergeCell ref="O257:P257"/>
    <mergeCell ref="Q257:T257"/>
    <mergeCell ref="V257:X257"/>
    <mergeCell ref="Y257:AA257"/>
    <mergeCell ref="D259:F259"/>
    <mergeCell ref="B255:F255"/>
    <mergeCell ref="I255:U255"/>
    <mergeCell ref="V255:X255"/>
    <mergeCell ref="Z255:AA255"/>
    <mergeCell ref="B256:F256"/>
    <mergeCell ref="J256:K256"/>
    <mergeCell ref="L256:M256"/>
    <mergeCell ref="O256:P256"/>
    <mergeCell ref="Q256:T256"/>
    <mergeCell ref="V256:X256"/>
    <mergeCell ref="Y256:AA256"/>
    <mergeCell ref="B252:F252"/>
    <mergeCell ref="V252:X252"/>
    <mergeCell ref="Y252:AA252"/>
    <mergeCell ref="B253:F253"/>
    <mergeCell ref="V253:X253"/>
    <mergeCell ref="Y253:AA253"/>
    <mergeCell ref="B254:F254"/>
    <mergeCell ref="V254:X254"/>
    <mergeCell ref="Z254:AA254"/>
    <mergeCell ref="C246:C247"/>
    <mergeCell ref="D246:F246"/>
    <mergeCell ref="D247:F247"/>
    <mergeCell ref="B248:F248"/>
    <mergeCell ref="B249:F249"/>
    <mergeCell ref="B250:F250"/>
    <mergeCell ref="B251:F251"/>
    <mergeCell ref="V251:X251"/>
    <mergeCell ref="Y251:AA251"/>
    <mergeCell ref="B243:C243"/>
    <mergeCell ref="D243:H243"/>
    <mergeCell ref="J243:K243"/>
    <mergeCell ref="L243:M243"/>
    <mergeCell ref="O243:P243"/>
    <mergeCell ref="Q243:T243"/>
    <mergeCell ref="V243:X243"/>
    <mergeCell ref="Y243:AA243"/>
    <mergeCell ref="D245:F245"/>
    <mergeCell ref="B241:F241"/>
    <mergeCell ref="I241:U241"/>
    <mergeCell ref="V241:X241"/>
    <mergeCell ref="Z241:AA241"/>
    <mergeCell ref="B242:F242"/>
    <mergeCell ref="J242:K242"/>
    <mergeCell ref="L242:M242"/>
    <mergeCell ref="O242:P242"/>
    <mergeCell ref="Q242:T242"/>
    <mergeCell ref="V242:X242"/>
    <mergeCell ref="Y242:AA242"/>
    <mergeCell ref="B238:F238"/>
    <mergeCell ref="V238:X238"/>
    <mergeCell ref="Y238:AA238"/>
    <mergeCell ref="B239:F239"/>
    <mergeCell ref="V239:X239"/>
    <mergeCell ref="Y239:AA239"/>
    <mergeCell ref="B240:F240"/>
    <mergeCell ref="V240:X240"/>
    <mergeCell ref="Z240:AA240"/>
    <mergeCell ref="C232:C233"/>
    <mergeCell ref="D232:F232"/>
    <mergeCell ref="D233:F233"/>
    <mergeCell ref="B234:F234"/>
    <mergeCell ref="B235:F235"/>
    <mergeCell ref="B236:F236"/>
    <mergeCell ref="B237:F237"/>
    <mergeCell ref="V237:X237"/>
    <mergeCell ref="Y237:AA237"/>
    <mergeCell ref="B229:C229"/>
    <mergeCell ref="D229:H229"/>
    <mergeCell ref="J229:K229"/>
    <mergeCell ref="L229:M229"/>
    <mergeCell ref="O229:P229"/>
    <mergeCell ref="Q229:T229"/>
    <mergeCell ref="V229:X229"/>
    <mergeCell ref="Y229:AA229"/>
    <mergeCell ref="D231:F231"/>
    <mergeCell ref="B227:F227"/>
    <mergeCell ref="I227:U227"/>
    <mergeCell ref="V227:X227"/>
    <mergeCell ref="Z227:AA227"/>
    <mergeCell ref="B228:F228"/>
    <mergeCell ref="J228:K228"/>
    <mergeCell ref="L228:M228"/>
    <mergeCell ref="O228:P228"/>
    <mergeCell ref="Q228:T228"/>
    <mergeCell ref="V228:X228"/>
    <mergeCell ref="Y228:AA228"/>
    <mergeCell ref="B224:F224"/>
    <mergeCell ref="V224:X224"/>
    <mergeCell ref="Y224:AA224"/>
    <mergeCell ref="B225:F225"/>
    <mergeCell ref="V225:X225"/>
    <mergeCell ref="Y225:AA225"/>
    <mergeCell ref="B226:F226"/>
    <mergeCell ref="V226:X226"/>
    <mergeCell ref="Z226:AA226"/>
    <mergeCell ref="C218:C219"/>
    <mergeCell ref="D218:F218"/>
    <mergeCell ref="D219:F219"/>
    <mergeCell ref="B220:F220"/>
    <mergeCell ref="B221:F221"/>
    <mergeCell ref="B222:F222"/>
    <mergeCell ref="B223:F223"/>
    <mergeCell ref="V223:X223"/>
    <mergeCell ref="Y223:AA223"/>
    <mergeCell ref="B215:C215"/>
    <mergeCell ref="D215:H215"/>
    <mergeCell ref="J215:K215"/>
    <mergeCell ref="L215:M215"/>
    <mergeCell ref="O215:P215"/>
    <mergeCell ref="Q215:T215"/>
    <mergeCell ref="V215:X215"/>
    <mergeCell ref="Y215:AA215"/>
    <mergeCell ref="D217:F217"/>
    <mergeCell ref="B213:F213"/>
    <mergeCell ref="I213:U213"/>
    <mergeCell ref="V213:X213"/>
    <mergeCell ref="Z213:AA213"/>
    <mergeCell ref="B214:F214"/>
    <mergeCell ref="J214:K214"/>
    <mergeCell ref="L214:M214"/>
    <mergeCell ref="O214:P214"/>
    <mergeCell ref="Q214:T214"/>
    <mergeCell ref="V214:X214"/>
    <mergeCell ref="Y214:AA214"/>
    <mergeCell ref="B210:F210"/>
    <mergeCell ref="V210:X210"/>
    <mergeCell ref="Y210:AA210"/>
    <mergeCell ref="B211:F211"/>
    <mergeCell ref="V211:X211"/>
    <mergeCell ref="Y211:AA211"/>
    <mergeCell ref="B212:F212"/>
    <mergeCell ref="V212:X212"/>
    <mergeCell ref="Z212:AA212"/>
    <mergeCell ref="C204:C205"/>
    <mergeCell ref="D204:F204"/>
    <mergeCell ref="D205:F205"/>
    <mergeCell ref="B206:F206"/>
    <mergeCell ref="B207:F207"/>
    <mergeCell ref="B208:F208"/>
    <mergeCell ref="B209:F209"/>
    <mergeCell ref="V209:X209"/>
    <mergeCell ref="Y209:AA209"/>
    <mergeCell ref="B201:C201"/>
    <mergeCell ref="D201:H201"/>
    <mergeCell ref="J201:K201"/>
    <mergeCell ref="L201:M201"/>
    <mergeCell ref="O201:P201"/>
    <mergeCell ref="Q201:T201"/>
    <mergeCell ref="V201:X201"/>
    <mergeCell ref="Y201:AA201"/>
    <mergeCell ref="D203:F203"/>
    <mergeCell ref="B199:F199"/>
    <mergeCell ref="I199:U199"/>
    <mergeCell ref="V199:X199"/>
    <mergeCell ref="Z199:AA199"/>
    <mergeCell ref="B200:F200"/>
    <mergeCell ref="J200:K200"/>
    <mergeCell ref="L200:M200"/>
    <mergeCell ref="O200:P200"/>
    <mergeCell ref="Q200:T200"/>
    <mergeCell ref="V200:X200"/>
    <mergeCell ref="Y200:AA200"/>
    <mergeCell ref="B196:F196"/>
    <mergeCell ref="V196:X196"/>
    <mergeCell ref="Y196:AA196"/>
    <mergeCell ref="B197:F197"/>
    <mergeCell ref="V197:X197"/>
    <mergeCell ref="Y197:AA197"/>
    <mergeCell ref="B198:F198"/>
    <mergeCell ref="V198:X198"/>
    <mergeCell ref="Z198:AA198"/>
    <mergeCell ref="C190:C191"/>
    <mergeCell ref="D190:F190"/>
    <mergeCell ref="D191:F191"/>
    <mergeCell ref="B192:F192"/>
    <mergeCell ref="B193:F193"/>
    <mergeCell ref="B194:F194"/>
    <mergeCell ref="B195:F195"/>
    <mergeCell ref="V195:X195"/>
    <mergeCell ref="Y195:AA195"/>
    <mergeCell ref="B187:C187"/>
    <mergeCell ref="D187:H187"/>
    <mergeCell ref="J187:K187"/>
    <mergeCell ref="L187:M187"/>
    <mergeCell ref="O187:P187"/>
    <mergeCell ref="Q187:T187"/>
    <mergeCell ref="V187:X187"/>
    <mergeCell ref="Y187:AA187"/>
    <mergeCell ref="D189:F189"/>
    <mergeCell ref="B185:F185"/>
    <mergeCell ref="I185:U185"/>
    <mergeCell ref="V185:X185"/>
    <mergeCell ref="Z185:AA185"/>
    <mergeCell ref="B186:F186"/>
    <mergeCell ref="J186:K186"/>
    <mergeCell ref="L186:M186"/>
    <mergeCell ref="O186:P186"/>
    <mergeCell ref="Q186:T186"/>
    <mergeCell ref="V186:X186"/>
    <mergeCell ref="Y186:AA186"/>
    <mergeCell ref="B182:F182"/>
    <mergeCell ref="V182:X182"/>
    <mergeCell ref="Y182:AA182"/>
    <mergeCell ref="B183:F183"/>
    <mergeCell ref="V183:X183"/>
    <mergeCell ref="Y183:AA183"/>
    <mergeCell ref="B184:F184"/>
    <mergeCell ref="V184:X184"/>
    <mergeCell ref="Z184:AA184"/>
    <mergeCell ref="C176:C177"/>
    <mergeCell ref="D176:F176"/>
    <mergeCell ref="D177:F177"/>
    <mergeCell ref="B178:F178"/>
    <mergeCell ref="B179:F179"/>
    <mergeCell ref="B180:F180"/>
    <mergeCell ref="B181:F181"/>
    <mergeCell ref="V181:X181"/>
    <mergeCell ref="Y181:AA181"/>
    <mergeCell ref="B173:C173"/>
    <mergeCell ref="D173:H173"/>
    <mergeCell ref="J173:K173"/>
    <mergeCell ref="L173:M173"/>
    <mergeCell ref="O173:P173"/>
    <mergeCell ref="Q173:T173"/>
    <mergeCell ref="V173:X173"/>
    <mergeCell ref="Y173:AA173"/>
    <mergeCell ref="D175:F175"/>
    <mergeCell ref="B171:F171"/>
    <mergeCell ref="I171:U171"/>
    <mergeCell ref="V171:X171"/>
    <mergeCell ref="Z171:AA171"/>
    <mergeCell ref="B172:F172"/>
    <mergeCell ref="J172:K172"/>
    <mergeCell ref="L172:M172"/>
    <mergeCell ref="O172:P172"/>
    <mergeCell ref="Q172:T172"/>
    <mergeCell ref="V172:X172"/>
    <mergeCell ref="Y172:AA172"/>
    <mergeCell ref="B168:F168"/>
    <mergeCell ref="V168:X168"/>
    <mergeCell ref="Y168:AA168"/>
    <mergeCell ref="B169:F169"/>
    <mergeCell ref="V169:X169"/>
    <mergeCell ref="Y169:AA169"/>
    <mergeCell ref="B170:F170"/>
    <mergeCell ref="V170:X170"/>
    <mergeCell ref="Z170:AA170"/>
    <mergeCell ref="C162:C163"/>
    <mergeCell ref="D162:F162"/>
    <mergeCell ref="D163:F163"/>
    <mergeCell ref="B164:F164"/>
    <mergeCell ref="B165:F165"/>
    <mergeCell ref="B166:F166"/>
    <mergeCell ref="B167:F167"/>
    <mergeCell ref="V167:X167"/>
    <mergeCell ref="Y167:AA167"/>
    <mergeCell ref="B159:C159"/>
    <mergeCell ref="D159:H159"/>
    <mergeCell ref="J159:K159"/>
    <mergeCell ref="L159:M159"/>
    <mergeCell ref="O159:P159"/>
    <mergeCell ref="Q159:T159"/>
    <mergeCell ref="V159:X159"/>
    <mergeCell ref="Y159:AA159"/>
    <mergeCell ref="D161:F161"/>
    <mergeCell ref="B157:F157"/>
    <mergeCell ref="I157:U157"/>
    <mergeCell ref="V157:X157"/>
    <mergeCell ref="Z157:AA157"/>
    <mergeCell ref="B158:F158"/>
    <mergeCell ref="J158:K158"/>
    <mergeCell ref="L158:M158"/>
    <mergeCell ref="O158:P158"/>
    <mergeCell ref="Q158:T158"/>
    <mergeCell ref="V158:X158"/>
    <mergeCell ref="Y158:AA158"/>
    <mergeCell ref="B154:F154"/>
    <mergeCell ref="V154:X154"/>
    <mergeCell ref="Y154:AA154"/>
    <mergeCell ref="B155:F155"/>
    <mergeCell ref="V155:X155"/>
    <mergeCell ref="Y155:AA155"/>
    <mergeCell ref="B156:F156"/>
    <mergeCell ref="V156:X156"/>
    <mergeCell ref="Z156:AA156"/>
    <mergeCell ref="C148:C149"/>
    <mergeCell ref="D148:F148"/>
    <mergeCell ref="D149:F149"/>
    <mergeCell ref="B150:F150"/>
    <mergeCell ref="B151:F151"/>
    <mergeCell ref="B152:F152"/>
    <mergeCell ref="B153:F153"/>
    <mergeCell ref="V153:X153"/>
    <mergeCell ref="Y153:AA153"/>
    <mergeCell ref="B145:C145"/>
    <mergeCell ref="D145:H145"/>
    <mergeCell ref="J145:K145"/>
    <mergeCell ref="L145:M145"/>
    <mergeCell ref="O145:P145"/>
    <mergeCell ref="Q145:T145"/>
    <mergeCell ref="V145:X145"/>
    <mergeCell ref="Y145:AA145"/>
    <mergeCell ref="D147:F147"/>
    <mergeCell ref="B143:F143"/>
    <mergeCell ref="I143:U143"/>
    <mergeCell ref="V143:X143"/>
    <mergeCell ref="Z143:AA143"/>
    <mergeCell ref="B144:F144"/>
    <mergeCell ref="J144:K144"/>
    <mergeCell ref="L144:M144"/>
    <mergeCell ref="O144:P144"/>
    <mergeCell ref="Q144:T144"/>
    <mergeCell ref="V144:X144"/>
    <mergeCell ref="Y144:AA144"/>
    <mergeCell ref="B140:F140"/>
    <mergeCell ref="V140:X140"/>
    <mergeCell ref="Y140:AA140"/>
    <mergeCell ref="B141:F141"/>
    <mergeCell ref="V141:X141"/>
    <mergeCell ref="Y141:AA141"/>
    <mergeCell ref="B142:F142"/>
    <mergeCell ref="V142:X142"/>
    <mergeCell ref="Z142:AA142"/>
    <mergeCell ref="C134:C135"/>
    <mergeCell ref="D134:F134"/>
    <mergeCell ref="D135:F135"/>
    <mergeCell ref="B136:F136"/>
    <mergeCell ref="B137:F137"/>
    <mergeCell ref="B138:F138"/>
    <mergeCell ref="B139:F139"/>
    <mergeCell ref="V139:X139"/>
    <mergeCell ref="Y139:AA139"/>
    <mergeCell ref="B131:C131"/>
    <mergeCell ref="D131:H131"/>
    <mergeCell ref="J131:K131"/>
    <mergeCell ref="L131:M131"/>
    <mergeCell ref="O131:P131"/>
    <mergeCell ref="Q131:T131"/>
    <mergeCell ref="V131:X131"/>
    <mergeCell ref="Y131:AA131"/>
    <mergeCell ref="D133:F133"/>
    <mergeCell ref="B129:F129"/>
    <mergeCell ref="I129:U129"/>
    <mergeCell ref="V129:X129"/>
    <mergeCell ref="Z129:AA129"/>
    <mergeCell ref="B130:F130"/>
    <mergeCell ref="J130:K130"/>
    <mergeCell ref="L130:M130"/>
    <mergeCell ref="O130:P130"/>
    <mergeCell ref="Q130:T130"/>
    <mergeCell ref="V130:X130"/>
    <mergeCell ref="Y130:AA130"/>
    <mergeCell ref="B126:F126"/>
    <mergeCell ref="V126:X126"/>
    <mergeCell ref="Y126:AA126"/>
    <mergeCell ref="B127:F127"/>
    <mergeCell ref="V127:X127"/>
    <mergeCell ref="Y127:AA127"/>
    <mergeCell ref="B128:F128"/>
    <mergeCell ref="V128:X128"/>
    <mergeCell ref="Z128:AA128"/>
    <mergeCell ref="C120:C121"/>
    <mergeCell ref="D120:F120"/>
    <mergeCell ref="D121:F121"/>
    <mergeCell ref="B122:F122"/>
    <mergeCell ref="B123:F123"/>
    <mergeCell ref="B124:F124"/>
    <mergeCell ref="B125:F125"/>
    <mergeCell ref="V125:X125"/>
    <mergeCell ref="Y125:AA125"/>
    <mergeCell ref="B117:C117"/>
    <mergeCell ref="D117:H117"/>
    <mergeCell ref="J117:K117"/>
    <mergeCell ref="L117:M117"/>
    <mergeCell ref="O117:P117"/>
    <mergeCell ref="Q117:T117"/>
    <mergeCell ref="V117:X117"/>
    <mergeCell ref="Y117:AA117"/>
    <mergeCell ref="D119:F119"/>
    <mergeCell ref="B115:F115"/>
    <mergeCell ref="I115:U115"/>
    <mergeCell ref="V115:X115"/>
    <mergeCell ref="Z115:AA115"/>
    <mergeCell ref="B116:F116"/>
    <mergeCell ref="J116:K116"/>
    <mergeCell ref="L116:M116"/>
    <mergeCell ref="O116:P116"/>
    <mergeCell ref="Q116:T116"/>
    <mergeCell ref="V116:X116"/>
    <mergeCell ref="Y116:AA116"/>
    <mergeCell ref="B112:F112"/>
    <mergeCell ref="V112:X112"/>
    <mergeCell ref="Y112:AA112"/>
    <mergeCell ref="B113:F113"/>
    <mergeCell ref="V113:X113"/>
    <mergeCell ref="Y113:AA113"/>
    <mergeCell ref="B114:F114"/>
    <mergeCell ref="V114:X114"/>
    <mergeCell ref="Z114:AA114"/>
    <mergeCell ref="C106:C107"/>
    <mergeCell ref="D106:F106"/>
    <mergeCell ref="D107:F107"/>
    <mergeCell ref="B108:F108"/>
    <mergeCell ref="B109:F109"/>
    <mergeCell ref="B110:F110"/>
    <mergeCell ref="B111:F111"/>
    <mergeCell ref="V111:X111"/>
    <mergeCell ref="Y111:AA111"/>
    <mergeCell ref="B103:C103"/>
    <mergeCell ref="D103:H103"/>
    <mergeCell ref="J103:K103"/>
    <mergeCell ref="L103:M103"/>
    <mergeCell ref="O103:P103"/>
    <mergeCell ref="Q103:T103"/>
    <mergeCell ref="V103:X103"/>
    <mergeCell ref="Y103:AA103"/>
    <mergeCell ref="D105:F105"/>
    <mergeCell ref="B101:F101"/>
    <mergeCell ref="I101:U101"/>
    <mergeCell ref="V101:X101"/>
    <mergeCell ref="Z101:AA101"/>
    <mergeCell ref="B102:F102"/>
    <mergeCell ref="J102:K102"/>
    <mergeCell ref="L102:M102"/>
    <mergeCell ref="O102:P102"/>
    <mergeCell ref="Q102:T102"/>
    <mergeCell ref="V102:X102"/>
    <mergeCell ref="Y102:AA102"/>
    <mergeCell ref="B98:F98"/>
    <mergeCell ref="V98:X98"/>
    <mergeCell ref="Y98:AA98"/>
    <mergeCell ref="B99:F99"/>
    <mergeCell ref="V99:X99"/>
    <mergeCell ref="Y99:AA99"/>
    <mergeCell ref="B100:F100"/>
    <mergeCell ref="V100:X100"/>
    <mergeCell ref="Z100:AA100"/>
    <mergeCell ref="C92:C93"/>
    <mergeCell ref="D92:F92"/>
    <mergeCell ref="D93:F93"/>
    <mergeCell ref="B94:F94"/>
    <mergeCell ref="B95:F95"/>
    <mergeCell ref="B96:F96"/>
    <mergeCell ref="B97:F97"/>
    <mergeCell ref="V97:X97"/>
    <mergeCell ref="Y97:AA97"/>
    <mergeCell ref="B89:C89"/>
    <mergeCell ref="D89:H89"/>
    <mergeCell ref="J89:K89"/>
    <mergeCell ref="L89:M89"/>
    <mergeCell ref="O89:P89"/>
    <mergeCell ref="Q89:T89"/>
    <mergeCell ref="V89:X89"/>
    <mergeCell ref="Y89:AA89"/>
    <mergeCell ref="D91:F91"/>
    <mergeCell ref="B87:F87"/>
    <mergeCell ref="I87:U87"/>
    <mergeCell ref="V87:X87"/>
    <mergeCell ref="Z87:AA87"/>
    <mergeCell ref="B88:F88"/>
    <mergeCell ref="J88:K88"/>
    <mergeCell ref="L88:M88"/>
    <mergeCell ref="O88:P88"/>
    <mergeCell ref="Q88:T88"/>
    <mergeCell ref="V88:X88"/>
    <mergeCell ref="Y88:AA88"/>
    <mergeCell ref="B84:F84"/>
    <mergeCell ref="V84:X84"/>
    <mergeCell ref="Y84:AA84"/>
    <mergeCell ref="B85:F85"/>
    <mergeCell ref="V85:X85"/>
    <mergeCell ref="Y85:AA85"/>
    <mergeCell ref="B86:F86"/>
    <mergeCell ref="V86:X86"/>
    <mergeCell ref="Z86:AA86"/>
    <mergeCell ref="C78:C79"/>
    <mergeCell ref="D78:F78"/>
    <mergeCell ref="D79:F79"/>
    <mergeCell ref="B80:F80"/>
    <mergeCell ref="B81:F81"/>
    <mergeCell ref="B82:F82"/>
    <mergeCell ref="B83:F83"/>
    <mergeCell ref="V83:X83"/>
    <mergeCell ref="Y83:AA83"/>
    <mergeCell ref="B75:C75"/>
    <mergeCell ref="D75:H75"/>
    <mergeCell ref="J75:K75"/>
    <mergeCell ref="L75:M75"/>
    <mergeCell ref="O75:P75"/>
    <mergeCell ref="Q75:T75"/>
    <mergeCell ref="V75:X75"/>
    <mergeCell ref="Y75:AA75"/>
    <mergeCell ref="D77:F77"/>
    <mergeCell ref="B73:F73"/>
    <mergeCell ref="I73:U73"/>
    <mergeCell ref="V73:X73"/>
    <mergeCell ref="Z73:AA73"/>
    <mergeCell ref="B74:F74"/>
    <mergeCell ref="J74:K74"/>
    <mergeCell ref="L74:M74"/>
    <mergeCell ref="O74:P74"/>
    <mergeCell ref="Q74:T74"/>
    <mergeCell ref="V74:X74"/>
    <mergeCell ref="Y74:AA74"/>
    <mergeCell ref="B70:F70"/>
    <mergeCell ref="V70:X70"/>
    <mergeCell ref="Y70:AA70"/>
    <mergeCell ref="B71:F71"/>
    <mergeCell ref="V71:X71"/>
    <mergeCell ref="Y71:AA71"/>
    <mergeCell ref="B72:F72"/>
    <mergeCell ref="V72:X72"/>
    <mergeCell ref="Z72:AA72"/>
    <mergeCell ref="C64:C65"/>
    <mergeCell ref="D64:F64"/>
    <mergeCell ref="D65:F65"/>
    <mergeCell ref="B66:F66"/>
    <mergeCell ref="B67:F67"/>
    <mergeCell ref="B68:F68"/>
    <mergeCell ref="B69:F69"/>
    <mergeCell ref="V69:X69"/>
    <mergeCell ref="Y69:AA69"/>
    <mergeCell ref="B61:C61"/>
    <mergeCell ref="D61:H61"/>
    <mergeCell ref="J61:K61"/>
    <mergeCell ref="L61:M61"/>
    <mergeCell ref="O61:P61"/>
    <mergeCell ref="Q61:T61"/>
    <mergeCell ref="V61:X61"/>
    <mergeCell ref="Y61:AA61"/>
    <mergeCell ref="D63:F63"/>
    <mergeCell ref="B59:F59"/>
    <mergeCell ref="I59:U59"/>
    <mergeCell ref="V59:X59"/>
    <mergeCell ref="Z59:AA59"/>
    <mergeCell ref="B60:F60"/>
    <mergeCell ref="J60:K60"/>
    <mergeCell ref="L60:M60"/>
    <mergeCell ref="O60:P60"/>
    <mergeCell ref="Q60:T60"/>
    <mergeCell ref="V60:X60"/>
    <mergeCell ref="Y60:AA60"/>
    <mergeCell ref="B56:F56"/>
    <mergeCell ref="V56:X56"/>
    <mergeCell ref="Y56:AA56"/>
    <mergeCell ref="B57:F57"/>
    <mergeCell ref="V57:X57"/>
    <mergeCell ref="Y57:AA57"/>
    <mergeCell ref="B58:F58"/>
    <mergeCell ref="V58:X58"/>
    <mergeCell ref="Z58:AA58"/>
    <mergeCell ref="C50:C51"/>
    <mergeCell ref="D50:F50"/>
    <mergeCell ref="D51:F51"/>
    <mergeCell ref="B52:F52"/>
    <mergeCell ref="B53:F53"/>
    <mergeCell ref="B54:F54"/>
    <mergeCell ref="B55:F55"/>
    <mergeCell ref="V55:X55"/>
    <mergeCell ref="Y55:AA55"/>
    <mergeCell ref="B47:C47"/>
    <mergeCell ref="D47:H47"/>
    <mergeCell ref="J47:K47"/>
    <mergeCell ref="L47:M47"/>
    <mergeCell ref="O47:P47"/>
    <mergeCell ref="Q47:T47"/>
    <mergeCell ref="V47:X47"/>
    <mergeCell ref="Y47:AA47"/>
    <mergeCell ref="D49:F49"/>
    <mergeCell ref="B45:F45"/>
    <mergeCell ref="I45:U45"/>
    <mergeCell ref="V45:X45"/>
    <mergeCell ref="Z45:AA45"/>
    <mergeCell ref="B46:F46"/>
    <mergeCell ref="J46:K46"/>
    <mergeCell ref="L46:M46"/>
    <mergeCell ref="O46:P46"/>
    <mergeCell ref="Q46:T46"/>
    <mergeCell ref="V46:X46"/>
    <mergeCell ref="Y46:AA46"/>
    <mergeCell ref="Y41:AA41"/>
    <mergeCell ref="B42:F42"/>
    <mergeCell ref="V42:X42"/>
    <mergeCell ref="Y42:AA42"/>
    <mergeCell ref="B43:F43"/>
    <mergeCell ref="V43:X43"/>
    <mergeCell ref="Y43:AA43"/>
    <mergeCell ref="B44:F44"/>
    <mergeCell ref="V44:X44"/>
    <mergeCell ref="Z44:AA44"/>
    <mergeCell ref="D35:F35"/>
    <mergeCell ref="C36:C37"/>
    <mergeCell ref="D36:F36"/>
    <mergeCell ref="D37:F37"/>
    <mergeCell ref="B38:F38"/>
    <mergeCell ref="B39:F39"/>
    <mergeCell ref="B40:F40"/>
    <mergeCell ref="B41:F41"/>
    <mergeCell ref="V41:X41"/>
    <mergeCell ref="B32:F32"/>
    <mergeCell ref="J32:K32"/>
    <mergeCell ref="L32:M32"/>
    <mergeCell ref="O32:P32"/>
    <mergeCell ref="Q32:T32"/>
    <mergeCell ref="V32:X32"/>
    <mergeCell ref="Y32:AA32"/>
    <mergeCell ref="B33:C33"/>
    <mergeCell ref="D33:H33"/>
    <mergeCell ref="J33:K33"/>
    <mergeCell ref="L33:M33"/>
    <mergeCell ref="O33:P33"/>
    <mergeCell ref="Q33:T33"/>
    <mergeCell ref="V33:X33"/>
    <mergeCell ref="Y33:AA33"/>
    <mergeCell ref="B29:F29"/>
    <mergeCell ref="V29:X29"/>
    <mergeCell ref="Y29:AA29"/>
    <mergeCell ref="B30:F30"/>
    <mergeCell ref="V30:X30"/>
    <mergeCell ref="Z30:AA30"/>
    <mergeCell ref="B31:F31"/>
    <mergeCell ref="I31:U31"/>
    <mergeCell ref="V31:X31"/>
    <mergeCell ref="Z31:AA31"/>
    <mergeCell ref="B24:F24"/>
    <mergeCell ref="B25:F25"/>
    <mergeCell ref="B26:F26"/>
    <mergeCell ref="B27:F27"/>
    <mergeCell ref="V27:X27"/>
    <mergeCell ref="Y27:AA27"/>
    <mergeCell ref="B28:F28"/>
    <mergeCell ref="V28:X28"/>
    <mergeCell ref="Y28:AA28"/>
    <mergeCell ref="I2:AA2"/>
    <mergeCell ref="I3:AA3"/>
    <mergeCell ref="I4:AA4"/>
    <mergeCell ref="I5:AA5"/>
    <mergeCell ref="B2:D2"/>
    <mergeCell ref="E2:H2"/>
    <mergeCell ref="B3:D3"/>
    <mergeCell ref="E3:H3"/>
    <mergeCell ref="B4:D4"/>
    <mergeCell ref="E4:H4"/>
    <mergeCell ref="B5:D5"/>
    <mergeCell ref="E5:H5"/>
    <mergeCell ref="D7:F7"/>
    <mergeCell ref="B12:F12"/>
    <mergeCell ref="B14:F14"/>
    <mergeCell ref="B16:F16"/>
    <mergeCell ref="AP7:AU7"/>
    <mergeCell ref="C8:C9"/>
    <mergeCell ref="D8:F8"/>
    <mergeCell ref="AE8:AG8"/>
    <mergeCell ref="AH8:AI8"/>
    <mergeCell ref="AJ8:AL8"/>
    <mergeCell ref="D9:F9"/>
    <mergeCell ref="B11:F11"/>
    <mergeCell ref="AE11:AG11"/>
    <mergeCell ref="AH11:AI11"/>
    <mergeCell ref="AJ11:AL11"/>
    <mergeCell ref="AE12:AG12"/>
    <mergeCell ref="AH12:AI12"/>
    <mergeCell ref="AJ12:AL12"/>
    <mergeCell ref="AE9:AG9"/>
    <mergeCell ref="AH9:AI9"/>
    <mergeCell ref="AJ9:AL9"/>
    <mergeCell ref="B10:F10"/>
    <mergeCell ref="AE10:AG10"/>
    <mergeCell ref="AH10:AI10"/>
    <mergeCell ref="AJ10:AL10"/>
    <mergeCell ref="V14:X14"/>
    <mergeCell ref="Y14:AA14"/>
    <mergeCell ref="AE14:AG14"/>
    <mergeCell ref="AH14:AI14"/>
    <mergeCell ref="AJ14:AL14"/>
    <mergeCell ref="B13:F13"/>
    <mergeCell ref="V13:X13"/>
    <mergeCell ref="Y13:AA13"/>
    <mergeCell ref="AE13:AG13"/>
    <mergeCell ref="AH13:AI13"/>
    <mergeCell ref="AJ13:AL13"/>
    <mergeCell ref="V16:X16"/>
    <mergeCell ref="Z16:AA16"/>
    <mergeCell ref="AE16:AG16"/>
    <mergeCell ref="AH16:AI16"/>
    <mergeCell ref="AJ16:AL16"/>
    <mergeCell ref="B15:F15"/>
    <mergeCell ref="V15:X15"/>
    <mergeCell ref="Y15:AA15"/>
    <mergeCell ref="AE15:AG15"/>
    <mergeCell ref="AH15:AI15"/>
    <mergeCell ref="AJ15:AL15"/>
    <mergeCell ref="AJ17:AL17"/>
    <mergeCell ref="B18:F18"/>
    <mergeCell ref="J18:K18"/>
    <mergeCell ref="L18:M18"/>
    <mergeCell ref="O18:P18"/>
    <mergeCell ref="Q18:T18"/>
    <mergeCell ref="V18:X18"/>
    <mergeCell ref="Y18:AA18"/>
    <mergeCell ref="AE18:AG18"/>
    <mergeCell ref="AH18:AI18"/>
    <mergeCell ref="B17:F17"/>
    <mergeCell ref="I17:U17"/>
    <mergeCell ref="V17:X17"/>
    <mergeCell ref="Z17:AA17"/>
    <mergeCell ref="AE17:AG17"/>
    <mergeCell ref="AH17:AI17"/>
    <mergeCell ref="AM19:AU19"/>
    <mergeCell ref="AE22:AH22"/>
    <mergeCell ref="AI22:AJ22"/>
    <mergeCell ref="AJ18:AL18"/>
    <mergeCell ref="AM18:AU18"/>
    <mergeCell ref="B19:C19"/>
    <mergeCell ref="D19:H19"/>
    <mergeCell ref="J19:K19"/>
    <mergeCell ref="L19:M19"/>
    <mergeCell ref="O19:P19"/>
    <mergeCell ref="Q19:T19"/>
    <mergeCell ref="V19:X19"/>
    <mergeCell ref="Y19:AA19"/>
    <mergeCell ref="AE19:AG19"/>
    <mergeCell ref="AH19:AI19"/>
    <mergeCell ref="AJ19:AL19"/>
    <mergeCell ref="D21:F21"/>
    <mergeCell ref="C22:C23"/>
    <mergeCell ref="D22:F22"/>
    <mergeCell ref="D23:F23"/>
    <mergeCell ref="AP23:AT23"/>
    <mergeCell ref="AH33:AJ33"/>
    <mergeCell ref="AH32:AJ32"/>
    <mergeCell ref="AD46:AN46"/>
    <mergeCell ref="AD47:AN47"/>
    <mergeCell ref="AD48:AN48"/>
    <mergeCell ref="AD49:AN49"/>
    <mergeCell ref="AK50:AL50"/>
    <mergeCell ref="AM50:AN50"/>
    <mergeCell ref="AK51:AL51"/>
    <mergeCell ref="AJ44:AL44"/>
    <mergeCell ref="AK54:AL54"/>
    <mergeCell ref="AM54:AN54"/>
    <mergeCell ref="AK55:AL55"/>
    <mergeCell ref="AM55:AN55"/>
    <mergeCell ref="AM51:AN51"/>
    <mergeCell ref="AK52:AL52"/>
    <mergeCell ref="AM52:AN52"/>
    <mergeCell ref="AK53:AL53"/>
    <mergeCell ref="AM53:AN53"/>
    <mergeCell ref="AK56:AL56"/>
    <mergeCell ref="AM56:AN56"/>
    <mergeCell ref="AK57:AL57"/>
    <mergeCell ref="AM57:AN57"/>
    <mergeCell ref="AK58:AL58"/>
    <mergeCell ref="AM58:AN58"/>
    <mergeCell ref="AK59:AL59"/>
    <mergeCell ref="AM59:AN59"/>
    <mergeCell ref="AK60:AL60"/>
    <mergeCell ref="AM60:AN60"/>
    <mergeCell ref="AK61:AL61"/>
    <mergeCell ref="AM61:AN61"/>
    <mergeCell ref="AK62:AL62"/>
    <mergeCell ref="AM62:AN62"/>
    <mergeCell ref="AK63:AL63"/>
    <mergeCell ref="AM63:AN63"/>
    <mergeCell ref="AK64:AL64"/>
    <mergeCell ref="AM64:AN64"/>
    <mergeCell ref="AK65:AL65"/>
    <mergeCell ref="AM65:AN65"/>
    <mergeCell ref="AK68:AL68"/>
    <mergeCell ref="AM68:AN68"/>
    <mergeCell ref="AK69:AL69"/>
    <mergeCell ref="AM69:AN69"/>
    <mergeCell ref="AK66:AL66"/>
    <mergeCell ref="AM66:AN66"/>
    <mergeCell ref="AK67:AL67"/>
    <mergeCell ref="AM67:AN67"/>
    <mergeCell ref="AK70:AL70"/>
    <mergeCell ref="AM70:AN70"/>
    <mergeCell ref="AK71:AL71"/>
    <mergeCell ref="AM71:AN71"/>
    <mergeCell ref="AK72:AL72"/>
    <mergeCell ref="AM72:AN72"/>
    <mergeCell ref="AK73:AL73"/>
    <mergeCell ref="AM73:AN73"/>
    <mergeCell ref="AK74:AL74"/>
    <mergeCell ref="AM74:AN74"/>
    <mergeCell ref="AK75:AL75"/>
    <mergeCell ref="AM75:AN75"/>
    <mergeCell ref="AM81:AN81"/>
    <mergeCell ref="AK84:AL84"/>
    <mergeCell ref="AM84:AN84"/>
    <mergeCell ref="AK85:AL85"/>
    <mergeCell ref="AM85:AN85"/>
    <mergeCell ref="AK76:AL76"/>
    <mergeCell ref="AM76:AN76"/>
    <mergeCell ref="AK77:AL77"/>
    <mergeCell ref="AM77:AN77"/>
    <mergeCell ref="AK78:AL78"/>
    <mergeCell ref="AM78:AN78"/>
    <mergeCell ref="AK79:AL79"/>
    <mergeCell ref="AM79:AN79"/>
    <mergeCell ref="AK82:AL82"/>
    <mergeCell ref="AM82:AN82"/>
    <mergeCell ref="AD99:AN99"/>
    <mergeCell ref="AD100:AN100"/>
    <mergeCell ref="AD101:AN101"/>
    <mergeCell ref="AD102:AN102"/>
    <mergeCell ref="AK94:AL94"/>
    <mergeCell ref="AM94:AN94"/>
    <mergeCell ref="AK95:AL95"/>
    <mergeCell ref="AM95:AN95"/>
    <mergeCell ref="AK91:AL91"/>
    <mergeCell ref="AM91:AN91"/>
    <mergeCell ref="AK92:AL92"/>
    <mergeCell ref="AM92:AN92"/>
    <mergeCell ref="AK93:AL93"/>
    <mergeCell ref="AM93:AN93"/>
    <mergeCell ref="AP24:AQ24"/>
    <mergeCell ref="AR25:AT25"/>
    <mergeCell ref="AR26:AT26"/>
    <mergeCell ref="AR27:AT27"/>
    <mergeCell ref="AR24:AT24"/>
    <mergeCell ref="AK96:AL96"/>
    <mergeCell ref="AM96:AN96"/>
    <mergeCell ref="AK97:AL97"/>
    <mergeCell ref="AM97:AN97"/>
    <mergeCell ref="AK86:AL86"/>
    <mergeCell ref="AM86:AN86"/>
    <mergeCell ref="AK87:AL87"/>
    <mergeCell ref="AM87:AN87"/>
    <mergeCell ref="AK88:AL88"/>
    <mergeCell ref="AM88:AN88"/>
    <mergeCell ref="AK89:AL89"/>
    <mergeCell ref="AM89:AN89"/>
    <mergeCell ref="AK90:AL90"/>
    <mergeCell ref="AM90:AN90"/>
    <mergeCell ref="AK83:AL83"/>
    <mergeCell ref="AM83:AN83"/>
    <mergeCell ref="AK80:AL80"/>
    <mergeCell ref="AM80:AN80"/>
    <mergeCell ref="AK81:AL81"/>
  </mergeCells>
  <conditionalFormatting sqref="C8">
    <cfRule type="notContainsBlanks" dxfId="40" priority="410">
      <formula>LEN(TRIM(C8))&gt;0</formula>
    </cfRule>
  </conditionalFormatting>
  <conditionalFormatting sqref="C22">
    <cfRule type="notContainsBlanks" dxfId="39" priority="37">
      <formula>LEN(TRIM(C22))&gt;0</formula>
    </cfRule>
  </conditionalFormatting>
  <conditionalFormatting sqref="C36">
    <cfRule type="notContainsBlanks" dxfId="38" priority="35">
      <formula>LEN(TRIM(C36))&gt;0</formula>
    </cfRule>
  </conditionalFormatting>
  <conditionalFormatting sqref="C50">
    <cfRule type="notContainsBlanks" dxfId="37" priority="33">
      <formula>LEN(TRIM(C50))&gt;0</formula>
    </cfRule>
  </conditionalFormatting>
  <conditionalFormatting sqref="C64">
    <cfRule type="notContainsBlanks" dxfId="36" priority="31">
      <formula>LEN(TRIM(C64))&gt;0</formula>
    </cfRule>
  </conditionalFormatting>
  <conditionalFormatting sqref="C78">
    <cfRule type="notContainsBlanks" dxfId="35" priority="29">
      <formula>LEN(TRIM(C78))&gt;0</formula>
    </cfRule>
  </conditionalFormatting>
  <conditionalFormatting sqref="C92">
    <cfRule type="notContainsBlanks" dxfId="34" priority="27">
      <formula>LEN(TRIM(C92))&gt;0</formula>
    </cfRule>
  </conditionalFormatting>
  <conditionalFormatting sqref="C106">
    <cfRule type="notContainsBlanks" dxfId="33" priority="25">
      <formula>LEN(TRIM(C106))&gt;0</formula>
    </cfRule>
  </conditionalFormatting>
  <conditionalFormatting sqref="C120">
    <cfRule type="notContainsBlanks" dxfId="32" priority="23">
      <formula>LEN(TRIM(C120))&gt;0</formula>
    </cfRule>
  </conditionalFormatting>
  <conditionalFormatting sqref="C134">
    <cfRule type="notContainsBlanks" dxfId="31" priority="21">
      <formula>LEN(TRIM(C134))&gt;0</formula>
    </cfRule>
  </conditionalFormatting>
  <conditionalFormatting sqref="C148">
    <cfRule type="notContainsBlanks" dxfId="30" priority="19">
      <formula>LEN(TRIM(C148))&gt;0</formula>
    </cfRule>
  </conditionalFormatting>
  <conditionalFormatting sqref="C162">
    <cfRule type="notContainsBlanks" dxfId="29" priority="17">
      <formula>LEN(TRIM(C162))&gt;0</formula>
    </cfRule>
  </conditionalFormatting>
  <conditionalFormatting sqref="C176">
    <cfRule type="notContainsBlanks" dxfId="28" priority="15">
      <formula>LEN(TRIM(C176))&gt;0</formula>
    </cfRule>
  </conditionalFormatting>
  <conditionalFormatting sqref="C190">
    <cfRule type="notContainsBlanks" dxfId="27" priority="13">
      <formula>LEN(TRIM(C190))&gt;0</formula>
    </cfRule>
  </conditionalFormatting>
  <conditionalFormatting sqref="C204">
    <cfRule type="notContainsBlanks" dxfId="26" priority="11">
      <formula>LEN(TRIM(C204))&gt;0</formula>
    </cfRule>
  </conditionalFormatting>
  <conditionalFormatting sqref="C218">
    <cfRule type="notContainsBlanks" dxfId="25" priority="9">
      <formula>LEN(TRIM(C218))&gt;0</formula>
    </cfRule>
  </conditionalFormatting>
  <conditionalFormatting sqref="C232">
    <cfRule type="notContainsBlanks" dxfId="24" priority="7">
      <formula>LEN(TRIM(C232))&gt;0</formula>
    </cfRule>
  </conditionalFormatting>
  <conditionalFormatting sqref="C246">
    <cfRule type="notContainsBlanks" dxfId="23" priority="5">
      <formula>LEN(TRIM(C246))&gt;0</formula>
    </cfRule>
  </conditionalFormatting>
  <conditionalFormatting sqref="C260">
    <cfRule type="notContainsBlanks" dxfId="22" priority="3">
      <formula>LEN(TRIM(C260))&gt;0</formula>
    </cfRule>
  </conditionalFormatting>
  <conditionalFormatting sqref="C274">
    <cfRule type="notContainsBlanks" dxfId="21" priority="1">
      <formula>LEN(TRIM(C274))&gt;0</formula>
    </cfRule>
  </conditionalFormatting>
  <conditionalFormatting sqref="E2:H5">
    <cfRule type="notContainsBlanks" dxfId="20" priority="411" stopIfTrue="1">
      <formula>LEN(TRIM(E2))&gt;0</formula>
    </cfRule>
  </conditionalFormatting>
  <conditionalFormatting sqref="G7:G18">
    <cfRule type="notContainsBlanks" dxfId="19" priority="412" stopIfTrue="1">
      <formula>LEN(TRIM(G7))&gt;0</formula>
    </cfRule>
  </conditionalFormatting>
  <conditionalFormatting sqref="G21:G32">
    <cfRule type="notContainsBlanks" dxfId="18" priority="38" stopIfTrue="1">
      <formula>LEN(TRIM(G21))&gt;0</formula>
    </cfRule>
  </conditionalFormatting>
  <conditionalFormatting sqref="G35:G46">
    <cfRule type="notContainsBlanks" dxfId="17" priority="36" stopIfTrue="1">
      <formula>LEN(TRIM(G35))&gt;0</formula>
    </cfRule>
  </conditionalFormatting>
  <conditionalFormatting sqref="G49:G60">
    <cfRule type="notContainsBlanks" dxfId="16" priority="34" stopIfTrue="1">
      <formula>LEN(TRIM(G49))&gt;0</formula>
    </cfRule>
  </conditionalFormatting>
  <conditionalFormatting sqref="G63:G74">
    <cfRule type="notContainsBlanks" dxfId="15" priority="32" stopIfTrue="1">
      <formula>LEN(TRIM(G63))&gt;0</formula>
    </cfRule>
  </conditionalFormatting>
  <conditionalFormatting sqref="G77:G88">
    <cfRule type="notContainsBlanks" dxfId="14" priority="30" stopIfTrue="1">
      <formula>LEN(TRIM(G77))&gt;0</formula>
    </cfRule>
  </conditionalFormatting>
  <conditionalFormatting sqref="G91:G102">
    <cfRule type="notContainsBlanks" dxfId="13" priority="28" stopIfTrue="1">
      <formula>LEN(TRIM(G91))&gt;0</formula>
    </cfRule>
  </conditionalFormatting>
  <conditionalFormatting sqref="G105:G116">
    <cfRule type="notContainsBlanks" dxfId="12" priority="26" stopIfTrue="1">
      <formula>LEN(TRIM(G105))&gt;0</formula>
    </cfRule>
  </conditionalFormatting>
  <conditionalFormatting sqref="G119:G130">
    <cfRule type="notContainsBlanks" dxfId="11" priority="24" stopIfTrue="1">
      <formula>LEN(TRIM(G119))&gt;0</formula>
    </cfRule>
  </conditionalFormatting>
  <conditionalFormatting sqref="G133:G144">
    <cfRule type="notContainsBlanks" dxfId="10" priority="22" stopIfTrue="1">
      <formula>LEN(TRIM(G133))&gt;0</formula>
    </cfRule>
  </conditionalFormatting>
  <conditionalFormatting sqref="G147:G158">
    <cfRule type="notContainsBlanks" dxfId="9" priority="20" stopIfTrue="1">
      <formula>LEN(TRIM(G147))&gt;0</formula>
    </cfRule>
  </conditionalFormatting>
  <conditionalFormatting sqref="G161:G172">
    <cfRule type="notContainsBlanks" dxfId="8" priority="18" stopIfTrue="1">
      <formula>LEN(TRIM(G161))&gt;0</formula>
    </cfRule>
  </conditionalFormatting>
  <conditionalFormatting sqref="G175:G186">
    <cfRule type="notContainsBlanks" dxfId="7" priority="16" stopIfTrue="1">
      <formula>LEN(TRIM(G175))&gt;0</formula>
    </cfRule>
  </conditionalFormatting>
  <conditionalFormatting sqref="G189:G200">
    <cfRule type="notContainsBlanks" dxfId="6" priority="14" stopIfTrue="1">
      <formula>LEN(TRIM(G189))&gt;0</formula>
    </cfRule>
  </conditionalFormatting>
  <conditionalFormatting sqref="G203:G214">
    <cfRule type="notContainsBlanks" dxfId="5" priority="12" stopIfTrue="1">
      <formula>LEN(TRIM(G203))&gt;0</formula>
    </cfRule>
  </conditionalFormatting>
  <conditionalFormatting sqref="G217:G228">
    <cfRule type="notContainsBlanks" dxfId="4" priority="10" stopIfTrue="1">
      <formula>LEN(TRIM(G217))&gt;0</formula>
    </cfRule>
  </conditionalFormatting>
  <conditionalFormatting sqref="G231:G242">
    <cfRule type="notContainsBlanks" dxfId="3" priority="8" stopIfTrue="1">
      <formula>LEN(TRIM(G231))&gt;0</formula>
    </cfRule>
  </conditionalFormatting>
  <conditionalFormatting sqref="G245:G256">
    <cfRule type="notContainsBlanks" dxfId="2" priority="6" stopIfTrue="1">
      <formula>LEN(TRIM(G245))&gt;0</formula>
    </cfRule>
  </conditionalFormatting>
  <conditionalFormatting sqref="G259:G270">
    <cfRule type="notContainsBlanks" dxfId="1" priority="4" stopIfTrue="1">
      <formula>LEN(TRIM(G259))&gt;0</formula>
    </cfRule>
  </conditionalFormatting>
  <conditionalFormatting sqref="G273:G284">
    <cfRule type="notContainsBlanks" dxfId="0" priority="2" stopIfTrue="1">
      <formula>LEN(TRIM(G273))&gt;0</formula>
    </cfRule>
  </conditionalFormatting>
  <dataValidations count="4">
    <dataValidation type="list" allowBlank="1" showInputMessage="1" showErrorMessage="1" sqref="G13 G265 G27 G41 G55 G69 G83 G97 G111 G125 G139 G153 G167 G181 G195 G209 G223 G237 G251 G279" xr:uid="{1C537F9E-53B7-41EE-95E9-9C5F94BD434B}">
      <formula1>"20A (1B),21A (3A),22A,23B,24B,30A (1P)"</formula1>
    </dataValidation>
    <dataValidation type="list" allowBlank="1" showInputMessage="1" showErrorMessage="1" sqref="G15 G267 G29 G43 G57 G71 G85 G99 G113 G127 G141 G155 G169 G183 G197 G211 G225 G239 G253 G281" xr:uid="{2CCF10C2-CE54-4677-8A84-A7AB1C830B00}">
      <formula1>"None,1:1,1:1.3 Up,1.3:1 Down"</formula1>
    </dataValidation>
    <dataValidation type="list" allowBlank="1" showErrorMessage="1" promptTitle="NW" prompt="Conveyor Nominal Width" sqref="G7 G259 G21 G35 G49 G63 G77 G91 G105 G119 G133 G147 G161 G175 G189 G203 G217 G231 G245 G273" xr:uid="{BA231D87-0FA2-403C-B3C1-4B683F14EA44}">
      <formula1>"18,24,30,36,42,48"</formula1>
    </dataValidation>
    <dataValidation type="list" allowBlank="1" showInputMessage="1" showErrorMessage="1" sqref="G14 G266 G28 G42 G56 G70 G84 G98 G112 G126 G140 G154 G168 G182 G196 G210 G224 G238 G252 G280" xr:uid="{76AA31A0-F302-4D20-9158-E1A0ECD05570}">
      <formula1>$AQ$25:$AQ$27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49CCB-86F1-462D-A909-CDB7A96E237A}">
  <dimension ref="A2:C5"/>
  <sheetViews>
    <sheetView workbookViewId="0">
      <selection activeCell="C4" sqref="C4"/>
    </sheetView>
  </sheetViews>
  <sheetFormatPr defaultColWidth="9.109375" defaultRowHeight="14.4" x14ac:dyDescent="0.3"/>
  <cols>
    <col min="1" max="16384" width="9.109375" style="229"/>
  </cols>
  <sheetData>
    <row r="2" spans="1:3" x14ac:dyDescent="0.3">
      <c r="B2" s="229" t="s">
        <v>385</v>
      </c>
      <c r="C2" s="229" t="s">
        <v>386</v>
      </c>
    </row>
    <row r="3" spans="1:3" x14ac:dyDescent="0.3">
      <c r="A3" s="229" t="s">
        <v>22</v>
      </c>
      <c r="B3" s="229">
        <f>C3*12*25.4</f>
        <v>67056</v>
      </c>
      <c r="C3" s="230">
        <v>220</v>
      </c>
    </row>
    <row r="4" spans="1:3" x14ac:dyDescent="0.3">
      <c r="A4" s="229" t="s">
        <v>107</v>
      </c>
      <c r="B4" s="229">
        <f>C4/3.281</f>
        <v>182.87107589149647</v>
      </c>
      <c r="C4" s="230">
        <v>600</v>
      </c>
    </row>
    <row r="5" spans="1:3" x14ac:dyDescent="0.3">
      <c r="A5" s="229" t="s">
        <v>108</v>
      </c>
      <c r="B5" s="229">
        <f>3.4*B3/1000*B4/5202</f>
        <v>8.014773114366136</v>
      </c>
      <c r="C5" s="229">
        <f>B5*1.341</f>
        <v>10.747810746364989</v>
      </c>
    </row>
  </sheetData>
  <sheetProtection sheet="1" objects="1" scenarios="1"/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1942990DC9E441A8525059500CFFC6" ma:contentTypeVersion="14" ma:contentTypeDescription="Create a new document." ma:contentTypeScope="" ma:versionID="68e4a0fa0163ec9f059cee0573f185af">
  <xsd:schema xmlns:xsd="http://www.w3.org/2001/XMLSchema" xmlns:xs="http://www.w3.org/2001/XMLSchema" xmlns:p="http://schemas.microsoft.com/office/2006/metadata/properties" xmlns:ns2="17947d60-7798-4a7c-ac2c-b7c7ea61a2db" xmlns:ns3="8665659f-dc46-489d-add3-d917cbeeeb61" targetNamespace="http://schemas.microsoft.com/office/2006/metadata/properties" ma:root="true" ma:fieldsID="8da258e38bac25a89cb5edac5e7c009e" ns2:_="" ns3:_="">
    <xsd:import namespace="17947d60-7798-4a7c-ac2c-b7c7ea61a2db"/>
    <xsd:import namespace="8665659f-dc46-489d-add3-d917cbeeeb6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947d60-7798-4a7c-ac2c-b7c7ea61a2d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52a9680c-5ff0-49aa-a0a0-49f4369860ac}" ma:internalName="TaxCatchAll" ma:showField="CatchAllData" ma:web="17947d60-7798-4a7c-ac2c-b7c7ea61a2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65659f-dc46-489d-add3-d917cbeeeb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c628723-b0a0-432a-984c-fcdc2dfcc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7947d60-7798-4a7c-ac2c-b7c7ea61a2db" xsi:nil="true"/>
    <lcf76f155ced4ddcb4097134ff3c332f xmlns="8665659f-dc46-489d-add3-d917cbeeeb6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68F67CE-3B36-4787-B556-D71C86991F8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B1E20361-D494-4426-9CDB-BAED7A96FC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947d60-7798-4a7c-ac2c-b7c7ea61a2db"/>
    <ds:schemaRef ds:uri="8665659f-dc46-489d-add3-d917cbeeeb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A0DB82-DAA6-4B96-BBA6-D5B8295A456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7C8B202-4E48-4A2F-BF72-10006347C25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75673cc-1a8b-461d-b894-c9097d2089ae"/>
    <ds:schemaRef ds:uri="97d23509-9edf-49ca-8204-cf59a307b921"/>
    <ds:schemaRef ds:uri="889d90fb-78e6-40fe-ada1-7f0e8f37e3db"/>
    <ds:schemaRef ds:uri="a7be00bd-ef3c-4168-96ca-3a392a434583"/>
    <ds:schemaRef ds:uri="17947d60-7798-4a7c-ac2c-b7c7ea61a2db"/>
    <ds:schemaRef ds:uri="8665659f-dc46-489d-add3-d917cbeeeb6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size="43" baseType="lpstr">
      <vt:lpstr>V-Belt</vt:lpstr>
      <vt:lpstr>Live Roller</vt:lpstr>
      <vt:lpstr>Belt</vt:lpstr>
      <vt:lpstr>AS30</vt:lpstr>
      <vt:lpstr>'Live Roller'!LrCfRf</vt:lpstr>
      <vt:lpstr>'Live Roller'!LrCfRf_Header</vt:lpstr>
      <vt:lpstr>'Live Roller'!LrCfRf_Speed</vt:lpstr>
      <vt:lpstr>'Live Roller'!LrDirectDriveDodge_Cd</vt:lpstr>
      <vt:lpstr>'Live Roller'!LrDirectDriveDodge_CdHp</vt:lpstr>
      <vt:lpstr>'Live Roller'!LrDirectDriveDodge_Ebp</vt:lpstr>
      <vt:lpstr>'Live Roller'!LrDirectDriveDodge_Hp</vt:lpstr>
      <vt:lpstr>'Live Roller'!LrDirectDriveDodge_MaxT</vt:lpstr>
      <vt:lpstr>'Live Roller'!LrDirectDriveDodge_Speed</vt:lpstr>
      <vt:lpstr>'Live Roller'!LrDirectDriveMotovario_Cd</vt:lpstr>
      <vt:lpstr>'Live Roller'!LrDirectDriveMotovario_Ebp</vt:lpstr>
      <vt:lpstr>'Live Roller'!LrDirectDriveMotovario_Hp</vt:lpstr>
      <vt:lpstr>'Live Roller'!LrDirectDriveMotovario_MaxT</vt:lpstr>
      <vt:lpstr>'Live Roller'!LrDirectDriveMotovario_Speed</vt:lpstr>
      <vt:lpstr>'Live Roller'!LrDriveCap_Cd</vt:lpstr>
      <vt:lpstr>'Live Roller'!LrDriveCap_Ebp</vt:lpstr>
      <vt:lpstr>'Live Roller'!LrDriveCap_Hp</vt:lpstr>
      <vt:lpstr>'Live Roller'!LrDriveCap_Length</vt:lpstr>
      <vt:lpstr>'Live Roller'!LrDriveCap_Slave</vt:lpstr>
      <vt:lpstr>'Live Roller'!Print_Area</vt:lpstr>
      <vt:lpstr>'V-Belt'!Print_Area</vt:lpstr>
      <vt:lpstr>'V-Belt'!VbDriveAb_Ebp</vt:lpstr>
      <vt:lpstr>'V-Belt'!VbDriveAb_Hp</vt:lpstr>
      <vt:lpstr>'V-Belt'!VbDriveAb_Speed</vt:lpstr>
      <vt:lpstr>'V-Belt'!VbDriveC_Ebp</vt:lpstr>
      <vt:lpstr>'V-Belt'!VbDriveC_Hp</vt:lpstr>
      <vt:lpstr>'V-Belt'!VbDriveC_Speed</vt:lpstr>
      <vt:lpstr>'V-Belt'!VbFigureConst_Const</vt:lpstr>
      <vt:lpstr>'V-Belt'!VbFigureConst_Figure</vt:lpstr>
      <vt:lpstr>'V-Belt'!VbModuleLength_Length</vt:lpstr>
      <vt:lpstr>'V-Belt'!VbModuleLength_Module</vt:lpstr>
      <vt:lpstr>'V-Belt'!VbSpeedConstA_Int</vt:lpstr>
      <vt:lpstr>'V-Belt'!VbSpeedConstA_Rc</vt:lpstr>
      <vt:lpstr>'V-Belt'!VbSpeedConstA_Slope</vt:lpstr>
      <vt:lpstr>'V-Belt'!VbSpeedConstA_Type</vt:lpstr>
      <vt:lpstr>'V-Belt'!VbSpeedConstB_Figure</vt:lpstr>
      <vt:lpstr>'V-Belt'!VbSpeedConstB_Type</vt:lpstr>
      <vt:lpstr>'V-Belt'!VbWidthFactor_Constant</vt:lpstr>
      <vt:lpstr>'V-Belt'!VbWidthFactor_NW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Luhn</dc:creator>
  <cp:keywords/>
  <dc:description/>
  <cp:lastModifiedBy>Mohamed Hasan</cp:lastModifiedBy>
  <cp:revision/>
  <dcterms:created xsi:type="dcterms:W3CDTF">1997-06-25T13:35:44Z</dcterms:created>
  <dcterms:modified xsi:type="dcterms:W3CDTF">2024-06-30T15:43:46Z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ormulaDeskUniqueName">
    <vt:lpwstr>4ed8c92a-f37b-439c-be0d-3436b80654fa</vt:lpwstr>
  </property>
  <property fmtid="{D5CDD505-2E9C-101B-9397-08002B2CF9AE}" pid="3" name="MediaServiceImageTags">
    <vt:lpwstr/>
  </property>
  <property fmtid="{D5CDD505-2E9C-101B-9397-08002B2CF9AE}" pid="4" name="ContentTypeId">
    <vt:lpwstr>0x0101007E58ACA2ABD6A8408B7971AE2A94A868</vt:lpwstr>
  </property>
</Properties>
</file>