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K:\.shortcut-targets-by-id\1x6oKSPpXqTIPFsx19O0GsxO8UQuYnkza\College Stuff\[] Grad Classes\[F24] ENME 610\ENME610 Team Folder\[] Research and Resources\"/>
    </mc:Choice>
  </mc:AlternateContent>
  <xr:revisionPtr revIDLastSave="0" documentId="13_ncr:1_{D981AF4F-68FC-490D-B1A6-A3BC30C5FCDF}" xr6:coauthVersionLast="47" xr6:coauthVersionMax="47" xr10:uidLastSave="{00000000-0000-0000-0000-000000000000}"/>
  <bookViews>
    <workbookView xWindow="-28920" yWindow="-120" windowWidth="29040" windowHeight="15720" activeTab="4" xr2:uid="{3E2584AD-6165-4199-8EEF-45BCF16DA444}"/>
  </bookViews>
  <sheets>
    <sheet name="PostOptimization_GG_Clarice" sheetId="10" r:id="rId1"/>
    <sheet name="PostOptimization_LP_Stamp" sheetId="9" r:id="rId2"/>
    <sheet name="PostOptimization_UP_Eppley" sheetId="7" r:id="rId3"/>
    <sheet name="BeforeOptimization" sheetId="2" r:id="rId4"/>
    <sheet name="Trail_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9" l="1"/>
  <c r="J4" i="2"/>
  <c r="J5" i="2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3" i="2"/>
  <c r="T2" i="10"/>
  <c r="Q13" i="2"/>
  <c r="S13" i="2" s="1"/>
  <c r="N4" i="2"/>
  <c r="P4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" i="1"/>
  <c r="O5" i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2" i="2"/>
  <c r="S3" i="2"/>
  <c r="S4" i="2"/>
  <c r="S5" i="2"/>
  <c r="S6" i="2"/>
  <c r="S7" i="2"/>
  <c r="S8" i="2"/>
  <c r="S9" i="2"/>
  <c r="S10" i="2"/>
  <c r="S11" i="2"/>
  <c r="S12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2" i="2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2" i="2"/>
  <c r="Q3" i="2"/>
  <c r="Q4" i="2"/>
  <c r="Q5" i="2"/>
  <c r="Q6" i="2"/>
  <c r="Q7" i="2"/>
  <c r="Q8" i="2"/>
  <c r="Q9" i="2"/>
  <c r="Q10" i="2"/>
  <c r="Q11" i="2"/>
  <c r="Q12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2" i="2"/>
  <c r="N3" i="2"/>
  <c r="N5" i="2"/>
  <c r="N6" i="2"/>
  <c r="N7" i="2"/>
  <c r="N8" i="2"/>
  <c r="N9" i="2"/>
  <c r="N10" i="2"/>
  <c r="N11" i="2"/>
  <c r="W11" i="2" s="1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2" i="2"/>
  <c r="W3" i="2"/>
  <c r="W13" i="2"/>
  <c r="W40" i="2"/>
  <c r="W20" i="2"/>
  <c r="W36" i="2"/>
  <c r="W4" i="2"/>
  <c r="U2" i="10"/>
  <c r="R2" i="10"/>
  <c r="O2" i="10"/>
  <c r="B10" i="10"/>
  <c r="B7" i="10"/>
  <c r="B6" i="10"/>
  <c r="Q2" i="10" s="1"/>
  <c r="U2" i="9"/>
  <c r="R2" i="9"/>
  <c r="O2" i="9"/>
  <c r="B10" i="9"/>
  <c r="B7" i="9"/>
  <c r="B6" i="9"/>
  <c r="T2" i="9" s="1"/>
  <c r="U2" i="7"/>
  <c r="R2" i="7"/>
  <c r="O2" i="7"/>
  <c r="B10" i="7"/>
  <c r="B7" i="7"/>
  <c r="B6" i="7"/>
  <c r="W39" i="2"/>
  <c r="W38" i="2"/>
  <c r="W37" i="2"/>
  <c r="W27" i="2"/>
  <c r="W26" i="2"/>
  <c r="W25" i="2"/>
  <c r="W24" i="2"/>
  <c r="W23" i="2"/>
  <c r="W22" i="2"/>
  <c r="W21" i="2"/>
  <c r="W10" i="2"/>
  <c r="W9" i="2"/>
  <c r="W8" i="2"/>
  <c r="W7" i="2"/>
  <c r="W6" i="2"/>
  <c r="W5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2" i="2"/>
  <c r="B10" i="2"/>
  <c r="B7" i="2"/>
  <c r="B6" i="2"/>
  <c r="T2" i="7" l="1"/>
  <c r="Q2" i="7"/>
  <c r="Q2" i="9"/>
  <c r="N2" i="10"/>
  <c r="N2" i="7"/>
  <c r="W2" i="7" s="1"/>
  <c r="O2" i="1"/>
  <c r="W43" i="2"/>
  <c r="W14" i="2"/>
  <c r="W42" i="2"/>
  <c r="W15" i="2"/>
  <c r="W41" i="2"/>
  <c r="W32" i="2"/>
  <c r="W31" i="2"/>
  <c r="W30" i="2"/>
  <c r="W35" i="2"/>
  <c r="W19" i="2"/>
  <c r="W28" i="2"/>
  <c r="W12" i="2"/>
  <c r="W2" i="2"/>
  <c r="W34" i="2"/>
  <c r="W18" i="2"/>
  <c r="W33" i="2"/>
  <c r="W17" i="2"/>
  <c r="W16" i="2"/>
  <c r="W29" i="2"/>
  <c r="O13" i="1"/>
  <c r="M2" i="7" s="1"/>
  <c r="O28" i="1"/>
  <c r="M2" i="9" s="1"/>
  <c r="O35" i="1"/>
  <c r="M35" i="2" s="1"/>
  <c r="X35" i="2" s="1"/>
  <c r="O19" i="1"/>
  <c r="M19" i="2" s="1"/>
  <c r="X19" i="2" s="1"/>
  <c r="O17" i="1"/>
  <c r="M17" i="2" s="1"/>
  <c r="X17" i="2" s="1"/>
  <c r="O38" i="1"/>
  <c r="M38" i="2" s="1"/>
  <c r="X38" i="2" s="1"/>
  <c r="S2" i="7" l="1"/>
  <c r="P2" i="7"/>
  <c r="S2" i="9"/>
  <c r="P2" i="9"/>
  <c r="W2" i="10"/>
  <c r="W2" i="9"/>
  <c r="V2" i="9"/>
  <c r="V2" i="7"/>
  <c r="O14" i="1"/>
  <c r="M14" i="2" s="1"/>
  <c r="X14" i="2" s="1"/>
  <c r="O33" i="1"/>
  <c r="M33" i="2" s="1"/>
  <c r="X33" i="2" s="1"/>
  <c r="O25" i="1"/>
  <c r="M25" i="2" s="1"/>
  <c r="X25" i="2" s="1"/>
  <c r="M28" i="2"/>
  <c r="X28" i="2" s="1"/>
  <c r="O3" i="1"/>
  <c r="M3" i="2" s="1"/>
  <c r="X3" i="2" s="1"/>
  <c r="M13" i="2"/>
  <c r="X13" i="2" s="1"/>
  <c r="O41" i="1"/>
  <c r="M41" i="2" s="1"/>
  <c r="X41" i="2" s="1"/>
  <c r="O11" i="1"/>
  <c r="M11" i="2" s="1"/>
  <c r="X11" i="2" s="1"/>
  <c r="O27" i="1"/>
  <c r="M27" i="2" s="1"/>
  <c r="X27" i="2" s="1"/>
  <c r="O23" i="1"/>
  <c r="M23" i="2" s="1"/>
  <c r="X23" i="2" s="1"/>
  <c r="O9" i="1"/>
  <c r="M9" i="2" s="1"/>
  <c r="X9" i="2" s="1"/>
  <c r="O29" i="1"/>
  <c r="M29" i="2" s="1"/>
  <c r="X29" i="2" s="1"/>
  <c r="O10" i="1"/>
  <c r="M10" i="2" s="1"/>
  <c r="X10" i="2" s="1"/>
  <c r="O30" i="1"/>
  <c r="M30" i="2" s="1"/>
  <c r="X30" i="2" s="1"/>
  <c r="O37" i="1"/>
  <c r="M37" i="2" s="1"/>
  <c r="X37" i="2" s="1"/>
  <c r="O18" i="1"/>
  <c r="M18" i="2" s="1"/>
  <c r="X18" i="2" s="1"/>
  <c r="O15" i="1"/>
  <c r="M15" i="2" s="1"/>
  <c r="X15" i="2" s="1"/>
  <c r="O42" i="1"/>
  <c r="M42" i="2" s="1"/>
  <c r="X42" i="2" s="1"/>
  <c r="O12" i="1"/>
  <c r="M12" i="2" s="1"/>
  <c r="X12" i="2" s="1"/>
  <c r="O21" i="1"/>
  <c r="M21" i="2" s="1"/>
  <c r="X21" i="2" s="1"/>
  <c r="O7" i="1"/>
  <c r="M7" i="2" s="1"/>
  <c r="X7" i="2" s="1"/>
  <c r="M5" i="2"/>
  <c r="X5" i="2" s="1"/>
  <c r="O39" i="1"/>
  <c r="M39" i="2" s="1"/>
  <c r="X39" i="2" s="1"/>
  <c r="O26" i="1"/>
  <c r="M26" i="2" s="1"/>
  <c r="X26" i="2" s="1"/>
  <c r="M2" i="2"/>
  <c r="X2" i="2" s="1"/>
  <c r="O31" i="1"/>
  <c r="M31" i="2" s="1"/>
  <c r="X31" i="2" s="1"/>
  <c r="O6" i="1"/>
  <c r="M6" i="2" s="1"/>
  <c r="X6" i="2" s="1"/>
  <c r="O43" i="1"/>
  <c r="M43" i="2" s="1"/>
  <c r="X43" i="2" s="1"/>
  <c r="O22" i="1"/>
  <c r="M22" i="2" s="1"/>
  <c r="X22" i="2" s="1"/>
  <c r="O16" i="1"/>
  <c r="M16" i="2" s="1"/>
  <c r="X16" i="2" s="1"/>
  <c r="O32" i="1"/>
  <c r="M32" i="2" s="1"/>
  <c r="X32" i="2" s="1"/>
  <c r="O8" i="1"/>
  <c r="M8" i="2" s="1"/>
  <c r="X8" i="2" s="1"/>
  <c r="O34" i="1"/>
  <c r="M34" i="2" s="1"/>
  <c r="X34" i="2" s="1"/>
  <c r="O4" i="1"/>
  <c r="M4" i="2" s="1"/>
  <c r="X4" i="2" s="1"/>
  <c r="O24" i="1"/>
  <c r="M24" i="2" s="1"/>
  <c r="X24" i="2" s="1"/>
  <c r="O20" i="1"/>
  <c r="M20" i="2" s="1"/>
  <c r="X20" i="2" s="1"/>
  <c r="O40" i="1"/>
  <c r="M40" i="2" s="1"/>
  <c r="X40" i="2" s="1"/>
  <c r="O36" i="1"/>
  <c r="M2" i="10" s="1"/>
  <c r="P2" i="10" s="1"/>
  <c r="X2" i="9" l="1"/>
  <c r="X2" i="7"/>
  <c r="V2" i="10"/>
  <c r="S2" i="10"/>
  <c r="M36" i="2"/>
  <c r="X36" i="2" s="1"/>
  <c r="X2" i="10" l="1"/>
</calcChain>
</file>

<file path=xl/sharedStrings.xml><?xml version="1.0" encoding="utf-8"?>
<sst xmlns="http://schemas.openxmlformats.org/spreadsheetml/2006/main" count="337" uniqueCount="62">
  <si>
    <t>Energy 1</t>
  </si>
  <si>
    <t>Energy 2</t>
  </si>
  <si>
    <t>Energy 3</t>
  </si>
  <si>
    <t>Energy total</t>
  </si>
  <si>
    <t>B</t>
  </si>
  <si>
    <t>UP</t>
  </si>
  <si>
    <t>MS</t>
  </si>
  <si>
    <t>WH</t>
  </si>
  <si>
    <t>LP</t>
  </si>
  <si>
    <t>GG</t>
  </si>
  <si>
    <t>MRR</t>
  </si>
  <si>
    <t>Name</t>
  </si>
  <si>
    <t>clark</t>
  </si>
  <si>
    <t>lib</t>
  </si>
  <si>
    <t>stamp</t>
  </si>
  <si>
    <t>smith</t>
  </si>
  <si>
    <t>clarice</t>
  </si>
  <si>
    <t>eppley</t>
  </si>
  <si>
    <t>Start</t>
  </si>
  <si>
    <t>End</t>
  </si>
  <si>
    <t xml:space="preserve">Quantity </t>
  </si>
  <si>
    <t>Pressure (bar)</t>
  </si>
  <si>
    <t>CRR:</t>
  </si>
  <si>
    <t>x_efficiency:</t>
  </si>
  <si>
    <t>GR_upper</t>
  </si>
  <si>
    <t>GR_lower</t>
  </si>
  <si>
    <t>v_upper (m/s)</t>
  </si>
  <si>
    <t>V_lower (m/s)</t>
  </si>
  <si>
    <t>p_upper (bar)</t>
  </si>
  <si>
    <t>p_lower (bar)</t>
  </si>
  <si>
    <t>CRR_Coeffs</t>
  </si>
  <si>
    <t>Velocity (m/s)</t>
  </si>
  <si>
    <t>Gear ratio</t>
  </si>
  <si>
    <t>mass (kg)</t>
  </si>
  <si>
    <t>gravity (m/s^2)</t>
  </si>
  <si>
    <t>Efficiency</t>
  </si>
  <si>
    <t>rho (kg/m3)</t>
  </si>
  <si>
    <t>accel (m/s^2)</t>
  </si>
  <si>
    <t>Bound Name</t>
  </si>
  <si>
    <t>Trail Energy (J)</t>
  </si>
  <si>
    <t>Power 1 (W)</t>
  </si>
  <si>
    <t>Time 1 (s)</t>
  </si>
  <si>
    <t>Energy 1 (J)</t>
  </si>
  <si>
    <t>Power 2 (W)</t>
  </si>
  <si>
    <t>Time 2 (s)</t>
  </si>
  <si>
    <t>Power 3 (W)</t>
  </si>
  <si>
    <t>Energy 2 (J)</t>
  </si>
  <si>
    <t>Time 3 (s)</t>
  </si>
  <si>
    <t>Energy 3 (J)</t>
  </si>
  <si>
    <t>Optimizing for …</t>
  </si>
  <si>
    <t>UP_Eppley</t>
  </si>
  <si>
    <t>LP_Stamp</t>
  </si>
  <si>
    <t>GG_Clarice</t>
  </si>
  <si>
    <t>Total Energy on Route</t>
  </si>
  <si>
    <t>"Total" Power</t>
  </si>
  <si>
    <t>Index</t>
  </si>
  <si>
    <t>Distance 1 (m)</t>
  </si>
  <si>
    <t>Theta 1 (deg)</t>
  </si>
  <si>
    <t>Distance 2 (m)</t>
  </si>
  <si>
    <t>Theta 2 (deg)</t>
  </si>
  <si>
    <t>Distance 3 (m)</t>
  </si>
  <si>
    <t>Theta 3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</si>
</sst>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149DC8-DC35-4039-AD7A-F9597860EE37}">
  <we:reference id="wa104100404" version="3.0.0.1" store="en-US" storeType="OMEX"/>
  <we:alternateReferences>
    <we:reference id="WA104100404" version="3.0.0.1" store="WA104100404" storeType="OMEX"/>
  </we:alternateReferences>
  <we:properties>
    <we:property name="IxAp" value="&quot;&quot;"/>
    <we:property name="LhclXwo8Cx0MGVoLHQcaAiYCUmsCUXg3AhQGUhA4AAsK" value="&quot;XFxzAEhpdFw=&quot;"/>
    <we:property name="LhclXwo8Cx0MGVoLHQcaAiYCUmsCUXg3AhQGUhA4AQ8b" value="&quot;XFxzAEhpdFw=&quot;"/>
    <we:property name="LhclXwo8Cx0MGVoLHQcaAiYCUmsCUXg3AhQGUhA4AwAM" value="&quot;KyAE&quot;"/>
    <we:property name="LhclXwo8Cx0MGVoLHQcaAiYCUmsCUXg3AhQGUhA4BRgM" value="&quot;XFxzAEho&quot;"/>
    <we:property name="LhclXwo8Cx0MGVoLHQcaAiYCUmsCUXg3AhQGUhA4Bw0I" value="&quot;XFxzAEk=&quot;"/>
    <we:property name="LhclXwo8Cx0MGVoLHQcaAiYCUmsCUXg3AhQGUhA4BxwY" value="&quot;XQ==&quot;"/>
    <we:property name="LhclXwo8Cx0MGVoLHQcaAiYCUmsCUXg3AhQGUhA4CAsM" value="&quot;XQ==&quot;"/>
    <we:property name="LhclXwo8Cx0MGVoLHQcaAiYCUmsCUXg3AhQGUhA4CBoZ" value="&quot;Xg==&quot;"/>
    <we:property name="LhclXwo8Cx0MGVoLHQcaAiYCUmsCUXg3AhQGUhA4Ch4b" value="&quot;XA==&quot;"/>
    <we:property name="LhclXwo8Cx0MGVoLHQcaAiYCUmsCUXg3AhQGUhA4Ch4f" value="&quot;XA==&quot;"/>
    <we:property name="LhclXwo8Cx0MGVoLHQcaAiYCUmsCUXg3AhQGUhA4CwAC" value="&quot;X0I=&quot;"/>
    <we:property name="LhclXwo8Cx0MGVoLHQcaAiYCUmsCUXg3AhQGUhA4Cwsf" value="&quot;Xg==&quot;"/>
    <we:property name="LhclXwo8Cx0MGVoLHQcaAiYCUmsCUXg3AhQGUhA4Cx0H" value="&quot;XA==&quot;"/>
    <we:property name="LhclXwo8Cx0MGVoLHQcaAiYCUmsCUXg3AhQGUhA4Cxwf" value="&quot;XFxzB00=&quot;"/>
    <we:property name="LhclXwo8Cx0MGVoLHQcaAiYCUmsCUXg3AhQGUhA4Dx4C" value="&quot;XQ==&quot;"/>
    <we:property name="LhclXwo8Cx0MGVoLHQcaAiYCUmsCUXg3AhQGUhA4Dx4P" value="&quot;Xw==&quot;"/>
    <we:property name="LhclXwo8Cx0MGVoLHQcaAiYCUmsCUXg3AhQGUhA4Dx4Y" value="&quot;XFx6CQ==&quot;"/>
    <we:property name="LhclXwo8Cx0MGVoLHQcaAiYCUmsCUXg3AhQGUhA4EgEH" value="&quot;XFxzAQ==&quot;"/>
    <we:property name="LhclXwo8Cx0MGVoLHQcaAiYCUmsCUXg3AhQGUhA4FAIT" value="&quot;XA==&quot;"/>
    <we:property name="LhclXwo8Cx0MGVoLHQcaAiYCUmsCUXg3AhQGUhA4FAsY" value="&quot;WQ==&quot;"/>
    <we:property name="LhclXwo8Cx0MGVoLHQcaAiYCUmsCUXg3AhQGUhA4FAwd" value="&quot;XQ==&quot;"/>
    <we:property name="LhclXwo8Cx0MGVoLHQcaAiYCUmsCUXg3AhQGUhA4FB0P" value="&quot;XA==&quot;"/>
    <we:property name="LhclXwo8Cx0MGVoLHQcaAiYCUmsCUXg3AhQGUhA4FQ0H" value="&quot;XQ==&quot;"/>
    <we:property name="LhclXwo8Cx0MGVoLHQcaAiYCUmsCUXg3AhQGUhA4FQEI" value="&quot;XA==&quot;"/>
    <we:property name="LhclXwo8Cx0MGVoLHQcaAiYCUmsCUXg3AhQGUhA4FR0R" value="&quot;XUJz&quot;"/>
    <we:property name="LhclXwo8Cx0MGVoLHQcaAiYCUmsCUXg3AhQGUhA4FRoK" value="&quot;XA==&quot;"/>
    <we:property name="LhclXwo8Cx0MGVoLHQcaAiYCUmsCUXg3AhQGUhA4FhwO" value="&quot;XFxzAEhpdFw=&quot;"/>
    <we:property name="LhclXwo8Cx0MGVoLHQcaAiYCUmsCUXgJDAA9Xgw=" value="&quot;XQ==&quot;"/>
    <we:property name="LhclXwo8Cx0MGVoLHQcaAiYCUmsCUXgLDxI=" value="&quot;&quot;"/>
    <we:property name="PB0wRDcpMAQVGU0DEw8BBRY5Ihx1CCkoCAFRRA0LEAsZFgAaMAE=" value="&quot;JEA=&quot;"/>
    <we:property name="PB0wRDcpMAQVGU0DEw8BBRY5Ihx1CCkoCAFRRA0LEAsZFgAaMAI=" value="&quot;JEE=&quot;"/>
    <we:property name="PB0wRDcpMAQVGU0DEw8BBRY5Ihx1CCkoCAFRRA0LEAsZFgAaMAM=" value="&quot;JEY=&quot;"/>
    <we:property name="PB0wRDcpMAQVGU0DEw8BBRY5Ihx1CCkoCAFRRA0LEAsZFgAaMAQ=" value="&quot;JEc=&quot;"/>
    <we:property name="PB0wRDcpMAQVGU0DEw8BBRY5Ihx1CCkoCAFRRA0LEAsZFgAaMAU=" value="&quot;JEQ=&quot;"/>
    <we:property name="PB0wRDcpMAQVGU0DEw8BBRY5Ihx1CCkoCAFRRA0LEAsZFgAaMAY=" value="&quot;JEU=&quot;"/>
    <we:property name="PB0wRDcpMAQVGU0DEw8BBRY5Ihx1CCkoCAFRRA0LEAsZFgIHLg==" value="&quot;Wg==&quot;"/>
    <we:property name="PB0wRDcpMAQVGU0DEw8BBRY5Ihx1CCkoCAFRRA0LEAsZFh4XLwE=" value="&quot;TEx+EA==&quot;"/>
    <we:property name="PB0wRDcpMAQVGU0DEw8BBRY5Ihx1CCkoCAFRRA0LEAsZFh4XLwI=" value="&quot;TE5+EA==&quot;"/>
    <we:property name="PB0wRDcpMAQVGU0DEw8BBRY5Ihx1CCkoCAFRRA0LEAsZFh4XLwM=" value="&quot;TEx+EA==&quot;"/>
    <we:property name="PB0wRDcpMAQVGU0DEw8BBRY5Ihx1CCkoCAFRRA0LEAsZFh4XLwQ=" value="&quot;TE5+EA==&quot;"/>
    <we:property name="PB0wRDcpMAQVGU0DEw8BBRY5Ihx1CCkoCAFRRA0LEAsZFh4XLwU=" value="&quot;TEx+EA==&quot;"/>
    <we:property name="PB0wRDcpMAQVGU0DEw8BBRY5Ihx1CCkoCAFRRA0LEAsZFh4XLwY=" value="&quot;TE5+EA==&quot;"/>
    <we:property name="PB0wRDcpMAQVGU0DEw8BBRY5Ihx1CCkoCAFRRA0LEAsZFh4aMAE=" value="&quot;LkE=&quot;"/>
    <we:property name="PB0wRDcpMAQVGU0DEw8BBRY5Ihx1CCkoCAFRRA0LEAsZFh4aMAI=" value="&quot;LkE=&quot;"/>
    <we:property name="PB0wRDcpMAQVGU0DEw8BBRY5Ihx1CCkoCAFRRA0LEAsZFh4aMAM=" value="&quot;LkY=&quot;"/>
    <we:property name="PB0wRDcpMAQVGU0DEw8BBRY5Ihx1CCkoCAFRRA0LEAsZFh4aMAQ=" value="&quot;LkY=&quot;"/>
    <we:property name="PB0wRDcpMAQVGU0DEw8BBRY5Ihx1CCkoCAFRRA0LEAsZFh4aMAU=" value="&quot;LkA=&quot;"/>
    <we:property name="PB0wRDcpMAQVGU0DEw8BBRY5Ihx1CCkoCAFRRA0LEAsZFh4aMAY=" value="&quot;LkA=&quot;"/>
    <we:property name="PB0wRDcpMAQVGU0DEw8BBRY5Ihx1CCkoCAFRYQMVDw8JJQkB" value="&quot;SDBnAg==&quot;"/>
    <we:property name="PB0wRDcpMAQVGU0DEw8BBRY5Ihx1CCkoCAFRYQMVDw8JJQkBcQ==" value="&quot;SDBnBA==&quot;"/>
    <we:property name="PB0wRDcpMAQVGU0DEw8BBRY5Ihx1CCkoCAFRYQMVDw8JJQkBcg==" value="&quot;SDBnAw==&quot;"/>
    <we:property name="PB0wRDcpMAQVGU0DEw8BBRY5Ihx1CCkoCAFReAAN" value="&quot;SCVnAg==&quot;"/>
    <we:property name="PB0wRDcpMAQVGU0DEw8BBRY5Ihx1CCkoCAFRegMfKwcF" value="&quot;XQ==&quot;"/>
    <we:property name="PB0wRDcpMAQVGU0DEw8BBRYgIhxjDDgpHVk/VQg=" value="&quot;SCVnAg==&quot;"/>
    <we:property name="PB0wRDcpMAQVGU0DEw8BBRYgIhxjDDgpHVk9VhoqDwA=" value="&quot;XQ==&quot;"/>
    <we:property name="PB0wRDcpMAQVGU0DEw8BBRYgIhxjDDgpHVkDWA4RAxw0JQQBcA==" value="&quot;JEY=&quot;"/>
    <we:property name="PB0wRDcpMAQVGU0DEw8BBRYgIhxjDDgpHVkDWA4RAxw0JQQBcQ==" value="&quot;JEE=&quot;"/>
    <we:property name="PB0wRDcpMAQVGU0DEw8BBRYgIhxjDDgpHVkDWA4RAxw0JQQBcg==" value="&quot;JEA=&quot;"/>
    <we:property name="PB0wRDcpMAQVGU0DEw8BBRYgIhxjDDgpHVkDWA4RAxw0JQQBdQ==" value="&quot;JEU=&quot;"/>
    <we:property name="PB0wRDcpMAQVGU0DEw8BBRYgIhxjDDgpHVkDWA4RAxw0JQQBdg==" value="&quot;JEQ=&quot;"/>
    <we:property name="PB0wRDcpMAQVGU0DEw8BBRYgIhxjDDgpHVkDWA4RAxw0JQQBdw==" value="&quot;JEc=&quot;"/>
    <we:property name="PB0wRDcpMAQVGU0DEw8BBRYgIhxjDDgpHVkDWA4RAxw0JwkV" value="&quot;XQ==&quot;"/>
    <we:property name="PB0wRDcpMAQVGU0DEw8BBRYgIhxjDDgpHVkDWA4RAxw0Jxkf" value="&quot;Wg==&quot;"/>
    <we:property name="PB0wRDcpMAQVGU0DEw8BBRYgIhxjDDgpHVkDWA4RAxw0LAIV" value="&quot;KyAE&quot;"/>
    <we:property name="PB0wRDcpMAQVGU0DEw8BBRYgIhxjDDgpHVkDWA4RAxw0OwQBcA==" value="&quot;LkY=&quot;"/>
    <we:property name="PB0wRDcpMAQVGU0DEw8BBRYgIhxjDDgpHVkDWA4RAxw0OwQBcQ==" value="&quot;LkE=&quot;"/>
    <we:property name="PB0wRDcpMAQVGU0DEw8BBRYgIhxjDDgpHVkDWA4RAxw0OwQBcg==" value="&quot;LkE=&quot;"/>
    <we:property name="PB0wRDcpMAQVGU0DEw8BBRYgIhxjDDgpHVkDWA4RAxw0OwQBdQ==" value="&quot;LkA=&quot;"/>
    <we:property name="PB0wRDcpMAQVGU0DEw8BBRYgIhxjDDgpHVkDWA4RAxw0OwQBdg==" value="&quot;LkA=&quot;"/>
    <we:property name="PB0wRDcpMAQVGU0DEw8BBRYgIhxjDDgpHVkDWA4RAxw0OwQBdw==" value="&quot;LkY=&quot;"/>
    <we:property name="PB0wRDcpMAQVGU0DEw8BBRYgIhxjDDgpHVkDWA4RAxw0OwkecA==" value="&quot;TEx+EA==&quot;"/>
    <we:property name="PB0wRDcpMAQVGU0DEw8BBRYgIhxjDDgpHVkDWA4RAxw0OwkecQ==" value="&quot;TE5+EA==&quot;"/>
    <we:property name="PB0wRDcpMAQVGU0DEw8BBRYgIhxjDDgpHVkDWA4RAxw0Owkecg==" value="&quot;TEx+EA==&quot;"/>
    <we:property name="PB0wRDcpMAQVGU0DEw8BBRYgIhxjDDgpHVkDWA4RAxw0OwkedQ==" value="&quot;TE5+EA==&quot;"/>
    <we:property name="PB0wRDcpMAQVGU0DEw8BBRYgIhxjDDgpHVkDWA4RAxw0Owkedg==" value="&quot;TEx+EA==&quot;"/>
    <we:property name="PB0wRDcpMAQVGU0DEw8BBRYgIhxjDDgpHVkDWA4RAxw0Owkedw==" value="&quot;TE5+EA==&quot;"/>
    <we:property name="PB0wRDcpMAQVGU0DEw8BBRYgIhxjDDgpHVkmVhAOBwwHLB8=" value="&quot;SDBnAg==&quot;"/>
    <we:property name="PB0wRDcpMAQVGU0DEw8BBRYgIhxjDDgpHVkmVhAOBwwHLB9A" value="&quot;SDBnBA==&quot;"/>
    <we:property name="PB0wRDcpMAQVGU0DEw8BBRYgIhxjDDgpHVkmVhAOBwwHLB9D" value="&quot;SDBnAw==&quot;"/>
    <we:property name="PB0wRDcpMAQVGU0DEw8BBRYrNRxzFDg2BBsVFhEIChgOOzMAJlxJ" value="&quot;TEx+EA==&quot;"/>
    <we:property name="PB0wRDcpMAQVGU0DEw8BBRYrNRxzFDg2BBsVFhEIChgOOzMAJlxK" value="&quot;TE5+EA==&quot;"/>
    <we:property name="PB0wRDcpMAQVGU0DEw8BBRYrNRxzFDg2BBsVFhEIChgOOzMAJlxL" value="&quot;TEx+EA==&quot;"/>
    <we:property name="PB0wRDcpMAQVGU0DEw8BBRYrNRxzFDg2BBsVFhEIChgOOzMAJlxM" value="&quot;TE5+EA==&quot;"/>
    <we:property name="PB0wRDcpMAQVGU0DEw8BBRYrNRxzFDg2BBsVFhEIChgOOzMAJlxN" value="&quot;TEx+EA==&quot;"/>
    <we:property name="PB0wRDcpMAQVGU0DEw8BBRYrNRxzFDg2BBsVFhEIChgOOzMAJlxO" value="&quot;TE5+EA==&quot;"/>
    <we:property name="PB0wRDcpMAQVGU0DEw8BBRYrNRxzFDg2BBsVFhEIChgOOzMAK0NJ" value="&quot;LkE=&quot;"/>
    <we:property name="PB0wRDcpMAQVGU0DEw8BBRYrNRxzFDg2BBsVFhEIChgOOzMAK0NK" value="&quot;LkE=&quot;"/>
    <we:property name="PB0wRDcpMAQVGU0DEw8BBRYrNRxzFDg2BBsVFhEIChgOOzMAK0NL" value="&quot;LkY=&quot;"/>
    <we:property name="PB0wRDcpMAQVGU0DEw8BBRYrNRxzFDg2BBsVFhEIChgOOzMAK0NM" value="&quot;LkY=&quot;"/>
    <we:property name="PB0wRDcpMAQVGU0DEw8BBRYrNRxzFDg2BBsVFhEIChgOOzMAK0NN" value="&quot;LkA=&quot;"/>
    <we:property name="PB0wRDcpMAQVGU0DEw8BBRYrNRxzFDg2BBsVFhEIChgOOzMAK0NO" value="&quot;LkA=&quot;"/>
    <we:property name="PB0wRDcpMAQVGU0DEw8BBRYrNRxzFDg2BBsVFhEIChgOOzMXLVc=" value="&quot;KyAE&quot;"/>
    <we:property name="PB0wRDcpMAQVGU0DEw8BBRYrNRxzFDg2BBsVFhEIChgOOzMcJlc=" value="&quot;XQ==&quot;"/>
    <we:property name="PB0wRDcpMAQVGU0DEw8BBRYrNRxzFDg2BBsVFhEIChgOOzMcNl0=" value="&quot;Wg==&quot;"/>
    <we:property name="PB0wRDcpMAQVGU0DEw8BBRYrNRxzFDg2BBsVFhEIChgOOzMeK0NJ" value="&quot;JEA=&quot;"/>
    <we:property name="PB0wRDcpMAQVGU0DEw8BBRYrNRxzFDg2BBsVFhEIChgOOzMeK0NK" value="&quot;JEE=&quot;"/>
    <we:property name="PB0wRDcpMAQVGU0DEw8BBRYrNRxzFDg2BBsVFhEIChgOOzMeK0NL" value="&quot;JEY=&quot;"/>
    <we:property name="PB0wRDcpMAQVGU0DEw8BBRYrNRxzFDg2BBsVFhEIChgOOzMeK0NM" value="&quot;JEc=&quot;"/>
    <we:property name="PB0wRDcpMAQVGU0DEw8BBRYrNRxzFDg2BBsVFhEIChgOOzMeK0NN" value="&quot;JEQ=&quot;"/>
    <we:property name="PB0wRDcpMAQVGU0DEw8BBRYrNRxzFDg2BBsVFhEIChgOOzMeK0NO" value="&quot;JEU=&quot;"/>
    <we:property name="PB0wRDcpMAQVGU0DEw8BBRYrNRxzFDg2BBsVFi0FDA==" value="&quot;SCVnAg==&quot;"/>
    <we:property name="PB0wRDcpMAQVGU0DEw8BBRYrNRxzFDg2BBsVFi8GHiMCJw==" value="&quot;XQ==&quot;"/>
    <we:property name="PB0wRDcpMAQVGU0DEw8BBRYrNRxzFDg2BBsVFjQGFAcKKwAXMA==" value="&quot;SDBnAg==&quot;"/>
    <we:property name="PB0wRDcpMAQVGU0DEw8BBRYrNRxzFDg2BBsVFjQGFAcKKwAXMAE=" value="&quot;SDBnAw==&quot;"/>
    <we:property name="PB0wRDcpMAQVGU0DEw8BBRYrNRxzFDg2BBsVFjQGFAcKKwAXMAI=" value="&quot;SDBnBA==&quot;"/>
    <we:property name="PB0wRDcpMAQVGU0DEw8BBRYrNRxzFDg2BBsVFjQGFAcKKwAXMAM=" value="&quot;&quot;"/>
    <we:property name="PB0wRDcpMAQVGU0DEw8BBWg6EzFZGTsoCAs=" value="&quot;LkB5ckw=&quot;"/>
    <we:property name="PB0wRDcpMAQVGU0DEw8BBWgfHS9GHSsbAAoE" value="&quot;XFxzB00=&quot;"/>
    <we:property name="PB0wRDcpMAQVGU0DEw8BBWgfHS9GHSsbAAsc" value="&quot;XA==&quot;"/>
    <we:property name="PB0wRDcpMAQVGU0DEw8BBWgfHS9GHSsbAB0E" value="&quot;Xg==&quot;"/>
    <we:property name="PB0wRDcpMAQVGU0DEw8BBWgfHS9GHSsbABYZ" value="&quot;X0I=&quot;"/>
    <we:property name="PB0wRDcpMAQVGU0DEw8BBWgfHS9GHSsbAQgA" value="&quot;XA==&quot;"/>
    <we:property name="PB0wRDcpMAQVGU0DEw8BBWgfHS9GHSsbAQgE" value="&quot;XA==&quot;"/>
    <we:property name="PB0wRDcpMAQVGU0DEw8BBWgfHS9GHSsbARADAA==" value="&quot;&quot;"/>
    <we:property name="PB0wRDcpMAQVGU0DEw8BBWgfHS9GHSsbARADAQ==" value="&quot;JUQ=&quot;"/>
    <we:property name="PB0wRDcpMAQVGU0DEw8BBWgfHS9GHSsbARADAg==" value="&quot;JUY=&quot;"/>
    <we:property name="PB0wRDcpMAQVGU0DEw8BBWgfHS9GHSsbARADAw==" value="&quot;JUA=&quot;"/>
    <we:property name="PB0wRDcpMAQVGU0DEw8BBWgfHS9GHSsbARADBA==" value="&quot;JUU=&quot;"/>
    <we:property name="PB0wRDcpMAQVGU0DEw8BBWgfHS9GHSsbARADBQ==" value="&quot;JUc=&quot;"/>
    <we:property name="PB0wRDcpMAQVGU0DEw8BBWgfHS9GHSsbARADBg==" value="&quot;JUE=&quot;"/>
    <we:property name="PB0wRDcpMAQVGU0DEw8BBWgfHS9GHSsbAw0d" value="&quot;Wg==&quot;"/>
    <we:property name="PB0wRDcpMAQVGU0DEw8BBWgfHS9GHSsbAwwC" value="&quot;Xg==&quot;"/>
    <we:property name="PB0wRDcpMAQVGU0DEw8BBWgfHS9GHSsbAx0X" value="&quot;XQ==&quot;"/>
    <we:property name="PB0wRDcpMAQVGU0DEw8BBWgfHS9GHSsbBAgD" value="&quot;XFx6CQ==&quot;"/>
    <we:property name="PB0wRDcpMAQVGU0DEw8BBWgfHS9GHSsbBAgU" value="&quot;Xw==&quot;"/>
    <we:property name="PB0wRDcpMAQVGU0DEw8BBWgfHS9GHSsbBAgZ" value="&quot;XQ==&quot;"/>
    <we:property name="PB0wRDcpMAQVGU0DEw8BBWgfHS9GHSsbCBYX" value="&quot;KyAE&quot;"/>
    <we:property name="PB0wRDcpMAQVGU0DEw8BBWgfHS9GHSsbChkA" value="&quot;XFxzAEhpdFw=&quot;"/>
    <we:property name="PB0wRDcpMAQVGU0DEw8BBWgfHS9GHSsbCx0R" value="&quot;XFxzAEhpdFw=&quot;"/>
    <we:property name="PB0wRDcpMAQVGU0DEw8BBWgfHS9GHSsbDAoD" value="&quot;XQ==&quot;"/>
    <we:property name="PB0wRDcpMAQVGU0DEw8BBWgfHS9GHSsbDBsT" value="&quot;XFxzAEk=&quot;"/>
    <we:property name="PB0wRDcpMAQVGU0DEw8BBWgfHS9GHSsbDg4X" value="&quot;XFxzAEho&quot;"/>
    <we:property name="PB0wRDcpMAQVGU0DEw8BBWgfHS9GHSsbGRcc" value="&quot;XFxzAQ==&quot;"/>
    <we:property name="PB0wRDcpMAQVGU0DEw8BBWgfHS9GHSsbHQoV" value="&quot;XFxzAEhpdFw=&quot;"/>
    <we:property name="PB0wRDcpMAQVGU0DEw8BBWgfHS9GHSsbHgsK" value="&quot;XUJz&quot;"/>
    <we:property name="PB0wRDcpMAQVGU0DEw8BBWgfHS9GHSsbHgwR" value="&quot;XA==&quot;"/>
    <we:property name="PB0wRDcpMAQVGU0DEw8BBWgfHS9GHSsbHhcT" value="&quot;XA==&quot;"/>
    <we:property name="PB0wRDcpMAQVGU0DEw8BBWgfHS9GHSsbHhsc" value="&quot;XQ==&quot;"/>
    <we:property name="PB0wRDcpMAQVGU0DEw8BBWgfHS9GHSsbHwsU" value="&quot;XA==&quot;"/>
    <we:property name="PB0wRDcpMAQVGU0DEw8BBWgfHS9GHSsbHx0D" value="&quot;WQ==&quot;"/>
    <we:property name="PB0wRDcpMAQVGU0DEw8BBWgfHS9GHSsbHx0cAA==" value="&quot;TE5+EA==&quot;"/>
    <we:property name="PB0wRDcpMAQVGU0DEw8BBWgfHS9GHSsbHx0cAQ==" value="&quot;TEx+EA==&quot;"/>
    <we:property name="PB0wRDcpMAQVGU0DEw8BBWgfHS9GHSsbHx0cAg==" value="&quot;TEx+EA==&quot;"/>
    <we:property name="PB0wRDcpMAQVGU0DEw8BBWgfHS9GHSsbHx0cAw==" value="&quot;TEx+EA==&quot;"/>
    <we:property name="PB0wRDcpMAQVGU0DEw8BBWgfHS9GHSsbHx0cBA==" value="&quot;TE5+EA==&quot;"/>
    <we:property name="PB0wRDcpMAQVGU0DEw8BBWgfHS9GHSsbHx0cBQ==" value="&quot;TE5+EA==&quot;"/>
    <we:property name="PB0wRDcpMAQVGU0DEw8BBWgfHS9GHSsbHx0cBg==" value="&quot;TE5+EA==&quot;"/>
    <we:property name="PB0wRDcpMAQVGU0DEw8BBWgfHS9GHSsbHxADAA==" value="&quot;&quot;"/>
    <we:property name="PB0wRDcpMAQVGU0DEw8BBWgfHS9GHSsbHxADAQ==" value="&quot;LkA=&quot;"/>
    <we:property name="PB0wRDcpMAQVGU0DEw8BBWgfHS9GHSsbHxADAg==" value="&quot;LkY=&quot;"/>
    <we:property name="PB0wRDcpMAQVGU0DEw8BBWgfHS9GHSsbHxADAw==" value="&quot;LkE=&quot;"/>
    <we:property name="PB0wRDcpMAQVGU0DEw8BBWgfHS9GHSsbHxADBA==" value="&quot;LkA=&quot;"/>
    <we:property name="PB0wRDcpMAQVGU0DEw8BBWgfHS9GHSsbHxADBQ==" value="&quot;LkY=&quot;"/>
    <we:property name="PB0wRDcpMAQVGU0DEw8BBWgfHS9GHSsbHxADBg==" value="&quot;LkE=&quot;"/>
    <we:property name="PB0wRDcpMAQVGU0DEw8BBWgfHS9GHSsbHxQI" value="&quot;XA==&quot;"/>
    <we:property name="PB0wRDcpMAQVGU0DEw8BBWgfHS9GHSsbHxoG" value="&quot;XQ==&quot;"/>
    <we:property name="PB0wRDcpMAQVGU0DEw8BBWghEzt9ETc=" value="&quot;Xw==&quot;"/>
    <we:property name="PB0wRDcpMAQVGU0DEw8BBWgjECk=" value="&quot;SCpnAUs=&quot;"/>
    <we:property name="UniqueID" value="&quot;202410261732628383964&quot;"/>
    <we:property name="PB0wRDcpMAQVGU0DEw8BBRY5Ihx1CCkoCAFRRA0LEAsZFgkcJA==" value="&quot;KyAE&quot;"/>
    <we:property name="PB0wRDcpMAQVGU0DEw8BBRY5Ihx1CCkoCAFRRA0LEAsZFgIXJA==" value="&quot;XQ==&quot;"/>
  </we:properties>
  <we:bindings>
    <we:binding id="Var$B$2:$B$4" type="matrix" appref="{71C916D7-AFA5-44EE-B4CA-6264642BEA23}"/>
    <we:binding id="refEdit" type="matrix" appref="{50C43B42-A96D-4225-BFE5-928B39784FB5}"/>
    <we:binding id="Worker" type="matrix" appref="{45DC1582-5A71-4659-A2AA-B24A110A2960}"/>
    <we:binding id="PostOptimization_LP_StamprefEdit" type="matrix" appref="{949D920A-B5F7-4AA1-AE03-15A5163A7DEB}"/>
    <we:binding id="PostOptimization_LP_StampWorker" type="matrix" appref="{043259F4-DAB7-4F74-9795-15E8D3A0EDA0}"/>
    <we:binding id="Var0" type="matrix" appref="{F9F0532E-12C6-4E6E-81DA-DE5CC47BD009}"/>
    <we:binding id="1Var0" type="matrix" appref="{32B4F0B3-7FED-4FC0-BAE5-3AAFA9F7E18A}"/>
    <we:binding id="2Var0" type="matrix" appref="{455EA5B7-FC52-41A4-8A19-10795EAE2FE8}"/>
    <we:binding id="PostOptimization_UP_EppleyrefEdit" type="matrix" appref="{8715A473-7CB5-4020-B6E6-545340860091}"/>
    <we:binding id="PostOptimization_UP_EppleyWorker" type="matrix" appref="{29C67DA2-7DA0-4E76-91DD-DB4E669D25DA}"/>
    <we:binding id="Obj" type="matrix" appref="{CB3FEA8A-6452-4446-868A-496DF2C1ACB0}"/>
    <we:binding id="Var$B$2" type="matrix" appref="{99FEAE6D-2DC1-44C0-8924-4BEACADE6218}"/>
    <we:binding id="Var$B$3" type="matrix" appref="{C4715A8E-6E31-4D33-8C3F-9E2CDA3795BD}"/>
    <we:binding id="Var$B$4" type="matrix" appref="{AF512560-F69A-499B-A501-BAE14B86F0C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B2F-F2B3-4B7A-9D02-39F3CCAA7183}">
  <dimension ref="A1:X17"/>
  <sheetViews>
    <sheetView zoomScaleNormal="100" workbookViewId="0">
      <selection activeCell="Z10" sqref="Z10"/>
    </sheetView>
  </sheetViews>
  <sheetFormatPr defaultRowHeight="15" x14ac:dyDescent="0.25"/>
  <cols>
    <col min="1" max="1" width="16.28515625" customWidth="1"/>
    <col min="7" max="7" width="16.28515625" customWidth="1"/>
    <col min="13" max="13" width="15.85546875" hidden="1" customWidth="1"/>
    <col min="14" max="14" width="12.7109375" bestFit="1" customWidth="1"/>
    <col min="15" max="15" width="9.5703125" hidden="1" customWidth="1"/>
    <col min="16" max="16" width="12" hidden="1" customWidth="1"/>
    <col min="17" max="17" width="12.7109375" bestFit="1" customWidth="1"/>
    <col min="18" max="18" width="9.5703125" hidden="1" customWidth="1"/>
    <col min="19" max="19" width="10.7109375" hidden="1" customWidth="1"/>
    <col min="20" max="20" width="12" bestFit="1" customWidth="1"/>
    <col min="21" max="21" width="9.5703125" hidden="1" customWidth="1"/>
    <col min="22" max="22" width="10.7109375" hidden="1" customWidth="1"/>
    <col min="23" max="23" width="17.85546875" customWidth="1"/>
    <col min="24" max="24" width="20.5703125" hidden="1" customWidth="1"/>
  </cols>
  <sheetData>
    <row r="1" spans="1:24" x14ac:dyDescent="0.25">
      <c r="A1" t="s">
        <v>11</v>
      </c>
      <c r="B1" t="s">
        <v>20</v>
      </c>
      <c r="G1" t="s">
        <v>38</v>
      </c>
      <c r="H1" t="s">
        <v>20</v>
      </c>
      <c r="K1" s="27" t="s">
        <v>18</v>
      </c>
      <c r="L1" s="28" t="s">
        <v>19</v>
      </c>
      <c r="M1" s="29" t="s">
        <v>39</v>
      </c>
      <c r="N1" s="27" t="s">
        <v>40</v>
      </c>
      <c r="O1" s="28" t="s">
        <v>41</v>
      </c>
      <c r="P1" s="29" t="s">
        <v>42</v>
      </c>
      <c r="Q1" s="27" t="s">
        <v>43</v>
      </c>
      <c r="R1" s="28" t="s">
        <v>44</v>
      </c>
      <c r="S1" s="29" t="s">
        <v>46</v>
      </c>
      <c r="T1" s="27" t="s">
        <v>45</v>
      </c>
      <c r="U1" s="28" t="s">
        <v>47</v>
      </c>
      <c r="V1" s="29" t="s">
        <v>48</v>
      </c>
      <c r="W1" s="29" t="s">
        <v>54</v>
      </c>
      <c r="X1" s="26" t="s">
        <v>53</v>
      </c>
    </row>
    <row r="2" spans="1:24" x14ac:dyDescent="0.25">
      <c r="A2" t="s">
        <v>21</v>
      </c>
      <c r="B2" s="12">
        <v>2.41317</v>
      </c>
      <c r="G2" t="s">
        <v>26</v>
      </c>
      <c r="H2">
        <v>8.4908000000000001</v>
      </c>
      <c r="K2" s="22" t="s">
        <v>9</v>
      </c>
      <c r="L2" s="23" t="s">
        <v>16</v>
      </c>
      <c r="M2" s="24">
        <f>Trail_Data!O36</f>
        <v>686800.99993786844</v>
      </c>
      <c r="N2" s="22">
        <f>IF(Trail_Data!C36=0,0,(($B$3*$B$7*$B$8*$B$6)+(0.5*$B$11*($B$3^3)*1)+($B$3*$B$7*$B$8*TAN(RADIANS(Trail_Data!D36))))/$B$10)</f>
        <v>1966.0910044747493</v>
      </c>
      <c r="O2" s="23">
        <f>Trail_Data!C36/$B$3</f>
        <v>243.40050123519512</v>
      </c>
      <c r="P2" s="24">
        <f t="shared" ref="P2" si="0">(N2*O2)-M2</f>
        <v>-208253.46397470619</v>
      </c>
      <c r="Q2" s="22">
        <f>IF(Trail_Data!E36=0,0,(($B$3*$B$7*$B$8*$B$6)+(0.5*$B$11*($B$3^3)*1)+($B$3*$B$7*$B$8*TAN(RADIANS(Trail_Data!F36))))/$B$10)</f>
        <v>1896.7797383810223</v>
      </c>
      <c r="R2" s="23">
        <f>Trail_Data!E36/$B$3</f>
        <v>180.9561026433058</v>
      </c>
      <c r="S2" s="24">
        <f t="shared" ref="S2" si="1">(Q2*R2)-$M2</f>
        <v>-343567.13090764947</v>
      </c>
      <c r="T2" s="22">
        <f>IF(Trail_Data!G36=0,0,(($B$3*$B$7*$B$8*$B$6)+(0.5*$B$11*($B$3^3)*1)+($B$3*$B$7*$B$8*TAN(RADIANS(Trail_Data!H36))))/$B$10)</f>
        <v>0</v>
      </c>
      <c r="U2" s="23">
        <f>Trail_Data!G36/$B$3</f>
        <v>0</v>
      </c>
      <c r="V2" s="24">
        <f t="shared" ref="V2" si="2">(T2*U2)-$M2</f>
        <v>-686800.99993786844</v>
      </c>
      <c r="W2" s="3">
        <f t="shared" ref="W2" si="3">SUM(T2,Q2,N2)</f>
        <v>3862.8707428557718</v>
      </c>
      <c r="X2" s="25">
        <f t="shared" ref="X2" si="4">SUM(P2,S2,V2)</f>
        <v>-1238621.5948202242</v>
      </c>
    </row>
    <row r="3" spans="1:24" x14ac:dyDescent="0.25">
      <c r="A3" t="s">
        <v>31</v>
      </c>
      <c r="B3" s="12">
        <v>4.9301459689290192</v>
      </c>
      <c r="G3" t="s">
        <v>27</v>
      </c>
      <c r="H3">
        <v>4.4703999999999997</v>
      </c>
    </row>
    <row r="4" spans="1:24" x14ac:dyDescent="0.25">
      <c r="A4" t="s">
        <v>32</v>
      </c>
      <c r="B4" s="12">
        <v>3.286703142113732</v>
      </c>
      <c r="G4" t="s">
        <v>24</v>
      </c>
      <c r="H4">
        <v>5</v>
      </c>
    </row>
    <row r="5" spans="1:24" x14ac:dyDescent="0.25">
      <c r="A5" t="s">
        <v>30</v>
      </c>
      <c r="B5" s="4">
        <v>1.0200000000000001E-2</v>
      </c>
      <c r="C5" s="5">
        <v>1.5409999999999999</v>
      </c>
      <c r="D5" s="5">
        <v>-1.6000000000000001E-3</v>
      </c>
      <c r="E5" s="6">
        <v>0.93869999999999998</v>
      </c>
      <c r="G5" t="s">
        <v>25</v>
      </c>
      <c r="H5">
        <v>0</v>
      </c>
    </row>
    <row r="6" spans="1:24" x14ac:dyDescent="0.25">
      <c r="A6" t="s">
        <v>22</v>
      </c>
      <c r="B6">
        <f>$B$5 + ((1/$B$2)*($C$5+($D$5*(((B3*3.6)/$E$5)^2))))</f>
        <v>0.411749310498006</v>
      </c>
      <c r="G6" t="s">
        <v>28</v>
      </c>
      <c r="H6">
        <v>4.1368499999999999</v>
      </c>
    </row>
    <row r="7" spans="1:24" x14ac:dyDescent="0.25">
      <c r="A7" t="s">
        <v>33</v>
      </c>
      <c r="B7">
        <f>70+(30/2.205)</f>
        <v>83.605442176870753</v>
      </c>
      <c r="G7" t="s">
        <v>29</v>
      </c>
      <c r="H7">
        <v>2.41317</v>
      </c>
    </row>
    <row r="8" spans="1:24" x14ac:dyDescent="0.25">
      <c r="A8" t="s">
        <v>34</v>
      </c>
      <c r="B8">
        <v>9.81</v>
      </c>
    </row>
    <row r="9" spans="1:24" x14ac:dyDescent="0.25">
      <c r="A9" t="s">
        <v>23</v>
      </c>
      <c r="B9" s="4">
        <v>0.23050000000000001</v>
      </c>
      <c r="C9" s="5">
        <v>-1.4954000000000001</v>
      </c>
      <c r="D9" s="5">
        <v>2.36</v>
      </c>
      <c r="E9" s="6">
        <v>91.859899999999996</v>
      </c>
    </row>
    <row r="10" spans="1:24" x14ac:dyDescent="0.25">
      <c r="A10" t="s">
        <v>35</v>
      </c>
      <c r="B10">
        <f>(($B$9*($B$4^3))+($C$9*($B$4^2))+($D$9*$B$4)+($E$9))/100</f>
        <v>0.91646334517038908</v>
      </c>
    </row>
    <row r="11" spans="1:24" x14ac:dyDescent="0.25">
      <c r="A11" t="s">
        <v>36</v>
      </c>
      <c r="B11">
        <v>1.2250000000000001</v>
      </c>
    </row>
    <row r="12" spans="1:24" x14ac:dyDescent="0.25">
      <c r="A12" t="s">
        <v>37</v>
      </c>
      <c r="B12">
        <v>0</v>
      </c>
    </row>
    <row r="16" spans="1:24" x14ac:dyDescent="0.25">
      <c r="A16" s="15" t="s">
        <v>49</v>
      </c>
    </row>
    <row r="17" spans="1:1" x14ac:dyDescent="0.25">
      <c r="A17" s="17" t="s">
        <v>52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50C43B42-A96D-4225-BFE5-928B39784FB5}">
          <xm:f>PostOptimization_GG_Clarice!1:1048576</xm:f>
        </x15:webExtension>
        <x15:webExtension appRef="{45DC1582-5A71-4659-A2AA-B24A110A2960}">
          <xm:f>PostOptimization_GG_Clarice!XFD1048550:XFD1048575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7FE5-CB3C-40CD-9727-BD60D9E42927}">
  <dimension ref="A1:X17"/>
  <sheetViews>
    <sheetView zoomScaleNormal="100" workbookViewId="0">
      <selection activeCell="Q10" sqref="Q10"/>
    </sheetView>
  </sheetViews>
  <sheetFormatPr defaultRowHeight="15" x14ac:dyDescent="0.25"/>
  <cols>
    <col min="1" max="1" width="16.28515625" customWidth="1"/>
    <col min="7" max="7" width="16.28515625" customWidth="1"/>
    <col min="12" max="12" width="6.5703125" bestFit="1" customWidth="1"/>
    <col min="13" max="13" width="13.85546875" hidden="1" customWidth="1"/>
    <col min="14" max="14" width="12.7109375" bestFit="1" customWidth="1"/>
    <col min="15" max="15" width="9.5703125" hidden="1" customWidth="1"/>
    <col min="16" max="16" width="12" hidden="1" customWidth="1"/>
    <col min="17" max="17" width="12.7109375" bestFit="1" customWidth="1"/>
    <col min="18" max="18" width="9.5703125" hidden="1" customWidth="1"/>
    <col min="19" max="19" width="10.7109375" hidden="1" customWidth="1"/>
    <col min="20" max="20" width="12" bestFit="1" customWidth="1"/>
    <col min="21" max="21" width="9.5703125" hidden="1" customWidth="1"/>
    <col min="22" max="22" width="10.7109375" hidden="1" customWidth="1"/>
    <col min="23" max="23" width="12.7109375" bestFit="1" customWidth="1"/>
    <col min="24" max="24" width="20" hidden="1" customWidth="1"/>
  </cols>
  <sheetData>
    <row r="1" spans="1:24" x14ac:dyDescent="0.25">
      <c r="A1" t="s">
        <v>11</v>
      </c>
      <c r="B1" t="s">
        <v>20</v>
      </c>
      <c r="G1" t="s">
        <v>38</v>
      </c>
      <c r="H1" t="s">
        <v>20</v>
      </c>
      <c r="K1" s="4" t="s">
        <v>18</v>
      </c>
      <c r="L1" s="5" t="s">
        <v>19</v>
      </c>
      <c r="M1" s="6" t="s">
        <v>39</v>
      </c>
      <c r="N1" s="4" t="s">
        <v>40</v>
      </c>
      <c r="O1" s="5" t="s">
        <v>41</v>
      </c>
      <c r="P1" s="6" t="s">
        <v>42</v>
      </c>
      <c r="Q1" s="4" t="s">
        <v>43</v>
      </c>
      <c r="R1" s="5" t="s">
        <v>44</v>
      </c>
      <c r="S1" s="6" t="s">
        <v>46</v>
      </c>
      <c r="T1" s="4" t="s">
        <v>45</v>
      </c>
      <c r="U1" s="5" t="s">
        <v>47</v>
      </c>
      <c r="V1" s="6" t="s">
        <v>48</v>
      </c>
      <c r="W1" s="6" t="s">
        <v>54</v>
      </c>
      <c r="X1" s="3" t="s">
        <v>53</v>
      </c>
    </row>
    <row r="2" spans="1:24" x14ac:dyDescent="0.25">
      <c r="A2" t="s">
        <v>21</v>
      </c>
      <c r="B2" s="12">
        <v>2.41317</v>
      </c>
      <c r="G2" t="s">
        <v>26</v>
      </c>
      <c r="H2">
        <v>8.4908000000000001</v>
      </c>
      <c r="K2" s="22" t="s">
        <v>8</v>
      </c>
      <c r="L2" s="23" t="s">
        <v>14</v>
      </c>
      <c r="M2" s="24">
        <f>Trail_Data!O28</f>
        <v>402284.39909424365</v>
      </c>
      <c r="N2" s="22">
        <f>IF(Trail_Data!C28=0,0,(($B$3*$B$7*$B$8*$B$6)+(0.5*$B$11*($B$3^3)*1)+($B$3*$B$7*$B$8*TAN(RADIANS(Trail_Data!D28))))/$B$10)</f>
        <v>1780.9581904590248</v>
      </c>
      <c r="O2" s="23">
        <f>Trail_Data!C28/$B$3</f>
        <v>170.66108750974382</v>
      </c>
      <c r="P2" s="24">
        <f t="shared" ref="P2" si="0">(N2*O2)-M2</f>
        <v>-98344.137501121033</v>
      </c>
      <c r="Q2" s="22">
        <f>IF(Trail_Data!E28=0,0,(($B$3*$B$7*$B$8*$B$6)+(0.5*$B$11*($B$3^3)*1)+($B$3*$B$7*$B$8*TAN(RADIANS(Trail_Data!F28))))/$B$10)</f>
        <v>2297.0611432787332</v>
      </c>
      <c r="R2" s="23">
        <f>Trail_Data!E28/$B$3</f>
        <v>20.077775001146332</v>
      </c>
      <c r="S2" s="24">
        <f t="shared" ref="S2" si="1">(Q2*R2)-$M2</f>
        <v>-356164.52229561727</v>
      </c>
      <c r="T2" s="22">
        <f>IF(Trail_Data!G28=0,0,(($B$3*$B$7*$B$8*$B$6)+(0.5*$B$11*($B$3^3)*1)+($B$3*$B$7*$B$8*TAN(RADIANS(Trail_Data!H28))))/$B$10)</f>
        <v>1896.12002188562</v>
      </c>
      <c r="U2" s="23">
        <f>Trail_Data!G28/$B$3</f>
        <v>67.756467296368541</v>
      </c>
      <c r="V2" s="24">
        <f t="shared" ref="V2" si="2">(T2*U2)-$M2</f>
        <v>-273810.00484136102</v>
      </c>
      <c r="W2" s="3">
        <f t="shared" ref="W2" si="3">SUM(T2,Q2,N2)</f>
        <v>5974.1393556233779</v>
      </c>
      <c r="X2" s="25">
        <f t="shared" ref="X2" si="4">SUM(P2,S2,V2)</f>
        <v>-728318.66463809926</v>
      </c>
    </row>
    <row r="3" spans="1:24" x14ac:dyDescent="0.25">
      <c r="A3" t="s">
        <v>31</v>
      </c>
      <c r="B3" s="12">
        <v>4.980631568701738</v>
      </c>
      <c r="G3" t="s">
        <v>27</v>
      </c>
      <c r="H3">
        <v>4.4703999999999997</v>
      </c>
    </row>
    <row r="4" spans="1:24" x14ac:dyDescent="0.25">
      <c r="A4" t="s">
        <v>32</v>
      </c>
      <c r="B4" s="12">
        <v>3.2867032246510894</v>
      </c>
      <c r="G4" t="s">
        <v>24</v>
      </c>
      <c r="H4">
        <v>5</v>
      </c>
    </row>
    <row r="5" spans="1:24" x14ac:dyDescent="0.25">
      <c r="A5" t="s">
        <v>30</v>
      </c>
      <c r="B5" s="4">
        <v>1.0200000000000001E-2</v>
      </c>
      <c r="C5" s="5">
        <v>1.5409999999999999</v>
      </c>
      <c r="D5" s="5">
        <v>-1.6000000000000001E-3</v>
      </c>
      <c r="E5" s="6">
        <v>0.93869999999999998</v>
      </c>
      <c r="G5" t="s">
        <v>25</v>
      </c>
      <c r="H5">
        <v>0</v>
      </c>
    </row>
    <row r="6" spans="1:24" x14ac:dyDescent="0.25">
      <c r="A6" t="s">
        <v>22</v>
      </c>
      <c r="B6">
        <f>$B$5 + ((1/$B$2)*($C$5+($D$5*(((B3*3.6)/$E$5)^2))))</f>
        <v>0.40686999749270253</v>
      </c>
      <c r="G6" t="s">
        <v>28</v>
      </c>
      <c r="H6">
        <v>4.1368499999999999</v>
      </c>
    </row>
    <row r="7" spans="1:24" x14ac:dyDescent="0.25">
      <c r="A7" t="s">
        <v>33</v>
      </c>
      <c r="B7">
        <f>70+(30/2.205)</f>
        <v>83.605442176870753</v>
      </c>
      <c r="G7" t="s">
        <v>29</v>
      </c>
      <c r="H7">
        <v>2.41317</v>
      </c>
    </row>
    <row r="8" spans="1:24" x14ac:dyDescent="0.25">
      <c r="A8" t="s">
        <v>34</v>
      </c>
      <c r="B8">
        <v>9.81</v>
      </c>
    </row>
    <row r="9" spans="1:24" x14ac:dyDescent="0.25">
      <c r="A9" t="s">
        <v>23</v>
      </c>
      <c r="B9" s="4">
        <v>0.23050000000000001</v>
      </c>
      <c r="C9" s="5">
        <v>-1.4954000000000001</v>
      </c>
      <c r="D9" s="5">
        <v>2.36</v>
      </c>
      <c r="E9" s="6">
        <v>91.859899999999996</v>
      </c>
    </row>
    <row r="10" spans="1:24" x14ac:dyDescent="0.25">
      <c r="A10" t="s">
        <v>35</v>
      </c>
      <c r="B10">
        <f>(($B$9*($B$4^3))+($C$9*($B$4^2))+($D$9*$B$4)+($E$9))/100</f>
        <v>0.91646334517038908</v>
      </c>
    </row>
    <row r="11" spans="1:24" x14ac:dyDescent="0.25">
      <c r="A11" t="s">
        <v>36</v>
      </c>
      <c r="B11">
        <v>1.2250000000000001</v>
      </c>
    </row>
    <row r="12" spans="1:24" x14ac:dyDescent="0.25">
      <c r="A12" t="s">
        <v>37</v>
      </c>
      <c r="B12">
        <v>0</v>
      </c>
    </row>
    <row r="16" spans="1:24" x14ac:dyDescent="0.25">
      <c r="A16" s="15" t="s">
        <v>49</v>
      </c>
    </row>
    <row r="17" spans="1:1" x14ac:dyDescent="0.25">
      <c r="A17" s="17" t="s">
        <v>51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949D920A-B5F7-4AA1-AE03-15A5163A7DEB}">
          <xm:f>PostOptimization_LP_Stamp!1:1048576</xm:f>
        </x15:webExtension>
        <x15:webExtension appRef="{043259F4-DAB7-4F74-9795-15E8D3A0EDA0}">
          <xm:f>PostOptimization_LP_Stamp!XFD1048550:XFD1048575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6EF7-7026-4411-BA57-1841D76921CB}">
  <dimension ref="A1:X17"/>
  <sheetViews>
    <sheetView zoomScaleNormal="100" workbookViewId="0">
      <selection activeCell="AA14" sqref="AA14"/>
    </sheetView>
  </sheetViews>
  <sheetFormatPr defaultRowHeight="15" x14ac:dyDescent="0.25"/>
  <cols>
    <col min="1" max="1" width="16.28515625" customWidth="1"/>
    <col min="7" max="7" width="16.28515625" customWidth="1"/>
    <col min="13" max="13" width="15.85546875" hidden="1" customWidth="1"/>
    <col min="14" max="14" width="12.7109375" bestFit="1" customWidth="1"/>
    <col min="15" max="15" width="9.5703125" hidden="1" customWidth="1"/>
    <col min="16" max="16" width="12" hidden="1" customWidth="1"/>
    <col min="17" max="17" width="12.7109375" bestFit="1" customWidth="1"/>
    <col min="18" max="18" width="9.5703125" hidden="1" customWidth="1"/>
    <col min="19" max="19" width="10.7109375" hidden="1" customWidth="1"/>
    <col min="20" max="20" width="12" bestFit="1" customWidth="1"/>
    <col min="21" max="21" width="9.5703125" hidden="1" customWidth="1"/>
    <col min="22" max="22" width="10.7109375" hidden="1" customWidth="1"/>
    <col min="23" max="23" width="17.85546875" customWidth="1"/>
    <col min="24" max="24" width="20.5703125" hidden="1" customWidth="1"/>
  </cols>
  <sheetData>
    <row r="1" spans="1:24" x14ac:dyDescent="0.25">
      <c r="A1" t="s">
        <v>11</v>
      </c>
      <c r="B1" t="s">
        <v>20</v>
      </c>
      <c r="G1" t="s">
        <v>38</v>
      </c>
      <c r="H1" t="s">
        <v>20</v>
      </c>
      <c r="K1" s="4" t="s">
        <v>18</v>
      </c>
      <c r="L1" s="5" t="s">
        <v>19</v>
      </c>
      <c r="M1" s="6" t="s">
        <v>39</v>
      </c>
      <c r="N1" s="4" t="s">
        <v>40</v>
      </c>
      <c r="O1" s="5" t="s">
        <v>41</v>
      </c>
      <c r="P1" s="6" t="s">
        <v>42</v>
      </c>
      <c r="Q1" s="4" t="s">
        <v>43</v>
      </c>
      <c r="R1" s="5" t="s">
        <v>44</v>
      </c>
      <c r="S1" s="6" t="s">
        <v>46</v>
      </c>
      <c r="T1" s="4" t="s">
        <v>45</v>
      </c>
      <c r="U1" s="5" t="s">
        <v>47</v>
      </c>
      <c r="V1" s="6" t="s">
        <v>48</v>
      </c>
      <c r="W1" s="6" t="s">
        <v>54</v>
      </c>
      <c r="X1" s="3" t="s">
        <v>53</v>
      </c>
    </row>
    <row r="2" spans="1:24" x14ac:dyDescent="0.25">
      <c r="A2" t="s">
        <v>21</v>
      </c>
      <c r="B2" s="12">
        <v>2.41317</v>
      </c>
      <c r="G2" t="s">
        <v>26</v>
      </c>
      <c r="H2">
        <v>8.4908000000000001</v>
      </c>
      <c r="K2" s="22" t="s">
        <v>5</v>
      </c>
      <c r="L2" s="23" t="s">
        <v>17</v>
      </c>
      <c r="M2" s="24">
        <f>Trail_Data!O13</f>
        <v>1350060.9718171454</v>
      </c>
      <c r="N2" s="22">
        <f>IF(Trail_Data!C13=0,0,(($B$3*$B$7*$B$8*$B$6)+(0.5*$B$11*($B$3^3)*1)+($B$3*$B$7*$B$8*TAN(RADIANS(Trail_Data!D13))))/$B$10)</f>
        <v>1964.2597905309528</v>
      </c>
      <c r="O2" s="23">
        <f>Trail_Data!C13/$B$3</f>
        <v>265.22768171103019</v>
      </c>
      <c r="P2" s="24">
        <f t="shared" ref="P2" si="0">(N2*O2)-M2</f>
        <v>-829084.90129642701</v>
      </c>
      <c r="Q2" s="22">
        <f>IF(Trail_Data!E13=0,0,(($B$3*$B$7*$B$8*$B$6)+(0.5*$B$11*($B$3^3)*1)+($B$3*$B$7*$B$8*TAN(RADIANS(Trail_Data!F13))))/$B$10)</f>
        <v>1832.5702013335554</v>
      </c>
      <c r="R2" s="23">
        <f>Trail_Data!E13/$B$3</f>
        <v>153.01597021790204</v>
      </c>
      <c r="S2" s="24">
        <f t="shared" ref="S2" si="1">(Q2*R2)-$M2</f>
        <v>-1069648.4644676754</v>
      </c>
      <c r="T2" s="22">
        <f>IF(Trail_Data!G13=0,0,(($B$3*$B$7*$B$8*$B$6)+(0.5*$B$11*($B$3^3)*1)+($B$3*$B$7*$B$8*TAN(RADIANS(Trail_Data!H13))))/$B$10)</f>
        <v>1896.8834917471449</v>
      </c>
      <c r="U2" s="23">
        <f>Trail_Data!G13/$B$3</f>
        <v>435.43856655555197</v>
      </c>
      <c r="V2" s="24">
        <f t="shared" ref="V2" si="2">(T2*U2)-$M2</f>
        <v>-524084.74324787839</v>
      </c>
      <c r="W2" s="25">
        <f>SUM(T2,Q2,N2)</f>
        <v>5693.7134836116529</v>
      </c>
      <c r="X2" s="25">
        <f t="shared" ref="X2" si="3">SUM(P2,S2,V2)</f>
        <v>-2422818.1090119807</v>
      </c>
    </row>
    <row r="3" spans="1:24" x14ac:dyDescent="0.25">
      <c r="A3" t="s">
        <v>31</v>
      </c>
      <c r="B3" s="12">
        <v>4.9014491685538726</v>
      </c>
      <c r="G3" t="s">
        <v>27</v>
      </c>
      <c r="H3">
        <v>4.4703999999999997</v>
      </c>
    </row>
    <row r="4" spans="1:24" x14ac:dyDescent="0.25">
      <c r="A4" t="s">
        <v>32</v>
      </c>
      <c r="B4" s="12">
        <v>3.2867031335494961</v>
      </c>
      <c r="G4" t="s">
        <v>24</v>
      </c>
      <c r="H4">
        <v>5</v>
      </c>
    </row>
    <row r="5" spans="1:24" x14ac:dyDescent="0.25">
      <c r="A5" t="s">
        <v>30</v>
      </c>
      <c r="B5" s="4">
        <v>1.0200000000000001E-2</v>
      </c>
      <c r="C5" s="5">
        <v>1.5409999999999999</v>
      </c>
      <c r="D5" s="5">
        <v>-1.6000000000000001E-3</v>
      </c>
      <c r="E5" s="6">
        <v>0.93869999999999998</v>
      </c>
      <c r="G5" t="s">
        <v>25</v>
      </c>
      <c r="H5">
        <v>0</v>
      </c>
    </row>
    <row r="6" spans="1:24" x14ac:dyDescent="0.25">
      <c r="A6" t="s">
        <v>22</v>
      </c>
      <c r="B6">
        <f>$B$5 + ((1/$B$2)*($C$5+($D$5*(((B3*3.6)/$E$5)^2))))</f>
        <v>0.41450062915758196</v>
      </c>
      <c r="G6" t="s">
        <v>28</v>
      </c>
      <c r="H6">
        <v>4.1368499999999999</v>
      </c>
    </row>
    <row r="7" spans="1:24" x14ac:dyDescent="0.25">
      <c r="A7" t="s">
        <v>33</v>
      </c>
      <c r="B7">
        <f>70+(30/2.205)</f>
        <v>83.605442176870753</v>
      </c>
      <c r="G7" t="s">
        <v>29</v>
      </c>
      <c r="H7">
        <v>2.41317</v>
      </c>
    </row>
    <row r="8" spans="1:24" x14ac:dyDescent="0.25">
      <c r="A8" t="s">
        <v>34</v>
      </c>
      <c r="B8">
        <v>9.81</v>
      </c>
    </row>
    <row r="9" spans="1:24" x14ac:dyDescent="0.25">
      <c r="A9" t="s">
        <v>23</v>
      </c>
      <c r="B9" s="4">
        <v>0.23050000000000001</v>
      </c>
      <c r="C9" s="5">
        <v>-1.4954000000000001</v>
      </c>
      <c r="D9" s="5">
        <v>2.36</v>
      </c>
      <c r="E9" s="6">
        <v>91.859899999999996</v>
      </c>
    </row>
    <row r="10" spans="1:24" x14ac:dyDescent="0.25">
      <c r="A10" t="s">
        <v>35</v>
      </c>
      <c r="B10">
        <f>(($B$9*($B$4^3))+($C$9*($B$4^2))+($D$9*$B$4)+($E$9))/100</f>
        <v>0.91646334517038908</v>
      </c>
    </row>
    <row r="11" spans="1:24" x14ac:dyDescent="0.25">
      <c r="A11" t="s">
        <v>36</v>
      </c>
      <c r="B11">
        <v>1.2250000000000001</v>
      </c>
    </row>
    <row r="12" spans="1:24" x14ac:dyDescent="0.25">
      <c r="A12" t="s">
        <v>37</v>
      </c>
      <c r="B12">
        <v>0</v>
      </c>
    </row>
    <row r="16" spans="1:24" x14ac:dyDescent="0.25">
      <c r="A16" s="15" t="s">
        <v>49</v>
      </c>
    </row>
    <row r="17" spans="1:1" x14ac:dyDescent="0.25">
      <c r="A17" s="17" t="s">
        <v>50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F9F0532E-12C6-4E6E-81DA-DE5CC47BD009}">
          <xm:f>PostOptimization_UP_Eppley!$B$2</xm:f>
        </x15:webExtension>
        <x15:webExtension appRef="{32B4F0B3-7FED-4FC0-BAE5-3AAFA9F7E18A}">
          <xm:f>PostOptimization_UP_Eppley!$B$3</xm:f>
        </x15:webExtension>
        <x15:webExtension appRef="{455EA5B7-FC52-41A4-8A19-10795EAE2FE8}">
          <xm:f>PostOptimization_UP_Eppley!$B$4</xm:f>
        </x15:webExtension>
        <x15:webExtension appRef="{8715A473-7CB5-4020-B6E6-545340860091}">
          <xm:f>PostOptimization_UP_Eppley!1:1048576</xm:f>
        </x15:webExtension>
        <x15:webExtension appRef="{29C67DA2-7DA0-4E76-91DD-DB4E669D25DA}">
          <xm:f>PostOptimization_UP_Eppley!XFD1048550:XFD1048575</xm:f>
        </x15:webExtension>
        <x15:webExtension appRef="{CB3FEA8A-6452-4446-868A-496DF2C1ACB0}">
          <xm:f>PostOptimization_UP_Eppley!$W$2</xm:f>
        </x15:webExtension>
        <x15:webExtension appRef="{99FEAE6D-2DC1-44C0-8924-4BEACADE6218}">
          <xm:f>PostOptimization_UP_Eppley!$B$2</xm:f>
        </x15:webExtension>
        <x15:webExtension appRef="{C4715A8E-6E31-4D33-8C3F-9E2CDA3795BD}">
          <xm:f>PostOptimization_UP_Eppley!$B$3</xm:f>
        </x15:webExtension>
        <x15:webExtension appRef="{AF512560-F69A-499B-A501-BAE14B86F0C6}">
          <xm:f>PostOptimization_UP_Eppley!$B$4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3E01-746D-4E2A-B8FF-992BF96465B1}">
  <dimension ref="A1:X43"/>
  <sheetViews>
    <sheetView zoomScaleNormal="100" workbookViewId="0">
      <selection activeCell="J36" sqref="J36"/>
    </sheetView>
  </sheetViews>
  <sheetFormatPr defaultRowHeight="15" x14ac:dyDescent="0.25"/>
  <cols>
    <col min="1" max="1" width="16.28515625" customWidth="1"/>
    <col min="7" max="7" width="16.28515625" customWidth="1"/>
    <col min="13" max="13" width="15.85546875" customWidth="1"/>
    <col min="14" max="14" width="12.7109375" bestFit="1" customWidth="1"/>
    <col min="15" max="15" width="9.5703125" bestFit="1" customWidth="1"/>
    <col min="16" max="16" width="12" bestFit="1" customWidth="1"/>
    <col min="17" max="17" width="12.7109375" bestFit="1" customWidth="1"/>
    <col min="18" max="18" width="9.5703125" bestFit="1" customWidth="1"/>
    <col min="19" max="19" width="10.7109375" bestFit="1" customWidth="1"/>
    <col min="20" max="20" width="12" bestFit="1" customWidth="1"/>
    <col min="21" max="21" width="9.5703125" bestFit="1" customWidth="1"/>
    <col min="22" max="22" width="10.7109375" bestFit="1" customWidth="1"/>
    <col min="23" max="23" width="17.85546875" customWidth="1"/>
    <col min="24" max="24" width="20.5703125" customWidth="1"/>
  </cols>
  <sheetData>
    <row r="1" spans="1:24" x14ac:dyDescent="0.25">
      <c r="A1" t="s">
        <v>11</v>
      </c>
      <c r="B1" t="s">
        <v>20</v>
      </c>
      <c r="G1" t="s">
        <v>38</v>
      </c>
      <c r="H1" t="s">
        <v>20</v>
      </c>
      <c r="J1" t="s">
        <v>55</v>
      </c>
      <c r="K1" t="s">
        <v>18</v>
      </c>
      <c r="L1" t="s">
        <v>19</v>
      </c>
      <c r="M1" t="s">
        <v>39</v>
      </c>
      <c r="N1" s="4" t="s">
        <v>40</v>
      </c>
      <c r="O1" s="5" t="s">
        <v>41</v>
      </c>
      <c r="P1" s="29" t="s">
        <v>42</v>
      </c>
      <c r="Q1" s="4" t="s">
        <v>43</v>
      </c>
      <c r="R1" s="5" t="s">
        <v>44</v>
      </c>
      <c r="S1" s="6" t="s">
        <v>46</v>
      </c>
      <c r="T1" s="4" t="s">
        <v>45</v>
      </c>
      <c r="U1" s="5" t="s">
        <v>47</v>
      </c>
      <c r="V1" s="6" t="s">
        <v>48</v>
      </c>
      <c r="W1" s="6" t="s">
        <v>54</v>
      </c>
      <c r="X1" s="3" t="s">
        <v>53</v>
      </c>
    </row>
    <row r="2" spans="1:24" x14ac:dyDescent="0.25">
      <c r="A2" t="s">
        <v>21</v>
      </c>
      <c r="B2" s="12">
        <v>2.5</v>
      </c>
      <c r="G2" t="s">
        <v>26</v>
      </c>
      <c r="H2">
        <v>8.4908000000000001</v>
      </c>
      <c r="J2">
        <v>1</v>
      </c>
      <c r="K2" t="s">
        <v>4</v>
      </c>
      <c r="L2" t="s">
        <v>12</v>
      </c>
      <c r="M2">
        <f>Trail_Data!O2</f>
        <v>516453.81281739555</v>
      </c>
      <c r="N2" s="27">
        <f>IF(Trail_Data!C2=0,0,(($B$3*$B$7*$B$8*$B$6)+(0.5*$B$11*($B$3^3)*1)+($B$3*$B$7*$B$8*TAN(RADIANS(Trail_Data!D2))))/$B$10)</f>
        <v>1826.9958297578899</v>
      </c>
      <c r="O2" s="28">
        <f>Trail_Data!C2/$B$3</f>
        <v>321.86799999999999</v>
      </c>
      <c r="P2" s="29">
        <f>(N2*O2)</f>
        <v>588051.49373251246</v>
      </c>
      <c r="Q2">
        <f>IF(Trail_Data!E2=0,0,(($B$3*$B$7*$B$8*$B$6)+(0.5*$B$11*($B$3^3)*1)+($B$3*$B$7*$B$8*TAN(RADIANS(Trail_Data!F2))))/$B$10)</f>
        <v>0</v>
      </c>
      <c r="R2">
        <f>Trail_Data!E2/$B$3</f>
        <v>0</v>
      </c>
      <c r="S2" s="8">
        <f>(Q2*R2)</f>
        <v>0</v>
      </c>
      <c r="T2" s="7">
        <f>IF(Trail_Data!G2=0,0,(($B$3*$B$7*$B$8*$B$6)+(0.5*$B$11*($B$3^3)*1)+($B$3*$B$7*$B$8*TAN(RADIANS(Trail_Data!H2))))/$B$10)</f>
        <v>0</v>
      </c>
      <c r="U2">
        <f>Trail_Data!G2/$B$3</f>
        <v>0</v>
      </c>
      <c r="V2" s="8">
        <f>(T2*U2)</f>
        <v>0</v>
      </c>
      <c r="W2" s="26">
        <f>SUM(T2,Q2,N2)</f>
        <v>1826.9958297578899</v>
      </c>
      <c r="X2" s="13">
        <f>SUM(P2,S2,V2)-M2</f>
        <v>71597.680915116915</v>
      </c>
    </row>
    <row r="3" spans="1:24" x14ac:dyDescent="0.25">
      <c r="A3" t="s">
        <v>31</v>
      </c>
      <c r="B3" s="12">
        <v>5</v>
      </c>
      <c r="G3" t="s">
        <v>27</v>
      </c>
      <c r="H3">
        <v>4.4703999999999997</v>
      </c>
      <c r="J3">
        <f>J2+1</f>
        <v>2</v>
      </c>
      <c r="K3" t="s">
        <v>4</v>
      </c>
      <c r="L3" t="s">
        <v>13</v>
      </c>
      <c r="M3">
        <f>Trail_Data!O3</f>
        <v>723036.62158562976</v>
      </c>
      <c r="N3" s="7">
        <f>IF(Trail_Data!C3=0,0,(($B$3*$B$7*$B$8*$B$6)+(0.5*$B$11*($B$3^3)*1)+($B$3*$B$7*$B$8*TAN(RADIANS(Trail_Data!D3))))/$B$10)</f>
        <v>1826.9958297578899</v>
      </c>
      <c r="O3">
        <f>Trail_Data!C3/$B$3</f>
        <v>450.61599999999999</v>
      </c>
      <c r="P3" s="8">
        <f t="shared" ref="P3:P43" si="0">(N3*O3)</f>
        <v>823273.55282218126</v>
      </c>
      <c r="Q3">
        <f>IF(Trail_Data!E3=0,0,(($B$3*$B$7*$B$8*$B$6)+(0.5*$B$11*($B$3^3)*1)+($B$3*$B$7*$B$8*TAN(RADIANS(Trail_Data!F3))))/$B$10)</f>
        <v>0</v>
      </c>
      <c r="R3">
        <f>Trail_Data!E3/$B$3</f>
        <v>0</v>
      </c>
      <c r="S3" s="8">
        <f t="shared" ref="S3:S43" si="1">(Q3*R3)</f>
        <v>0</v>
      </c>
      <c r="T3" s="7">
        <f>IF(Trail_Data!G3=0,0,(($B$3*$B$7*$B$8*$B$6)+(0.5*$B$11*($B$3^3)*1)+($B$3*$B$7*$B$8*TAN(RADIANS(Trail_Data!H3))))/$B$10)</f>
        <v>0</v>
      </c>
      <c r="U3">
        <f>Trail_Data!G3/$B$3</f>
        <v>0</v>
      </c>
      <c r="V3" s="8">
        <f t="shared" ref="V3:V43" si="2">(T3*U3)</f>
        <v>0</v>
      </c>
      <c r="W3" s="13">
        <f t="shared" ref="W3:W43" si="3">SUM(T3,Q3,N3)</f>
        <v>1826.9958297578899</v>
      </c>
      <c r="X3" s="13">
        <f t="shared" ref="X3:X43" si="4">SUM(P3,S3,V3)-M3</f>
        <v>100236.93123655149</v>
      </c>
    </row>
    <row r="4" spans="1:24" x14ac:dyDescent="0.25">
      <c r="A4" t="s">
        <v>32</v>
      </c>
      <c r="B4" s="12">
        <v>2.5</v>
      </c>
      <c r="G4" t="s">
        <v>24</v>
      </c>
      <c r="H4">
        <v>5</v>
      </c>
      <c r="J4">
        <f t="shared" ref="J4:J43" si="5">J3+1</f>
        <v>3</v>
      </c>
      <c r="K4" t="s">
        <v>4</v>
      </c>
      <c r="L4" t="s">
        <v>14</v>
      </c>
      <c r="M4">
        <f>Trail_Data!O4</f>
        <v>743317.86026874057</v>
      </c>
      <c r="N4" s="7">
        <f>IF(Trail_Data!C4=0,0,(($B$3*$B$7*$B$8*$B$6)+(0.5*$B$11*($B$3^3)*1)+($B$3*$B$7*$B$8*TAN(RADIANS(Trail_Data!D4))))/$B$10)</f>
        <v>2029.3736374698219</v>
      </c>
      <c r="O4">
        <f>Trail_Data!C4/$B$3</f>
        <v>110</v>
      </c>
      <c r="P4" s="8">
        <f t="shared" si="0"/>
        <v>223231.10012168041</v>
      </c>
      <c r="Q4">
        <f>IF(Trail_Data!E4=0,0,(($B$3*$B$7*$B$8*$B$6)+(0.5*$B$11*($B$3^3)*1)+($B$3*$B$7*$B$8*TAN(RADIANS(Trail_Data!F4))))/$B$10)</f>
        <v>1826.9958297578899</v>
      </c>
      <c r="R4">
        <f>Trail_Data!E4/$B$3</f>
        <v>340.61599999999999</v>
      </c>
      <c r="S4" s="8">
        <f t="shared" si="1"/>
        <v>622304.01154881343</v>
      </c>
      <c r="T4" s="7">
        <f>IF(Trail_Data!G4=0,0,(($B$3*$B$7*$B$8*$B$6)+(0.5*$B$11*($B$3^3)*1)+($B$3*$B$7*$B$8*TAN(RADIANS(Trail_Data!H4))))/$B$10)</f>
        <v>0</v>
      </c>
      <c r="U4">
        <f>Trail_Data!G4/$B$3</f>
        <v>0</v>
      </c>
      <c r="V4" s="8">
        <f t="shared" si="2"/>
        <v>0</v>
      </c>
      <c r="W4" s="13">
        <f t="shared" si="3"/>
        <v>3856.3694672277115</v>
      </c>
      <c r="X4" s="13">
        <f t="shared" si="4"/>
        <v>102217.25140175328</v>
      </c>
    </row>
    <row r="5" spans="1:24" x14ac:dyDescent="0.25">
      <c r="A5" t="s">
        <v>30</v>
      </c>
      <c r="B5" s="4">
        <v>1.0200000000000001E-2</v>
      </c>
      <c r="C5" s="5">
        <v>1.5409999999999999</v>
      </c>
      <c r="D5" s="5">
        <v>-1.6000000000000001E-3</v>
      </c>
      <c r="E5" s="6">
        <v>0.93869999999999998</v>
      </c>
      <c r="G5" t="s">
        <v>25</v>
      </c>
      <c r="H5">
        <v>0</v>
      </c>
      <c r="J5">
        <f t="shared" si="5"/>
        <v>4</v>
      </c>
      <c r="K5" t="s">
        <v>4</v>
      </c>
      <c r="L5" t="s">
        <v>15</v>
      </c>
      <c r="M5">
        <f>Trail_Data!O5</f>
        <v>888992.14298143284</v>
      </c>
      <c r="N5" s="7">
        <f>IF(Trail_Data!C5=0,0,(($B$3*$B$7*$B$8*$B$6)+(0.5*$B$11*($B$3^3)*1)+($B$3*$B$7*$B$8*TAN(RADIANS(Trail_Data!D5))))/$B$10)</f>
        <v>2029.3736374698219</v>
      </c>
      <c r="O5">
        <f>Trail_Data!C5/$B$3</f>
        <v>110</v>
      </c>
      <c r="P5" s="8">
        <f t="shared" si="0"/>
        <v>223231.10012168041</v>
      </c>
      <c r="Q5">
        <f>IF(Trail_Data!E5=0,0,(($B$3*$B$7*$B$8*$B$6)+(0.5*$B$11*($B$3^3)*1)+($B$3*$B$7*$B$8*TAN(RADIANS(Trail_Data!F5))))/$B$10)</f>
        <v>1705.6225108929145</v>
      </c>
      <c r="R5">
        <f>Trail_Data!E5/$B$3</f>
        <v>80</v>
      </c>
      <c r="S5" s="8">
        <f t="shared" si="1"/>
        <v>136449.80087143317</v>
      </c>
      <c r="T5" s="7">
        <f>IF(Trail_Data!G5=0,0,(($B$3*$B$7*$B$8*$B$6)+(0.5*$B$11*($B$3^3)*1)+($B$3*$B$7*$B$8*TAN(RADIANS(Trail_Data!H5))))/$B$10)</f>
        <v>1826.9958297578899</v>
      </c>
      <c r="U5">
        <f>Trail_Data!G5/$B$3</f>
        <v>357</v>
      </c>
      <c r="V5" s="8">
        <f t="shared" si="2"/>
        <v>652237.51122356672</v>
      </c>
      <c r="W5" s="13">
        <f t="shared" si="3"/>
        <v>5561.9919781206263</v>
      </c>
      <c r="X5" s="13">
        <f t="shared" si="4"/>
        <v>122926.26923524751</v>
      </c>
    </row>
    <row r="6" spans="1:24" x14ac:dyDescent="0.25">
      <c r="A6" t="s">
        <v>22</v>
      </c>
      <c r="B6">
        <f>$B$5 + ((1/$B$2)*($C$5+($D$5*(((B3*3.6)/$E$5)^2))))</f>
        <v>0.39127322211078924</v>
      </c>
      <c r="G6" t="s">
        <v>28</v>
      </c>
      <c r="H6">
        <v>4.1368499999999999</v>
      </c>
      <c r="J6">
        <f t="shared" si="5"/>
        <v>5</v>
      </c>
      <c r="K6" t="s">
        <v>4</v>
      </c>
      <c r="L6" t="s">
        <v>16</v>
      </c>
      <c r="M6">
        <f>Trail_Data!O6</f>
        <v>898253.36229332129</v>
      </c>
      <c r="N6" s="7">
        <f>IF(Trail_Data!C6=0,0,(($B$3*$B$7*$B$8*$B$6)+(0.5*$B$11*($B$3^3)*1)+($B$3*$B$7*$B$8*TAN(RADIANS(Trail_Data!D6))))/$B$10)</f>
        <v>2029.3736374698219</v>
      </c>
      <c r="O6">
        <f>Trail_Data!C6/$B$3</f>
        <v>110</v>
      </c>
      <c r="P6" s="8">
        <f t="shared" si="0"/>
        <v>223231.10012168041</v>
      </c>
      <c r="Q6">
        <f>IF(Trail_Data!E6=0,0,(($B$3*$B$7*$B$8*$B$6)+(0.5*$B$11*($B$3^3)*1)+($B$3*$B$7*$B$8*TAN(RADIANS(Trail_Data!F6))))/$B$10)</f>
        <v>1826.9958297578899</v>
      </c>
      <c r="R6">
        <f>Trail_Data!E6/$B$3</f>
        <v>437.17600000000004</v>
      </c>
      <c r="S6" s="8">
        <f t="shared" si="1"/>
        <v>798718.72887023538</v>
      </c>
      <c r="T6" s="7">
        <f>IF(Trail_Data!G6=0,0,(($B$3*$B$7*$B$8*$B$6)+(0.5*$B$11*($B$3^3)*1)+($B$3*$B$7*$B$8*TAN(RADIANS(Trail_Data!H6))))/$B$10)</f>
        <v>0</v>
      </c>
      <c r="U6">
        <f>Trail_Data!G6/$B$3</f>
        <v>0</v>
      </c>
      <c r="V6" s="8">
        <f t="shared" si="2"/>
        <v>0</v>
      </c>
      <c r="W6" s="13">
        <f t="shared" si="3"/>
        <v>3856.3694672277115</v>
      </c>
      <c r="X6" s="13">
        <f t="shared" si="4"/>
        <v>123696.46669859451</v>
      </c>
    </row>
    <row r="7" spans="1:24" x14ac:dyDescent="0.25">
      <c r="A7" t="s">
        <v>33</v>
      </c>
      <c r="B7">
        <f>70+(30/2.205)</f>
        <v>83.605442176870753</v>
      </c>
      <c r="G7" t="s">
        <v>29</v>
      </c>
      <c r="H7">
        <v>2.41317</v>
      </c>
      <c r="J7">
        <f t="shared" si="5"/>
        <v>6</v>
      </c>
      <c r="K7" t="s">
        <v>4</v>
      </c>
      <c r="L7" t="s">
        <v>17</v>
      </c>
      <c r="M7">
        <f>Trail_Data!O7</f>
        <v>803632.41182139376</v>
      </c>
      <c r="N7" s="7">
        <f>IF(Trail_Data!C7=0,0,(($B$3*$B$7*$B$8*$B$6)+(0.5*$B$11*($B$3^3)*1)+($B$3*$B$7*$B$8*TAN(RADIANS(Trail_Data!D7))))/$B$10)</f>
        <v>2154.2758157989347</v>
      </c>
      <c r="O7">
        <f>Trail_Data!C7/$B$3</f>
        <v>97.8</v>
      </c>
      <c r="P7" s="8">
        <f t="shared" si="0"/>
        <v>210688.17478513581</v>
      </c>
      <c r="Q7">
        <f>IF(Trail_Data!E7=0,0,(($B$3*$B$7*$B$8*$B$6)+(0.5*$B$11*($B$3^3)*1)+($B$3*$B$7*$B$8*TAN(RADIANS(Trail_Data!F7))))/$B$10)</f>
        <v>1826.9958297578899</v>
      </c>
      <c r="R7">
        <f>Trail_Data!E7/$B$3</f>
        <v>385.00200000000001</v>
      </c>
      <c r="S7" s="8">
        <f t="shared" si="1"/>
        <v>703397.04844844714</v>
      </c>
      <c r="T7" s="7">
        <f>IF(Trail_Data!G7=0,0,(($B$3*$B$7*$B$8*$B$6)+(0.5*$B$11*($B$3^3)*1)+($B$3*$B$7*$B$8*TAN(RADIANS(Trail_Data!H7))))/$B$10)</f>
        <v>0</v>
      </c>
      <c r="U7">
        <f>Trail_Data!G7/$B$3</f>
        <v>0</v>
      </c>
      <c r="V7" s="8">
        <f t="shared" si="2"/>
        <v>0</v>
      </c>
      <c r="W7" s="13">
        <f t="shared" si="3"/>
        <v>3981.2716455568243</v>
      </c>
      <c r="X7" s="13">
        <f t="shared" si="4"/>
        <v>110452.81141218916</v>
      </c>
    </row>
    <row r="8" spans="1:24" x14ac:dyDescent="0.25">
      <c r="A8" t="s">
        <v>34</v>
      </c>
      <c r="B8">
        <v>9.81</v>
      </c>
      <c r="J8">
        <f t="shared" si="5"/>
        <v>7</v>
      </c>
      <c r="K8" t="s">
        <v>5</v>
      </c>
      <c r="L8" t="s">
        <v>12</v>
      </c>
      <c r="M8">
        <f>Trail_Data!O8</f>
        <v>1394425.936427606</v>
      </c>
      <c r="N8" s="7">
        <f>IF(Trail_Data!C8=0,0,(($B$3*$B$7*$B$8*$B$6)+(0.5*$B$11*($B$3^3)*1)+($B$3*$B$7*$B$8*TAN(RADIANS(Trail_Data!D8))))/$B$10)</f>
        <v>1826.9958297578899</v>
      </c>
      <c r="O8">
        <f>Trail_Data!C8/$B$3</f>
        <v>869.0440000000001</v>
      </c>
      <c r="P8" s="8">
        <f t="shared" si="0"/>
        <v>1587739.7638761159</v>
      </c>
      <c r="Q8">
        <f>IF(Trail_Data!E8=0,0,(($B$3*$B$7*$B$8*$B$6)+(0.5*$B$11*($B$3^3)*1)+($B$3*$B$7*$B$8*TAN(RADIANS(Trail_Data!F8))))/$B$10)</f>
        <v>0</v>
      </c>
      <c r="R8">
        <f>Trail_Data!E8/$B$3</f>
        <v>0</v>
      </c>
      <c r="S8" s="8">
        <f t="shared" si="1"/>
        <v>0</v>
      </c>
      <c r="T8" s="7">
        <f>IF(Trail_Data!G8=0,0,(($B$3*$B$7*$B$8*$B$6)+(0.5*$B$11*($B$3^3)*1)+($B$3*$B$7*$B$8*TAN(RADIANS(Trail_Data!H8))))/$B$10)</f>
        <v>0</v>
      </c>
      <c r="U8">
        <f>Trail_Data!G8/$B$3</f>
        <v>0</v>
      </c>
      <c r="V8" s="8">
        <f t="shared" si="2"/>
        <v>0</v>
      </c>
      <c r="W8" s="13">
        <f t="shared" si="3"/>
        <v>1826.9958297578899</v>
      </c>
      <c r="X8" s="13">
        <f t="shared" si="4"/>
        <v>193313.82744850987</v>
      </c>
    </row>
    <row r="9" spans="1:24" x14ac:dyDescent="0.25">
      <c r="A9" t="s">
        <v>23</v>
      </c>
      <c r="B9" s="4">
        <v>0.23050000000000001</v>
      </c>
      <c r="C9" s="5">
        <v>-1.4954000000000001</v>
      </c>
      <c r="D9" s="5">
        <v>2.36</v>
      </c>
      <c r="E9" s="6">
        <v>91.859899999999996</v>
      </c>
      <c r="J9">
        <f t="shared" si="5"/>
        <v>8</v>
      </c>
      <c r="K9" t="s">
        <v>5</v>
      </c>
      <c r="L9" t="s">
        <v>13</v>
      </c>
      <c r="M9">
        <f>Trail_Data!O9</f>
        <v>1152525.1480029647</v>
      </c>
      <c r="N9" s="7">
        <f>IF(Trail_Data!C9=0,0,(($B$3*$B$7*$B$8*$B$6)+(0.5*$B$11*($B$3^3)*1)+($B$3*$B$7*$B$8*TAN(RADIANS(Trail_Data!D9))))/$B$10)</f>
        <v>1895.4512935928908</v>
      </c>
      <c r="O9">
        <f>Trail_Data!C9/$B$3</f>
        <v>260</v>
      </c>
      <c r="P9" s="8">
        <f t="shared" si="0"/>
        <v>492817.33633415162</v>
      </c>
      <c r="Q9">
        <f>IF(Trail_Data!E9=0,0,(($B$3*$B$7*$B$8*$B$6)+(0.5*$B$11*($B$3^3)*1)+($B$3*$B$7*$B$8*TAN(RADIANS(Trail_Data!F9))))/$B$10)</f>
        <v>1826.9958297578899</v>
      </c>
      <c r="R9">
        <f>Trail_Data!E9/$B$3</f>
        <v>448.11</v>
      </c>
      <c r="S9" s="8">
        <f t="shared" si="1"/>
        <v>818695.10127280804</v>
      </c>
      <c r="T9" s="7">
        <f>IF(Trail_Data!G9=0,0,(($B$3*$B$7*$B$8*$B$6)+(0.5*$B$11*($B$3^3)*1)+($B$3*$B$7*$B$8*TAN(RADIANS(Trail_Data!H9))))/$B$10)</f>
        <v>0</v>
      </c>
      <c r="U9">
        <f>Trail_Data!G9/$B$3</f>
        <v>0</v>
      </c>
      <c r="V9" s="8">
        <f t="shared" si="2"/>
        <v>0</v>
      </c>
      <c r="W9" s="13">
        <f t="shared" si="3"/>
        <v>3722.4471233507807</v>
      </c>
      <c r="X9" s="13">
        <f t="shared" si="4"/>
        <v>158987.28960399493</v>
      </c>
    </row>
    <row r="10" spans="1:24" x14ac:dyDescent="0.25">
      <c r="A10" t="s">
        <v>35</v>
      </c>
      <c r="B10">
        <f>(($B$9*($B$4^3))+($C$9*($B$4^2))+($D$9*$B$4)+($E$9))/100</f>
        <v>0.92015212499999988</v>
      </c>
      <c r="J10">
        <f t="shared" si="5"/>
        <v>9</v>
      </c>
      <c r="K10" t="s">
        <v>5</v>
      </c>
      <c r="L10" t="s">
        <v>14</v>
      </c>
      <c r="M10">
        <f>Trail_Data!O10</f>
        <v>1255816.5523870816</v>
      </c>
      <c r="N10" s="7">
        <f>IF(Trail_Data!C10=0,0,(($B$3*$B$7*$B$8*$B$6)+(0.5*$B$11*($B$3^3)*1)+($B$3*$B$7*$B$8*TAN(RADIANS(Trail_Data!D10))))/$B$10)</f>
        <v>1895.4512935928908</v>
      </c>
      <c r="O10">
        <f>Trail_Data!C10/$B$3</f>
        <v>260</v>
      </c>
      <c r="P10" s="8">
        <f t="shared" si="0"/>
        <v>492817.33633415162</v>
      </c>
      <c r="Q10">
        <f>IF(Trail_Data!E10=0,0,(($B$3*$B$7*$B$8*$B$6)+(0.5*$B$11*($B$3^3)*1)+($B$3*$B$7*$B$8*TAN(RADIANS(Trail_Data!F10))))/$B$10)</f>
        <v>1826.9958297578899</v>
      </c>
      <c r="R10">
        <f>Trail_Data!E10/$B$3</f>
        <v>512.48400000000004</v>
      </c>
      <c r="S10" s="8">
        <f t="shared" si="1"/>
        <v>936306.13081764244</v>
      </c>
      <c r="T10" s="7">
        <f>IF(Trail_Data!G10=0,0,(($B$3*$B$7*$B$8*$B$6)+(0.5*$B$11*($B$3^3)*1)+($B$3*$B$7*$B$8*TAN(RADIANS(Trail_Data!H10))))/$B$10)</f>
        <v>0</v>
      </c>
      <c r="U10">
        <f>Trail_Data!G10/$B$3</f>
        <v>0</v>
      </c>
      <c r="V10" s="8">
        <f t="shared" si="2"/>
        <v>0</v>
      </c>
      <c r="W10" s="13">
        <f t="shared" si="3"/>
        <v>3722.4471233507807</v>
      </c>
      <c r="X10" s="13">
        <f t="shared" si="4"/>
        <v>173306.91476471256</v>
      </c>
    </row>
    <row r="11" spans="1:24" x14ac:dyDescent="0.25">
      <c r="A11" t="s">
        <v>36</v>
      </c>
      <c r="B11">
        <v>1.2250000000000001</v>
      </c>
      <c r="J11">
        <f t="shared" si="5"/>
        <v>10</v>
      </c>
      <c r="K11" t="s">
        <v>5</v>
      </c>
      <c r="L11" t="s">
        <v>15</v>
      </c>
      <c r="M11">
        <f>Trail_Data!O11</f>
        <v>681859.78162293497</v>
      </c>
      <c r="N11" s="7">
        <f>IF(Trail_Data!C11=0,0,(($B$3*$B$7*$B$8*$B$6)+(0.5*$B$11*($B$3^3)*1)+($B$3*$B$7*$B$8*TAN(RADIANS(Trail_Data!D11))))/$B$10)</f>
        <v>2090.211775627205</v>
      </c>
      <c r="O11">
        <f>Trail_Data!C11/$B$3</f>
        <v>44</v>
      </c>
      <c r="P11" s="8">
        <f t="shared" si="0"/>
        <v>91969.318127597027</v>
      </c>
      <c r="Q11">
        <f>IF(Trail_Data!E11=0,0,(($B$3*$B$7*$B$8*$B$6)+(0.5*$B$11*($B$3^3)*1)+($B$3*$B$7*$B$8*TAN(RADIANS(Trail_Data!F11))))/$B$10)</f>
        <v>1826.9958297578899</v>
      </c>
      <c r="R11">
        <f>Trail_Data!E11/$B$3</f>
        <v>374.4</v>
      </c>
      <c r="S11" s="8">
        <f t="shared" si="1"/>
        <v>684027.23866135394</v>
      </c>
      <c r="T11" s="7">
        <f>IF(Trail_Data!G11=0,0,(($B$3*$B$7*$B$8*$B$6)+(0.5*$B$11*($B$3^3)*1)+($B$3*$B$7*$B$8*TAN(RADIANS(Trail_Data!H11))))/$B$10)</f>
        <v>0</v>
      </c>
      <c r="U11">
        <f>Trail_Data!G11/$B$3</f>
        <v>0</v>
      </c>
      <c r="V11" s="8">
        <f t="shared" si="2"/>
        <v>0</v>
      </c>
      <c r="W11" s="13">
        <f t="shared" si="3"/>
        <v>3917.2076053850951</v>
      </c>
      <c r="X11" s="13">
        <f t="shared" si="4"/>
        <v>94136.775166015956</v>
      </c>
    </row>
    <row r="12" spans="1:24" x14ac:dyDescent="0.25">
      <c r="A12" t="s">
        <v>37</v>
      </c>
      <c r="B12">
        <v>0</v>
      </c>
      <c r="J12">
        <f t="shared" si="5"/>
        <v>11</v>
      </c>
      <c r="K12" t="s">
        <v>5</v>
      </c>
      <c r="L12" t="s">
        <v>16</v>
      </c>
      <c r="M12">
        <f>Trail_Data!O12</f>
        <v>1255816.5523870816</v>
      </c>
      <c r="N12" s="7">
        <f>IF(Trail_Data!C12=0,0,(($B$3*$B$7*$B$8*$B$6)+(0.5*$B$11*($B$3^3)*1)+($B$3*$B$7*$B$8*TAN(RADIANS(Trail_Data!D12))))/$B$10)</f>
        <v>1895.4512935928908</v>
      </c>
      <c r="O12">
        <f>Trail_Data!C12/$B$3</f>
        <v>260</v>
      </c>
      <c r="P12" s="8">
        <f t="shared" si="0"/>
        <v>492817.33633415162</v>
      </c>
      <c r="Q12">
        <f>IF(Trail_Data!E12=0,0,(($B$3*$B$7*$B$8*$B$6)+(0.5*$B$11*($B$3^3)*1)+($B$3*$B$7*$B$8*TAN(RADIANS(Trail_Data!F12))))/$B$10)</f>
        <v>1826.9958297578899</v>
      </c>
      <c r="R12">
        <f>Trail_Data!E12/$B$3</f>
        <v>512.48400000000004</v>
      </c>
      <c r="S12" s="8">
        <f t="shared" si="1"/>
        <v>936306.13081764244</v>
      </c>
      <c r="T12" s="7">
        <f>IF(Trail_Data!G12=0,0,(($B$3*$B$7*$B$8*$B$6)+(0.5*$B$11*($B$3^3)*1)+($B$3*$B$7*$B$8*TAN(RADIANS(Trail_Data!H12))))/$B$10)</f>
        <v>0</v>
      </c>
      <c r="U12">
        <f>Trail_Data!G12/$B$3</f>
        <v>0</v>
      </c>
      <c r="V12" s="8">
        <f t="shared" si="2"/>
        <v>0</v>
      </c>
      <c r="W12" s="13">
        <f t="shared" si="3"/>
        <v>3722.4471233507807</v>
      </c>
      <c r="X12" s="13">
        <f t="shared" si="4"/>
        <v>173306.91476471256</v>
      </c>
    </row>
    <row r="13" spans="1:24" x14ac:dyDescent="0.25">
      <c r="J13" s="18">
        <f t="shared" si="5"/>
        <v>12</v>
      </c>
      <c r="K13" s="18" t="s">
        <v>5</v>
      </c>
      <c r="L13" s="18" t="s">
        <v>17</v>
      </c>
      <c r="M13" s="18">
        <f>Trail_Data!O13</f>
        <v>1350060.9718171454</v>
      </c>
      <c r="N13" s="19">
        <f>IF(Trail_Data!C13=0,0,(($B$3*$B$7*$B$8*$B$6)+(0.5*$B$11*($B$3^3)*1)+($B$3*$B$7*$B$8*TAN(RADIANS(Trail_Data!D13))))/$B$10)</f>
        <v>1895.4512935928908</v>
      </c>
      <c r="O13" s="18">
        <f>Trail_Data!C13/$B$3</f>
        <v>260</v>
      </c>
      <c r="P13" s="20">
        <f t="shared" si="0"/>
        <v>492817.33633415162</v>
      </c>
      <c r="Q13" s="18">
        <f>IF(Trail_Data!E13=0,0,(($B$3*$B$7*$B$8*$B$6)+(0.5*$B$11*($B$3^3)*1)+($B$3*$B$7*$B$8*TAN(RADIANS(Trail_Data!F13))))/$B$10)</f>
        <v>1761.6524344469642</v>
      </c>
      <c r="R13" s="18">
        <f>Trail_Data!E13/$B$3</f>
        <v>150</v>
      </c>
      <c r="S13" s="20">
        <f t="shared" si="1"/>
        <v>264247.86516704463</v>
      </c>
      <c r="T13" s="19">
        <f>IF(Trail_Data!G13=0,0,(($B$3*$B$7*$B$8*$B$6)+(0.5*$B$11*($B$3^3)*1)+($B$3*$B$7*$B$8*TAN(RADIANS(Trail_Data!H13))))/$B$10)</f>
        <v>1826.9958297578899</v>
      </c>
      <c r="U13" s="18">
        <f>Trail_Data!G13/$B$3</f>
        <v>426.85600000000005</v>
      </c>
      <c r="V13" s="20">
        <f t="shared" si="2"/>
        <v>779864.13190713397</v>
      </c>
      <c r="W13" s="21">
        <f t="shared" si="3"/>
        <v>5484.0995577977446</v>
      </c>
      <c r="X13" s="21">
        <f t="shared" si="4"/>
        <v>186868.36159118474</v>
      </c>
    </row>
    <row r="14" spans="1:24" x14ac:dyDescent="0.25">
      <c r="J14">
        <f t="shared" si="5"/>
        <v>13</v>
      </c>
      <c r="K14" t="s">
        <v>6</v>
      </c>
      <c r="L14" t="s">
        <v>12</v>
      </c>
      <c r="M14">
        <f>Trail_Data!O14</f>
        <v>516453.81281739555</v>
      </c>
      <c r="N14" s="7">
        <f>IF(Trail_Data!C14=0,0,(($B$3*$B$7*$B$8*$B$6)+(0.5*$B$11*($B$3^3)*1)+($B$3*$B$7*$B$8*TAN(RADIANS(Trail_Data!D14))))/$B$10)</f>
        <v>1826.9958297578899</v>
      </c>
      <c r="O14">
        <f>Trail_Data!C14/$B$3</f>
        <v>321.86799999999999</v>
      </c>
      <c r="P14" s="8">
        <f t="shared" si="0"/>
        <v>588051.49373251246</v>
      </c>
      <c r="Q14">
        <f>IF(Trail_Data!E14=0,0,(($B$3*$B$7*$B$8*$B$6)+(0.5*$B$11*($B$3^3)*1)+($B$3*$B$7*$B$8*TAN(RADIANS(Trail_Data!F14))))/$B$10)</f>
        <v>0</v>
      </c>
      <c r="R14">
        <f>Trail_Data!E14/$B$3</f>
        <v>0</v>
      </c>
      <c r="S14" s="8">
        <f t="shared" si="1"/>
        <v>0</v>
      </c>
      <c r="T14" s="7">
        <f>IF(Trail_Data!G14=0,0,(($B$3*$B$7*$B$8*$B$6)+(0.5*$B$11*($B$3^3)*1)+($B$3*$B$7*$B$8*TAN(RADIANS(Trail_Data!H14))))/$B$10)</f>
        <v>0</v>
      </c>
      <c r="U14">
        <f>Trail_Data!G14/$B$3</f>
        <v>0</v>
      </c>
      <c r="V14" s="8">
        <f t="shared" si="2"/>
        <v>0</v>
      </c>
      <c r="W14" s="13">
        <f t="shared" si="3"/>
        <v>1826.9958297578899</v>
      </c>
      <c r="X14" s="13">
        <f t="shared" si="4"/>
        <v>71597.680915116915</v>
      </c>
    </row>
    <row r="15" spans="1:24" x14ac:dyDescent="0.25">
      <c r="J15">
        <f t="shared" si="5"/>
        <v>14</v>
      </c>
      <c r="K15" t="s">
        <v>6</v>
      </c>
      <c r="L15" t="s">
        <v>13</v>
      </c>
      <c r="M15">
        <f>Trail_Data!O15</f>
        <v>691670.55352508696</v>
      </c>
      <c r="N15" s="7">
        <f>IF(Trail_Data!C15=0,0,(($B$3*$B$7*$B$8*$B$6)+(0.5*$B$11*($B$3^3)*1)+($B$3*$B$7*$B$8*TAN(RADIANS(Trail_Data!D15))))/$B$10)</f>
        <v>2029.3736374698219</v>
      </c>
      <c r="O15">
        <f>Trail_Data!C15/$B$3</f>
        <v>110</v>
      </c>
      <c r="P15" s="8">
        <f t="shared" si="0"/>
        <v>223231.10012168041</v>
      </c>
      <c r="Q15">
        <f>IF(Trail_Data!E15=0,0,(($B$3*$B$7*$B$8*$B$6)+(0.5*$B$11*($B$3^3)*1)+($B$3*$B$7*$B$8*TAN(RADIANS(Trail_Data!F15))))/$B$10)</f>
        <v>1826.9958297578899</v>
      </c>
      <c r="R15">
        <f>Trail_Data!E15/$B$3</f>
        <v>308.428</v>
      </c>
      <c r="S15" s="8">
        <f t="shared" si="1"/>
        <v>563496.66978056647</v>
      </c>
      <c r="T15" s="7">
        <f>IF(Trail_Data!G15=0,0,(($B$3*$B$7*$B$8*$B$6)+(0.5*$B$11*($B$3^3)*1)+($B$3*$B$7*$B$8*TAN(RADIANS(Trail_Data!H15))))/$B$10)</f>
        <v>0</v>
      </c>
      <c r="U15">
        <f>Trail_Data!G15/$B$3</f>
        <v>0</v>
      </c>
      <c r="V15" s="8">
        <f t="shared" si="2"/>
        <v>0</v>
      </c>
      <c r="W15" s="13">
        <f t="shared" si="3"/>
        <v>3856.3694672277115</v>
      </c>
      <c r="X15" s="13">
        <f t="shared" si="4"/>
        <v>95057.21637715993</v>
      </c>
    </row>
    <row r="16" spans="1:24" x14ac:dyDescent="0.25">
      <c r="A16" s="15" t="s">
        <v>49</v>
      </c>
      <c r="J16">
        <f t="shared" si="5"/>
        <v>15</v>
      </c>
      <c r="K16" t="s">
        <v>6</v>
      </c>
      <c r="L16" t="s">
        <v>14</v>
      </c>
      <c r="M16">
        <f>Trail_Data!O16</f>
        <v>743317.86026874057</v>
      </c>
      <c r="N16" s="7">
        <f>IF(Trail_Data!C16=0,0,(($B$3*$B$7*$B$8*$B$6)+(0.5*$B$11*($B$3^3)*1)+($B$3*$B$7*$B$8*TAN(RADIANS(Trail_Data!D16))))/$B$10)</f>
        <v>2029.3736374698219</v>
      </c>
      <c r="O16">
        <f>Trail_Data!C16/$B$3</f>
        <v>110</v>
      </c>
      <c r="P16" s="8">
        <f t="shared" si="0"/>
        <v>223231.10012168041</v>
      </c>
      <c r="Q16">
        <f>IF(Trail_Data!E16=0,0,(($B$3*$B$7*$B$8*$B$6)+(0.5*$B$11*($B$3^3)*1)+($B$3*$B$7*$B$8*TAN(RADIANS(Trail_Data!F16))))/$B$10)</f>
        <v>1826.9958297578899</v>
      </c>
      <c r="R16">
        <f>Trail_Data!E16/$B$3</f>
        <v>340.61599999999999</v>
      </c>
      <c r="S16" s="8">
        <f t="shared" si="1"/>
        <v>622304.01154881343</v>
      </c>
      <c r="T16" s="7">
        <f>IF(Trail_Data!G16=0,0,(($B$3*$B$7*$B$8*$B$6)+(0.5*$B$11*($B$3^3)*1)+($B$3*$B$7*$B$8*TAN(RADIANS(Trail_Data!H16))))/$B$10)</f>
        <v>0</v>
      </c>
      <c r="U16">
        <f>Trail_Data!G16/$B$3</f>
        <v>0</v>
      </c>
      <c r="V16" s="8">
        <f t="shared" si="2"/>
        <v>0</v>
      </c>
      <c r="W16" s="13">
        <f t="shared" si="3"/>
        <v>3856.3694672277115</v>
      </c>
      <c r="X16" s="13">
        <f t="shared" si="4"/>
        <v>102217.25140175328</v>
      </c>
    </row>
    <row r="17" spans="1:24" x14ac:dyDescent="0.25">
      <c r="A17" s="16" t="s">
        <v>50</v>
      </c>
      <c r="J17">
        <f t="shared" si="5"/>
        <v>16</v>
      </c>
      <c r="K17" t="s">
        <v>6</v>
      </c>
      <c r="L17" t="s">
        <v>15</v>
      </c>
      <c r="M17">
        <f>Trail_Data!O17</f>
        <v>784288.23247920838</v>
      </c>
      <c r="N17" s="7">
        <f>IF(Trail_Data!C17=0,0,(($B$3*$B$7*$B$8*$B$6)+(0.5*$B$11*($B$3^3)*1)+($B$3*$B$7*$B$8*TAN(RADIANS(Trail_Data!D17))))/$B$10)</f>
        <v>2005.2165179467327</v>
      </c>
      <c r="O17">
        <f>Trail_Data!C17/$B$3</f>
        <v>130</v>
      </c>
      <c r="P17" s="8">
        <f t="shared" si="0"/>
        <v>260678.14733307523</v>
      </c>
      <c r="Q17">
        <f>IF(Trail_Data!E17=0,0,(($B$3*$B$7*$B$8*$B$6)+(0.5*$B$11*($B$3^3)*1)+($B$3*$B$7*$B$8*TAN(RADIANS(Trail_Data!F17))))/$B$10)</f>
        <v>1671.3642480018634</v>
      </c>
      <c r="R17">
        <f>Trail_Data!E17/$B$3</f>
        <v>80</v>
      </c>
      <c r="S17" s="8">
        <f t="shared" si="1"/>
        <v>133709.13984014909</v>
      </c>
      <c r="T17" s="7">
        <f>IF(Trail_Data!G17=0,0,(($B$3*$B$7*$B$8*$B$6)+(0.5*$B$11*($B$3^3)*1)+($B$3*$B$7*$B$8*TAN(RADIANS(Trail_Data!H17))))/$B$10)</f>
        <v>1826.9958297578899</v>
      </c>
      <c r="U17">
        <f>Trail_Data!G17/$B$3</f>
        <v>272.80200000000002</v>
      </c>
      <c r="V17" s="8">
        <f t="shared" si="2"/>
        <v>498408.1163496119</v>
      </c>
      <c r="W17" s="13">
        <f t="shared" si="3"/>
        <v>5503.5765957064859</v>
      </c>
      <c r="X17" s="13">
        <f t="shared" si="4"/>
        <v>108507.1710436279</v>
      </c>
    </row>
    <row r="18" spans="1:24" x14ac:dyDescent="0.25">
      <c r="A18" s="16" t="s">
        <v>51</v>
      </c>
      <c r="J18">
        <f t="shared" si="5"/>
        <v>17</v>
      </c>
      <c r="K18" t="s">
        <v>6</v>
      </c>
      <c r="L18" t="s">
        <v>16</v>
      </c>
      <c r="M18">
        <f>Trail_Data!O18</f>
        <v>939348.82786297111</v>
      </c>
      <c r="N18" s="7">
        <f>IF(Trail_Data!C18=0,0,(($B$3*$B$7*$B$8*$B$6)+(0.5*$B$11*($B$3^3)*1)+($B$3*$B$7*$B$8*TAN(RADIANS(Trail_Data!D18))))/$B$10)</f>
        <v>1960.0462889826149</v>
      </c>
      <c r="O18">
        <f>Trail_Data!C18/$B$3</f>
        <v>80</v>
      </c>
      <c r="P18" s="8">
        <f t="shared" si="0"/>
        <v>156803.70311860921</v>
      </c>
      <c r="Q18">
        <f>IF(Trail_Data!E18=0,0,(($B$3*$B$7*$B$8*$B$6)+(0.5*$B$11*($B$3^3)*1)+($B$3*$B$7*$B$8*TAN(RADIANS(Trail_Data!F18))))/$B$10)</f>
        <v>1826.9958297578899</v>
      </c>
      <c r="R18">
        <f>Trail_Data!E18/$B$3</f>
        <v>499.36199999999997</v>
      </c>
      <c r="S18" s="8">
        <f t="shared" si="1"/>
        <v>912332.29153955937</v>
      </c>
      <c r="T18" s="7">
        <f>IF(Trail_Data!G18=0,0,(($B$3*$B$7*$B$8*$B$6)+(0.5*$B$11*($B$3^3)*1)+($B$3*$B$7*$B$8*TAN(RADIANS(Trail_Data!H18))))/$B$10)</f>
        <v>0</v>
      </c>
      <c r="U18">
        <f>Trail_Data!G18/$B$3</f>
        <v>0</v>
      </c>
      <c r="V18" s="8">
        <f t="shared" si="2"/>
        <v>0</v>
      </c>
      <c r="W18" s="13">
        <f t="shared" si="3"/>
        <v>3787.0421187405045</v>
      </c>
      <c r="X18" s="13">
        <f t="shared" si="4"/>
        <v>129787.16679519753</v>
      </c>
    </row>
    <row r="19" spans="1:24" x14ac:dyDescent="0.25">
      <c r="A19" s="17" t="s">
        <v>52</v>
      </c>
      <c r="J19">
        <f t="shared" si="5"/>
        <v>18</v>
      </c>
      <c r="K19" t="s">
        <v>6</v>
      </c>
      <c r="L19" t="s">
        <v>17</v>
      </c>
      <c r="M19">
        <f>Trail_Data!O19</f>
        <v>1216794.8202546723</v>
      </c>
      <c r="N19" s="7">
        <f>IF(Trail_Data!C19=0,0,(($B$3*$B$7*$B$8*$B$6)+(0.5*$B$11*($B$3^3)*1)+($B$3*$B$7*$B$8*TAN(RADIANS(Trail_Data!D19))))/$B$10)</f>
        <v>2154.2758157989347</v>
      </c>
      <c r="O19">
        <f>Trail_Data!C19/$B$3</f>
        <v>97.8</v>
      </c>
      <c r="P19" s="8">
        <f t="shared" si="0"/>
        <v>210688.17478513581</v>
      </c>
      <c r="Q19">
        <f>IF(Trail_Data!E19=0,0,(($B$3*$B$7*$B$8*$B$6)+(0.5*$B$11*($B$3^3)*1)+($B$3*$B$7*$B$8*TAN(RADIANS(Trail_Data!F19))))/$B$10)</f>
        <v>1826.9958297578899</v>
      </c>
      <c r="R19">
        <f>Trail_Data!E19/$B$3</f>
        <v>642.49599999999998</v>
      </c>
      <c r="S19" s="8">
        <f t="shared" si="1"/>
        <v>1173837.5126361251</v>
      </c>
      <c r="T19" s="7">
        <f>IF(Trail_Data!G19=0,0,(($B$3*$B$7*$B$8*$B$6)+(0.5*$B$11*($B$3^3)*1)+($B$3*$B$7*$B$8*TAN(RADIANS(Trail_Data!H19))))/$B$10)</f>
        <v>0</v>
      </c>
      <c r="U19">
        <f>Trail_Data!G19/$B$3</f>
        <v>0</v>
      </c>
      <c r="V19" s="8">
        <f t="shared" si="2"/>
        <v>0</v>
      </c>
      <c r="W19" s="13">
        <f t="shared" si="3"/>
        <v>3981.2716455568243</v>
      </c>
      <c r="X19" s="13">
        <f t="shared" si="4"/>
        <v>167730.86716658855</v>
      </c>
    </row>
    <row r="20" spans="1:24" x14ac:dyDescent="0.25">
      <c r="J20">
        <f t="shared" si="5"/>
        <v>19</v>
      </c>
      <c r="K20" t="s">
        <v>7</v>
      </c>
      <c r="L20" t="s">
        <v>12</v>
      </c>
      <c r="M20">
        <f>Trail_Data!O20</f>
        <v>430440.00579797238</v>
      </c>
      <c r="N20" s="7">
        <f>IF(Trail_Data!C20=0,0,(($B$3*$B$7*$B$8*$B$6)+(0.5*$B$11*($B$3^3)*1)+($B$3*$B$7*$B$8*TAN(RADIANS(Trail_Data!D20))))/$B$10)</f>
        <v>1725.0807906885204</v>
      </c>
      <c r="O20">
        <f>Trail_Data!C20/$B$3</f>
        <v>200</v>
      </c>
      <c r="P20" s="8">
        <f t="shared" si="0"/>
        <v>345016.15813770407</v>
      </c>
      <c r="Q20">
        <f>IF(Trail_Data!E20=0,0,(($B$3*$B$7*$B$8*$B$6)+(0.5*$B$11*($B$3^3)*1)+($B$3*$B$7*$B$8*TAN(RADIANS(Trail_Data!F20))))/$B$10)</f>
        <v>1826.9958297578899</v>
      </c>
      <c r="R20">
        <f>Trail_Data!E20/$B$3</f>
        <v>80</v>
      </c>
      <c r="S20" s="8">
        <f t="shared" si="1"/>
        <v>146159.66638063118</v>
      </c>
      <c r="T20" s="7">
        <f>IF(Trail_Data!G20=0,0,(($B$3*$B$7*$B$8*$B$6)+(0.5*$B$11*($B$3^3)*1)+($B$3*$B$7*$B$8*TAN(RADIANS(Trail_Data!H20))))/$B$10)</f>
        <v>0</v>
      </c>
      <c r="U20">
        <f>Trail_Data!G20/$B$3</f>
        <v>0</v>
      </c>
      <c r="V20" s="8">
        <f t="shared" si="2"/>
        <v>0</v>
      </c>
      <c r="W20" s="13">
        <f t="shared" si="3"/>
        <v>3552.0766204464103</v>
      </c>
      <c r="X20" s="13">
        <f t="shared" si="4"/>
        <v>60735.818720362906</v>
      </c>
    </row>
    <row r="21" spans="1:24" x14ac:dyDescent="0.25">
      <c r="J21">
        <f t="shared" si="5"/>
        <v>20</v>
      </c>
      <c r="K21" t="s">
        <v>7</v>
      </c>
      <c r="L21" t="s">
        <v>13</v>
      </c>
      <c r="M21">
        <f>Trail_Data!O21</f>
        <v>206582.80876823433</v>
      </c>
      <c r="N21" s="7">
        <f>IF(Trail_Data!C21=0,0,(($B$3*$B$7*$B$8*$B$6)+(0.5*$B$11*($B$3^3)*1)+($B$3*$B$7*$B$8*TAN(RADIANS(Trail_Data!D21))))/$B$10)</f>
        <v>1826.9958297578899</v>
      </c>
      <c r="O21">
        <f>Trail_Data!C21/$B$3</f>
        <v>128.74799999999999</v>
      </c>
      <c r="P21" s="8">
        <f t="shared" si="0"/>
        <v>235222.05908966879</v>
      </c>
      <c r="Q21">
        <f>IF(Trail_Data!E21=0,0,(($B$3*$B$7*$B$8*$B$6)+(0.5*$B$11*($B$3^3)*1)+($B$3*$B$7*$B$8*TAN(RADIANS(Trail_Data!F21))))/$B$10)</f>
        <v>0</v>
      </c>
      <c r="R21">
        <f>Trail_Data!E21/$B$3</f>
        <v>0</v>
      </c>
      <c r="S21" s="8">
        <f t="shared" si="1"/>
        <v>0</v>
      </c>
      <c r="T21" s="7">
        <f>IF(Trail_Data!G21=0,0,(($B$3*$B$7*$B$8*$B$6)+(0.5*$B$11*($B$3^3)*1)+($B$3*$B$7*$B$8*TAN(RADIANS(Trail_Data!H21))))/$B$10)</f>
        <v>0</v>
      </c>
      <c r="U21">
        <f>Trail_Data!G21/$B$3</f>
        <v>0</v>
      </c>
      <c r="V21" s="8">
        <f t="shared" si="2"/>
        <v>0</v>
      </c>
      <c r="W21" s="13">
        <f t="shared" si="3"/>
        <v>1826.9958297578899</v>
      </c>
      <c r="X21" s="13">
        <f t="shared" si="4"/>
        <v>28639.250321434462</v>
      </c>
    </row>
    <row r="22" spans="1:24" x14ac:dyDescent="0.25">
      <c r="J22">
        <f t="shared" si="5"/>
        <v>21</v>
      </c>
      <c r="K22" t="s">
        <v>7</v>
      </c>
      <c r="L22" t="s">
        <v>14</v>
      </c>
      <c r="M22">
        <f>Trail_Data!O22</f>
        <v>264730.01679292932</v>
      </c>
      <c r="N22" s="7">
        <f>IF(Trail_Data!C22=0,0,(($B$3*$B$7*$B$8*$B$6)+(0.5*$B$11*($B$3^3)*1)+($B$3*$B$7*$B$8*TAN(RADIANS(Trail_Data!D22))))/$B$10)</f>
        <v>2005.2165179467327</v>
      </c>
      <c r="O22">
        <f>Trail_Data!C22/$B$3</f>
        <v>40</v>
      </c>
      <c r="P22" s="8">
        <f t="shared" si="0"/>
        <v>80208.660717869308</v>
      </c>
      <c r="Q22">
        <f>IF(Trail_Data!E22=0,0,(($B$3*$B$7*$B$8*$B$6)+(0.5*$B$11*($B$3^3)*1)+($B$3*$B$7*$B$8*TAN(RADIANS(Trail_Data!F22))))/$B$10)</f>
        <v>1826.9958297578899</v>
      </c>
      <c r="R22">
        <f>Trail_Data!E22/$B$3</f>
        <v>120.934</v>
      </c>
      <c r="S22" s="8">
        <f t="shared" si="1"/>
        <v>220945.91367594065</v>
      </c>
      <c r="T22" s="7">
        <f>IF(Trail_Data!G22=0,0,(($B$3*$B$7*$B$8*$B$6)+(0.5*$B$11*($B$3^3)*1)+($B$3*$B$7*$B$8*TAN(RADIANS(Trail_Data!H22))))/$B$10)</f>
        <v>0</v>
      </c>
      <c r="U22">
        <f>Trail_Data!G22/$B$3</f>
        <v>0</v>
      </c>
      <c r="V22" s="8">
        <f t="shared" si="2"/>
        <v>0</v>
      </c>
      <c r="W22" s="13">
        <f t="shared" si="3"/>
        <v>3832.2123477046225</v>
      </c>
      <c r="X22" s="13">
        <f t="shared" si="4"/>
        <v>36424.557600880624</v>
      </c>
    </row>
    <row r="23" spans="1:24" x14ac:dyDescent="0.25">
      <c r="J23">
        <f t="shared" si="5"/>
        <v>22</v>
      </c>
      <c r="K23" t="s">
        <v>7</v>
      </c>
      <c r="L23" t="s">
        <v>15</v>
      </c>
      <c r="M23">
        <f>Trail_Data!O23</f>
        <v>154935.50202458061</v>
      </c>
      <c r="N23" s="7">
        <f>IF(Trail_Data!C23=0,0,(($B$3*$B$7*$B$8*$B$6)+(0.5*$B$11*($B$3^3)*1)+($B$3*$B$7*$B$8*TAN(RADIANS(Trail_Data!D23))))/$B$10)</f>
        <v>1826.9958297578899</v>
      </c>
      <c r="O23">
        <f>Trail_Data!C23/$B$3</f>
        <v>96.56</v>
      </c>
      <c r="P23" s="8">
        <f t="shared" si="0"/>
        <v>176414.71732142183</v>
      </c>
      <c r="Q23">
        <f>IF(Trail_Data!E23=0,0,(($B$3*$B$7*$B$8*$B$6)+(0.5*$B$11*($B$3^3)*1)+($B$3*$B$7*$B$8*TAN(RADIANS(Trail_Data!F23))))/$B$10)</f>
        <v>0</v>
      </c>
      <c r="R23">
        <f>Trail_Data!E23/$B$3</f>
        <v>0</v>
      </c>
      <c r="S23" s="8">
        <f t="shared" si="1"/>
        <v>0</v>
      </c>
      <c r="T23" s="7">
        <f>IF(Trail_Data!G23=0,0,(($B$3*$B$7*$B$8*$B$6)+(0.5*$B$11*($B$3^3)*1)+($B$3*$B$7*$B$8*TAN(RADIANS(Trail_Data!H23))))/$B$10)</f>
        <v>0</v>
      </c>
      <c r="U23">
        <f>Trail_Data!G23/$B$3</f>
        <v>0</v>
      </c>
      <c r="V23" s="8">
        <f t="shared" si="2"/>
        <v>0</v>
      </c>
      <c r="W23" s="13">
        <f t="shared" si="3"/>
        <v>1826.9958297578899</v>
      </c>
      <c r="X23" s="13">
        <f t="shared" si="4"/>
        <v>21479.215296841227</v>
      </c>
    </row>
    <row r="24" spans="1:24" x14ac:dyDescent="0.25">
      <c r="J24">
        <f t="shared" si="5"/>
        <v>23</v>
      </c>
      <c r="K24" t="s">
        <v>7</v>
      </c>
      <c r="L24" t="s">
        <v>16</v>
      </c>
      <c r="M24">
        <f>Trail_Data!O24</f>
        <v>516453.81281739555</v>
      </c>
      <c r="N24" s="7">
        <f>IF(Trail_Data!C24=0,0,(($B$3*$B$7*$B$8*$B$6)+(0.5*$B$11*($B$3^3)*1)+($B$3*$B$7*$B$8*TAN(RADIANS(Trail_Data!D24))))/$B$10)</f>
        <v>1826.9958297578899</v>
      </c>
      <c r="O24">
        <f>Trail_Data!C24/$B$3</f>
        <v>321.86799999999999</v>
      </c>
      <c r="P24" s="8">
        <f t="shared" si="0"/>
        <v>588051.49373251246</v>
      </c>
      <c r="Q24">
        <f>IF(Trail_Data!E24=0,0,(($B$3*$B$7*$B$8*$B$6)+(0.5*$B$11*($B$3^3)*1)+($B$3*$B$7*$B$8*TAN(RADIANS(Trail_Data!F24))))/$B$10)</f>
        <v>0</v>
      </c>
      <c r="R24">
        <f>Trail_Data!E24/$B$3</f>
        <v>0</v>
      </c>
      <c r="S24" s="8">
        <f t="shared" si="1"/>
        <v>0</v>
      </c>
      <c r="T24" s="7">
        <f>IF(Trail_Data!G24=0,0,(($B$3*$B$7*$B$8*$B$6)+(0.5*$B$11*($B$3^3)*1)+($B$3*$B$7*$B$8*TAN(RADIANS(Trail_Data!H24))))/$B$10)</f>
        <v>0</v>
      </c>
      <c r="U24">
        <f>Trail_Data!G24/$B$3</f>
        <v>0</v>
      </c>
      <c r="V24" s="8">
        <f t="shared" si="2"/>
        <v>0</v>
      </c>
      <c r="W24" s="13">
        <f t="shared" si="3"/>
        <v>1826.9958297578899</v>
      </c>
      <c r="X24" s="13">
        <f t="shared" si="4"/>
        <v>71597.680915116915</v>
      </c>
    </row>
    <row r="25" spans="1:24" x14ac:dyDescent="0.25">
      <c r="J25">
        <f t="shared" si="5"/>
        <v>24</v>
      </c>
      <c r="K25" t="s">
        <v>7</v>
      </c>
      <c r="L25" t="s">
        <v>17</v>
      </c>
      <c r="M25">
        <f>Trail_Data!O25</f>
        <v>521333.18198852753</v>
      </c>
      <c r="N25" s="7">
        <f>IF(Trail_Data!C25=0,0,(($B$3*$B$7*$B$8*$B$6)+(0.5*$B$11*($B$3^3)*1)+($B$3*$B$7*$B$8*TAN(RADIANS(Trail_Data!D25))))/$B$10)</f>
        <v>1933.5804739025396</v>
      </c>
      <c r="O25">
        <f>Trail_Data!C25/$B$3</f>
        <v>50</v>
      </c>
      <c r="P25" s="8">
        <f t="shared" si="0"/>
        <v>96679.023695126976</v>
      </c>
      <c r="Q25">
        <f>IF(Trail_Data!E25=0,0,(($B$3*$B$7*$B$8*$B$6)+(0.5*$B$11*($B$3^3)*1)+($B$3*$B$7*$B$8*TAN(RADIANS(Trail_Data!F25))))/$B$10)</f>
        <v>1826.9958297578899</v>
      </c>
      <c r="R25">
        <f>Trail_Data!E25/$B$3</f>
        <v>271.86799999999999</v>
      </c>
      <c r="S25" s="8">
        <f t="shared" si="1"/>
        <v>496701.70224461798</v>
      </c>
      <c r="T25" s="7">
        <f>IF(Trail_Data!G25=0,0,(($B$3*$B$7*$B$8*$B$6)+(0.5*$B$11*($B$3^3)*1)+($B$3*$B$7*$B$8*TAN(RADIANS(Trail_Data!H25))))/$B$10)</f>
        <v>0</v>
      </c>
      <c r="U25">
        <f>Trail_Data!G25/$B$3</f>
        <v>0</v>
      </c>
      <c r="V25" s="8">
        <f t="shared" si="2"/>
        <v>0</v>
      </c>
      <c r="W25" s="13">
        <f t="shared" si="3"/>
        <v>3760.5763036604294</v>
      </c>
      <c r="X25" s="13">
        <f t="shared" si="4"/>
        <v>72047.543951217434</v>
      </c>
    </row>
    <row r="26" spans="1:24" x14ac:dyDescent="0.25">
      <c r="J26">
        <f t="shared" si="5"/>
        <v>25</v>
      </c>
      <c r="K26" t="s">
        <v>8</v>
      </c>
      <c r="L26" t="s">
        <v>12</v>
      </c>
      <c r="M26">
        <f>Trail_Data!O26</f>
        <v>395065.57648276788</v>
      </c>
      <c r="N26" s="7">
        <f>IF(Trail_Data!C26=0,0,(($B$3*$B$7*$B$8*$B$6)+(0.5*$B$11*($B$3^3)*1)+($B$3*$B$7*$B$8*TAN(RADIANS(Trail_Data!D26))))/$B$10)</f>
        <v>1711.8496280821832</v>
      </c>
      <c r="O26">
        <f>Trail_Data!C26/$B$3</f>
        <v>170</v>
      </c>
      <c r="P26" s="8">
        <f t="shared" si="0"/>
        <v>291014.43677397113</v>
      </c>
      <c r="Q26">
        <f>IF(Trail_Data!E26=0,0,(($B$3*$B$7*$B$8*$B$6)+(0.5*$B$11*($B$3^3)*1)+($B$3*$B$7*$B$8*TAN(RADIANS(Trail_Data!F26))))/$B$10)</f>
        <v>1826.9958297578899</v>
      </c>
      <c r="R26">
        <f>Trail_Data!E26/$B$3</f>
        <v>87.494</v>
      </c>
      <c r="S26" s="8">
        <f t="shared" si="1"/>
        <v>159851.17312883682</v>
      </c>
      <c r="T26" s="7">
        <f>IF(Trail_Data!G26=0,0,(($B$3*$B$7*$B$8*$B$6)+(0.5*$B$11*($B$3^3)*1)+($B$3*$B$7*$B$8*TAN(RADIANS(Trail_Data!H26))))/$B$10)</f>
        <v>0</v>
      </c>
      <c r="U26">
        <f>Trail_Data!G26/$B$3</f>
        <v>0</v>
      </c>
      <c r="V26" s="8">
        <f t="shared" si="2"/>
        <v>0</v>
      </c>
      <c r="W26" s="13">
        <f t="shared" si="3"/>
        <v>3538.8454578400733</v>
      </c>
      <c r="X26" s="13">
        <f t="shared" si="4"/>
        <v>55800.033420040098</v>
      </c>
    </row>
    <row r="27" spans="1:24" x14ac:dyDescent="0.25">
      <c r="J27">
        <f t="shared" si="5"/>
        <v>26</v>
      </c>
      <c r="K27" t="s">
        <v>8</v>
      </c>
      <c r="L27" t="s">
        <v>13</v>
      </c>
      <c r="M27">
        <f>Trail_Data!O27</f>
        <v>446712.88322642155</v>
      </c>
      <c r="N27" s="7">
        <f>IF(Trail_Data!C27=0,0,(($B$3*$B$7*$B$8*$B$6)+(0.5*$B$11*($B$3^3)*1)+($B$3*$B$7*$B$8*TAN(RADIANS(Trail_Data!D27))))/$B$10)</f>
        <v>1711.8496280821832</v>
      </c>
      <c r="O27">
        <f>Trail_Data!C27/$B$3</f>
        <v>170</v>
      </c>
      <c r="P27" s="8">
        <f t="shared" si="0"/>
        <v>291014.43677397113</v>
      </c>
      <c r="Q27">
        <f>IF(Trail_Data!E27=0,0,(($B$3*$B$7*$B$8*$B$6)+(0.5*$B$11*($B$3^3)*1)+($B$3*$B$7*$B$8*TAN(RADIANS(Trail_Data!F27))))/$B$10)</f>
        <v>1826.9958297578899</v>
      </c>
      <c r="R27">
        <f>Trail_Data!E27/$B$3</f>
        <v>119.68199999999999</v>
      </c>
      <c r="S27" s="8">
        <f t="shared" si="1"/>
        <v>218658.51489708375</v>
      </c>
      <c r="T27" s="7">
        <f>IF(Trail_Data!G27=0,0,(($B$3*$B$7*$B$8*$B$6)+(0.5*$B$11*($B$3^3)*1)+($B$3*$B$7*$B$8*TAN(RADIANS(Trail_Data!H27))))/$B$10)</f>
        <v>0</v>
      </c>
      <c r="U27">
        <f>Trail_Data!G27/$B$3</f>
        <v>0</v>
      </c>
      <c r="V27" s="8">
        <f t="shared" si="2"/>
        <v>0</v>
      </c>
      <c r="W27" s="13">
        <f t="shared" si="3"/>
        <v>3538.8454578400733</v>
      </c>
      <c r="X27" s="13">
        <f t="shared" si="4"/>
        <v>62960.068444633333</v>
      </c>
    </row>
    <row r="28" spans="1:24" x14ac:dyDescent="0.25">
      <c r="J28" s="18">
        <f t="shared" si="5"/>
        <v>27</v>
      </c>
      <c r="K28" s="18" t="s">
        <v>8</v>
      </c>
      <c r="L28" s="18" t="s">
        <v>14</v>
      </c>
      <c r="M28" s="18">
        <f>Trail_Data!O28</f>
        <v>402284.39909424365</v>
      </c>
      <c r="N28" s="19">
        <f>IF(Trail_Data!C28=0,0,(($B$3*$B$7*$B$8*$B$6)+(0.5*$B$11*($B$3^3)*1)+($B$3*$B$7*$B$8*TAN(RADIANS(Trail_Data!D28))))/$B$10)</f>
        <v>1711.8496280821832</v>
      </c>
      <c r="O28" s="18">
        <f>Trail_Data!C28/$B$3</f>
        <v>170</v>
      </c>
      <c r="P28" s="20">
        <f t="shared" si="0"/>
        <v>291014.43677397113</v>
      </c>
      <c r="Q28" s="18">
        <f>IF(Trail_Data!E28=0,0,(($B$3*$B$7*$B$8*$B$6)+(0.5*$B$11*($B$3^3)*1)+($B$3*$B$7*$B$8*TAN(RADIANS(Trail_Data!F28))))/$B$10)</f>
        <v>2227.8825354668247</v>
      </c>
      <c r="R28" s="18">
        <f>Trail_Data!E28/$B$3</f>
        <v>20</v>
      </c>
      <c r="S28" s="20">
        <f t="shared" si="1"/>
        <v>44557.650709336493</v>
      </c>
      <c r="T28" s="19">
        <f>IF(Trail_Data!G28=0,0,(($B$3*$B$7*$B$8*$B$6)+(0.5*$B$11*($B$3^3)*1)+($B$3*$B$7*$B$8*TAN(RADIANS(Trail_Data!H28))))/$B$10)</f>
        <v>1826.9958297578899</v>
      </c>
      <c r="U28" s="18">
        <f>Trail_Data!G28/$B$3</f>
        <v>67.494</v>
      </c>
      <c r="V28" s="20">
        <f t="shared" si="2"/>
        <v>123311.25653367901</v>
      </c>
      <c r="W28" s="21">
        <f t="shared" si="3"/>
        <v>5766.7279933068985</v>
      </c>
      <c r="X28" s="21">
        <f t="shared" si="4"/>
        <v>56598.944922743016</v>
      </c>
    </row>
    <row r="29" spans="1:24" x14ac:dyDescent="0.25">
      <c r="J29">
        <f t="shared" si="5"/>
        <v>28</v>
      </c>
      <c r="K29" t="s">
        <v>8</v>
      </c>
      <c r="L29" t="s">
        <v>15</v>
      </c>
      <c r="M29">
        <f>Trail_Data!O29</f>
        <v>568097.91045785893</v>
      </c>
      <c r="N29" s="7">
        <f>IF(Trail_Data!C29=0,0,(($B$3*$B$7*$B$8*$B$6)+(0.5*$B$11*($B$3^3)*1)+($B$3*$B$7*$B$8*TAN(RADIANS(Trail_Data!D29))))/$B$10)</f>
        <v>1826.9958297578899</v>
      </c>
      <c r="O29">
        <f>Trail_Data!C29/$B$3</f>
        <v>354.05399999999997</v>
      </c>
      <c r="P29" s="8">
        <f t="shared" si="0"/>
        <v>646855.1815090999</v>
      </c>
      <c r="Q29">
        <f>IF(Trail_Data!E29=0,0,(($B$3*$B$7*$B$8*$B$6)+(0.5*$B$11*($B$3^3)*1)+($B$3*$B$7*$B$8*TAN(RADIANS(Trail_Data!F29))))/$B$10)</f>
        <v>0</v>
      </c>
      <c r="R29">
        <f>Trail_Data!E29/$B$3</f>
        <v>0</v>
      </c>
      <c r="S29" s="8">
        <f t="shared" si="1"/>
        <v>0</v>
      </c>
      <c r="T29" s="7">
        <f>IF(Trail_Data!G29=0,0,(($B$3*$B$7*$B$8*$B$6)+(0.5*$B$11*($B$3^3)*1)+($B$3*$B$7*$B$8*TAN(RADIANS(Trail_Data!H29))))/$B$10)</f>
        <v>0</v>
      </c>
      <c r="U29">
        <f>Trail_Data!G29/$B$3</f>
        <v>0</v>
      </c>
      <c r="V29" s="8">
        <f t="shared" si="2"/>
        <v>0</v>
      </c>
      <c r="W29" s="13">
        <f t="shared" si="3"/>
        <v>1826.9958297578899</v>
      </c>
      <c r="X29" s="13">
        <f t="shared" si="4"/>
        <v>78757.271051240969</v>
      </c>
    </row>
    <row r="30" spans="1:24" x14ac:dyDescent="0.25">
      <c r="J30">
        <f t="shared" si="5"/>
        <v>29</v>
      </c>
      <c r="K30" t="s">
        <v>8</v>
      </c>
      <c r="L30" t="s">
        <v>16</v>
      </c>
      <c r="M30">
        <f>Trail_Data!O30</f>
        <v>206582.80876823433</v>
      </c>
      <c r="N30" s="7">
        <f>IF(Trail_Data!C30=0,0,(($B$3*$B$7*$B$8*$B$6)+(0.5*$B$11*($B$3^3)*1)+($B$3*$B$7*$B$8*TAN(RADIANS(Trail_Data!D30))))/$B$10)</f>
        <v>1826.9958297578899</v>
      </c>
      <c r="O30">
        <f>Trail_Data!C30/$B$3</f>
        <v>128.74799999999999</v>
      </c>
      <c r="P30" s="8">
        <f t="shared" si="0"/>
        <v>235222.05908966879</v>
      </c>
      <c r="Q30">
        <f>IF(Trail_Data!E30=0,0,(($B$3*$B$7*$B$8*$B$6)+(0.5*$B$11*($B$3^3)*1)+($B$3*$B$7*$B$8*TAN(RADIANS(Trail_Data!F30))))/$B$10)</f>
        <v>0</v>
      </c>
      <c r="R30">
        <f>Trail_Data!E30/$B$3</f>
        <v>0</v>
      </c>
      <c r="S30" s="8">
        <f t="shared" si="1"/>
        <v>0</v>
      </c>
      <c r="T30" s="7">
        <f>IF(Trail_Data!G30=0,0,(($B$3*$B$7*$B$8*$B$6)+(0.5*$B$11*($B$3^3)*1)+($B$3*$B$7*$B$8*TAN(RADIANS(Trail_Data!H30))))/$B$10)</f>
        <v>0</v>
      </c>
      <c r="U30">
        <f>Trail_Data!G30/$B$3</f>
        <v>0</v>
      </c>
      <c r="V30" s="8">
        <f t="shared" si="2"/>
        <v>0</v>
      </c>
      <c r="W30" s="13">
        <f t="shared" si="3"/>
        <v>1826.9958297578899</v>
      </c>
      <c r="X30" s="13">
        <f t="shared" si="4"/>
        <v>28639.250321434462</v>
      </c>
    </row>
    <row r="31" spans="1:24" x14ac:dyDescent="0.25">
      <c r="J31">
        <f t="shared" si="5"/>
        <v>30</v>
      </c>
      <c r="K31" t="s">
        <v>8</v>
      </c>
      <c r="L31" t="s">
        <v>17</v>
      </c>
      <c r="M31">
        <f>Trail_Data!O31</f>
        <v>16042.30684798837</v>
      </c>
      <c r="N31" s="7">
        <f>IF(Trail_Data!C31=0,0,(($B$3*$B$7*$B$8*$B$6)+(0.5*$B$11*($B$3^3)*1)+($B$3*$B$7*$B$8*TAN(RADIANS(Trail_Data!D31))))/$B$10)</f>
        <v>1826.9958297578899</v>
      </c>
      <c r="O31">
        <f>Trail_Data!C31/$B$3</f>
        <v>9.9980000000000011</v>
      </c>
      <c r="P31" s="8">
        <f t="shared" si="0"/>
        <v>18266.304305919384</v>
      </c>
      <c r="Q31">
        <f>IF(Trail_Data!E31=0,0,(($B$3*$B$7*$B$8*$B$6)+(0.5*$B$11*($B$3^3)*1)+($B$3*$B$7*$B$8*TAN(RADIANS(Trail_Data!F31))))/$B$10)</f>
        <v>0</v>
      </c>
      <c r="R31">
        <f>Trail_Data!E31/$B$3</f>
        <v>0</v>
      </c>
      <c r="S31" s="8">
        <f t="shared" si="1"/>
        <v>0</v>
      </c>
      <c r="T31" s="7">
        <f>IF(Trail_Data!G31=0,0,(($B$3*$B$7*$B$8*$B$6)+(0.5*$B$11*($B$3^3)*1)+($B$3*$B$7*$B$8*TAN(RADIANS(Trail_Data!H31))))/$B$10)</f>
        <v>0</v>
      </c>
      <c r="U31">
        <f>Trail_Data!G31/$B$3</f>
        <v>0</v>
      </c>
      <c r="V31" s="8">
        <f t="shared" si="2"/>
        <v>0</v>
      </c>
      <c r="W31" s="13">
        <f t="shared" si="3"/>
        <v>1826.9958297578899</v>
      </c>
      <c r="X31" s="13">
        <f t="shared" si="4"/>
        <v>2223.9974579310147</v>
      </c>
    </row>
    <row r="32" spans="1:24" x14ac:dyDescent="0.25">
      <c r="J32">
        <f t="shared" si="5"/>
        <v>31</v>
      </c>
      <c r="K32" t="s">
        <v>9</v>
      </c>
      <c r="L32" t="s">
        <v>12</v>
      </c>
      <c r="M32">
        <f>Trail_Data!O32</f>
        <v>713855.99072734569</v>
      </c>
      <c r="N32" s="7">
        <f>IF(Trail_Data!C32=0,0,(($B$3*$B$7*$B$8*$B$6)+(0.5*$B$11*($B$3^3)*1)+($B$3*$B$7*$B$8*TAN(RADIANS(Trail_Data!D32))))/$B$10)</f>
        <v>1967.0534391461433</v>
      </c>
      <c r="O32">
        <f>Trail_Data!C32/$B$3</f>
        <v>70</v>
      </c>
      <c r="P32" s="8">
        <f t="shared" si="0"/>
        <v>137693.74074023005</v>
      </c>
      <c r="Q32">
        <f>IF(Trail_Data!E32=0,0,(($B$3*$B$7*$B$8*$B$6)+(0.5*$B$11*($B$3^3)*1)+($B$3*$B$7*$B$8*TAN(RADIANS(Trail_Data!F32))))/$B$10)</f>
        <v>1765.5424308671734</v>
      </c>
      <c r="R32">
        <f>Trail_Data!E32/$B$3</f>
        <v>320</v>
      </c>
      <c r="S32" s="8">
        <f t="shared" si="1"/>
        <v>564973.57787749544</v>
      </c>
      <c r="T32" s="7">
        <f>IF(Trail_Data!G32=0,0,(($B$3*$B$7*$B$8*$B$6)+(0.5*$B$11*($B$3^3)*1)+($B$3*$B$7*$B$8*TAN(RADIANS(Trail_Data!H32))))/$B$10)</f>
        <v>1826.9958297578899</v>
      </c>
      <c r="U32">
        <f>Trail_Data!G32/$B$3</f>
        <v>60.616</v>
      </c>
      <c r="V32" s="8">
        <f t="shared" si="2"/>
        <v>110745.17921660426</v>
      </c>
      <c r="W32" s="13">
        <f t="shared" si="3"/>
        <v>5559.5916997712065</v>
      </c>
      <c r="X32" s="13">
        <f t="shared" si="4"/>
        <v>99556.507106984034</v>
      </c>
    </row>
    <row r="33" spans="10:24" x14ac:dyDescent="0.25">
      <c r="J33">
        <f t="shared" si="5"/>
        <v>32</v>
      </c>
      <c r="K33" t="s">
        <v>9</v>
      </c>
      <c r="L33" t="s">
        <v>13</v>
      </c>
      <c r="M33">
        <f>Trail_Data!O33</f>
        <v>525415.14042744832</v>
      </c>
      <c r="N33" s="7">
        <f>IF(Trail_Data!C33=0,0,(($B$3*$B$7*$B$8*$B$6)+(0.5*$B$11*($B$3^3)*1)+($B$3*$B$7*$B$8*TAN(RADIANS(Trail_Data!D33))))/$B$10)</f>
        <v>1967.0534391461433</v>
      </c>
      <c r="O33">
        <f>Trail_Data!C33/$B$3</f>
        <v>70</v>
      </c>
      <c r="P33" s="8">
        <f t="shared" si="0"/>
        <v>137693.74074023005</v>
      </c>
      <c r="Q33">
        <f>IF(Trail_Data!E33=0,0,(($B$3*$B$7*$B$8*$B$6)+(0.5*$B$11*($B$3^3)*1)+($B$3*$B$7*$B$8*TAN(RADIANS(Trail_Data!F33))))/$B$10)</f>
        <v>1826.9958297578899</v>
      </c>
      <c r="R33">
        <f>Trail_Data!E33/$B$3</f>
        <v>251.86799999999999</v>
      </c>
      <c r="S33" s="8">
        <f t="shared" si="1"/>
        <v>460161.78564946022</v>
      </c>
      <c r="T33" s="7">
        <f>IF(Trail_Data!G33=0,0,(($B$3*$B$7*$B$8*$B$6)+(0.5*$B$11*($B$3^3)*1)+($B$3*$B$7*$B$8*TAN(RADIANS(Trail_Data!H33))))/$B$10)</f>
        <v>0</v>
      </c>
      <c r="U33">
        <f>Trail_Data!G33/$B$3</f>
        <v>0</v>
      </c>
      <c r="V33" s="8">
        <f t="shared" si="2"/>
        <v>0</v>
      </c>
      <c r="W33" s="13">
        <f t="shared" si="3"/>
        <v>3794.0492689040329</v>
      </c>
      <c r="X33" s="13">
        <f t="shared" si="4"/>
        <v>72440.385962241911</v>
      </c>
    </row>
    <row r="34" spans="10:24" x14ac:dyDescent="0.25">
      <c r="J34">
        <f t="shared" si="5"/>
        <v>33</v>
      </c>
      <c r="K34" t="s">
        <v>9</v>
      </c>
      <c r="L34" t="s">
        <v>14</v>
      </c>
      <c r="M34">
        <f>Trail_Data!O34</f>
        <v>636995.92155397008</v>
      </c>
      <c r="N34" s="7">
        <f>IF(Trail_Data!C34=0,0,(($B$3*$B$7*$B$8*$B$6)+(0.5*$B$11*($B$3^3)*1)+($B$3*$B$7*$B$8*TAN(RADIANS(Trail_Data!D34))))/$B$10)</f>
        <v>1899.341473463187</v>
      </c>
      <c r="O34">
        <f>Trail_Data!C34/$B$3</f>
        <v>260</v>
      </c>
      <c r="P34" s="8">
        <f t="shared" si="0"/>
        <v>493828.78310042858</v>
      </c>
      <c r="Q34">
        <f>IF(Trail_Data!E34=0,0,(($B$3*$B$7*$B$8*$B$6)+(0.5*$B$11*($B$3^3)*1)+($B$3*$B$7*$B$8*TAN(RADIANS(Trail_Data!F34))))/$B$10)</f>
        <v>1826.9958297578899</v>
      </c>
      <c r="R34">
        <f>Trail_Data!E34/$B$3</f>
        <v>126.242</v>
      </c>
      <c r="S34" s="8">
        <f t="shared" si="1"/>
        <v>230643.60754029555</v>
      </c>
      <c r="T34" s="7">
        <f>IF(Trail_Data!G34=0,0,(($B$3*$B$7*$B$8*$B$6)+(0.5*$B$11*($B$3^3)*1)+($B$3*$B$7*$B$8*TAN(RADIANS(Trail_Data!H34))))/$B$10)</f>
        <v>0</v>
      </c>
      <c r="U34">
        <f>Trail_Data!G34/$B$3</f>
        <v>0</v>
      </c>
      <c r="V34" s="8">
        <f t="shared" si="2"/>
        <v>0</v>
      </c>
      <c r="W34" s="13">
        <f t="shared" si="3"/>
        <v>3726.3373032210766</v>
      </c>
      <c r="X34" s="13">
        <f t="shared" si="4"/>
        <v>87476.469086754019</v>
      </c>
    </row>
    <row r="35" spans="10:24" x14ac:dyDescent="0.25">
      <c r="J35">
        <f t="shared" si="5"/>
        <v>34</v>
      </c>
      <c r="K35" t="s">
        <v>9</v>
      </c>
      <c r="L35" t="s">
        <v>15</v>
      </c>
      <c r="M35">
        <f>Trail_Data!O35</f>
        <v>372180.6810477064</v>
      </c>
      <c r="N35" s="7">
        <f>IF(Trail_Data!C35=0,0,(($B$3*$B$7*$B$8*$B$6)+(0.5*$B$11*($B$3^3)*1)+($B$3*$B$7*$B$8*TAN(RADIANS(Trail_Data!D35))))/$B$10)</f>
        <v>1891.5612180108808</v>
      </c>
      <c r="O35">
        <f>Trail_Data!C35/$B$3</f>
        <v>180</v>
      </c>
      <c r="P35" s="8">
        <f t="shared" si="0"/>
        <v>340481.01924195857</v>
      </c>
      <c r="Q35">
        <f>IF(Trail_Data!E35=0,0,(($B$3*$B$7*$B$8*$B$6)+(0.5*$B$11*($B$3^3)*1)+($B$3*$B$7*$B$8*TAN(RADIANS(Trail_Data!F35))))/$B$10)</f>
        <v>1826.9958297578899</v>
      </c>
      <c r="R35">
        <f>Trail_Data!E35/$B$3</f>
        <v>45.308</v>
      </c>
      <c r="S35" s="8">
        <f t="shared" si="1"/>
        <v>82777.527054670471</v>
      </c>
      <c r="T35" s="7">
        <f>IF(Trail_Data!G35=0,0,(($B$3*$B$7*$B$8*$B$6)+(0.5*$B$11*($B$3^3)*1)+($B$3*$B$7*$B$8*TAN(RADIANS(Trail_Data!H35))))/$B$10)</f>
        <v>0</v>
      </c>
      <c r="U35">
        <f>Trail_Data!G35/$B$3</f>
        <v>0</v>
      </c>
      <c r="V35" s="8">
        <f t="shared" si="2"/>
        <v>0</v>
      </c>
      <c r="W35" s="13">
        <f t="shared" si="3"/>
        <v>3718.5570477687706</v>
      </c>
      <c r="X35" s="13">
        <f t="shared" si="4"/>
        <v>51077.865248922608</v>
      </c>
    </row>
    <row r="36" spans="10:24" x14ac:dyDescent="0.25">
      <c r="J36" s="18">
        <f t="shared" si="5"/>
        <v>35</v>
      </c>
      <c r="K36" s="18" t="s">
        <v>9</v>
      </c>
      <c r="L36" s="18" t="s">
        <v>16</v>
      </c>
      <c r="M36" s="18">
        <f>Trail_Data!O36</f>
        <v>686800.99993786844</v>
      </c>
      <c r="N36" s="19">
        <f>IF(Trail_Data!C36=0,0,(($B$3*$B$7*$B$8*$B$6)+(0.5*$B$11*($B$3^3)*1)+($B$3*$B$7*$B$8*TAN(RADIANS(Trail_Data!D36))))/$B$10)</f>
        <v>1897.0073526943761</v>
      </c>
      <c r="O36" s="18">
        <f>Trail_Data!C36/$B$3</f>
        <v>240</v>
      </c>
      <c r="P36" s="20">
        <f t="shared" si="0"/>
        <v>455281.76464665029</v>
      </c>
      <c r="Q36" s="18">
        <f>IF(Trail_Data!E36=0,0,(($B$3*$B$7*$B$8*$B$6)+(0.5*$B$11*($B$3^3)*1)+($B$3*$B$7*$B$8*TAN(RADIANS(Trail_Data!F36))))/$B$10)</f>
        <v>1826.9958297578899</v>
      </c>
      <c r="R36" s="18">
        <f>Trail_Data!E36/$B$3</f>
        <v>178.428</v>
      </c>
      <c r="S36" s="20">
        <f t="shared" si="1"/>
        <v>325987.21191204077</v>
      </c>
      <c r="T36" s="19">
        <f>IF(Trail_Data!G36=0,0,(($B$3*$B$7*$B$8*$B$6)+(0.5*$B$11*($B$3^3)*1)+($B$3*$B$7*$B$8*TAN(RADIANS(Trail_Data!H36))))/$B$10)</f>
        <v>0</v>
      </c>
      <c r="U36" s="18">
        <f>Trail_Data!G36/$B$3</f>
        <v>0</v>
      </c>
      <c r="V36" s="20">
        <f t="shared" si="2"/>
        <v>0</v>
      </c>
      <c r="W36" s="21">
        <f t="shared" si="3"/>
        <v>3724.0031824522657</v>
      </c>
      <c r="X36" s="21">
        <f t="shared" si="4"/>
        <v>94467.976620822679</v>
      </c>
    </row>
    <row r="37" spans="10:24" x14ac:dyDescent="0.25">
      <c r="J37">
        <f t="shared" si="5"/>
        <v>36</v>
      </c>
      <c r="K37" t="s">
        <v>9</v>
      </c>
      <c r="L37" t="s">
        <v>17</v>
      </c>
      <c r="M37">
        <f>Trail_Data!O37</f>
        <v>938577.54886072676</v>
      </c>
      <c r="N37" s="7">
        <f>IF(Trail_Data!C37=0,0,(($B$3*$B$7*$B$8*$B$6)+(0.5*$B$11*($B$3^3)*1)+($B$3*$B$7*$B$8*TAN(RADIANS(Trail_Data!D37))))/$B$10)</f>
        <v>1967.0534391461433</v>
      </c>
      <c r="O37">
        <f>Trail_Data!C37/$B$3</f>
        <v>70</v>
      </c>
      <c r="P37" s="8">
        <f t="shared" si="0"/>
        <v>137693.74074023005</v>
      </c>
      <c r="Q37">
        <f>IF(Trail_Data!E37=0,0,(($B$3*$B$7*$B$8*$B$6)+(0.5*$B$11*($B$3^3)*1)+($B$3*$B$7*$B$8*TAN(RADIANS(Trail_Data!F37))))/$B$10)</f>
        <v>1826.9958297578899</v>
      </c>
      <c r="R37">
        <f>Trail_Data!E37/$B$3</f>
        <v>509.36199999999997</v>
      </c>
      <c r="S37" s="8">
        <f t="shared" si="1"/>
        <v>930602.24983713822</v>
      </c>
      <c r="T37" s="7">
        <f>IF(Trail_Data!G37=0,0,(($B$3*$B$7*$B$8*$B$6)+(0.5*$B$11*($B$3^3)*1)+($B$3*$B$7*$B$8*TAN(RADIANS(Trail_Data!H37))))/$B$10)</f>
        <v>0</v>
      </c>
      <c r="U37">
        <f>Trail_Data!G37/$B$3</f>
        <v>0</v>
      </c>
      <c r="V37" s="8">
        <f t="shared" si="2"/>
        <v>0</v>
      </c>
      <c r="W37" s="13">
        <f t="shared" si="3"/>
        <v>3794.0492689040329</v>
      </c>
      <c r="X37" s="13">
        <f t="shared" si="4"/>
        <v>129718.44171664154</v>
      </c>
    </row>
    <row r="38" spans="10:24" x14ac:dyDescent="0.25">
      <c r="J38">
        <f t="shared" si="5"/>
        <v>37</v>
      </c>
      <c r="K38" t="s">
        <v>10</v>
      </c>
      <c r="L38" t="s">
        <v>12</v>
      </c>
      <c r="M38">
        <f>Trail_Data!O38</f>
        <v>1170788.4352858597</v>
      </c>
      <c r="N38" s="7">
        <f>IF(Trail_Data!C38=0,0,(($B$3*$B$7*$B$8*$B$6)+(0.5*$B$11*($B$3^3)*1)+($B$3*$B$7*$B$8*TAN(RADIANS(Trail_Data!D38))))/$B$10)</f>
        <v>1799.7710270993657</v>
      </c>
      <c r="O38">
        <f>Trail_Data!C38/$B$3</f>
        <v>680</v>
      </c>
      <c r="P38" s="8">
        <f t="shared" si="0"/>
        <v>1223844.2984275687</v>
      </c>
      <c r="Q38">
        <f>IF(Trail_Data!E38=0,0,(($B$3*$B$7*$B$8*$B$6)+(0.5*$B$11*($B$3^3)*1)+($B$3*$B$7*$B$8*TAN(RADIANS(Trail_Data!F38))))/$B$10)</f>
        <v>1826.9958297578899</v>
      </c>
      <c r="R38">
        <f>Trail_Data!E38/$B$3</f>
        <v>60.296000000000006</v>
      </c>
      <c r="S38" s="8">
        <f t="shared" si="1"/>
        <v>110160.54055108174</v>
      </c>
      <c r="T38" s="7">
        <f>IF(Trail_Data!G38=0,0,(($B$3*$B$7*$B$8*$B$6)+(0.5*$B$11*($B$3^3)*1)+($B$3*$B$7*$B$8*TAN(RADIANS(Trail_Data!H38))))/$B$10)</f>
        <v>0</v>
      </c>
      <c r="U38">
        <f>Trail_Data!G38/$B$3</f>
        <v>0</v>
      </c>
      <c r="V38" s="8">
        <f t="shared" si="2"/>
        <v>0</v>
      </c>
      <c r="W38" s="13">
        <f t="shared" si="3"/>
        <v>3626.7668568572553</v>
      </c>
      <c r="X38" s="13">
        <f t="shared" si="4"/>
        <v>163216.40369279077</v>
      </c>
    </row>
    <row r="39" spans="10:24" x14ac:dyDescent="0.25">
      <c r="J39">
        <f t="shared" si="5"/>
        <v>38</v>
      </c>
      <c r="K39" t="s">
        <v>10</v>
      </c>
      <c r="L39" t="s">
        <v>13</v>
      </c>
      <c r="M39">
        <f>Trail_Data!O39</f>
        <v>1448199.0584137004</v>
      </c>
      <c r="N39" s="7">
        <f>IF(Trail_Data!C39=0,0,(($B$3*$B$7*$B$8*$B$6)+(0.5*$B$11*($B$3^3)*1)+($B$3*$B$7*$B$8*TAN(RADIANS(Trail_Data!D39))))/$B$10)</f>
        <v>1799.7710270993657</v>
      </c>
      <c r="O39">
        <f>Trail_Data!C39/$B$3</f>
        <v>680</v>
      </c>
      <c r="P39" s="8">
        <f t="shared" si="0"/>
        <v>1223844.2984275687</v>
      </c>
      <c r="Q39">
        <f>IF(Trail_Data!E39=0,0,(($B$3*$B$7*$B$8*$B$6)+(0.5*$B$11*($B$3^3)*1)+($B$3*$B$7*$B$8*TAN(RADIANS(Trail_Data!F39))))/$B$10)</f>
        <v>1932.0239133951695</v>
      </c>
      <c r="R39">
        <f>Trail_Data!E39/$B$3</f>
        <v>220</v>
      </c>
      <c r="S39" s="8">
        <f t="shared" si="1"/>
        <v>425045.26094693731</v>
      </c>
      <c r="T39" s="7">
        <f>IF(Trail_Data!G39=0,0,(($B$3*$B$7*$B$8*$B$6)+(0.5*$B$11*($B$3^3)*1)+($B$3*$B$7*$B$8*TAN(RADIANS(Trail_Data!H39))))/$B$10)</f>
        <v>0</v>
      </c>
      <c r="U39">
        <f>Trail_Data!G39/$B$3</f>
        <v>0</v>
      </c>
      <c r="V39" s="8">
        <f t="shared" si="2"/>
        <v>0</v>
      </c>
      <c r="W39" s="13">
        <f t="shared" si="3"/>
        <v>3731.7949404945352</v>
      </c>
      <c r="X39" s="13">
        <f t="shared" si="4"/>
        <v>200690.50096080569</v>
      </c>
    </row>
    <row r="40" spans="10:24" x14ac:dyDescent="0.25">
      <c r="J40">
        <f t="shared" si="5"/>
        <v>39</v>
      </c>
      <c r="K40" t="s">
        <v>10</v>
      </c>
      <c r="L40" t="s">
        <v>14</v>
      </c>
      <c r="M40">
        <f>Trail_Data!O40</f>
        <v>1453961.9582312107</v>
      </c>
      <c r="N40" s="7">
        <f>IF(Trail_Data!C40=0,0,(($B$3*$B$7*$B$8*$B$6)+(0.5*$B$11*($B$3^3)*1)+($B$3*$B$7*$B$8*TAN(RADIANS(Trail_Data!D40))))/$B$10)</f>
        <v>1799.7710270993657</v>
      </c>
      <c r="O40">
        <f>Trail_Data!C40/$B$3</f>
        <v>680</v>
      </c>
      <c r="P40" s="8">
        <f t="shared" si="0"/>
        <v>1223844.2984275687</v>
      </c>
      <c r="Q40">
        <f>IF(Trail_Data!E40=0,0,(($B$3*$B$7*$B$8*$B$6)+(0.5*$B$11*($B$3^3)*1)+($B$3*$B$7*$B$8*TAN(RADIANS(Trail_Data!F40))))/$B$10)</f>
        <v>1960.8248281363531</v>
      </c>
      <c r="R40">
        <f>Trail_Data!E40/$B$3</f>
        <v>220</v>
      </c>
      <c r="S40" s="8">
        <f t="shared" si="1"/>
        <v>431381.46218999766</v>
      </c>
      <c r="T40" s="7">
        <f>IF(Trail_Data!G40=0,0,(($B$3*$B$7*$B$8*$B$6)+(0.5*$B$11*($B$3^3)*1)+($B$3*$B$7*$B$8*TAN(RADIANS(Trail_Data!H40))))/$B$10)</f>
        <v>0</v>
      </c>
      <c r="U40">
        <f>Trail_Data!G40/$B$3</f>
        <v>0</v>
      </c>
      <c r="V40" s="8">
        <f t="shared" si="2"/>
        <v>0</v>
      </c>
      <c r="W40" s="13">
        <f t="shared" si="3"/>
        <v>3760.5958552357188</v>
      </c>
      <c r="X40" s="13">
        <f t="shared" si="4"/>
        <v>201263.80238635559</v>
      </c>
    </row>
    <row r="41" spans="10:24" x14ac:dyDescent="0.25">
      <c r="J41">
        <f t="shared" si="5"/>
        <v>40</v>
      </c>
      <c r="K41" t="s">
        <v>10</v>
      </c>
      <c r="L41" t="s">
        <v>15</v>
      </c>
      <c r="M41">
        <f>Trail_Data!O41</f>
        <v>1610797.5034401859</v>
      </c>
      <c r="N41" s="7">
        <f>IF(Trail_Data!C41=0,0,(($B$3*$B$7*$B$8*$B$6)+(0.5*$B$11*($B$3^3)*1)+($B$3*$B$7*$B$8*TAN(RADIANS(Trail_Data!D41))))/$B$10)</f>
        <v>1799.7710270993657</v>
      </c>
      <c r="O41">
        <f>Trail_Data!C41/$B$3</f>
        <v>680</v>
      </c>
      <c r="P41" s="8">
        <f t="shared" si="0"/>
        <v>1223844.2984275687</v>
      </c>
      <c r="Q41">
        <f>IF(Trail_Data!E41=0,0,(($B$3*$B$7*$B$8*$B$6)+(0.5*$B$11*($B$3^3)*1)+($B$3*$B$7*$B$8*TAN(RADIANS(Trail_Data!F41))))/$B$10)</f>
        <v>1939.8069796209563</v>
      </c>
      <c r="R41">
        <f>Trail_Data!E41/$B$3</f>
        <v>260</v>
      </c>
      <c r="S41" s="8">
        <f t="shared" si="1"/>
        <v>504349.81470144866</v>
      </c>
      <c r="T41" s="7">
        <f>IF(Trail_Data!G41=0,0,(($B$3*$B$7*$B$8*$B$6)+(0.5*$B$11*($B$3^3)*1)+($B$3*$B$7*$B$8*TAN(RADIANS(Trail_Data!H41))))/$B$10)</f>
        <v>1826.9958297578899</v>
      </c>
      <c r="U41">
        <f>Trail_Data!G41/$B$3</f>
        <v>57.79</v>
      </c>
      <c r="V41" s="8">
        <f t="shared" si="2"/>
        <v>105582.08900170845</v>
      </c>
      <c r="W41" s="13">
        <f t="shared" si="3"/>
        <v>5566.5738364782119</v>
      </c>
      <c r="X41" s="13">
        <f t="shared" si="4"/>
        <v>222978.69869053992</v>
      </c>
    </row>
    <row r="42" spans="10:24" x14ac:dyDescent="0.25">
      <c r="J42">
        <f t="shared" si="5"/>
        <v>41</v>
      </c>
      <c r="K42" t="s">
        <v>10</v>
      </c>
      <c r="L42" t="s">
        <v>16</v>
      </c>
      <c r="M42">
        <f>Trail_Data!O42</f>
        <v>1049302.6387083088</v>
      </c>
      <c r="N42" s="7">
        <f>IF(Trail_Data!C42=0,0,(($B$3*$B$7*$B$8*$B$6)+(0.5*$B$11*($B$3^3)*1)+($B$3*$B$7*$B$8*TAN(RADIANS(Trail_Data!D42))))/$B$10)</f>
        <v>1974.8399744744847</v>
      </c>
      <c r="O42">
        <f>Trail_Data!C42/$B$3</f>
        <v>90</v>
      </c>
      <c r="P42" s="8">
        <f t="shared" si="0"/>
        <v>177735.59770270361</v>
      </c>
      <c r="Q42">
        <f>IF(Trail_Data!E42=0,0,(($B$3*$B$7*$B$8*$B$6)+(0.5*$B$11*($B$3^3)*1)+($B$3*$B$7*$B$8*TAN(RADIANS(Trail_Data!F42))))/$B$10)</f>
        <v>1721.9677461206104</v>
      </c>
      <c r="R42">
        <f>Trail_Data!E42/$B$3</f>
        <v>220</v>
      </c>
      <c r="S42" s="8">
        <f t="shared" si="1"/>
        <v>378832.90414653427</v>
      </c>
      <c r="T42" s="7">
        <f>IF(Trail_Data!G42=0,0,(($B$3*$B$7*$B$8*$B$6)+(0.5*$B$11*($B$3^3)*1)+($B$3*$B$7*$B$8*TAN(RADIANS(Trail_Data!H42))))/$B$10)</f>
        <v>1876.7797773775171</v>
      </c>
      <c r="U42">
        <f>Trail_Data!G42/$B$3</f>
        <v>340</v>
      </c>
      <c r="V42" s="8">
        <f t="shared" si="2"/>
        <v>638105.12430835585</v>
      </c>
      <c r="W42" s="13">
        <f t="shared" si="3"/>
        <v>5573.5874979726123</v>
      </c>
      <c r="X42" s="13">
        <f t="shared" si="4"/>
        <v>145370.98744928488</v>
      </c>
    </row>
    <row r="43" spans="10:24" x14ac:dyDescent="0.25">
      <c r="J43">
        <f t="shared" si="5"/>
        <v>42</v>
      </c>
      <c r="K43" t="s">
        <v>10</v>
      </c>
      <c r="L43" t="s">
        <v>17</v>
      </c>
      <c r="M43">
        <f>Trail_Data!O43</f>
        <v>791790.89540060726</v>
      </c>
      <c r="N43" s="9">
        <f>IF(Trail_Data!C43=0,0,(($B$3*$B$7*$B$8*$B$6)+(0.5*$B$11*($B$3^3)*1)+($B$3*$B$7*$B$8*TAN(RADIANS(Trail_Data!D43))))/$B$10)</f>
        <v>1974.8399744744847</v>
      </c>
      <c r="O43" s="10">
        <f>Trail_Data!C43/$B$3</f>
        <v>90</v>
      </c>
      <c r="P43" s="11">
        <f t="shared" si="0"/>
        <v>177735.59770270361</v>
      </c>
      <c r="Q43" s="10">
        <f>IF(Trail_Data!E43=0,0,(($B$3*$B$7*$B$8*$B$6)+(0.5*$B$11*($B$3^3)*1)+($B$3*$B$7*$B$8*TAN(RADIANS(Trail_Data!F43))))/$B$10)</f>
        <v>1721.9677461206104</v>
      </c>
      <c r="R43" s="10">
        <f>Trail_Data!E43/$B$3</f>
        <v>220</v>
      </c>
      <c r="S43" s="11">
        <f t="shared" si="1"/>
        <v>378832.90414653427</v>
      </c>
      <c r="T43" s="9">
        <f>IF(Trail_Data!G43=0,0,(($B$3*$B$7*$B$8*$B$6)+(0.5*$B$11*($B$3^3)*1)+($B$3*$B$7*$B$8*TAN(RADIANS(Trail_Data!H43))))/$B$10)</f>
        <v>1916.4596541299875</v>
      </c>
      <c r="U43" s="10">
        <f>Trail_Data!G43/$B$3</f>
        <v>180</v>
      </c>
      <c r="V43" s="11">
        <f t="shared" si="2"/>
        <v>344962.73774339777</v>
      </c>
      <c r="W43" s="14">
        <f t="shared" si="3"/>
        <v>5613.2673747250828</v>
      </c>
      <c r="X43" s="14">
        <f t="shared" si="4"/>
        <v>109740.34419202828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1C916D7-AFA5-44EE-B4CA-6264642BEA23}">
          <xm:f>#REF!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120D-6516-46E9-8727-A4B486435C08}">
  <dimension ref="A1:O43"/>
  <sheetViews>
    <sheetView tabSelected="1" topLeftCell="A15" workbookViewId="0">
      <selection activeCell="R36" sqref="R36"/>
    </sheetView>
  </sheetViews>
  <sheetFormatPr defaultRowHeight="15" x14ac:dyDescent="0.25"/>
  <cols>
    <col min="10" max="10" width="11.5703125" bestFit="1" customWidth="1"/>
    <col min="11" max="11" width="11.5703125" customWidth="1"/>
    <col min="15" max="15" width="11.5703125" bestFit="1" customWidth="1"/>
  </cols>
  <sheetData>
    <row r="1" spans="1:15" ht="27" thickBot="1" x14ac:dyDescent="0.3">
      <c r="A1" t="s">
        <v>18</v>
      </c>
      <c r="B1" t="s">
        <v>19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/>
      <c r="J1" s="1" t="s">
        <v>0</v>
      </c>
      <c r="K1" s="1"/>
      <c r="L1" s="1" t="s">
        <v>1</v>
      </c>
      <c r="M1" s="1"/>
      <c r="N1" s="1" t="s">
        <v>2</v>
      </c>
      <c r="O1" s="1" t="s">
        <v>3</v>
      </c>
    </row>
    <row r="2" spans="1:15" ht="15.75" thickBot="1" x14ac:dyDescent="0.3">
      <c r="A2" t="s">
        <v>4</v>
      </c>
      <c r="B2" t="s">
        <v>12</v>
      </c>
      <c r="C2" s="2">
        <v>1609.34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/>
      <c r="J2" s="2">
        <f>C2*BeforeOptimization!$B$7*BeforeOptimization!$B$8*((BeforeOptimization!$B$6)*COS(RADIANS(Trail_Data!D2))+SIN(RADIANS(Trail_Data!D2)))</f>
        <v>516453.81281739555</v>
      </c>
      <c r="K2" s="2"/>
      <c r="L2" s="2">
        <f>E2*BeforeOptimization!$B$7*BeforeOptimization!$B$8*((BeforeOptimization!$B$6)*COS(RADIANS(Trail_Data!F2))+SIN(RADIANS(Trail_Data!F2)))</f>
        <v>0</v>
      </c>
      <c r="M2" s="2"/>
      <c r="N2" s="2">
        <f>G2*BeforeOptimization!$B$7*BeforeOptimization!$B$8*((BeforeOptimization!$B$6)*COS(RADIANS(Trail_Data!H2))+SIN(RADIANS(Trail_Data!H2)))</f>
        <v>0</v>
      </c>
      <c r="O2" s="2">
        <f>SUM(J2:N2)</f>
        <v>516453.81281739555</v>
      </c>
    </row>
    <row r="3" spans="1:15" ht="15.75" thickBot="1" x14ac:dyDescent="0.3">
      <c r="A3" t="s">
        <v>4</v>
      </c>
      <c r="B3" t="s">
        <v>13</v>
      </c>
      <c r="C3" s="2">
        <v>2253.08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/>
      <c r="J3" s="2">
        <f>C3*BeforeOptimization!$B$7*BeforeOptimization!$B$8*((BeforeOptimization!$B$6)*COS(RADIANS(Trail_Data!D3))+SIN(RADIANS(Trail_Data!D3)))</f>
        <v>723036.62158562976</v>
      </c>
      <c r="K3" s="2"/>
      <c r="L3" s="2">
        <f>E3*BeforeOptimization!$B$7*BeforeOptimization!$B$8*((BeforeOptimization!$B$6)*COS(RADIANS(Trail_Data!F3))+SIN(RADIANS(Trail_Data!F3)))</f>
        <v>0</v>
      </c>
      <c r="M3" s="2"/>
      <c r="N3" s="2">
        <f>G3*BeforeOptimization!$B$7*BeforeOptimization!$B$8*((BeforeOptimization!$B$6)*COS(RADIANS(Trail_Data!H3))+SIN(RADIANS(Trail_Data!H3)))</f>
        <v>0</v>
      </c>
      <c r="O3" s="2">
        <f t="shared" ref="O3:O43" si="0">SUM(J3:N3)</f>
        <v>723036.62158562976</v>
      </c>
    </row>
    <row r="4" spans="1:15" ht="15.75" thickBot="1" x14ac:dyDescent="0.3">
      <c r="A4" t="s">
        <v>4</v>
      </c>
      <c r="B4" t="s">
        <v>14</v>
      </c>
      <c r="C4" s="2">
        <v>550</v>
      </c>
      <c r="D4" s="2">
        <v>2.6</v>
      </c>
      <c r="E4" s="2">
        <v>1703.08</v>
      </c>
      <c r="F4" s="2">
        <v>0</v>
      </c>
      <c r="G4" s="2">
        <v>0</v>
      </c>
      <c r="H4" s="2">
        <v>0</v>
      </c>
      <c r="I4" s="1"/>
      <c r="J4" s="2">
        <f>C4*BeforeOptimization!$B$7*BeforeOptimization!$B$8*((BeforeOptimization!$B$6)*COS(RADIANS(Trail_Data!D4))+SIN(RADIANS(Trail_Data!D4)))</f>
        <v>196781.91414607546</v>
      </c>
      <c r="K4" s="2"/>
      <c r="L4" s="2">
        <f>E4*BeforeOptimization!$B$7*BeforeOptimization!$B$8*((BeforeOptimization!$B$6)*COS(RADIANS(Trail_Data!F4))+SIN(RADIANS(Trail_Data!F4)))</f>
        <v>546535.94612266507</v>
      </c>
      <c r="M4" s="2"/>
      <c r="N4" s="2">
        <f>G4*BeforeOptimization!$B$7*BeforeOptimization!$B$8*((BeforeOptimization!$B$6)*COS(RADIANS(Trail_Data!H4))+SIN(RADIANS(Trail_Data!H4)))</f>
        <v>0</v>
      </c>
      <c r="O4" s="2">
        <f t="shared" si="0"/>
        <v>743317.86026874057</v>
      </c>
    </row>
    <row r="5" spans="1:15" ht="15.75" thickBot="1" x14ac:dyDescent="0.3">
      <c r="A5" t="s">
        <v>4</v>
      </c>
      <c r="B5" t="s">
        <v>15</v>
      </c>
      <c r="C5" s="2">
        <v>550</v>
      </c>
      <c r="D5" s="2">
        <v>2.6</v>
      </c>
      <c r="E5" s="2">
        <v>400</v>
      </c>
      <c r="F5" s="2">
        <v>-1.56</v>
      </c>
      <c r="G5" s="2">
        <v>1785</v>
      </c>
      <c r="H5" s="2">
        <v>0</v>
      </c>
      <c r="I5" s="1"/>
      <c r="J5" s="2">
        <f>C5*BeforeOptimization!$B$7*BeforeOptimization!$B$8*((BeforeOptimization!$B$6)*COS(RADIANS(Trail_Data!D5))+SIN(RADIANS(Trail_Data!D5)))</f>
        <v>196781.91414607546</v>
      </c>
      <c r="K5" s="2"/>
      <c r="L5" s="2">
        <f>E5*BeforeOptimization!$B$7*BeforeOptimization!$B$8*((BeforeOptimization!$B$6)*COS(RADIANS(Trail_Data!F5))+SIN(RADIANS(Trail_Data!F5)))</f>
        <v>119385.30937828112</v>
      </c>
      <c r="M5" s="2"/>
      <c r="N5" s="2">
        <f>G5*BeforeOptimization!$B$7*BeforeOptimization!$B$8*((BeforeOptimization!$B$6)*COS(RADIANS(Trail_Data!H5))+SIN(RADIANS(Trail_Data!H5)))</f>
        <v>572824.91945707623</v>
      </c>
      <c r="O5" s="2">
        <f>SUM(J5:N5)</f>
        <v>888992.14298143284</v>
      </c>
    </row>
    <row r="6" spans="1:15" ht="15.75" thickBot="1" x14ac:dyDescent="0.3">
      <c r="A6" t="s">
        <v>4</v>
      </c>
      <c r="B6" t="s">
        <v>16</v>
      </c>
      <c r="C6" s="2">
        <v>550</v>
      </c>
      <c r="D6" s="2">
        <v>2.6</v>
      </c>
      <c r="E6" s="2">
        <v>2185.88</v>
      </c>
      <c r="F6" s="2">
        <v>0</v>
      </c>
      <c r="G6" s="2">
        <v>0</v>
      </c>
      <c r="H6" s="2">
        <v>0</v>
      </c>
      <c r="I6" s="1"/>
      <c r="J6" s="2">
        <f>C6*BeforeOptimization!$B$7*BeforeOptimization!$B$8*((BeforeOptimization!$B$6)*COS(RADIANS(Trail_Data!D6))+SIN(RADIANS(Trail_Data!D6)))</f>
        <v>196781.91414607546</v>
      </c>
      <c r="K6" s="2"/>
      <c r="L6" s="2">
        <f>E6*BeforeOptimization!$B$7*BeforeOptimization!$B$8*((BeforeOptimization!$B$6)*COS(RADIANS(Trail_Data!F6))+SIN(RADIANS(Trail_Data!F6)))</f>
        <v>701471.4481472458</v>
      </c>
      <c r="M6" s="2"/>
      <c r="N6" s="2">
        <f>G6*BeforeOptimization!$B$7*BeforeOptimization!$B$8*((BeforeOptimization!$B$6)*COS(RADIANS(Trail_Data!H6))+SIN(RADIANS(Trail_Data!H6)))</f>
        <v>0</v>
      </c>
      <c r="O6" s="2">
        <f t="shared" si="0"/>
        <v>898253.36229332129</v>
      </c>
    </row>
    <row r="7" spans="1:15" ht="15.75" thickBot="1" x14ac:dyDescent="0.3">
      <c r="A7" t="s">
        <v>4</v>
      </c>
      <c r="B7" t="s">
        <v>17</v>
      </c>
      <c r="C7" s="2">
        <v>489</v>
      </c>
      <c r="D7" s="2">
        <v>4.2</v>
      </c>
      <c r="E7" s="2">
        <v>1925.01</v>
      </c>
      <c r="F7" s="2">
        <v>0</v>
      </c>
      <c r="G7" s="2">
        <v>0</v>
      </c>
      <c r="H7" s="2">
        <v>0</v>
      </c>
      <c r="I7" s="1"/>
      <c r="J7" s="2">
        <f>C7*BeforeOptimization!$B$7*BeforeOptimization!$B$8*((BeforeOptimization!$B$6)*COS(RADIANS(Trail_Data!D7))+SIN(RADIANS(Trail_Data!D7)))</f>
        <v>185876.8385978273</v>
      </c>
      <c r="K7" s="2"/>
      <c r="L7" s="2">
        <f>E7*BeforeOptimization!$B$7*BeforeOptimization!$B$8*((BeforeOptimization!$B$6)*COS(RADIANS(Trail_Data!F7))+SIN(RADIANS(Trail_Data!F7)))</f>
        <v>617755.57322356652</v>
      </c>
      <c r="M7" s="2"/>
      <c r="N7" s="2">
        <f>G7*BeforeOptimization!$B$7*BeforeOptimization!$B$8*((BeforeOptimization!$B$6)*COS(RADIANS(Trail_Data!H7))+SIN(RADIANS(Trail_Data!H7)))</f>
        <v>0</v>
      </c>
      <c r="O7" s="2">
        <f t="shared" si="0"/>
        <v>803632.41182139376</v>
      </c>
    </row>
    <row r="8" spans="1:15" ht="15.75" thickBot="1" x14ac:dyDescent="0.3">
      <c r="A8" t="s">
        <v>5</v>
      </c>
      <c r="B8" t="s">
        <v>12</v>
      </c>
      <c r="C8" s="2">
        <v>4345.22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/>
      <c r="J8" s="2">
        <f>C8*BeforeOptimization!$B$7*BeforeOptimization!$B$8*((BeforeOptimization!$B$6)*COS(RADIANS(Trail_Data!D8))+SIN(RADIANS(Trail_Data!D8)))</f>
        <v>1394425.936427606</v>
      </c>
      <c r="K8" s="2"/>
      <c r="L8" s="2">
        <f>E8*BeforeOptimization!$B$7*BeforeOptimization!$B$8*((BeforeOptimization!$B$6)*COS(RADIANS(Trail_Data!F8))+SIN(RADIANS(Trail_Data!F8)))</f>
        <v>0</v>
      </c>
      <c r="M8" s="2"/>
      <c r="N8" s="2">
        <f>G8*BeforeOptimization!$B$7*BeforeOptimization!$B$8*((BeforeOptimization!$B$6)*COS(RADIANS(Trail_Data!H8))+SIN(RADIANS(Trail_Data!H8)))</f>
        <v>0</v>
      </c>
      <c r="O8" s="2">
        <f t="shared" si="0"/>
        <v>1394425.936427606</v>
      </c>
    </row>
    <row r="9" spans="1:15" ht="15.75" thickBot="1" x14ac:dyDescent="0.3">
      <c r="A9" t="s">
        <v>5</v>
      </c>
      <c r="B9" t="s">
        <v>13</v>
      </c>
      <c r="C9" s="2">
        <v>1300</v>
      </c>
      <c r="D9" s="2">
        <v>0.88</v>
      </c>
      <c r="E9" s="2">
        <v>2240.5500000000002</v>
      </c>
      <c r="F9" s="2">
        <v>0</v>
      </c>
      <c r="G9" s="2">
        <v>0</v>
      </c>
      <c r="H9" s="2">
        <v>0</v>
      </c>
      <c r="I9" s="1"/>
      <c r="J9" s="2">
        <f>C9*BeforeOptimization!$B$7*BeforeOptimization!$B$8*((BeforeOptimization!$B$6)*COS(RADIANS(Trail_Data!D9))+SIN(RADIANS(Trail_Data!D9)))</f>
        <v>433509.53271470004</v>
      </c>
      <c r="K9" s="2"/>
      <c r="L9" s="2">
        <f>E9*BeforeOptimization!$B$7*BeforeOptimization!$B$8*((BeforeOptimization!$B$6)*COS(RADIANS(Trail_Data!F9))+SIN(RADIANS(Trail_Data!F9)))</f>
        <v>719015.61528826458</v>
      </c>
      <c r="M9" s="2"/>
      <c r="N9" s="2">
        <f>G9*BeforeOptimization!$B$7*BeforeOptimization!$B$8*((BeforeOptimization!$B$6)*COS(RADIANS(Trail_Data!H9))+SIN(RADIANS(Trail_Data!H9)))</f>
        <v>0</v>
      </c>
      <c r="O9" s="2">
        <f t="shared" si="0"/>
        <v>1152525.1480029647</v>
      </c>
    </row>
    <row r="10" spans="1:15" ht="15.75" thickBot="1" x14ac:dyDescent="0.3">
      <c r="A10" t="s">
        <v>5</v>
      </c>
      <c r="B10" t="s">
        <v>14</v>
      </c>
      <c r="C10" s="2">
        <v>1300</v>
      </c>
      <c r="D10" s="2">
        <v>0.88</v>
      </c>
      <c r="E10" s="2">
        <v>2562.42</v>
      </c>
      <c r="F10" s="2">
        <v>0</v>
      </c>
      <c r="G10" s="2">
        <v>0</v>
      </c>
      <c r="H10" s="2">
        <v>0</v>
      </c>
      <c r="I10" s="1"/>
      <c r="J10" s="2">
        <f>C10*BeforeOptimization!$B$7*BeforeOptimization!$B$8*((BeforeOptimization!$B$6)*COS(RADIANS(Trail_Data!D10))+SIN(RADIANS(Trail_Data!D10)))</f>
        <v>433509.53271470004</v>
      </c>
      <c r="K10" s="2"/>
      <c r="L10" s="2">
        <f>E10*BeforeOptimization!$B$7*BeforeOptimization!$B$8*((BeforeOptimization!$B$6)*COS(RADIANS(Trail_Data!F10))+SIN(RADIANS(Trail_Data!F10)))</f>
        <v>822307.01967238158</v>
      </c>
      <c r="M10" s="2"/>
      <c r="N10" s="2">
        <f>G10*BeforeOptimization!$B$7*BeforeOptimization!$B$8*((BeforeOptimization!$B$6)*COS(RADIANS(Trail_Data!H10))+SIN(RADIANS(Trail_Data!H10)))</f>
        <v>0</v>
      </c>
      <c r="O10" s="2">
        <f t="shared" si="0"/>
        <v>1255816.5523870816</v>
      </c>
    </row>
    <row r="11" spans="1:15" ht="15.75" thickBot="1" x14ac:dyDescent="0.3">
      <c r="A11" t="s">
        <v>5</v>
      </c>
      <c r="B11" t="s">
        <v>15</v>
      </c>
      <c r="C11" s="2">
        <v>220</v>
      </c>
      <c r="D11" s="2">
        <v>3.38</v>
      </c>
      <c r="E11" s="2">
        <v>1872</v>
      </c>
      <c r="F11" s="2">
        <v>0</v>
      </c>
      <c r="G11" s="2">
        <v>0</v>
      </c>
      <c r="H11" s="2">
        <v>0</v>
      </c>
      <c r="I11" s="1"/>
      <c r="J11" s="2">
        <f>C11*BeforeOptimization!$B$7*BeforeOptimization!$B$8*((BeforeOptimization!$B$6)*COS(RADIANS(Trail_Data!D11))+SIN(RADIANS(Trail_Data!D11)))</f>
        <v>81115.664410807993</v>
      </c>
      <c r="K11" s="2"/>
      <c r="L11" s="2">
        <f>E11*BeforeOptimization!$B$7*BeforeOptimization!$B$8*((BeforeOptimization!$B$6)*COS(RADIANS(Trail_Data!F11))+SIN(RADIANS(Trail_Data!F11)))</f>
        <v>600744.11721212696</v>
      </c>
      <c r="M11" s="2"/>
      <c r="N11" s="2">
        <f>G11*BeforeOptimization!$B$7*BeforeOptimization!$B$8*((BeforeOptimization!$B$6)*COS(RADIANS(Trail_Data!H11))+SIN(RADIANS(Trail_Data!H11)))</f>
        <v>0</v>
      </c>
      <c r="O11" s="2">
        <f t="shared" si="0"/>
        <v>681859.78162293497</v>
      </c>
    </row>
    <row r="12" spans="1:15" ht="15.75" thickBot="1" x14ac:dyDescent="0.3">
      <c r="A12" t="s">
        <v>5</v>
      </c>
      <c r="B12" t="s">
        <v>16</v>
      </c>
      <c r="C12" s="2">
        <v>1300</v>
      </c>
      <c r="D12" s="2">
        <v>0.88</v>
      </c>
      <c r="E12" s="2">
        <v>2562.42</v>
      </c>
      <c r="F12" s="2">
        <v>0</v>
      </c>
      <c r="G12" s="2">
        <v>0</v>
      </c>
      <c r="H12" s="2">
        <v>0</v>
      </c>
      <c r="I12" s="1"/>
      <c r="J12" s="2">
        <f>C12*BeforeOptimization!$B$7*BeforeOptimization!$B$8*((BeforeOptimization!$B$6)*COS(RADIANS(Trail_Data!D12))+SIN(RADIANS(Trail_Data!D12)))</f>
        <v>433509.53271470004</v>
      </c>
      <c r="K12" s="2"/>
      <c r="L12" s="2">
        <f>E12*BeforeOptimization!$B$7*BeforeOptimization!$B$8*((BeforeOptimization!$B$6)*COS(RADIANS(Trail_Data!F12))+SIN(RADIANS(Trail_Data!F12)))</f>
        <v>822307.01967238158</v>
      </c>
      <c r="M12" s="2"/>
      <c r="N12" s="2">
        <f>G12*BeforeOptimization!$B$7*BeforeOptimization!$B$8*((BeforeOptimization!$B$6)*COS(RADIANS(Trail_Data!H12))+SIN(RADIANS(Trail_Data!H12)))</f>
        <v>0</v>
      </c>
      <c r="O12" s="2">
        <f t="shared" si="0"/>
        <v>1255816.5523870816</v>
      </c>
    </row>
    <row r="13" spans="1:15" ht="15.75" thickBot="1" x14ac:dyDescent="0.3">
      <c r="A13" t="s">
        <v>5</v>
      </c>
      <c r="B13" t="s">
        <v>17</v>
      </c>
      <c r="C13" s="2">
        <v>1300</v>
      </c>
      <c r="D13" s="2">
        <v>0.88</v>
      </c>
      <c r="E13" s="2">
        <v>750</v>
      </c>
      <c r="F13" s="2">
        <v>-0.84</v>
      </c>
      <c r="G13" s="2">
        <v>2134.2800000000002</v>
      </c>
      <c r="H13" s="2">
        <v>0</v>
      </c>
      <c r="I13" s="1"/>
      <c r="J13" s="2">
        <f>C13*BeforeOptimization!$B$7*BeforeOptimization!$B$8*((BeforeOptimization!$B$6)*COS(RADIANS(Trail_Data!D13))+SIN(RADIANS(Trail_Data!D13)))</f>
        <v>433509.53271470004</v>
      </c>
      <c r="K13" s="2"/>
      <c r="L13" s="2">
        <f>E13*BeforeOptimization!$B$7*BeforeOptimization!$B$8*((BeforeOptimization!$B$6)*COS(RADIANS(Trail_Data!F13))+SIN(RADIANS(Trail_Data!F13)))</f>
        <v>231638.96341681585</v>
      </c>
      <c r="M13" s="2"/>
      <c r="N13" s="2">
        <f>G13*BeforeOptimization!$B$7*BeforeOptimization!$B$8*((BeforeOptimization!$B$6)*COS(RADIANS(Trail_Data!H13))+SIN(RADIANS(Trail_Data!H13)))</f>
        <v>684912.47568562953</v>
      </c>
      <c r="O13" s="2">
        <f t="shared" si="0"/>
        <v>1350060.9718171454</v>
      </c>
    </row>
    <row r="14" spans="1:15" ht="15.75" thickBot="1" x14ac:dyDescent="0.3">
      <c r="A14" t="s">
        <v>6</v>
      </c>
      <c r="B14" t="s">
        <v>12</v>
      </c>
      <c r="C14" s="2">
        <v>1609.34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1"/>
      <c r="J14" s="2">
        <f>C14*BeforeOptimization!$B$7*BeforeOptimization!$B$8*((BeforeOptimization!$B$6)*COS(RADIANS(Trail_Data!D14))+SIN(RADIANS(Trail_Data!D14)))</f>
        <v>516453.81281739555</v>
      </c>
      <c r="K14" s="2"/>
      <c r="L14" s="2">
        <f>E14*BeforeOptimization!$B$7*BeforeOptimization!$B$8*((BeforeOptimization!$B$6)*COS(RADIANS(Trail_Data!F14))+SIN(RADIANS(Trail_Data!F14)))</f>
        <v>0</v>
      </c>
      <c r="M14" s="2"/>
      <c r="N14" s="2">
        <f>G14*BeforeOptimization!$B$7*BeforeOptimization!$B$8*((BeforeOptimization!$B$6)*COS(RADIANS(Trail_Data!H14))+SIN(RADIANS(Trail_Data!H14)))</f>
        <v>0</v>
      </c>
      <c r="O14" s="2">
        <f t="shared" si="0"/>
        <v>516453.81281739555</v>
      </c>
    </row>
    <row r="15" spans="1:15" ht="15.75" thickBot="1" x14ac:dyDescent="0.3">
      <c r="A15" t="s">
        <v>6</v>
      </c>
      <c r="B15" t="s">
        <v>13</v>
      </c>
      <c r="C15" s="2">
        <v>550</v>
      </c>
      <c r="D15" s="2">
        <v>2.6</v>
      </c>
      <c r="E15" s="2">
        <v>1542.14</v>
      </c>
      <c r="F15" s="2">
        <v>0</v>
      </c>
      <c r="G15" s="2">
        <v>0</v>
      </c>
      <c r="H15" s="2">
        <v>0</v>
      </c>
      <c r="I15" s="1"/>
      <c r="J15" s="2">
        <f>C15*BeforeOptimization!$B$7*BeforeOptimization!$B$8*((BeforeOptimization!$B$6)*COS(RADIANS(Trail_Data!D15))+SIN(RADIANS(Trail_Data!D15)))</f>
        <v>196781.91414607546</v>
      </c>
      <c r="K15" s="2"/>
      <c r="L15" s="2">
        <f>E15*BeforeOptimization!$B$7*BeforeOptimization!$B$8*((BeforeOptimization!$B$6)*COS(RADIANS(Trail_Data!F15))+SIN(RADIANS(Trail_Data!F15)))</f>
        <v>494888.63937901153</v>
      </c>
      <c r="M15" s="2"/>
      <c r="N15" s="2">
        <f>G15*BeforeOptimization!$B$7*BeforeOptimization!$B$8*((BeforeOptimization!$B$6)*COS(RADIANS(Trail_Data!H15))+SIN(RADIANS(Trail_Data!H15)))</f>
        <v>0</v>
      </c>
      <c r="O15" s="2">
        <f t="shared" si="0"/>
        <v>691670.55352508696</v>
      </c>
    </row>
    <row r="16" spans="1:15" ht="15.75" thickBot="1" x14ac:dyDescent="0.3">
      <c r="A16" t="s">
        <v>6</v>
      </c>
      <c r="B16" t="s">
        <v>14</v>
      </c>
      <c r="C16" s="2">
        <v>550</v>
      </c>
      <c r="D16" s="2">
        <v>2.6</v>
      </c>
      <c r="E16" s="2">
        <v>1703.08</v>
      </c>
      <c r="F16" s="2">
        <v>0</v>
      </c>
      <c r="G16" s="2">
        <v>0</v>
      </c>
      <c r="H16" s="2">
        <v>0</v>
      </c>
      <c r="I16" s="1"/>
      <c r="J16" s="2">
        <f>C16*BeforeOptimization!$B$7*BeforeOptimization!$B$8*((BeforeOptimization!$B$6)*COS(RADIANS(Trail_Data!D16))+SIN(RADIANS(Trail_Data!D16)))</f>
        <v>196781.91414607546</v>
      </c>
      <c r="K16" s="2"/>
      <c r="L16" s="2">
        <f>E16*BeforeOptimization!$B$7*BeforeOptimization!$B$8*((BeforeOptimization!$B$6)*COS(RADIANS(Trail_Data!F16))+SIN(RADIANS(Trail_Data!F16)))</f>
        <v>546535.94612266507</v>
      </c>
      <c r="M16" s="2"/>
      <c r="N16" s="2">
        <f>G16*BeforeOptimization!$B$7*BeforeOptimization!$B$8*((BeforeOptimization!$B$6)*COS(RADIANS(Trail_Data!H16))+SIN(RADIANS(Trail_Data!H16)))</f>
        <v>0</v>
      </c>
      <c r="O16" s="2">
        <f t="shared" si="0"/>
        <v>743317.86026874057</v>
      </c>
    </row>
    <row r="17" spans="1:15" ht="15.75" thickBot="1" x14ac:dyDescent="0.3">
      <c r="A17" t="s">
        <v>6</v>
      </c>
      <c r="B17" t="s">
        <v>15</v>
      </c>
      <c r="C17" s="2">
        <v>650</v>
      </c>
      <c r="D17" s="2">
        <v>2.29</v>
      </c>
      <c r="E17" s="2">
        <v>400</v>
      </c>
      <c r="F17" s="2">
        <v>-2</v>
      </c>
      <c r="G17" s="2">
        <v>1364.01</v>
      </c>
      <c r="H17" s="2">
        <v>0</v>
      </c>
      <c r="I17" s="1"/>
      <c r="J17" s="2">
        <f>C17*BeforeOptimization!$B$7*BeforeOptimization!$B$8*((BeforeOptimization!$B$6)*COS(RADIANS(Trail_Data!D17))+SIN(RADIANS(Trail_Data!D17)))</f>
        <v>229726.81611407458</v>
      </c>
      <c r="K17" s="2"/>
      <c r="L17" s="2">
        <f>E17*BeforeOptimization!$B$7*BeforeOptimization!$B$8*((BeforeOptimization!$B$6)*COS(RADIANS(Trail_Data!F17))+SIN(RADIANS(Trail_Data!F17)))</f>
        <v>116836.53211379124</v>
      </c>
      <c r="M17" s="2"/>
      <c r="N17" s="2">
        <f>G17*BeforeOptimization!$B$7*BeforeOptimization!$B$8*((BeforeOptimization!$B$6)*COS(RADIANS(Trail_Data!H17))+SIN(RADIANS(Trail_Data!H17)))</f>
        <v>437724.88425134262</v>
      </c>
      <c r="O17" s="2">
        <f t="shared" si="0"/>
        <v>784288.23247920838</v>
      </c>
    </row>
    <row r="18" spans="1:15" ht="15.75" thickBot="1" x14ac:dyDescent="0.3">
      <c r="A18" t="s">
        <v>6</v>
      </c>
      <c r="B18" t="s">
        <v>16</v>
      </c>
      <c r="C18" s="2">
        <v>400</v>
      </c>
      <c r="D18" s="2">
        <v>1.71</v>
      </c>
      <c r="E18" s="2">
        <v>2496.81</v>
      </c>
      <c r="F18" s="2">
        <v>0</v>
      </c>
      <c r="G18" s="2">
        <v>0</v>
      </c>
      <c r="H18" s="2">
        <v>0</v>
      </c>
      <c r="I18" s="1"/>
      <c r="J18" s="2">
        <f>C18*BeforeOptimization!$B$7*BeforeOptimization!$B$8*((BeforeOptimization!$B$6)*COS(RADIANS(Trail_Data!D18))+SIN(RADIANS(Trail_Data!D18)))</f>
        <v>138096.73422172616</v>
      </c>
      <c r="K18" s="2"/>
      <c r="L18" s="2">
        <f>E18*BeforeOptimization!$B$7*BeforeOptimization!$B$8*((BeforeOptimization!$B$6)*COS(RADIANS(Trail_Data!F18))+SIN(RADIANS(Trail_Data!F18)))</f>
        <v>801252.09364124492</v>
      </c>
      <c r="M18" s="2"/>
      <c r="N18" s="2">
        <f>G18*BeforeOptimization!$B$7*BeforeOptimization!$B$8*((BeforeOptimization!$B$6)*COS(RADIANS(Trail_Data!H18))+SIN(RADIANS(Trail_Data!H18)))</f>
        <v>0</v>
      </c>
      <c r="O18" s="2">
        <f t="shared" si="0"/>
        <v>939348.82786297111</v>
      </c>
    </row>
    <row r="19" spans="1:15" ht="15.75" thickBot="1" x14ac:dyDescent="0.3">
      <c r="A19" t="s">
        <v>6</v>
      </c>
      <c r="B19" t="s">
        <v>17</v>
      </c>
      <c r="C19" s="2">
        <v>489</v>
      </c>
      <c r="D19" s="2">
        <v>4.2</v>
      </c>
      <c r="E19" s="2">
        <v>3212.48</v>
      </c>
      <c r="F19" s="2">
        <v>0</v>
      </c>
      <c r="G19" s="2">
        <v>0</v>
      </c>
      <c r="H19" s="2">
        <v>0</v>
      </c>
      <c r="I19" s="1"/>
      <c r="J19" s="2">
        <f>C19*BeforeOptimization!$B$7*BeforeOptimization!$B$8*((BeforeOptimization!$B$6)*COS(RADIANS(Trail_Data!D19))+SIN(RADIANS(Trail_Data!D19)))</f>
        <v>185876.8385978273</v>
      </c>
      <c r="K19" s="2"/>
      <c r="L19" s="2">
        <f>E19*BeforeOptimization!$B$7*BeforeOptimization!$B$8*((BeforeOptimization!$B$6)*COS(RADIANS(Trail_Data!F19))+SIN(RADIANS(Trail_Data!F19)))</f>
        <v>1030917.981656845</v>
      </c>
      <c r="M19" s="2"/>
      <c r="N19" s="2">
        <f>G19*BeforeOptimization!$B$7*BeforeOptimization!$B$8*((BeforeOptimization!$B$6)*COS(RADIANS(Trail_Data!H19))+SIN(RADIANS(Trail_Data!H19)))</f>
        <v>0</v>
      </c>
      <c r="O19" s="2">
        <f t="shared" si="0"/>
        <v>1216794.8202546723</v>
      </c>
    </row>
    <row r="20" spans="1:15" ht="15.75" thickBot="1" x14ac:dyDescent="0.3">
      <c r="A20" t="s">
        <v>7</v>
      </c>
      <c r="B20" t="s">
        <v>12</v>
      </c>
      <c r="C20" s="2">
        <v>1000</v>
      </c>
      <c r="D20" s="2">
        <v>-1.31</v>
      </c>
      <c r="E20" s="2">
        <v>400</v>
      </c>
      <c r="F20" s="2">
        <v>0</v>
      </c>
      <c r="G20" s="2">
        <v>0</v>
      </c>
      <c r="H20" s="2">
        <v>0</v>
      </c>
      <c r="I20" s="1"/>
      <c r="J20" s="2">
        <f>C20*BeforeOptimization!$B$7*BeforeOptimization!$B$8*((BeforeOptimization!$B$6)*COS(RADIANS(Trail_Data!D20))+SIN(RADIANS(Trail_Data!D20)))</f>
        <v>302075.87818854355</v>
      </c>
      <c r="K20" s="2"/>
      <c r="L20" s="2">
        <f>E20*BeforeOptimization!$B$7*BeforeOptimization!$B$8*((BeforeOptimization!$B$6)*COS(RADIANS(Trail_Data!F20))+SIN(RADIANS(Trail_Data!F20)))</f>
        <v>128364.12760942883</v>
      </c>
      <c r="M20" s="2"/>
      <c r="N20" s="2">
        <f>G20*BeforeOptimization!$B$7*BeforeOptimization!$B$8*((BeforeOptimization!$B$6)*COS(RADIANS(Trail_Data!H20))+SIN(RADIANS(Trail_Data!H20)))</f>
        <v>0</v>
      </c>
      <c r="O20" s="2">
        <f t="shared" si="0"/>
        <v>430440.00579797238</v>
      </c>
    </row>
    <row r="21" spans="1:15" ht="15.75" thickBot="1" x14ac:dyDescent="0.3">
      <c r="A21" t="s">
        <v>7</v>
      </c>
      <c r="B21" t="s">
        <v>13</v>
      </c>
      <c r="C21" s="2">
        <v>643.74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1"/>
      <c r="J21" s="2">
        <f>C21*BeforeOptimization!$B$7*BeforeOptimization!$B$8*((BeforeOptimization!$B$6)*COS(RADIANS(Trail_Data!D21))+SIN(RADIANS(Trail_Data!D21)))</f>
        <v>206582.80876823433</v>
      </c>
      <c r="K21" s="2"/>
      <c r="L21" s="2">
        <f>E21*BeforeOptimization!$B$7*BeforeOptimization!$B$8*((BeforeOptimization!$B$6)*COS(RADIANS(Trail_Data!F21))+SIN(RADIANS(Trail_Data!F21)))</f>
        <v>0</v>
      </c>
      <c r="M21" s="2"/>
      <c r="N21" s="2">
        <f>G21*BeforeOptimization!$B$7*BeforeOptimization!$B$8*((BeforeOptimization!$B$6)*COS(RADIANS(Trail_Data!H21))+SIN(RADIANS(Trail_Data!H21)))</f>
        <v>0</v>
      </c>
      <c r="O21" s="2">
        <f t="shared" si="0"/>
        <v>206582.80876823433</v>
      </c>
    </row>
    <row r="22" spans="1:15" ht="15.75" thickBot="1" x14ac:dyDescent="0.3">
      <c r="A22" t="s">
        <v>7</v>
      </c>
      <c r="B22" t="s">
        <v>14</v>
      </c>
      <c r="C22" s="2">
        <v>200</v>
      </c>
      <c r="D22" s="2">
        <v>2.29</v>
      </c>
      <c r="E22" s="2">
        <v>604.66999999999996</v>
      </c>
      <c r="F22" s="2">
        <v>0</v>
      </c>
      <c r="G22" s="2">
        <v>0</v>
      </c>
      <c r="H22" s="2">
        <v>0</v>
      </c>
      <c r="I22" s="1"/>
      <c r="J22" s="2">
        <f>C22*BeforeOptimization!$B$7*BeforeOptimization!$B$8*((BeforeOptimization!$B$6)*COS(RADIANS(Trail_Data!D22))+SIN(RADIANS(Trail_Data!D22)))</f>
        <v>70685.17418894601</v>
      </c>
      <c r="K22" s="2"/>
      <c r="L22" s="2">
        <f>E22*BeforeOptimization!$B$7*BeforeOptimization!$B$8*((BeforeOptimization!$B$6)*COS(RADIANS(Trail_Data!F22))+SIN(RADIANS(Trail_Data!F22)))</f>
        <v>194044.84260398333</v>
      </c>
      <c r="M22" s="2"/>
      <c r="N22" s="2">
        <f>G22*BeforeOptimization!$B$7*BeforeOptimization!$B$8*((BeforeOptimization!$B$6)*COS(RADIANS(Trail_Data!H22))+SIN(RADIANS(Trail_Data!H22)))</f>
        <v>0</v>
      </c>
      <c r="O22" s="2">
        <f t="shared" si="0"/>
        <v>264730.01679292932</v>
      </c>
    </row>
    <row r="23" spans="1:15" ht="15.75" thickBot="1" x14ac:dyDescent="0.3">
      <c r="A23" t="s">
        <v>7</v>
      </c>
      <c r="B23" t="s">
        <v>15</v>
      </c>
      <c r="C23" s="2">
        <v>482.8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/>
      <c r="J23" s="2">
        <f>C23*BeforeOptimization!$B$7*BeforeOptimization!$B$8*((BeforeOptimization!$B$6)*COS(RADIANS(Trail_Data!D23))+SIN(RADIANS(Trail_Data!D23)))</f>
        <v>154935.50202458061</v>
      </c>
      <c r="K23" s="2"/>
      <c r="L23" s="2">
        <f>E23*BeforeOptimization!$B$7*BeforeOptimization!$B$8*((BeforeOptimization!$B$6)*COS(RADIANS(Trail_Data!F23))+SIN(RADIANS(Trail_Data!F23)))</f>
        <v>0</v>
      </c>
      <c r="M23" s="2"/>
      <c r="N23" s="2">
        <f>G23*BeforeOptimization!$B$7*BeforeOptimization!$B$8*((BeforeOptimization!$B$6)*COS(RADIANS(Trail_Data!H23))+SIN(RADIANS(Trail_Data!H23)))</f>
        <v>0</v>
      </c>
      <c r="O23" s="2">
        <f t="shared" si="0"/>
        <v>154935.50202458061</v>
      </c>
    </row>
    <row r="24" spans="1:15" ht="15.75" thickBot="1" x14ac:dyDescent="0.3">
      <c r="A24" t="s">
        <v>7</v>
      </c>
      <c r="B24" t="s">
        <v>16</v>
      </c>
      <c r="C24" s="2">
        <v>1609.34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1"/>
      <c r="J24" s="2">
        <f>C24*BeforeOptimization!$B$7*BeforeOptimization!$B$8*((BeforeOptimization!$B$6)*COS(RADIANS(Trail_Data!D24))+SIN(RADIANS(Trail_Data!D24)))</f>
        <v>516453.81281739555</v>
      </c>
      <c r="K24" s="2"/>
      <c r="L24" s="2">
        <f>E24*BeforeOptimization!$B$7*BeforeOptimization!$B$8*((BeforeOptimization!$B$6)*COS(RADIANS(Trail_Data!F24))+SIN(RADIANS(Trail_Data!F24)))</f>
        <v>0</v>
      </c>
      <c r="M24" s="2"/>
      <c r="N24" s="2">
        <f>G24*BeforeOptimization!$B$7*BeforeOptimization!$B$8*((BeforeOptimization!$B$6)*COS(RADIANS(Trail_Data!H24))+SIN(RADIANS(Trail_Data!H24)))</f>
        <v>0</v>
      </c>
      <c r="O24" s="2">
        <f t="shared" si="0"/>
        <v>516453.81281739555</v>
      </c>
    </row>
    <row r="25" spans="1:15" ht="15.75" thickBot="1" x14ac:dyDescent="0.3">
      <c r="A25" t="s">
        <v>7</v>
      </c>
      <c r="B25" t="s">
        <v>17</v>
      </c>
      <c r="C25" s="2">
        <v>250</v>
      </c>
      <c r="D25" s="2">
        <v>1.37</v>
      </c>
      <c r="E25" s="2">
        <v>1359.34</v>
      </c>
      <c r="F25" s="2">
        <v>0</v>
      </c>
      <c r="G25" s="2">
        <v>0</v>
      </c>
      <c r="H25" s="2">
        <v>0</v>
      </c>
      <c r="I25" s="1"/>
      <c r="J25" s="2">
        <f>C25*BeforeOptimization!$B$7*BeforeOptimization!$B$8*((BeforeOptimization!$B$6)*COS(RADIANS(Trail_Data!D25))+SIN(RADIANS(Trail_Data!D25)))</f>
        <v>85106.948927025063</v>
      </c>
      <c r="K25" s="2"/>
      <c r="L25" s="2">
        <f>E25*BeforeOptimization!$B$7*BeforeOptimization!$B$8*((BeforeOptimization!$B$6)*COS(RADIANS(Trail_Data!F25))+SIN(RADIANS(Trail_Data!F25)))</f>
        <v>436226.23306150245</v>
      </c>
      <c r="M25" s="2"/>
      <c r="N25" s="2">
        <f>G25*BeforeOptimization!$B$7*BeforeOptimization!$B$8*((BeforeOptimization!$B$6)*COS(RADIANS(Trail_Data!H25))+SIN(RADIANS(Trail_Data!H25)))</f>
        <v>0</v>
      </c>
      <c r="O25" s="2">
        <f t="shared" si="0"/>
        <v>521333.18198852753</v>
      </c>
    </row>
    <row r="26" spans="1:15" ht="15.75" thickBot="1" x14ac:dyDescent="0.3">
      <c r="A26" t="s">
        <v>8</v>
      </c>
      <c r="B26" t="s">
        <v>12</v>
      </c>
      <c r="C26" s="2">
        <v>850</v>
      </c>
      <c r="D26" s="2">
        <v>-1.48</v>
      </c>
      <c r="E26" s="2">
        <v>437.47</v>
      </c>
      <c r="F26" s="2">
        <v>0</v>
      </c>
      <c r="G26" s="2">
        <v>0</v>
      </c>
      <c r="H26" s="2">
        <v>0</v>
      </c>
      <c r="I26" s="1"/>
      <c r="J26" s="2">
        <f>C26*BeforeOptimization!$B$7*BeforeOptimization!$B$8*((BeforeOptimization!$B$6)*COS(RADIANS(Trail_Data!D26))+SIN(RADIANS(Trail_Data!D26)))</f>
        <v>254676.93921952578</v>
      </c>
      <c r="K26" s="2"/>
      <c r="L26" s="2">
        <f>E26*BeforeOptimization!$B$7*BeforeOptimization!$B$8*((BeforeOptimization!$B$6)*COS(RADIANS(Trail_Data!F26))+SIN(RADIANS(Trail_Data!F26)))</f>
        <v>140388.6372632421</v>
      </c>
      <c r="M26" s="2"/>
      <c r="N26" s="2">
        <f>G26*BeforeOptimization!$B$7*BeforeOptimization!$B$8*((BeforeOptimization!$B$6)*COS(RADIANS(Trail_Data!H26))+SIN(RADIANS(Trail_Data!H26)))</f>
        <v>0</v>
      </c>
      <c r="O26" s="2">
        <f t="shared" si="0"/>
        <v>395065.57648276788</v>
      </c>
    </row>
    <row r="27" spans="1:15" ht="15.75" thickBot="1" x14ac:dyDescent="0.3">
      <c r="A27" t="s">
        <v>8</v>
      </c>
      <c r="B27" t="s">
        <v>13</v>
      </c>
      <c r="C27" s="2">
        <v>850</v>
      </c>
      <c r="D27" s="2">
        <v>-1.48</v>
      </c>
      <c r="E27" s="2">
        <v>598.41</v>
      </c>
      <c r="F27" s="2">
        <v>0</v>
      </c>
      <c r="G27" s="2">
        <v>0</v>
      </c>
      <c r="H27" s="2">
        <v>0</v>
      </c>
      <c r="I27" s="1"/>
      <c r="J27" s="2">
        <f>C27*BeforeOptimization!$B$7*BeforeOptimization!$B$8*((BeforeOptimization!$B$6)*COS(RADIANS(Trail_Data!D27))+SIN(RADIANS(Trail_Data!D27)))</f>
        <v>254676.93921952578</v>
      </c>
      <c r="K27" s="2"/>
      <c r="L27" s="2">
        <f>E27*BeforeOptimization!$B$7*BeforeOptimization!$B$8*((BeforeOptimization!$B$6)*COS(RADIANS(Trail_Data!F27))+SIN(RADIANS(Trail_Data!F27)))</f>
        <v>192035.94400689576</v>
      </c>
      <c r="M27" s="2"/>
      <c r="N27" s="2">
        <f>G27*BeforeOptimization!$B$7*BeforeOptimization!$B$8*((BeforeOptimization!$B$6)*COS(RADIANS(Trail_Data!H27))+SIN(RADIANS(Trail_Data!H27)))</f>
        <v>0</v>
      </c>
      <c r="O27" s="2">
        <f t="shared" si="0"/>
        <v>446712.88322642155</v>
      </c>
    </row>
    <row r="28" spans="1:15" ht="15.75" thickBot="1" x14ac:dyDescent="0.3">
      <c r="A28" t="s">
        <v>8</v>
      </c>
      <c r="B28" t="s">
        <v>14</v>
      </c>
      <c r="C28" s="2">
        <v>850</v>
      </c>
      <c r="D28" s="2">
        <v>-1.48</v>
      </c>
      <c r="E28" s="2">
        <v>100</v>
      </c>
      <c r="F28" s="2">
        <v>5.14</v>
      </c>
      <c r="G28" s="2">
        <v>337.47</v>
      </c>
      <c r="H28" s="2">
        <v>0</v>
      </c>
      <c r="I28" s="1"/>
      <c r="J28" s="2">
        <f>C28*BeforeOptimization!$B$7*BeforeOptimization!$B$8*((BeforeOptimization!$B$6)*COS(RADIANS(Trail_Data!D28))+SIN(RADIANS(Trail_Data!D28)))</f>
        <v>254676.93921952578</v>
      </c>
      <c r="K28" s="2"/>
      <c r="L28" s="2">
        <f>E28*BeforeOptimization!$B$7*BeforeOptimization!$B$8*((BeforeOptimization!$B$6)*COS(RADIANS(Trail_Data!F28))+SIN(RADIANS(Trail_Data!F28)))</f>
        <v>39309.854513833023</v>
      </c>
      <c r="M28" s="2"/>
      <c r="N28" s="2">
        <f>G28*BeforeOptimization!$B$7*BeforeOptimization!$B$8*((BeforeOptimization!$B$6)*COS(RADIANS(Trail_Data!H28))+SIN(RADIANS(Trail_Data!H28)))</f>
        <v>108297.60536088487</v>
      </c>
      <c r="O28" s="2">
        <f t="shared" si="0"/>
        <v>402284.39909424365</v>
      </c>
    </row>
    <row r="29" spans="1:15" ht="15.75" thickBot="1" x14ac:dyDescent="0.3">
      <c r="A29" t="s">
        <v>8</v>
      </c>
      <c r="B29" t="s">
        <v>15</v>
      </c>
      <c r="C29" s="2">
        <v>1770.27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1"/>
      <c r="J29" s="2">
        <f>C29*BeforeOptimization!$B$7*BeforeOptimization!$B$8*((BeforeOptimization!$B$6)*COS(RADIANS(Trail_Data!D29))+SIN(RADIANS(Trail_Data!D29)))</f>
        <v>568097.91045785893</v>
      </c>
      <c r="K29" s="2"/>
      <c r="L29" s="2">
        <f>E29*BeforeOptimization!$B$7*BeforeOptimization!$B$8*((BeforeOptimization!$B$6)*COS(RADIANS(Trail_Data!F29))+SIN(RADIANS(Trail_Data!F29)))</f>
        <v>0</v>
      </c>
      <c r="M29" s="2"/>
      <c r="N29" s="2">
        <f>G29*BeforeOptimization!$B$7*BeforeOptimization!$B$8*((BeforeOptimization!$B$6)*COS(RADIANS(Trail_Data!H29))+SIN(RADIANS(Trail_Data!H29)))</f>
        <v>0</v>
      </c>
      <c r="O29" s="2">
        <f t="shared" si="0"/>
        <v>568097.91045785893</v>
      </c>
    </row>
    <row r="30" spans="1:15" ht="15.75" thickBot="1" x14ac:dyDescent="0.3">
      <c r="A30" t="s">
        <v>8</v>
      </c>
      <c r="B30" t="s">
        <v>16</v>
      </c>
      <c r="C30" s="2">
        <v>643.74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1"/>
      <c r="J30" s="2">
        <f>C30*BeforeOptimization!$B$7*BeforeOptimization!$B$8*((BeforeOptimization!$B$6)*COS(RADIANS(Trail_Data!D30))+SIN(RADIANS(Trail_Data!D30)))</f>
        <v>206582.80876823433</v>
      </c>
      <c r="K30" s="2"/>
      <c r="L30" s="2">
        <f>E30*BeforeOptimization!$B$7*BeforeOptimization!$B$8*((BeforeOptimization!$B$6)*COS(RADIANS(Trail_Data!F30))+SIN(RADIANS(Trail_Data!F30)))</f>
        <v>0</v>
      </c>
      <c r="M30" s="2"/>
      <c r="N30" s="2">
        <f>G30*BeforeOptimization!$B$7*BeforeOptimization!$B$8*((BeforeOptimization!$B$6)*COS(RADIANS(Trail_Data!H30))+SIN(RADIANS(Trail_Data!H30)))</f>
        <v>0</v>
      </c>
      <c r="O30" s="2">
        <f t="shared" si="0"/>
        <v>206582.80876823433</v>
      </c>
    </row>
    <row r="31" spans="1:15" ht="15.75" thickBot="1" x14ac:dyDescent="0.3">
      <c r="A31" t="s">
        <v>8</v>
      </c>
      <c r="B31" t="s">
        <v>17</v>
      </c>
      <c r="C31" s="2">
        <v>49.99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1"/>
      <c r="J31" s="2">
        <f>C31*BeforeOptimization!$B$7*BeforeOptimization!$B$8*((BeforeOptimization!$B$6)*COS(RADIANS(Trail_Data!D31))+SIN(RADIANS(Trail_Data!D31)))</f>
        <v>16042.30684798837</v>
      </c>
      <c r="K31" s="2"/>
      <c r="L31" s="2">
        <f>E31*BeforeOptimization!$B$7*BeforeOptimization!$B$8*((BeforeOptimization!$B$6)*COS(RADIANS(Trail_Data!F31))+SIN(RADIANS(Trail_Data!F31)))</f>
        <v>0</v>
      </c>
      <c r="M31" s="2"/>
      <c r="N31" s="2">
        <f>G31*BeforeOptimization!$B$7*BeforeOptimization!$B$8*((BeforeOptimization!$B$6)*COS(RADIANS(Trail_Data!H31))+SIN(RADIANS(Trail_Data!H31)))</f>
        <v>0</v>
      </c>
      <c r="O31" s="2">
        <f t="shared" si="0"/>
        <v>16042.30684798837</v>
      </c>
    </row>
    <row r="32" spans="1:15" ht="15.75" thickBot="1" x14ac:dyDescent="0.3">
      <c r="A32" t="s">
        <v>9</v>
      </c>
      <c r="B32" t="s">
        <v>12</v>
      </c>
      <c r="C32" s="2">
        <v>350</v>
      </c>
      <c r="D32" s="2">
        <v>1.8</v>
      </c>
      <c r="E32" s="2">
        <v>1600</v>
      </c>
      <c r="F32" s="2">
        <v>-0.79</v>
      </c>
      <c r="G32" s="2">
        <v>303.08</v>
      </c>
      <c r="H32" s="2">
        <v>0</v>
      </c>
      <c r="I32" s="1"/>
      <c r="J32" s="2">
        <f>C32*BeforeOptimization!$B$7*BeforeOptimization!$B$8*((BeforeOptimization!$B$6)*COS(RADIANS(Trail_Data!D32))+SIN(RADIANS(Trail_Data!D32)))</f>
        <v>121279.93926830307</v>
      </c>
      <c r="K32" s="2"/>
      <c r="L32" s="2">
        <f>E32*BeforeOptimization!$B$7*BeforeOptimization!$B$8*((BeforeOptimization!$B$6)*COS(RADIANS(Trail_Data!F32))+SIN(RADIANS(Trail_Data!F32)))</f>
        <v>495314.55196937843</v>
      </c>
      <c r="M32" s="2"/>
      <c r="N32" s="2">
        <f>G32*BeforeOptimization!$B$7*BeforeOptimization!$B$8*((BeforeOptimization!$B$6)*COS(RADIANS(Trail_Data!H32))+SIN(RADIANS(Trail_Data!H32)))</f>
        <v>97261.499489664231</v>
      </c>
      <c r="O32" s="2">
        <f t="shared" si="0"/>
        <v>713855.99072734569</v>
      </c>
    </row>
    <row r="33" spans="1:15" ht="15.75" thickBot="1" x14ac:dyDescent="0.3">
      <c r="A33" t="s">
        <v>9</v>
      </c>
      <c r="B33" t="s">
        <v>13</v>
      </c>
      <c r="C33" s="2">
        <v>350</v>
      </c>
      <c r="D33" s="2">
        <v>1.8</v>
      </c>
      <c r="E33" s="2">
        <v>1259.3399999999999</v>
      </c>
      <c r="F33" s="2">
        <v>0</v>
      </c>
      <c r="G33" s="2">
        <v>0</v>
      </c>
      <c r="H33" s="2">
        <v>0</v>
      </c>
      <c r="I33" s="1"/>
      <c r="J33" s="2">
        <f>C33*BeforeOptimization!$B$7*BeforeOptimization!$B$8*((BeforeOptimization!$B$6)*COS(RADIANS(Trail_Data!D33))+SIN(RADIANS(Trail_Data!D33)))</f>
        <v>121279.93926830307</v>
      </c>
      <c r="K33" s="2"/>
      <c r="L33" s="2">
        <f>E33*BeforeOptimization!$B$7*BeforeOptimization!$B$8*((BeforeOptimization!$B$6)*COS(RADIANS(Trail_Data!F33))+SIN(RADIANS(Trail_Data!F33)))</f>
        <v>404135.20115914528</v>
      </c>
      <c r="M33" s="2"/>
      <c r="N33" s="2">
        <f>G33*BeforeOptimization!$B$7*BeforeOptimization!$B$8*((BeforeOptimization!$B$6)*COS(RADIANS(Trail_Data!H33))+SIN(RADIANS(Trail_Data!H33)))</f>
        <v>0</v>
      </c>
      <c r="O33" s="2">
        <f t="shared" si="0"/>
        <v>525415.14042744832</v>
      </c>
    </row>
    <row r="34" spans="1:15" ht="15.75" thickBot="1" x14ac:dyDescent="0.3">
      <c r="A34" t="s">
        <v>9</v>
      </c>
      <c r="B34" t="s">
        <v>14</v>
      </c>
      <c r="C34" s="2">
        <v>1300</v>
      </c>
      <c r="D34" s="2">
        <v>0.93</v>
      </c>
      <c r="E34" s="2">
        <v>631.21</v>
      </c>
      <c r="F34" s="2">
        <v>0</v>
      </c>
      <c r="G34" s="2">
        <v>0</v>
      </c>
      <c r="H34" s="2">
        <v>0</v>
      </c>
      <c r="I34" s="1"/>
      <c r="J34" s="2">
        <f>C34*BeforeOptimization!$B$7*BeforeOptimization!$B$8*((BeforeOptimization!$B$6)*COS(RADIANS(Trail_Data!D34))+SIN(RADIANS(Trail_Data!D34)))</f>
        <v>434434.11908310116</v>
      </c>
      <c r="K34" s="2"/>
      <c r="L34" s="2">
        <f>E34*BeforeOptimization!$B$7*BeforeOptimization!$B$8*((BeforeOptimization!$B$6)*COS(RADIANS(Trail_Data!F34))+SIN(RADIANS(Trail_Data!F34)))</f>
        <v>202561.80247086898</v>
      </c>
      <c r="M34" s="2"/>
      <c r="N34" s="2">
        <f>G34*BeforeOptimization!$B$7*BeforeOptimization!$B$8*((BeforeOptimization!$B$6)*COS(RADIANS(Trail_Data!H34))+SIN(RADIANS(Trail_Data!H34)))</f>
        <v>0</v>
      </c>
      <c r="O34" s="2">
        <f t="shared" si="0"/>
        <v>636995.92155397008</v>
      </c>
    </row>
    <row r="35" spans="1:15" ht="15.75" thickBot="1" x14ac:dyDescent="0.3">
      <c r="A35" t="s">
        <v>9</v>
      </c>
      <c r="B35" t="s">
        <v>15</v>
      </c>
      <c r="C35" s="2">
        <v>900</v>
      </c>
      <c r="D35" s="2">
        <v>0.83</v>
      </c>
      <c r="E35" s="2">
        <v>226.54</v>
      </c>
      <c r="F35" s="2">
        <v>0</v>
      </c>
      <c r="G35" s="2">
        <v>0</v>
      </c>
      <c r="H35" s="2">
        <v>0</v>
      </c>
      <c r="I35" s="1"/>
      <c r="J35" s="2">
        <f>C35*BeforeOptimization!$B$7*BeforeOptimization!$B$8*((BeforeOptimization!$B$6)*COS(RADIANS(Trail_Data!D35))+SIN(RADIANS(Trail_Data!D35)))</f>
        <v>299481.65737610642</v>
      </c>
      <c r="K35" s="2"/>
      <c r="L35" s="2">
        <f>E35*BeforeOptimization!$B$7*BeforeOptimization!$B$8*((BeforeOptimization!$B$6)*COS(RADIANS(Trail_Data!F35))+SIN(RADIANS(Trail_Data!F35)))</f>
        <v>72699.023671600007</v>
      </c>
      <c r="M35" s="2"/>
      <c r="N35" s="2">
        <f>G35*BeforeOptimization!$B$7*BeforeOptimization!$B$8*((BeforeOptimization!$B$6)*COS(RADIANS(Trail_Data!H35))+SIN(RADIANS(Trail_Data!H35)))</f>
        <v>0</v>
      </c>
      <c r="O35" s="2">
        <f t="shared" si="0"/>
        <v>372180.6810477064</v>
      </c>
    </row>
    <row r="36" spans="1:15" ht="15.75" thickBot="1" x14ac:dyDescent="0.3">
      <c r="A36" t="s">
        <v>9</v>
      </c>
      <c r="B36" t="s">
        <v>16</v>
      </c>
      <c r="C36" s="2">
        <v>1200</v>
      </c>
      <c r="D36" s="2">
        <v>0.9</v>
      </c>
      <c r="E36" s="2">
        <v>892.14</v>
      </c>
      <c r="F36" s="2">
        <v>0</v>
      </c>
      <c r="G36" s="2">
        <v>0</v>
      </c>
      <c r="H36" s="2">
        <v>0</v>
      </c>
      <c r="I36" s="1"/>
      <c r="J36" s="2">
        <f>C36*BeforeOptimization!$B$7*BeforeOptimization!$B$8*((BeforeOptimization!$B$6)*COS(RADIANS(Trail_Data!D36))+SIN(RADIANS(Trail_Data!D36)))</f>
        <v>400504.06792417885</v>
      </c>
      <c r="K36" s="2"/>
      <c r="L36" s="2">
        <f>E36*BeforeOptimization!$B$7*BeforeOptimization!$B$8*((BeforeOptimization!$B$6)*COS(RADIANS(Trail_Data!F36))+SIN(RADIANS(Trail_Data!F36)))</f>
        <v>286296.93201368966</v>
      </c>
      <c r="M36" s="2"/>
      <c r="N36" s="2">
        <f>G36*BeforeOptimization!$B$7*BeforeOptimization!$B$8*((BeforeOptimization!$B$6)*COS(RADIANS(Trail_Data!H36))+SIN(RADIANS(Trail_Data!H36)))</f>
        <v>0</v>
      </c>
      <c r="O36" s="2">
        <f t="shared" si="0"/>
        <v>686800.99993786844</v>
      </c>
    </row>
    <row r="37" spans="1:15" ht="15.75" thickBot="1" x14ac:dyDescent="0.3">
      <c r="A37" t="s">
        <v>9</v>
      </c>
      <c r="B37" t="s">
        <v>17</v>
      </c>
      <c r="C37" s="2">
        <v>350</v>
      </c>
      <c r="D37" s="2">
        <v>1.8</v>
      </c>
      <c r="E37" s="2">
        <v>2546.81</v>
      </c>
      <c r="F37" s="2">
        <v>0</v>
      </c>
      <c r="G37" s="2">
        <v>0</v>
      </c>
      <c r="H37" s="2">
        <v>0</v>
      </c>
      <c r="I37" s="1"/>
      <c r="J37" s="2">
        <f>C37*BeforeOptimization!$B$7*BeforeOptimization!$B$8*((BeforeOptimization!$B$6)*COS(RADIANS(Trail_Data!D37))+SIN(RADIANS(Trail_Data!D37)))</f>
        <v>121279.93926830307</v>
      </c>
      <c r="K37" s="2"/>
      <c r="L37" s="2">
        <f>E37*BeforeOptimization!$B$7*BeforeOptimization!$B$8*((BeforeOptimization!$B$6)*COS(RADIANS(Trail_Data!F37))+SIN(RADIANS(Trail_Data!F37)))</f>
        <v>817297.60959242366</v>
      </c>
      <c r="M37" s="2"/>
      <c r="N37" s="2">
        <f>G37*BeforeOptimization!$B$7*BeforeOptimization!$B$8*((BeforeOptimization!$B$6)*COS(RADIANS(Trail_Data!H37))+SIN(RADIANS(Trail_Data!H37)))</f>
        <v>0</v>
      </c>
      <c r="O37" s="2">
        <f t="shared" si="0"/>
        <v>938577.54886072676</v>
      </c>
    </row>
    <row r="38" spans="1:15" ht="15.75" thickBot="1" x14ac:dyDescent="0.3">
      <c r="A38" t="s">
        <v>10</v>
      </c>
      <c r="B38" t="s">
        <v>12</v>
      </c>
      <c r="C38" s="2">
        <v>3400</v>
      </c>
      <c r="D38" s="2">
        <v>-0.35</v>
      </c>
      <c r="E38" s="2">
        <v>301.48</v>
      </c>
      <c r="F38" s="2">
        <v>0</v>
      </c>
      <c r="G38" s="2">
        <v>0</v>
      </c>
      <c r="H38" s="2">
        <v>0</v>
      </c>
      <c r="I38" s="1"/>
      <c r="J38" s="2">
        <f>C38*BeforeOptimization!$B$7*BeforeOptimization!$B$8*((BeforeOptimization!$B$6)*COS(RADIANS(Trail_Data!D38))+SIN(RADIANS(Trail_Data!D38)))</f>
        <v>1074040.3923066333</v>
      </c>
      <c r="K38" s="2"/>
      <c r="L38" s="2">
        <f>E38*BeforeOptimization!$B$7*BeforeOptimization!$B$8*((BeforeOptimization!$B$6)*COS(RADIANS(Trail_Data!F38))+SIN(RADIANS(Trail_Data!F38)))</f>
        <v>96748.042979226535</v>
      </c>
      <c r="M38" s="2"/>
      <c r="N38" s="2">
        <f>G38*BeforeOptimization!$B$7*BeforeOptimization!$B$8*((BeforeOptimization!$B$6)*COS(RADIANS(Trail_Data!H38))+SIN(RADIANS(Trail_Data!H38)))</f>
        <v>0</v>
      </c>
      <c r="O38" s="2">
        <f t="shared" si="0"/>
        <v>1170788.4352858597</v>
      </c>
    </row>
    <row r="39" spans="1:15" ht="15.75" thickBot="1" x14ac:dyDescent="0.3">
      <c r="A39" t="s">
        <v>10</v>
      </c>
      <c r="B39" t="s">
        <v>13</v>
      </c>
      <c r="C39" s="2">
        <v>3400</v>
      </c>
      <c r="D39" s="2">
        <v>-0.35</v>
      </c>
      <c r="E39" s="2">
        <v>1100</v>
      </c>
      <c r="F39" s="2">
        <v>1.35</v>
      </c>
      <c r="G39" s="2">
        <v>0</v>
      </c>
      <c r="H39" s="2">
        <v>0</v>
      </c>
      <c r="I39" s="1"/>
      <c r="J39" s="2">
        <f>C39*BeforeOptimization!$B$7*BeforeOptimization!$B$8*((BeforeOptimization!$B$6)*COS(RADIANS(Trail_Data!D39))+SIN(RADIANS(Trail_Data!D39)))</f>
        <v>1074040.3923066333</v>
      </c>
      <c r="K39" s="2"/>
      <c r="L39" s="2">
        <f>E39*BeforeOptimization!$B$7*BeforeOptimization!$B$8*((BeforeOptimization!$B$6)*COS(RADIANS(Trail_Data!F39))+SIN(RADIANS(Trail_Data!F39)))</f>
        <v>374158.66610706714</v>
      </c>
      <c r="M39" s="2"/>
      <c r="N39" s="2">
        <f>G39*BeforeOptimization!$B$7*BeforeOptimization!$B$8*((BeforeOptimization!$B$6)*COS(RADIANS(Trail_Data!H39))+SIN(RADIANS(Trail_Data!H39)))</f>
        <v>0</v>
      </c>
      <c r="O39" s="2">
        <f t="shared" si="0"/>
        <v>1448199.0584137004</v>
      </c>
    </row>
    <row r="40" spans="1:15" ht="15.75" thickBot="1" x14ac:dyDescent="0.3">
      <c r="A40" t="s">
        <v>10</v>
      </c>
      <c r="B40" t="s">
        <v>14</v>
      </c>
      <c r="C40" s="2">
        <v>3400</v>
      </c>
      <c r="D40" s="2">
        <v>-0.35</v>
      </c>
      <c r="E40" s="2">
        <v>1100</v>
      </c>
      <c r="F40" s="2">
        <v>1.72</v>
      </c>
      <c r="G40" s="2">
        <v>0</v>
      </c>
      <c r="H40" s="2">
        <v>0</v>
      </c>
      <c r="I40" s="1"/>
      <c r="J40" s="2">
        <f>C40*BeforeOptimization!$B$7*BeforeOptimization!$B$8*((BeforeOptimization!$B$6)*COS(RADIANS(Trail_Data!D40))+SIN(RADIANS(Trail_Data!D40)))</f>
        <v>1074040.3923066333</v>
      </c>
      <c r="K40" s="2"/>
      <c r="L40" s="2">
        <f>E40*BeforeOptimization!$B$7*BeforeOptimization!$B$8*((BeforeOptimization!$B$6)*COS(RADIANS(Trail_Data!F40))+SIN(RADIANS(Trail_Data!F40)))</f>
        <v>379921.5659245773</v>
      </c>
      <c r="M40" s="2"/>
      <c r="N40" s="2">
        <f>G40*BeforeOptimization!$B$7*BeforeOptimization!$B$8*((BeforeOptimization!$B$6)*COS(RADIANS(Trail_Data!H40))+SIN(RADIANS(Trail_Data!H40)))</f>
        <v>0</v>
      </c>
      <c r="O40" s="2">
        <f t="shared" si="0"/>
        <v>1453961.9582312107</v>
      </c>
    </row>
    <row r="41" spans="1:15" ht="15.75" thickBot="1" x14ac:dyDescent="0.3">
      <c r="A41" t="s">
        <v>10</v>
      </c>
      <c r="B41" t="s">
        <v>15</v>
      </c>
      <c r="C41" s="2">
        <v>3400</v>
      </c>
      <c r="D41" s="2">
        <v>-0.35</v>
      </c>
      <c r="E41" s="2">
        <v>1300</v>
      </c>
      <c r="F41" s="2">
        <v>1.45</v>
      </c>
      <c r="G41" s="2">
        <v>288.95</v>
      </c>
      <c r="H41" s="2">
        <v>0</v>
      </c>
      <c r="I41" s="1"/>
      <c r="J41" s="2">
        <f>C41*BeforeOptimization!$B$7*BeforeOptimization!$B$8*((BeforeOptimization!$B$6)*COS(RADIANS(Trail_Data!D41))+SIN(RADIANS(Trail_Data!D41)))</f>
        <v>1074040.3923066333</v>
      </c>
      <c r="K41" s="2"/>
      <c r="L41" s="2">
        <f>E41*BeforeOptimization!$B$7*BeforeOptimization!$B$8*((BeforeOptimization!$B$6)*COS(RADIANS(Trail_Data!F41))+SIN(RADIANS(Trail_Data!F41)))</f>
        <v>444030.07445169135</v>
      </c>
      <c r="M41" s="2"/>
      <c r="N41" s="2">
        <f>G41*BeforeOptimization!$B$7*BeforeOptimization!$B$8*((BeforeOptimization!$B$6)*COS(RADIANS(Trail_Data!H41))+SIN(RADIANS(Trail_Data!H41)))</f>
        <v>92727.036681861166</v>
      </c>
      <c r="O41" s="2">
        <f t="shared" si="0"/>
        <v>1610797.5034401859</v>
      </c>
    </row>
    <row r="42" spans="1:15" ht="15.75" thickBot="1" x14ac:dyDescent="0.3">
      <c r="A42" t="s">
        <v>10</v>
      </c>
      <c r="B42" t="s">
        <v>16</v>
      </c>
      <c r="C42" s="2">
        <v>450</v>
      </c>
      <c r="D42" s="2">
        <v>1.9</v>
      </c>
      <c r="E42" s="2">
        <v>1100</v>
      </c>
      <c r="F42" s="2">
        <v>-1.35</v>
      </c>
      <c r="G42" s="2">
        <v>1700</v>
      </c>
      <c r="H42" s="2">
        <v>0.64</v>
      </c>
      <c r="I42" s="1"/>
      <c r="J42" s="2">
        <f>C42*BeforeOptimization!$B$7*BeforeOptimization!$B$8*((BeforeOptimization!$B$6)*COS(RADIANS(Trail_Data!D42))+SIN(RADIANS(Trail_Data!D42)))</f>
        <v>156567.03750264426</v>
      </c>
      <c r="K42" s="2"/>
      <c r="L42" s="2">
        <f>E42*BeforeOptimization!$B$7*BeforeOptimization!$B$8*((BeforeOptimization!$B$6)*COS(RADIANS(Trail_Data!F42))+SIN(RADIANS(Trail_Data!F42)))</f>
        <v>331648.07072874741</v>
      </c>
      <c r="M42" s="2"/>
      <c r="N42" s="2">
        <f>G42*BeforeOptimization!$B$7*BeforeOptimization!$B$8*((BeforeOptimization!$B$6)*COS(RADIANS(Trail_Data!H42))+SIN(RADIANS(Trail_Data!H42)))</f>
        <v>561087.53047691728</v>
      </c>
      <c r="O42" s="2">
        <f t="shared" si="0"/>
        <v>1049302.6387083088</v>
      </c>
    </row>
    <row r="43" spans="1:15" ht="15.75" thickBot="1" x14ac:dyDescent="0.3">
      <c r="A43" t="s">
        <v>10</v>
      </c>
      <c r="B43" t="s">
        <v>17</v>
      </c>
      <c r="C43" s="2">
        <v>450</v>
      </c>
      <c r="D43" s="2">
        <v>1.9</v>
      </c>
      <c r="E43" s="2">
        <v>1100</v>
      </c>
      <c r="F43" s="2">
        <v>-1.35</v>
      </c>
      <c r="G43" s="2">
        <v>900</v>
      </c>
      <c r="H43" s="2">
        <v>1.1499999999999999</v>
      </c>
      <c r="I43" s="1"/>
      <c r="J43" s="2">
        <f>C43*BeforeOptimization!$B$7*BeforeOptimization!$B$8*((BeforeOptimization!$B$6)*COS(RADIANS(Trail_Data!D43))+SIN(RADIANS(Trail_Data!D43)))</f>
        <v>156567.03750264426</v>
      </c>
      <c r="K43" s="2"/>
      <c r="L43" s="2">
        <f>E43*BeforeOptimization!$B$7*BeforeOptimization!$B$8*((BeforeOptimization!$B$6)*COS(RADIANS(Trail_Data!F43))+SIN(RADIANS(Trail_Data!F43)))</f>
        <v>331648.07072874741</v>
      </c>
      <c r="M43" s="2"/>
      <c r="N43" s="2">
        <f>G43*BeforeOptimization!$B$7*BeforeOptimization!$B$8*((BeforeOptimization!$B$6)*COS(RADIANS(Trail_Data!H43))+SIN(RADIANS(Trail_Data!H43)))</f>
        <v>303575.78716921562</v>
      </c>
      <c r="O43" s="2">
        <f t="shared" si="0"/>
        <v>791790.89540060726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PostOptimization_GG_Clarice</vt:lpstr>
      <vt:lpstr>PostOptimization_LP_Stamp</vt:lpstr>
      <vt:lpstr>PostOptimization_UP_Eppley</vt:lpstr>
      <vt:lpstr>BeforeOptimization</vt:lpstr>
      <vt:lpstr>Trail_Data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Charles Hill</dc:creator>
  <cp:lastModifiedBy>Brandon Charles Hill</cp:lastModifiedBy>
  <dcterms:created xsi:type="dcterms:W3CDTF">2024-11-26T12:39:59Z</dcterms:created>
  <dcterms:modified xsi:type="dcterms:W3CDTF">2024-12-06T16:12:50Z</dcterms:modified>
</cp:coreProperties>
</file>