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3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38.xml" ContentType="application/vnd.openxmlformats-officedocument.drawing+xml"/>
  <Override PartName="/xl/charts/chart17.xml" ContentType="application/vnd.openxmlformats-officedocument.drawingml.chart+xml"/>
  <Override PartName="/xl/drawings/drawing39.xml" ContentType="application/vnd.openxmlformats-officedocument.drawing+xml"/>
  <Override PartName="/xl/drawings/drawing40.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4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42.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43.xml" ContentType="application/vnd.openxmlformats-officedocument.drawing+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44.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45.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46.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47.xml" ContentType="application/vnd.openxmlformats-officedocument.drawing+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drawings/drawing48.xml" ContentType="application/vnd.openxmlformats-officedocument.drawing+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drawings/drawing49.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50.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drawings/drawing51.xml" ContentType="application/vnd.openxmlformats-officedocument.drawing+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drawings/drawing52.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drawings/drawing53.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drawings/drawing54.xml" ContentType="application/vnd.openxmlformats-officedocument.drawing+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drawings/drawing55.xml" ContentType="application/vnd.openxmlformats-officedocument.drawing+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drawings/drawing56.xml" ContentType="application/vnd.openxmlformats-officedocument.drawing+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drawings/drawing57.xml" ContentType="application/vnd.openxmlformats-officedocument.drawing+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drawings/drawing58.xml" ContentType="application/vnd.openxmlformats-officedocument.drawing+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drawings/drawing59.xml" ContentType="application/vnd.openxmlformats-officedocument.drawing+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showInkAnnotation="0" codeName="ThisWorkbook"/>
  <mc:AlternateContent xmlns:mc="http://schemas.openxmlformats.org/markup-compatibility/2006">
    <mc:Choice Requires="x15">
      <x15ac:absPath xmlns:x15ac="http://schemas.microsoft.com/office/spreadsheetml/2010/11/ac" url="C:\Users\Sakshi.Saraf\Downloads\"/>
    </mc:Choice>
  </mc:AlternateContent>
  <xr:revisionPtr revIDLastSave="0" documentId="13_ncr:1_{F1E04F4F-AF2D-405C-A6CE-D08578BF3C27}" xr6:coauthVersionLast="47" xr6:coauthVersionMax="47" xr10:uidLastSave="{00000000-0000-0000-0000-000000000000}"/>
  <bookViews>
    <workbookView xWindow="-108" yWindow="-108" windowWidth="23256" windowHeight="12576" xr2:uid="{00000000-000D-0000-FFFF-FFFF00000000}"/>
  </bookViews>
  <sheets>
    <sheet name="Main Menu" sheetId="1" r:id="rId1"/>
    <sheet name="ReadMe" sheetId="66" r:id="rId2"/>
    <sheet name="Overview" sheetId="67" r:id="rId3"/>
    <sheet name="Overview PH" sheetId="70" r:id="rId4"/>
    <sheet name="Overview HC" sheetId="71" r:id="rId5"/>
    <sheet name="Baseline Health" sheetId="4" r:id="rId6"/>
    <sheet name="Baseline At-Risk Pops" sheetId="6" r:id="rId7"/>
    <sheet name="Baseline PHP" sheetId="7" r:id="rId8"/>
    <sheet name="Baseline HP" sheetId="68" r:id="rId9"/>
    <sheet name="Community Characteristics" sheetId="8" r:id="rId10"/>
    <sheet name="Active Shooter" sheetId="9" r:id="rId11"/>
    <sheet name="Biological Terrorism" sheetId="17" r:id="rId12"/>
    <sheet name="Chemical Terrorism" sheetId="18" r:id="rId13"/>
    <sheet name="Civil Disturbance" sheetId="19" r:id="rId14"/>
    <sheet name="Coastal Storm" sheetId="20" r:id="rId15"/>
    <sheet name="Conventional Explosive" sheetId="21" r:id="rId16"/>
    <sheet name="Cyber Terrorism" sheetId="23" r:id="rId17"/>
    <sheet name="Drought" sheetId="24" r:id="rId18"/>
    <sheet name="Earthquake" sheetId="25" r:id="rId19"/>
    <sheet name="Fire" sheetId="26" r:id="rId20"/>
    <sheet name="Flood" sheetId="27" r:id="rId21"/>
    <sheet name="Hazardous Materials Release" sheetId="28" r:id="rId22"/>
    <sheet name="Localized Infectious Disease" sheetId="29" r:id="rId23"/>
    <sheet name="Nuclear Facility Accident" sheetId="30" r:id="rId24"/>
    <sheet name="Pandemic" sheetId="31" r:id="rId25"/>
    <sheet name="Radiation Dispersal Device" sheetId="32" r:id="rId26"/>
    <sheet name="Temperature Extremes" sheetId="33" r:id="rId27"/>
    <sheet name="Tornado" sheetId="34" r:id="rId28"/>
    <sheet name="Utility Interruption" sheetId="35" r:id="rId29"/>
    <sheet name="Winter Storm" sheetId="36" r:id="rId30"/>
    <sheet name="Summary of Impacts" sheetId="37" r:id="rId31"/>
    <sheet name="Severity" sheetId="72" r:id="rId32"/>
    <sheet name="Planning Priority Scores" sheetId="38" r:id="rId33"/>
    <sheet name="Summary of Scores" sheetId="39" r:id="rId34"/>
    <sheet name="PH vs. HC vs. Overall" sheetId="69" r:id="rId35"/>
    <sheet name="Probability vs. Severity" sheetId="40" r:id="rId36"/>
    <sheet name="Adjusted Risk vs. Preparedness" sheetId="41" r:id="rId37"/>
    <sheet name="At-Risk Populations" sheetId="42" r:id="rId38"/>
    <sheet name="Hazard Analyses Menu" sheetId="43" r:id="rId39"/>
    <sheet name="Active Shooter Analysis" sheetId="44" r:id="rId40"/>
    <sheet name="Biological Terrorism Analysis" sheetId="45" r:id="rId41"/>
    <sheet name="Chemical Terrorism Analysis" sheetId="46" r:id="rId42"/>
    <sheet name="Civil Disturbance Analysis" sheetId="47" r:id="rId43"/>
    <sheet name="Coastal Storm Analysis" sheetId="48" r:id="rId44"/>
    <sheet name="Conventional Explosive Analysis" sheetId="49" r:id="rId45"/>
    <sheet name="Cyber Terrorism Analysis" sheetId="50" r:id="rId46"/>
    <sheet name="Drought Analysis" sheetId="51" r:id="rId47"/>
    <sheet name="Earthquake Analysis" sheetId="52" r:id="rId48"/>
    <sheet name="Fire Analysis" sheetId="53" r:id="rId49"/>
    <sheet name="Flood Analysis" sheetId="54" r:id="rId50"/>
    <sheet name="HazMat Release Analysis" sheetId="55" r:id="rId51"/>
    <sheet name="Localized Inf Disease Analysis" sheetId="56" r:id="rId52"/>
    <sheet name="Nuc Facility Accident Analysis" sheetId="57" r:id="rId53"/>
    <sheet name="Pandemic Analysis" sheetId="58" r:id="rId54"/>
    <sheet name="RDD Analysis" sheetId="59" r:id="rId55"/>
    <sheet name="Temperature Extremes Analysis" sheetId="60" r:id="rId56"/>
    <sheet name="Tornado Analysis" sheetId="61" r:id="rId57"/>
    <sheet name="Utility Interruption Analysis" sheetId="64" r:id="rId58"/>
    <sheet name="Winter Storm Analysis" sheetId="65" r:id="rId59"/>
  </sheets>
  <definedNames>
    <definedName name="_ENREF_56" localSheetId="14">'Coastal Storm'!$D$957</definedName>
    <definedName name="_xlnm.Print_Area" localSheetId="10">'Active Shooter'!$A$1:$M$957</definedName>
    <definedName name="_xlnm.Print_Area" localSheetId="6">'Baseline At-Risk Pops'!$A$1:$K$62</definedName>
    <definedName name="_xlnm.Print_Area" localSheetId="5">'Baseline Health'!$A$1:$J$155</definedName>
    <definedName name="_xlnm.Print_Area" localSheetId="8">'Baseline HP'!$A$1:$M$110</definedName>
    <definedName name="_xlnm.Print_Area" localSheetId="7">'Baseline PHP'!$A$1:$M$224</definedName>
    <definedName name="_xlnm.Print_Area" localSheetId="11">'Biological Terrorism'!$A$1:$M$977</definedName>
    <definedName name="_xlnm.Print_Area" localSheetId="12">'Chemical Terrorism'!$A$1:$C$978</definedName>
    <definedName name="_xlnm.Print_Area" localSheetId="13">'Civil Disturbance'!$A$1:$M$977</definedName>
    <definedName name="_xlnm.Print_Area" localSheetId="14">'Coastal Storm'!$A$1:$M$977</definedName>
    <definedName name="_xlnm.Print_Area" localSheetId="9">'Community Characteristics'!$A$1:$J$119</definedName>
    <definedName name="_xlnm.Print_Area" localSheetId="15">'Conventional Explosive'!$A$1:$M$977</definedName>
    <definedName name="_xlnm.Print_Area" localSheetId="16">'Cyber Terrorism'!$A$1:$M$977</definedName>
    <definedName name="_xlnm.Print_Area" localSheetId="17">Drought!$A$1:$M$977</definedName>
    <definedName name="_xlnm.Print_Area" localSheetId="18">Earthquake!$A$1:$M$977</definedName>
    <definedName name="_xlnm.Print_Area" localSheetId="19">Fire!$A$1:$M$977</definedName>
    <definedName name="_xlnm.Print_Area" localSheetId="20">Flood!$A$1:$M$977</definedName>
    <definedName name="_xlnm.Print_Area" localSheetId="21">'Hazardous Materials Release'!$A$1:$M$977</definedName>
    <definedName name="_xlnm.Print_Area" localSheetId="22">'Localized Infectious Disease'!$A$1:$M$977</definedName>
    <definedName name="_xlnm.Print_Area" localSheetId="0">'Main Menu'!$A$1:$N$90</definedName>
    <definedName name="_xlnm.Print_Area" localSheetId="23">'Nuclear Facility Accident'!$A$1:$M$977</definedName>
    <definedName name="_xlnm.Print_Area" localSheetId="2">Overview!$A$1:$Q$143</definedName>
    <definedName name="_xlnm.Print_Area" localSheetId="4">'Overview HC'!$A$1:$Q$143</definedName>
    <definedName name="_xlnm.Print_Area" localSheetId="3">'Overview PH'!$A$1:$Q$143</definedName>
    <definedName name="_xlnm.Print_Area" localSheetId="24">Pandemic!$A$1:$M$977</definedName>
    <definedName name="_xlnm.Print_Area" localSheetId="32">'Planning Priority Scores'!$A$1:$K$82</definedName>
    <definedName name="_xlnm.Print_Area" localSheetId="25">'Radiation Dispersal Device'!$A$1:$M$977</definedName>
    <definedName name="_xlnm.Print_Area" localSheetId="31">Severity!$A$1:$N$149</definedName>
    <definedName name="_xlnm.Print_Area" localSheetId="30">'Summary of Impacts'!$A$6:$V$157</definedName>
    <definedName name="_xlnm.Print_Area" localSheetId="33">'Summary of Scores'!$A$1:$O$54</definedName>
    <definedName name="_xlnm.Print_Area" localSheetId="26">'Temperature Extremes'!$A$1:$M$977</definedName>
    <definedName name="_xlnm.Print_Area" localSheetId="27">Tornado!$A$1:$M$977</definedName>
    <definedName name="_xlnm.Print_Area" localSheetId="28">'Utility Interruption'!$A$1:$M$977</definedName>
    <definedName name="_xlnm.Print_Area" localSheetId="29">'Winter Storm'!$A$1:$M$977</definedName>
    <definedName name="_xlnm.Print_Titles" localSheetId="30">'Summary of Impacts'!$A:$B,'Summary of Impacts'!$6:$6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71" i="32" l="1"/>
  <c r="J508" i="32"/>
  <c r="J589" i="32" s="1"/>
  <c r="J408" i="32"/>
  <c r="J45" i="32"/>
  <c r="J184" i="32"/>
  <c r="J102" i="32"/>
  <c r="J83" i="32"/>
  <c r="J26" i="32"/>
  <c r="J245" i="21"/>
  <c r="J184" i="21"/>
  <c r="J102" i="21"/>
  <c r="J83" i="21"/>
  <c r="J64" i="21"/>
  <c r="J571" i="21" s="1"/>
  <c r="J45" i="21"/>
  <c r="J26" i="21"/>
  <c r="J605" i="18"/>
  <c r="J589" i="18"/>
  <c r="J571" i="18"/>
  <c r="J508" i="18"/>
  <c r="J245" i="18"/>
  <c r="J45" i="18"/>
  <c r="J64" i="18" s="1"/>
  <c r="J184" i="18" s="1"/>
  <c r="J26" i="18"/>
  <c r="J478" i="30" l="1"/>
  <c r="J355" i="36"/>
  <c r="J355" i="34"/>
  <c r="J355" i="33"/>
  <c r="J355" i="32"/>
  <c r="J355" i="31"/>
  <c r="J355" i="30"/>
  <c r="J355" i="29"/>
  <c r="J355" i="28"/>
  <c r="J355" i="27"/>
  <c r="J355" i="26"/>
  <c r="J355" i="25"/>
  <c r="J355" i="24"/>
  <c r="J355" i="21"/>
  <c r="J355" i="19"/>
  <c r="J355" i="18"/>
  <c r="J355" i="17"/>
  <c r="J355" i="9"/>
  <c r="G59" i="4" l="1"/>
  <c r="G100" i="4" l="1"/>
  <c r="J355" i="20"/>
  <c r="C595" i="36"/>
  <c r="C594" i="36"/>
  <c r="C593" i="36"/>
  <c r="C592" i="36"/>
  <c r="C591" i="36"/>
  <c r="C611" i="36"/>
  <c r="C610" i="36"/>
  <c r="C609" i="36"/>
  <c r="C608" i="36"/>
  <c r="C607" i="36"/>
  <c r="C649" i="36"/>
  <c r="C648" i="36"/>
  <c r="C647" i="36"/>
  <c r="C646" i="36"/>
  <c r="C645" i="36"/>
  <c r="C627" i="36"/>
  <c r="C626" i="36"/>
  <c r="C625" i="36"/>
  <c r="C624" i="36"/>
  <c r="C623" i="36"/>
  <c r="C577" i="36"/>
  <c r="C576" i="36"/>
  <c r="C575" i="36"/>
  <c r="C574" i="36"/>
  <c r="C573" i="36"/>
  <c r="C671" i="36"/>
  <c r="C670" i="36"/>
  <c r="C669" i="36"/>
  <c r="C668" i="36"/>
  <c r="C667" i="36"/>
  <c r="C595" i="35"/>
  <c r="C594" i="35"/>
  <c r="C593" i="35"/>
  <c r="C592" i="35"/>
  <c r="C591" i="35"/>
  <c r="C611" i="35"/>
  <c r="C610" i="35"/>
  <c r="C609" i="35"/>
  <c r="C608" i="35"/>
  <c r="C607" i="35"/>
  <c r="C649" i="35"/>
  <c r="C648" i="35"/>
  <c r="C647" i="35"/>
  <c r="C646" i="35"/>
  <c r="C645" i="35"/>
  <c r="C627" i="35"/>
  <c r="C626" i="35"/>
  <c r="C625" i="35"/>
  <c r="C624" i="35"/>
  <c r="C623" i="35"/>
  <c r="C577" i="35"/>
  <c r="C576" i="35"/>
  <c r="C575" i="35"/>
  <c r="C574" i="35"/>
  <c r="C573" i="35"/>
  <c r="C671" i="35"/>
  <c r="C670" i="35"/>
  <c r="C669" i="35"/>
  <c r="C668" i="35"/>
  <c r="C667" i="35"/>
  <c r="C595" i="34"/>
  <c r="C594" i="34"/>
  <c r="C593" i="34"/>
  <c r="C592" i="34"/>
  <c r="C591" i="34"/>
  <c r="C611" i="34"/>
  <c r="C610" i="34"/>
  <c r="C609" i="34"/>
  <c r="C608" i="34"/>
  <c r="C607" i="34"/>
  <c r="C649" i="34"/>
  <c r="C648" i="34"/>
  <c r="C647" i="34"/>
  <c r="C646" i="34"/>
  <c r="C645" i="34"/>
  <c r="C627" i="34"/>
  <c r="C626" i="34"/>
  <c r="C625" i="34"/>
  <c r="C624" i="34"/>
  <c r="C623" i="34"/>
  <c r="C577" i="34"/>
  <c r="C576" i="34"/>
  <c r="C575" i="34"/>
  <c r="C574" i="34"/>
  <c r="C573" i="34"/>
  <c r="C671" i="34"/>
  <c r="C670" i="34"/>
  <c r="C669" i="34"/>
  <c r="C668" i="34"/>
  <c r="C667" i="34"/>
  <c r="C595" i="33"/>
  <c r="C594" i="33"/>
  <c r="C593" i="33"/>
  <c r="C592" i="33"/>
  <c r="C591" i="33"/>
  <c r="C611" i="33"/>
  <c r="C610" i="33"/>
  <c r="C609" i="33"/>
  <c r="C608" i="33"/>
  <c r="C607" i="33"/>
  <c r="C649" i="33"/>
  <c r="C648" i="33"/>
  <c r="C647" i="33"/>
  <c r="C646" i="33"/>
  <c r="C645" i="33"/>
  <c r="C627" i="33"/>
  <c r="C626" i="33"/>
  <c r="C625" i="33"/>
  <c r="C624" i="33"/>
  <c r="C623" i="33"/>
  <c r="C577" i="33"/>
  <c r="C576" i="33"/>
  <c r="C575" i="33"/>
  <c r="C574" i="33"/>
  <c r="C573" i="33"/>
  <c r="C671" i="33"/>
  <c r="C670" i="33"/>
  <c r="C669" i="33"/>
  <c r="C668" i="33"/>
  <c r="C667" i="33"/>
  <c r="C595" i="32"/>
  <c r="C594" i="32"/>
  <c r="C593" i="32"/>
  <c r="C592" i="32"/>
  <c r="C591" i="32"/>
  <c r="C611" i="32"/>
  <c r="C610" i="32"/>
  <c r="C609" i="32"/>
  <c r="C608" i="32"/>
  <c r="C607" i="32"/>
  <c r="C649" i="32"/>
  <c r="C648" i="32"/>
  <c r="C647" i="32"/>
  <c r="C646" i="32"/>
  <c r="C645" i="32"/>
  <c r="C627" i="32"/>
  <c r="C626" i="32"/>
  <c r="C625" i="32"/>
  <c r="C624" i="32"/>
  <c r="C623" i="32"/>
  <c r="C577" i="32"/>
  <c r="C576" i="32"/>
  <c r="C575" i="32"/>
  <c r="C574" i="32"/>
  <c r="C573" i="32"/>
  <c r="C595" i="31"/>
  <c r="C594" i="31"/>
  <c r="C593" i="31"/>
  <c r="C592" i="31"/>
  <c r="C591" i="31"/>
  <c r="C611" i="31"/>
  <c r="C610" i="31"/>
  <c r="C609" i="31"/>
  <c r="C608" i="31"/>
  <c r="C607" i="31"/>
  <c r="C649" i="31"/>
  <c r="C648" i="31"/>
  <c r="C647" i="31"/>
  <c r="C646" i="31"/>
  <c r="C645" i="31"/>
  <c r="C627" i="31"/>
  <c r="C626" i="31"/>
  <c r="C625" i="31"/>
  <c r="C624" i="31"/>
  <c r="C623" i="31"/>
  <c r="C577" i="31"/>
  <c r="C576" i="31"/>
  <c r="C575" i="31"/>
  <c r="C574" i="31"/>
  <c r="C573" i="31"/>
  <c r="C671" i="31"/>
  <c r="C670" i="31"/>
  <c r="C669" i="31"/>
  <c r="C668" i="31"/>
  <c r="C667" i="31"/>
  <c r="C595" i="30"/>
  <c r="C594" i="30"/>
  <c r="C593" i="30"/>
  <c r="C592" i="30"/>
  <c r="C591" i="30"/>
  <c r="C611" i="30"/>
  <c r="C610" i="30"/>
  <c r="C609" i="30"/>
  <c r="C608" i="30"/>
  <c r="C607" i="30"/>
  <c r="C649" i="30"/>
  <c r="C648" i="30"/>
  <c r="C647" i="30"/>
  <c r="C646" i="30"/>
  <c r="C645" i="30"/>
  <c r="C627" i="30"/>
  <c r="C626" i="30"/>
  <c r="C625" i="30"/>
  <c r="C624" i="30"/>
  <c r="C623" i="30"/>
  <c r="C577" i="30"/>
  <c r="C576" i="30"/>
  <c r="C575" i="30"/>
  <c r="C574" i="30"/>
  <c r="C573" i="30"/>
  <c r="C671" i="30"/>
  <c r="C670" i="30"/>
  <c r="C669" i="30"/>
  <c r="C668" i="30"/>
  <c r="C667" i="30"/>
  <c r="C595" i="29"/>
  <c r="C594" i="29"/>
  <c r="C593" i="29"/>
  <c r="C592" i="29"/>
  <c r="C591" i="29"/>
  <c r="C611" i="29"/>
  <c r="C610" i="29"/>
  <c r="C609" i="29"/>
  <c r="C608" i="29"/>
  <c r="C607" i="29"/>
  <c r="C649" i="29"/>
  <c r="C648" i="29"/>
  <c r="C647" i="29"/>
  <c r="C646" i="29"/>
  <c r="C645" i="29"/>
  <c r="C627" i="29"/>
  <c r="C626" i="29"/>
  <c r="C625" i="29"/>
  <c r="C624" i="29"/>
  <c r="C623" i="29"/>
  <c r="C577" i="29"/>
  <c r="C576" i="29"/>
  <c r="C575" i="29"/>
  <c r="C574" i="29"/>
  <c r="C573" i="29"/>
  <c r="C671" i="29"/>
  <c r="C670" i="29"/>
  <c r="C669" i="29"/>
  <c r="C668" i="29"/>
  <c r="C667" i="29"/>
  <c r="C595" i="28"/>
  <c r="C594" i="28"/>
  <c r="C593" i="28"/>
  <c r="C592" i="28"/>
  <c r="C591" i="28"/>
  <c r="C611" i="28"/>
  <c r="C610" i="28"/>
  <c r="C609" i="28"/>
  <c r="C608" i="28"/>
  <c r="C607" i="28"/>
  <c r="C649" i="28"/>
  <c r="C648" i="28"/>
  <c r="C647" i="28"/>
  <c r="C646" i="28"/>
  <c r="C645" i="28"/>
  <c r="C627" i="28"/>
  <c r="C626" i="28"/>
  <c r="C625" i="28"/>
  <c r="C624" i="28"/>
  <c r="C623" i="28"/>
  <c r="C577" i="28"/>
  <c r="C576" i="28"/>
  <c r="C575" i="28"/>
  <c r="C574" i="28"/>
  <c r="C573" i="28"/>
  <c r="C671" i="28"/>
  <c r="C670" i="28"/>
  <c r="C669" i="28"/>
  <c r="C668" i="28"/>
  <c r="C667" i="28"/>
  <c r="C595" i="27"/>
  <c r="C594" i="27"/>
  <c r="C593" i="27"/>
  <c r="C592" i="27"/>
  <c r="C591" i="27"/>
  <c r="C611" i="27"/>
  <c r="C610" i="27"/>
  <c r="C609" i="27"/>
  <c r="C608" i="27"/>
  <c r="C607" i="27"/>
  <c r="C649" i="27"/>
  <c r="C648" i="27"/>
  <c r="C647" i="27"/>
  <c r="C646" i="27"/>
  <c r="C645" i="27"/>
  <c r="C627" i="27"/>
  <c r="C626" i="27"/>
  <c r="C625" i="27"/>
  <c r="C624" i="27"/>
  <c r="C623" i="27"/>
  <c r="C577" i="27"/>
  <c r="C576" i="27"/>
  <c r="C575" i="27"/>
  <c r="C574" i="27"/>
  <c r="C573" i="27"/>
  <c r="C671" i="27"/>
  <c r="C670" i="27"/>
  <c r="C669" i="27"/>
  <c r="C668" i="27"/>
  <c r="C667" i="27"/>
  <c r="C595" i="26"/>
  <c r="C594" i="26"/>
  <c r="C593" i="26"/>
  <c r="C592" i="26"/>
  <c r="C591" i="26"/>
  <c r="C611" i="26"/>
  <c r="C610" i="26"/>
  <c r="C609" i="26"/>
  <c r="C608" i="26"/>
  <c r="C607" i="26"/>
  <c r="C649" i="26"/>
  <c r="C648" i="26"/>
  <c r="C647" i="26"/>
  <c r="C646" i="26"/>
  <c r="C645" i="26"/>
  <c r="C627" i="26"/>
  <c r="C626" i="26"/>
  <c r="C625" i="26"/>
  <c r="C624" i="26"/>
  <c r="C623" i="26"/>
  <c r="C577" i="26"/>
  <c r="C576" i="26"/>
  <c r="C575" i="26"/>
  <c r="C574" i="26"/>
  <c r="C573" i="26"/>
  <c r="C671" i="26"/>
  <c r="C670" i="26"/>
  <c r="C669" i="26"/>
  <c r="C668" i="26"/>
  <c r="C667" i="26"/>
  <c r="C595" i="25"/>
  <c r="C594" i="25"/>
  <c r="C593" i="25"/>
  <c r="C592" i="25"/>
  <c r="C591" i="25"/>
  <c r="C611" i="25"/>
  <c r="C610" i="25"/>
  <c r="C609" i="25"/>
  <c r="C608" i="25"/>
  <c r="C607" i="25"/>
  <c r="C649" i="25"/>
  <c r="C648" i="25"/>
  <c r="C647" i="25"/>
  <c r="C646" i="25"/>
  <c r="C645" i="25"/>
  <c r="C627" i="25"/>
  <c r="C626" i="25"/>
  <c r="C625" i="25"/>
  <c r="C624" i="25"/>
  <c r="C623" i="25"/>
  <c r="C577" i="25"/>
  <c r="C576" i="25"/>
  <c r="C575" i="25"/>
  <c r="C574" i="25"/>
  <c r="C573" i="25"/>
  <c r="C671" i="25"/>
  <c r="C670" i="25"/>
  <c r="C669" i="25"/>
  <c r="C668" i="25"/>
  <c r="C667" i="25"/>
  <c r="C595" i="24"/>
  <c r="C594" i="24"/>
  <c r="C593" i="24"/>
  <c r="C592" i="24"/>
  <c r="C591" i="24"/>
  <c r="C611" i="24"/>
  <c r="C610" i="24"/>
  <c r="C609" i="24"/>
  <c r="C608" i="24"/>
  <c r="C607" i="24"/>
  <c r="C649" i="24"/>
  <c r="C648" i="24"/>
  <c r="C647" i="24"/>
  <c r="C646" i="24"/>
  <c r="C645" i="24"/>
  <c r="C627" i="24"/>
  <c r="C626" i="24"/>
  <c r="C625" i="24"/>
  <c r="C624" i="24"/>
  <c r="C623" i="24"/>
  <c r="C577" i="24"/>
  <c r="C576" i="24"/>
  <c r="C575" i="24"/>
  <c r="C574" i="24"/>
  <c r="C573" i="24"/>
  <c r="C671" i="24"/>
  <c r="C670" i="24"/>
  <c r="C669" i="24"/>
  <c r="C668" i="24"/>
  <c r="C667" i="24"/>
  <c r="C595" i="23"/>
  <c r="C594" i="23"/>
  <c r="C593" i="23"/>
  <c r="C592" i="23"/>
  <c r="C591" i="23"/>
  <c r="C611" i="23"/>
  <c r="C610" i="23"/>
  <c r="C609" i="23"/>
  <c r="C608" i="23"/>
  <c r="C607" i="23"/>
  <c r="C649" i="23"/>
  <c r="C648" i="23"/>
  <c r="C647" i="23"/>
  <c r="C646" i="23"/>
  <c r="C645" i="23"/>
  <c r="C627" i="23"/>
  <c r="C626" i="23"/>
  <c r="C625" i="23"/>
  <c r="C624" i="23"/>
  <c r="C623" i="23"/>
  <c r="C577" i="23"/>
  <c r="C576" i="23"/>
  <c r="C575" i="23"/>
  <c r="C574" i="23"/>
  <c r="C573" i="23"/>
  <c r="C671" i="23"/>
  <c r="C670" i="23"/>
  <c r="C669" i="23"/>
  <c r="C668" i="23"/>
  <c r="C667" i="23"/>
  <c r="C595" i="21"/>
  <c r="C594" i="21"/>
  <c r="C593" i="21"/>
  <c r="C592" i="21"/>
  <c r="C591" i="21"/>
  <c r="C611" i="21"/>
  <c r="C610" i="21"/>
  <c r="C609" i="21"/>
  <c r="C608" i="21"/>
  <c r="C607" i="21"/>
  <c r="C649" i="21"/>
  <c r="C648" i="21"/>
  <c r="C647" i="21"/>
  <c r="C646" i="21"/>
  <c r="C645" i="21"/>
  <c r="C627" i="21"/>
  <c r="C626" i="21"/>
  <c r="C625" i="21"/>
  <c r="C624" i="21"/>
  <c r="C623" i="21"/>
  <c r="C577" i="21"/>
  <c r="C576" i="21"/>
  <c r="C575" i="21"/>
  <c r="C574" i="21"/>
  <c r="C573" i="21"/>
  <c r="C671" i="21"/>
  <c r="C670" i="21"/>
  <c r="C669" i="21"/>
  <c r="C668" i="21"/>
  <c r="C667" i="21"/>
  <c r="C595" i="20"/>
  <c r="C594" i="20"/>
  <c r="C593" i="20"/>
  <c r="C592" i="20"/>
  <c r="C591" i="20"/>
  <c r="C611" i="20"/>
  <c r="C610" i="20"/>
  <c r="C609" i="20"/>
  <c r="C608" i="20"/>
  <c r="C607" i="20"/>
  <c r="C649" i="20"/>
  <c r="C648" i="20"/>
  <c r="C647" i="20"/>
  <c r="C646" i="20"/>
  <c r="C645" i="20"/>
  <c r="C627" i="20"/>
  <c r="C626" i="20"/>
  <c r="C625" i="20"/>
  <c r="C624" i="20"/>
  <c r="C623" i="20"/>
  <c r="C577" i="20"/>
  <c r="C576" i="20"/>
  <c r="C575" i="20"/>
  <c r="C574" i="20"/>
  <c r="C573" i="20"/>
  <c r="C671" i="20"/>
  <c r="C670" i="20"/>
  <c r="C669" i="20"/>
  <c r="C668" i="20"/>
  <c r="C667" i="20"/>
  <c r="C595" i="19"/>
  <c r="C594" i="19"/>
  <c r="C593" i="19"/>
  <c r="C592" i="19"/>
  <c r="C591" i="19"/>
  <c r="C611" i="19"/>
  <c r="C610" i="19"/>
  <c r="C609" i="19"/>
  <c r="C608" i="19"/>
  <c r="C607" i="19"/>
  <c r="C649" i="19"/>
  <c r="C648" i="19"/>
  <c r="C647" i="19"/>
  <c r="C646" i="19"/>
  <c r="C645" i="19"/>
  <c r="C627" i="19"/>
  <c r="C626" i="19"/>
  <c r="C625" i="19"/>
  <c r="C624" i="19"/>
  <c r="C623" i="19"/>
  <c r="C577" i="19"/>
  <c r="C576" i="19"/>
  <c r="C575" i="19"/>
  <c r="C574" i="19"/>
  <c r="C573" i="19"/>
  <c r="C671" i="19"/>
  <c r="C670" i="19"/>
  <c r="C669" i="19"/>
  <c r="C668" i="19"/>
  <c r="C667" i="19"/>
  <c r="C595" i="18"/>
  <c r="C594" i="18"/>
  <c r="C593" i="18"/>
  <c r="C592" i="18"/>
  <c r="C591" i="18"/>
  <c r="C611" i="18"/>
  <c r="C610" i="18"/>
  <c r="C609" i="18"/>
  <c r="C608" i="18"/>
  <c r="C607" i="18"/>
  <c r="C649" i="18"/>
  <c r="C648" i="18"/>
  <c r="C647" i="18"/>
  <c r="C646" i="18"/>
  <c r="C645" i="18"/>
  <c r="C627" i="18"/>
  <c r="C626" i="18"/>
  <c r="C625" i="18"/>
  <c r="C624" i="18"/>
  <c r="C623" i="18"/>
  <c r="C577" i="18"/>
  <c r="C576" i="18"/>
  <c r="C575" i="18"/>
  <c r="C574" i="18"/>
  <c r="C573" i="18"/>
  <c r="C671" i="18"/>
  <c r="C670" i="18"/>
  <c r="C669" i="18"/>
  <c r="C668" i="18"/>
  <c r="C667" i="18"/>
  <c r="C595" i="17"/>
  <c r="C594" i="17"/>
  <c r="C593" i="17"/>
  <c r="C592" i="17"/>
  <c r="C591" i="17"/>
  <c r="C611" i="17"/>
  <c r="C610" i="17"/>
  <c r="C609" i="17"/>
  <c r="C608" i="17"/>
  <c r="C607" i="17"/>
  <c r="C649" i="17"/>
  <c r="C648" i="17"/>
  <c r="C647" i="17"/>
  <c r="C646" i="17"/>
  <c r="C645" i="17"/>
  <c r="C627" i="17"/>
  <c r="C626" i="17"/>
  <c r="C625" i="17"/>
  <c r="C624" i="17"/>
  <c r="C623" i="17"/>
  <c r="C577" i="17"/>
  <c r="C576" i="17"/>
  <c r="C575" i="17"/>
  <c r="C574" i="17"/>
  <c r="C573" i="17"/>
  <c r="C671" i="17"/>
  <c r="C670" i="17"/>
  <c r="C669" i="17"/>
  <c r="C668" i="17"/>
  <c r="C667" i="17"/>
  <c r="C595" i="9"/>
  <c r="C594" i="9"/>
  <c r="C593" i="9"/>
  <c r="C592" i="9"/>
  <c r="C591" i="9"/>
  <c r="C611" i="9"/>
  <c r="C610" i="9"/>
  <c r="C609" i="9"/>
  <c r="C608" i="9"/>
  <c r="C607" i="9"/>
  <c r="C649" i="9"/>
  <c r="C648" i="9"/>
  <c r="C647" i="9"/>
  <c r="C646" i="9"/>
  <c r="C645" i="9"/>
  <c r="C627" i="9"/>
  <c r="C626" i="9"/>
  <c r="C625" i="9"/>
  <c r="C624" i="9"/>
  <c r="C623" i="9"/>
  <c r="C577" i="9"/>
  <c r="C576" i="9"/>
  <c r="C575" i="9"/>
  <c r="C574" i="9"/>
  <c r="C573" i="9"/>
  <c r="C671" i="9"/>
  <c r="C670" i="9"/>
  <c r="C669" i="9"/>
  <c r="C668" i="9"/>
  <c r="C667" i="9"/>
  <c r="C554" i="36"/>
  <c r="C553" i="36"/>
  <c r="C552" i="36"/>
  <c r="C551" i="36"/>
  <c r="C550" i="36"/>
  <c r="C554" i="35"/>
  <c r="C553" i="35"/>
  <c r="C552" i="35"/>
  <c r="C551" i="35"/>
  <c r="C550" i="35"/>
  <c r="C554" i="34"/>
  <c r="C553" i="34"/>
  <c r="C552" i="34"/>
  <c r="C551" i="34"/>
  <c r="C550" i="34"/>
  <c r="C554" i="33"/>
  <c r="C553" i="33"/>
  <c r="C552" i="33"/>
  <c r="C551" i="33"/>
  <c r="C550" i="33"/>
  <c r="C554" i="31"/>
  <c r="C553" i="31"/>
  <c r="C552" i="31"/>
  <c r="C551" i="31"/>
  <c r="C550" i="31"/>
  <c r="C554" i="30"/>
  <c r="C553" i="30"/>
  <c r="C552" i="30"/>
  <c r="C551" i="30"/>
  <c r="C550" i="30"/>
  <c r="C554" i="29"/>
  <c r="C553" i="29"/>
  <c r="C552" i="29"/>
  <c r="C551" i="29"/>
  <c r="C550" i="29"/>
  <c r="C554" i="28"/>
  <c r="C553" i="28"/>
  <c r="C552" i="28"/>
  <c r="C551" i="28"/>
  <c r="C550" i="28"/>
  <c r="C554" i="27"/>
  <c r="C553" i="27"/>
  <c r="C552" i="27"/>
  <c r="C551" i="27"/>
  <c r="C550" i="27"/>
  <c r="C554" i="26"/>
  <c r="C553" i="26"/>
  <c r="C552" i="26"/>
  <c r="C551" i="26"/>
  <c r="C550" i="26"/>
  <c r="C554" i="25"/>
  <c r="C553" i="25"/>
  <c r="C552" i="25"/>
  <c r="C551" i="25"/>
  <c r="C550" i="25"/>
  <c r="C554" i="24"/>
  <c r="C553" i="24"/>
  <c r="C552" i="24"/>
  <c r="C551" i="24"/>
  <c r="C550" i="24"/>
  <c r="C554" i="23"/>
  <c r="C553" i="23"/>
  <c r="C552" i="23"/>
  <c r="C551" i="23"/>
  <c r="C550" i="23"/>
  <c r="C554" i="21"/>
  <c r="C553" i="21"/>
  <c r="C552" i="21"/>
  <c r="C551" i="21"/>
  <c r="C550" i="21"/>
  <c r="C554" i="20"/>
  <c r="C553" i="20"/>
  <c r="C552" i="20"/>
  <c r="C551" i="20"/>
  <c r="C550" i="20"/>
  <c r="C554" i="19"/>
  <c r="C553" i="19"/>
  <c r="C552" i="19"/>
  <c r="C551" i="19"/>
  <c r="C550" i="19"/>
  <c r="C554" i="18"/>
  <c r="C553" i="18"/>
  <c r="C552" i="18"/>
  <c r="C551" i="18"/>
  <c r="C550" i="18"/>
  <c r="C554" i="17"/>
  <c r="C553" i="17"/>
  <c r="C552" i="17"/>
  <c r="C551" i="17"/>
  <c r="C550" i="17"/>
  <c r="C554" i="9"/>
  <c r="C553" i="9"/>
  <c r="C552" i="9"/>
  <c r="C551" i="9"/>
  <c r="C550" i="9"/>
  <c r="C531" i="36"/>
  <c r="C530" i="36"/>
  <c r="C529" i="36"/>
  <c r="C528" i="36"/>
  <c r="C527" i="36"/>
  <c r="C514" i="36"/>
  <c r="C513" i="36"/>
  <c r="C512" i="36"/>
  <c r="C511" i="36"/>
  <c r="C510" i="36"/>
  <c r="C498" i="36"/>
  <c r="C497" i="36"/>
  <c r="C496" i="36"/>
  <c r="C495" i="36"/>
  <c r="C494" i="36"/>
  <c r="C484" i="36"/>
  <c r="C483" i="36"/>
  <c r="C482" i="36"/>
  <c r="C481" i="36"/>
  <c r="C480" i="36"/>
  <c r="C467" i="36"/>
  <c r="C466" i="36"/>
  <c r="C465" i="36"/>
  <c r="C464" i="36"/>
  <c r="C463" i="36"/>
  <c r="C451" i="36"/>
  <c r="C450" i="36"/>
  <c r="C449" i="36"/>
  <c r="C448" i="36"/>
  <c r="C447" i="36"/>
  <c r="C531" i="35"/>
  <c r="C530" i="35"/>
  <c r="C529" i="35"/>
  <c r="C528" i="35"/>
  <c r="C527" i="35"/>
  <c r="C514" i="35"/>
  <c r="C513" i="35"/>
  <c r="C512" i="35"/>
  <c r="C511" i="35"/>
  <c r="C510" i="35"/>
  <c r="C498" i="35"/>
  <c r="C497" i="35"/>
  <c r="C496" i="35"/>
  <c r="C495" i="35"/>
  <c r="C494" i="35"/>
  <c r="C484" i="35"/>
  <c r="C483" i="35"/>
  <c r="C482" i="35"/>
  <c r="C481" i="35"/>
  <c r="C480" i="35"/>
  <c r="C467" i="35"/>
  <c r="C466" i="35"/>
  <c r="C465" i="35"/>
  <c r="C464" i="35"/>
  <c r="C463" i="35"/>
  <c r="C451" i="35"/>
  <c r="C450" i="35"/>
  <c r="C449" i="35"/>
  <c r="C448" i="35"/>
  <c r="C447" i="35"/>
  <c r="C531" i="34"/>
  <c r="C530" i="34"/>
  <c r="C529" i="34"/>
  <c r="C528" i="34"/>
  <c r="C527" i="34"/>
  <c r="C514" i="34"/>
  <c r="C513" i="34"/>
  <c r="C512" i="34"/>
  <c r="C511" i="34"/>
  <c r="C510" i="34"/>
  <c r="C498" i="34"/>
  <c r="C497" i="34"/>
  <c r="C496" i="34"/>
  <c r="C495" i="34"/>
  <c r="C494" i="34"/>
  <c r="C484" i="34"/>
  <c r="C483" i="34"/>
  <c r="C482" i="34"/>
  <c r="C481" i="34"/>
  <c r="C480" i="34"/>
  <c r="C467" i="34"/>
  <c r="C466" i="34"/>
  <c r="C465" i="34"/>
  <c r="C464" i="34"/>
  <c r="C463" i="34"/>
  <c r="C451" i="34"/>
  <c r="C450" i="34"/>
  <c r="C449" i="34"/>
  <c r="C448" i="34"/>
  <c r="C447" i="34"/>
  <c r="C531" i="33"/>
  <c r="C530" i="33"/>
  <c r="C529" i="33"/>
  <c r="C528" i="33"/>
  <c r="C527" i="33"/>
  <c r="C514" i="33"/>
  <c r="C513" i="33"/>
  <c r="C512" i="33"/>
  <c r="C511" i="33"/>
  <c r="C510" i="33"/>
  <c r="C498" i="33"/>
  <c r="C497" i="33"/>
  <c r="C496" i="33"/>
  <c r="C495" i="33"/>
  <c r="C494" i="33"/>
  <c r="C484" i="33"/>
  <c r="C483" i="33"/>
  <c r="C482" i="33"/>
  <c r="C481" i="33"/>
  <c r="C480" i="33"/>
  <c r="C467" i="33"/>
  <c r="C466" i="33"/>
  <c r="C465" i="33"/>
  <c r="C464" i="33"/>
  <c r="C463" i="33"/>
  <c r="C451" i="33"/>
  <c r="C450" i="33"/>
  <c r="C449" i="33"/>
  <c r="C448" i="33"/>
  <c r="C447" i="33"/>
  <c r="C531" i="32"/>
  <c r="C530" i="32"/>
  <c r="C529" i="32"/>
  <c r="C528" i="32"/>
  <c r="C527" i="32"/>
  <c r="C514" i="32"/>
  <c r="C513" i="32"/>
  <c r="C512" i="32"/>
  <c r="C511" i="32"/>
  <c r="C510" i="32"/>
  <c r="C498" i="32"/>
  <c r="C497" i="32"/>
  <c r="C496" i="32"/>
  <c r="C495" i="32"/>
  <c r="C494" i="32"/>
  <c r="C484" i="32"/>
  <c r="C483" i="32"/>
  <c r="C482" i="32"/>
  <c r="C481" i="32"/>
  <c r="C480" i="32"/>
  <c r="C467" i="32"/>
  <c r="C466" i="32"/>
  <c r="C465" i="32"/>
  <c r="C464" i="32"/>
  <c r="C463" i="32"/>
  <c r="C451" i="32"/>
  <c r="C450" i="32"/>
  <c r="C449" i="32"/>
  <c r="C448" i="32"/>
  <c r="C447" i="32"/>
  <c r="C531" i="31"/>
  <c r="C530" i="31"/>
  <c r="C529" i="31"/>
  <c r="C528" i="31"/>
  <c r="C527" i="31"/>
  <c r="C514" i="31"/>
  <c r="C513" i="31"/>
  <c r="C512" i="31"/>
  <c r="C511" i="31"/>
  <c r="C510" i="31"/>
  <c r="C498" i="31"/>
  <c r="C497" i="31"/>
  <c r="C496" i="31"/>
  <c r="C495" i="31"/>
  <c r="C494" i="31"/>
  <c r="C484" i="31"/>
  <c r="C483" i="31"/>
  <c r="C482" i="31"/>
  <c r="C481" i="31"/>
  <c r="C480" i="31"/>
  <c r="C467" i="31"/>
  <c r="C466" i="31"/>
  <c r="C465" i="31"/>
  <c r="C464" i="31"/>
  <c r="C463" i="31"/>
  <c r="C451" i="31"/>
  <c r="C450" i="31"/>
  <c r="C449" i="31"/>
  <c r="C448" i="31"/>
  <c r="C447" i="31"/>
  <c r="C531" i="30"/>
  <c r="C530" i="30"/>
  <c r="C529" i="30"/>
  <c r="C528" i="30"/>
  <c r="C527" i="30"/>
  <c r="C514" i="30"/>
  <c r="C513" i="30"/>
  <c r="C512" i="30"/>
  <c r="C511" i="30"/>
  <c r="C510" i="30"/>
  <c r="C498" i="30"/>
  <c r="C497" i="30"/>
  <c r="C496" i="30"/>
  <c r="C495" i="30"/>
  <c r="C494" i="30"/>
  <c r="C484" i="30"/>
  <c r="C483" i="30"/>
  <c r="C482" i="30"/>
  <c r="C481" i="30"/>
  <c r="C480" i="30"/>
  <c r="C467" i="30"/>
  <c r="C466" i="30"/>
  <c r="C465" i="30"/>
  <c r="C464" i="30"/>
  <c r="C463" i="30"/>
  <c r="C451" i="30"/>
  <c r="C450" i="30"/>
  <c r="C449" i="30"/>
  <c r="C448" i="30"/>
  <c r="C447" i="30"/>
  <c r="C531" i="29"/>
  <c r="C530" i="29"/>
  <c r="C529" i="29"/>
  <c r="C528" i="29"/>
  <c r="C527" i="29"/>
  <c r="C514" i="29"/>
  <c r="C513" i="29"/>
  <c r="C512" i="29"/>
  <c r="C511" i="29"/>
  <c r="C510" i="29"/>
  <c r="C498" i="29"/>
  <c r="C497" i="29"/>
  <c r="C496" i="29"/>
  <c r="C495" i="29"/>
  <c r="C494" i="29"/>
  <c r="C484" i="29"/>
  <c r="C483" i="29"/>
  <c r="C482" i="29"/>
  <c r="C481" i="29"/>
  <c r="C480" i="29"/>
  <c r="C467" i="29"/>
  <c r="C466" i="29"/>
  <c r="C465" i="29"/>
  <c r="C464" i="29"/>
  <c r="C463" i="29"/>
  <c r="C451" i="29"/>
  <c r="C450" i="29"/>
  <c r="C449" i="29"/>
  <c r="C448" i="29"/>
  <c r="C447" i="29"/>
  <c r="C531" i="28"/>
  <c r="C530" i="28"/>
  <c r="C529" i="28"/>
  <c r="C528" i="28"/>
  <c r="C527" i="28"/>
  <c r="C514" i="28"/>
  <c r="C513" i="28"/>
  <c r="C512" i="28"/>
  <c r="C511" i="28"/>
  <c r="C510" i="28"/>
  <c r="C498" i="28"/>
  <c r="C497" i="28"/>
  <c r="C496" i="28"/>
  <c r="C495" i="28"/>
  <c r="C494" i="28"/>
  <c r="C484" i="28"/>
  <c r="C483" i="28"/>
  <c r="C482" i="28"/>
  <c r="C481" i="28"/>
  <c r="C480" i="28"/>
  <c r="C467" i="28"/>
  <c r="C466" i="28"/>
  <c r="C465" i="28"/>
  <c r="C464" i="28"/>
  <c r="C463" i="28"/>
  <c r="C451" i="28"/>
  <c r="C450" i="28"/>
  <c r="C449" i="28"/>
  <c r="C448" i="28"/>
  <c r="C447" i="28"/>
  <c r="C531" i="27"/>
  <c r="C530" i="27"/>
  <c r="C529" i="27"/>
  <c r="C528" i="27"/>
  <c r="C527" i="27"/>
  <c r="C514" i="27"/>
  <c r="C513" i="27"/>
  <c r="C512" i="27"/>
  <c r="C511" i="27"/>
  <c r="C510" i="27"/>
  <c r="C498" i="27"/>
  <c r="C497" i="27"/>
  <c r="C496" i="27"/>
  <c r="C495" i="27"/>
  <c r="C494" i="27"/>
  <c r="C484" i="27"/>
  <c r="C483" i="27"/>
  <c r="C482" i="27"/>
  <c r="C481" i="27"/>
  <c r="C480" i="27"/>
  <c r="C467" i="27"/>
  <c r="C466" i="27"/>
  <c r="C465" i="27"/>
  <c r="C464" i="27"/>
  <c r="C463" i="27"/>
  <c r="C451" i="27"/>
  <c r="C450" i="27"/>
  <c r="C449" i="27"/>
  <c r="C448" i="27"/>
  <c r="C447" i="27"/>
  <c r="C531" i="26"/>
  <c r="C530" i="26"/>
  <c r="C529" i="26"/>
  <c r="C528" i="26"/>
  <c r="C527" i="26"/>
  <c r="C514" i="26"/>
  <c r="C513" i="26"/>
  <c r="C512" i="26"/>
  <c r="C511" i="26"/>
  <c r="C510" i="26"/>
  <c r="C498" i="26"/>
  <c r="C497" i="26"/>
  <c r="C496" i="26"/>
  <c r="C495" i="26"/>
  <c r="C494" i="26"/>
  <c r="C484" i="26"/>
  <c r="C483" i="26"/>
  <c r="C482" i="26"/>
  <c r="C481" i="26"/>
  <c r="C480" i="26"/>
  <c r="C467" i="26"/>
  <c r="C466" i="26"/>
  <c r="C465" i="26"/>
  <c r="C464" i="26"/>
  <c r="C463" i="26"/>
  <c r="C451" i="26"/>
  <c r="C450" i="26"/>
  <c r="C449" i="26"/>
  <c r="C448" i="26"/>
  <c r="C447" i="26"/>
  <c r="C531" i="25"/>
  <c r="C530" i="25"/>
  <c r="C529" i="25"/>
  <c r="C528" i="25"/>
  <c r="C527" i="25"/>
  <c r="C514" i="25"/>
  <c r="C513" i="25"/>
  <c r="C512" i="25"/>
  <c r="C511" i="25"/>
  <c r="C510" i="25"/>
  <c r="C498" i="25"/>
  <c r="C497" i="25"/>
  <c r="C496" i="25"/>
  <c r="C495" i="25"/>
  <c r="C494" i="25"/>
  <c r="C484" i="25"/>
  <c r="C483" i="25"/>
  <c r="C482" i="25"/>
  <c r="C481" i="25"/>
  <c r="C480" i="25"/>
  <c r="C467" i="25"/>
  <c r="C466" i="25"/>
  <c r="C465" i="25"/>
  <c r="C464" i="25"/>
  <c r="C463" i="25"/>
  <c r="C451" i="25"/>
  <c r="C450" i="25"/>
  <c r="C449" i="25"/>
  <c r="C448" i="25"/>
  <c r="C447" i="25"/>
  <c r="C531" i="24"/>
  <c r="C530" i="24"/>
  <c r="C529" i="24"/>
  <c r="C528" i="24"/>
  <c r="C527" i="24"/>
  <c r="C514" i="24"/>
  <c r="C513" i="24"/>
  <c r="C512" i="24"/>
  <c r="C511" i="24"/>
  <c r="C510" i="24"/>
  <c r="C498" i="24"/>
  <c r="C497" i="24"/>
  <c r="C496" i="24"/>
  <c r="C495" i="24"/>
  <c r="C494" i="24"/>
  <c r="C484" i="24"/>
  <c r="C483" i="24"/>
  <c r="C482" i="24"/>
  <c r="C481" i="24"/>
  <c r="C480" i="24"/>
  <c r="C467" i="24"/>
  <c r="C466" i="24"/>
  <c r="C465" i="24"/>
  <c r="C464" i="24"/>
  <c r="C463" i="24"/>
  <c r="C451" i="24"/>
  <c r="C450" i="24"/>
  <c r="C449" i="24"/>
  <c r="C448" i="24"/>
  <c r="C447" i="24"/>
  <c r="C531" i="23"/>
  <c r="C530" i="23"/>
  <c r="C529" i="23"/>
  <c r="C528" i="23"/>
  <c r="C527" i="23"/>
  <c r="C514" i="23"/>
  <c r="C513" i="23"/>
  <c r="C512" i="23"/>
  <c r="C511" i="23"/>
  <c r="C510" i="23"/>
  <c r="C498" i="23"/>
  <c r="C497" i="23"/>
  <c r="C496" i="23"/>
  <c r="C495" i="23"/>
  <c r="C494" i="23"/>
  <c r="C484" i="23"/>
  <c r="C483" i="23"/>
  <c r="C482" i="23"/>
  <c r="C481" i="23"/>
  <c r="C480" i="23"/>
  <c r="C467" i="23"/>
  <c r="C466" i="23"/>
  <c r="C465" i="23"/>
  <c r="C464" i="23"/>
  <c r="C463" i="23"/>
  <c r="C451" i="23"/>
  <c r="C450" i="23"/>
  <c r="C449" i="23"/>
  <c r="C448" i="23"/>
  <c r="C447" i="23"/>
  <c r="C531" i="21"/>
  <c r="C530" i="21"/>
  <c r="C529" i="21"/>
  <c r="C528" i="21"/>
  <c r="C527" i="21"/>
  <c r="C514" i="21"/>
  <c r="C513" i="21"/>
  <c r="C512" i="21"/>
  <c r="C511" i="21"/>
  <c r="C510" i="21"/>
  <c r="C498" i="21"/>
  <c r="C497" i="21"/>
  <c r="C496" i="21"/>
  <c r="C495" i="21"/>
  <c r="C494" i="21"/>
  <c r="C484" i="21"/>
  <c r="C483" i="21"/>
  <c r="C482" i="21"/>
  <c r="C481" i="21"/>
  <c r="C480" i="21"/>
  <c r="C467" i="21"/>
  <c r="C466" i="21"/>
  <c r="C465" i="21"/>
  <c r="C464" i="21"/>
  <c r="C463" i="21"/>
  <c r="C451" i="21"/>
  <c r="C450" i="21"/>
  <c r="C449" i="21"/>
  <c r="C448" i="21"/>
  <c r="C447" i="21"/>
  <c r="C531" i="20"/>
  <c r="C530" i="20"/>
  <c r="C529" i="20"/>
  <c r="C528" i="20"/>
  <c r="C527" i="20"/>
  <c r="C514" i="20"/>
  <c r="C513" i="20"/>
  <c r="C512" i="20"/>
  <c r="C511" i="20"/>
  <c r="C510" i="20"/>
  <c r="C498" i="20"/>
  <c r="C497" i="20"/>
  <c r="C496" i="20"/>
  <c r="C495" i="20"/>
  <c r="C494" i="20"/>
  <c r="C484" i="20"/>
  <c r="C483" i="20"/>
  <c r="C482" i="20"/>
  <c r="C481" i="20"/>
  <c r="C480" i="20"/>
  <c r="C467" i="20"/>
  <c r="C466" i="20"/>
  <c r="C465" i="20"/>
  <c r="C464" i="20"/>
  <c r="C463" i="20"/>
  <c r="C451" i="20"/>
  <c r="C450" i="20"/>
  <c r="C449" i="20"/>
  <c r="C448" i="20"/>
  <c r="C447" i="20"/>
  <c r="C531" i="19"/>
  <c r="C530" i="19"/>
  <c r="C529" i="19"/>
  <c r="C528" i="19"/>
  <c r="C527" i="19"/>
  <c r="C514" i="19"/>
  <c r="C513" i="19"/>
  <c r="C512" i="19"/>
  <c r="C511" i="19"/>
  <c r="C510" i="19"/>
  <c r="C498" i="19"/>
  <c r="C497" i="19"/>
  <c r="C496" i="19"/>
  <c r="C495" i="19"/>
  <c r="C494" i="19"/>
  <c r="C484" i="19"/>
  <c r="C483" i="19"/>
  <c r="C482" i="19"/>
  <c r="C481" i="19"/>
  <c r="C480" i="19"/>
  <c r="C467" i="19"/>
  <c r="C466" i="19"/>
  <c r="C465" i="19"/>
  <c r="C464" i="19"/>
  <c r="C463" i="19"/>
  <c r="C451" i="19"/>
  <c r="C450" i="19"/>
  <c r="C449" i="19"/>
  <c r="C448" i="19"/>
  <c r="C447" i="19"/>
  <c r="C531" i="18"/>
  <c r="C530" i="18"/>
  <c r="C529" i="18"/>
  <c r="C528" i="18"/>
  <c r="C527" i="18"/>
  <c r="C514" i="18"/>
  <c r="C513" i="18"/>
  <c r="C512" i="18"/>
  <c r="C511" i="18"/>
  <c r="C510" i="18"/>
  <c r="C498" i="18"/>
  <c r="C497" i="18"/>
  <c r="C496" i="18"/>
  <c r="C495" i="18"/>
  <c r="C494" i="18"/>
  <c r="C484" i="18"/>
  <c r="C483" i="18"/>
  <c r="C482" i="18"/>
  <c r="C481" i="18"/>
  <c r="C480" i="18"/>
  <c r="C467" i="18"/>
  <c r="C466" i="18"/>
  <c r="C465" i="18"/>
  <c r="C464" i="18"/>
  <c r="C463" i="18"/>
  <c r="C451" i="18"/>
  <c r="C450" i="18"/>
  <c r="C449" i="18"/>
  <c r="C448" i="18"/>
  <c r="C447" i="18"/>
  <c r="C531" i="17"/>
  <c r="C530" i="17"/>
  <c r="C529" i="17"/>
  <c r="C528" i="17"/>
  <c r="C527" i="17"/>
  <c r="C514" i="17"/>
  <c r="C513" i="17"/>
  <c r="C512" i="17"/>
  <c r="C511" i="17"/>
  <c r="C510" i="17"/>
  <c r="C498" i="17"/>
  <c r="C497" i="17"/>
  <c r="C496" i="17"/>
  <c r="C495" i="17"/>
  <c r="C494" i="17"/>
  <c r="C484" i="17"/>
  <c r="C483" i="17"/>
  <c r="C482" i="17"/>
  <c r="C481" i="17"/>
  <c r="C480" i="17"/>
  <c r="C467" i="17"/>
  <c r="C466" i="17"/>
  <c r="C465" i="17"/>
  <c r="C464" i="17"/>
  <c r="C463" i="17"/>
  <c r="C451" i="17"/>
  <c r="C450" i="17"/>
  <c r="C449" i="17"/>
  <c r="C448" i="17"/>
  <c r="C447" i="17"/>
  <c r="C531" i="9"/>
  <c r="C530" i="9"/>
  <c r="C529" i="9"/>
  <c r="C528" i="9"/>
  <c r="C527" i="9"/>
  <c r="C514" i="9"/>
  <c r="C513" i="9"/>
  <c r="C512" i="9"/>
  <c r="C511" i="9"/>
  <c r="C510" i="9"/>
  <c r="C498" i="9"/>
  <c r="C497" i="9"/>
  <c r="C496" i="9"/>
  <c r="C495" i="9"/>
  <c r="C494" i="9"/>
  <c r="C484" i="9"/>
  <c r="C483" i="9"/>
  <c r="C482" i="9"/>
  <c r="C481" i="9"/>
  <c r="C480" i="9"/>
  <c r="C467" i="9"/>
  <c r="C466" i="9"/>
  <c r="C465" i="9"/>
  <c r="C464" i="9"/>
  <c r="C463" i="9"/>
  <c r="C451" i="9"/>
  <c r="C450" i="9"/>
  <c r="C449" i="9"/>
  <c r="C448" i="9"/>
  <c r="C447" i="9"/>
  <c r="C434" i="36"/>
  <c r="C433" i="36"/>
  <c r="C432" i="36"/>
  <c r="C431" i="36"/>
  <c r="C430" i="36"/>
  <c r="C434" i="35"/>
  <c r="C433" i="35"/>
  <c r="C432" i="35"/>
  <c r="C431" i="35"/>
  <c r="C430" i="35"/>
  <c r="C434" i="34"/>
  <c r="C433" i="34"/>
  <c r="C432" i="34"/>
  <c r="C431" i="34"/>
  <c r="C430" i="34"/>
  <c r="C434" i="33"/>
  <c r="C433" i="33"/>
  <c r="C432" i="33"/>
  <c r="C431" i="33"/>
  <c r="C430" i="33"/>
  <c r="C434" i="32"/>
  <c r="C433" i="32"/>
  <c r="C432" i="32"/>
  <c r="C431" i="32"/>
  <c r="C430" i="32"/>
  <c r="C434" i="31"/>
  <c r="C433" i="31"/>
  <c r="C432" i="31"/>
  <c r="C431" i="31"/>
  <c r="C430" i="31"/>
  <c r="C434" i="30"/>
  <c r="C433" i="30"/>
  <c r="C432" i="30"/>
  <c r="C431" i="30"/>
  <c r="C430" i="30"/>
  <c r="C434" i="29"/>
  <c r="C433" i="29"/>
  <c r="C432" i="29"/>
  <c r="C431" i="29"/>
  <c r="C430" i="29"/>
  <c r="C434" i="28"/>
  <c r="C433" i="28"/>
  <c r="C432" i="28"/>
  <c r="C431" i="28"/>
  <c r="C430" i="28"/>
  <c r="C434" i="27"/>
  <c r="C433" i="27"/>
  <c r="C432" i="27"/>
  <c r="C431" i="27"/>
  <c r="C430" i="27"/>
  <c r="C434" i="26"/>
  <c r="C433" i="26"/>
  <c r="C432" i="26"/>
  <c r="C431" i="26"/>
  <c r="C430" i="26"/>
  <c r="C434" i="25"/>
  <c r="C433" i="25"/>
  <c r="C432" i="25"/>
  <c r="C431" i="25"/>
  <c r="C430" i="25"/>
  <c r="C434" i="24"/>
  <c r="C433" i="24"/>
  <c r="C432" i="24"/>
  <c r="C431" i="24"/>
  <c r="C430" i="24"/>
  <c r="C434" i="23"/>
  <c r="C433" i="23"/>
  <c r="C432" i="23"/>
  <c r="C431" i="23"/>
  <c r="C430" i="23"/>
  <c r="C434" i="21"/>
  <c r="C433" i="21"/>
  <c r="C432" i="21"/>
  <c r="C431" i="21"/>
  <c r="C430" i="21"/>
  <c r="C434" i="20"/>
  <c r="C433" i="20"/>
  <c r="C432" i="20"/>
  <c r="C431" i="20"/>
  <c r="C430" i="20"/>
  <c r="C434" i="19"/>
  <c r="C433" i="19"/>
  <c r="C432" i="19"/>
  <c r="C431" i="19"/>
  <c r="C430" i="19"/>
  <c r="C434" i="18"/>
  <c r="C433" i="18"/>
  <c r="C432" i="18"/>
  <c r="C431" i="18"/>
  <c r="C430" i="18"/>
  <c r="C434" i="17"/>
  <c r="C433" i="17"/>
  <c r="C432" i="17"/>
  <c r="C431" i="17"/>
  <c r="C430" i="17"/>
  <c r="C434" i="9"/>
  <c r="C433" i="9"/>
  <c r="C432" i="9"/>
  <c r="C431" i="9"/>
  <c r="C430" i="9"/>
  <c r="C414" i="36" l="1"/>
  <c r="C413" i="36"/>
  <c r="C412" i="36"/>
  <c r="C411" i="36"/>
  <c r="C410" i="36"/>
  <c r="C414" i="35"/>
  <c r="C413" i="35"/>
  <c r="C412" i="35"/>
  <c r="C411" i="35"/>
  <c r="C410" i="35"/>
  <c r="C414" i="34"/>
  <c r="C413" i="34"/>
  <c r="C412" i="34"/>
  <c r="C411" i="34"/>
  <c r="C410" i="34"/>
  <c r="C414" i="33"/>
  <c r="C413" i="33"/>
  <c r="C412" i="33"/>
  <c r="C411" i="33"/>
  <c r="C410" i="33"/>
  <c r="C414" i="32"/>
  <c r="C413" i="32"/>
  <c r="C412" i="32"/>
  <c r="C411" i="32"/>
  <c r="C410" i="32"/>
  <c r="C414" i="31"/>
  <c r="C413" i="31"/>
  <c r="C412" i="31"/>
  <c r="C411" i="31"/>
  <c r="C410" i="31"/>
  <c r="C414" i="30"/>
  <c r="C413" i="30"/>
  <c r="C412" i="30"/>
  <c r="C411" i="30"/>
  <c r="C410" i="30"/>
  <c r="C414" i="29"/>
  <c r="C413" i="29"/>
  <c r="C412" i="29"/>
  <c r="C411" i="29"/>
  <c r="C410" i="29"/>
  <c r="C414" i="28"/>
  <c r="C413" i="28"/>
  <c r="C412" i="28"/>
  <c r="C411" i="28"/>
  <c r="C410" i="28"/>
  <c r="C414" i="27"/>
  <c r="C413" i="27"/>
  <c r="C412" i="27"/>
  <c r="C411" i="27"/>
  <c r="C410" i="27"/>
  <c r="C414" i="26"/>
  <c r="C413" i="26"/>
  <c r="C412" i="26"/>
  <c r="C411" i="26"/>
  <c r="C410" i="26"/>
  <c r="C414" i="25"/>
  <c r="C413" i="25"/>
  <c r="C412" i="25"/>
  <c r="C411" i="25"/>
  <c r="C410" i="25"/>
  <c r="C414" i="24"/>
  <c r="C413" i="24"/>
  <c r="C412" i="24"/>
  <c r="C411" i="24"/>
  <c r="C410" i="24"/>
  <c r="C414" i="23"/>
  <c r="C413" i="23"/>
  <c r="C412" i="23"/>
  <c r="C411" i="23"/>
  <c r="C410" i="23"/>
  <c r="C414" i="21"/>
  <c r="C413" i="21"/>
  <c r="C412" i="21"/>
  <c r="C411" i="21"/>
  <c r="C410" i="21"/>
  <c r="C414" i="20"/>
  <c r="C413" i="20"/>
  <c r="C412" i="20"/>
  <c r="C411" i="20"/>
  <c r="C410" i="20"/>
  <c r="C414" i="19"/>
  <c r="C413" i="19"/>
  <c r="C412" i="19"/>
  <c r="C411" i="19"/>
  <c r="C410" i="19"/>
  <c r="C414" i="18"/>
  <c r="C413" i="18"/>
  <c r="C412" i="18"/>
  <c r="C411" i="18"/>
  <c r="C410" i="18"/>
  <c r="C414" i="17"/>
  <c r="C413" i="17"/>
  <c r="C412" i="17"/>
  <c r="C411" i="17"/>
  <c r="C410" i="17"/>
  <c r="J409" i="9"/>
  <c r="C414" i="9"/>
  <c r="C413" i="9"/>
  <c r="C412" i="9"/>
  <c r="C411" i="9"/>
  <c r="C410" i="9"/>
  <c r="C400" i="36"/>
  <c r="C399" i="36"/>
  <c r="C398" i="36"/>
  <c r="C397" i="36"/>
  <c r="C396" i="36"/>
  <c r="C380" i="36"/>
  <c r="C379" i="36"/>
  <c r="C378" i="36"/>
  <c r="C377" i="36"/>
  <c r="C376" i="36"/>
  <c r="C361" i="36"/>
  <c r="C360" i="36"/>
  <c r="C359" i="36"/>
  <c r="C358" i="36"/>
  <c r="C357" i="36"/>
  <c r="C339" i="36"/>
  <c r="C338" i="36"/>
  <c r="C337" i="36"/>
  <c r="C336" i="36"/>
  <c r="C335" i="36"/>
  <c r="C320" i="36"/>
  <c r="C319" i="36"/>
  <c r="C318" i="36"/>
  <c r="C317" i="36"/>
  <c r="C316" i="36"/>
  <c r="C400" i="35"/>
  <c r="C399" i="35"/>
  <c r="C398" i="35"/>
  <c r="C397" i="35"/>
  <c r="C396" i="35"/>
  <c r="C380" i="35"/>
  <c r="C379" i="35"/>
  <c r="C378" i="35"/>
  <c r="C377" i="35"/>
  <c r="C376" i="35"/>
  <c r="C361" i="35"/>
  <c r="C360" i="35"/>
  <c r="C359" i="35"/>
  <c r="C358" i="35"/>
  <c r="C357" i="35"/>
  <c r="C339" i="35"/>
  <c r="C338" i="35"/>
  <c r="C337" i="35"/>
  <c r="C336" i="35"/>
  <c r="C335" i="35"/>
  <c r="C320" i="35"/>
  <c r="C319" i="35"/>
  <c r="C318" i="35"/>
  <c r="C317" i="35"/>
  <c r="C316" i="35"/>
  <c r="C400" i="34"/>
  <c r="C399" i="34"/>
  <c r="C398" i="34"/>
  <c r="C397" i="34"/>
  <c r="C396" i="34"/>
  <c r="C380" i="34"/>
  <c r="C379" i="34"/>
  <c r="C378" i="34"/>
  <c r="C377" i="34"/>
  <c r="C376" i="34"/>
  <c r="C361" i="34"/>
  <c r="C360" i="34"/>
  <c r="C359" i="34"/>
  <c r="C358" i="34"/>
  <c r="C357" i="34"/>
  <c r="C339" i="34"/>
  <c r="C338" i="34"/>
  <c r="C337" i="34"/>
  <c r="C336" i="34"/>
  <c r="C335" i="34"/>
  <c r="C320" i="34"/>
  <c r="C319" i="34"/>
  <c r="C318" i="34"/>
  <c r="C317" i="34"/>
  <c r="C316" i="34"/>
  <c r="C400" i="33"/>
  <c r="C399" i="33"/>
  <c r="C398" i="33"/>
  <c r="C397" i="33"/>
  <c r="C396" i="33"/>
  <c r="C380" i="33"/>
  <c r="C379" i="33"/>
  <c r="C378" i="33"/>
  <c r="C377" i="33"/>
  <c r="C376" i="33"/>
  <c r="C361" i="33"/>
  <c r="C360" i="33"/>
  <c r="C359" i="33"/>
  <c r="C358" i="33"/>
  <c r="C357" i="33"/>
  <c r="C339" i="33"/>
  <c r="C338" i="33"/>
  <c r="C337" i="33"/>
  <c r="C336" i="33"/>
  <c r="C335" i="33"/>
  <c r="C320" i="33"/>
  <c r="C319" i="33"/>
  <c r="C318" i="33"/>
  <c r="C317" i="33"/>
  <c r="C316" i="33"/>
  <c r="C400" i="32"/>
  <c r="C399" i="32"/>
  <c r="C398" i="32"/>
  <c r="C397" i="32"/>
  <c r="C396" i="32"/>
  <c r="C380" i="32"/>
  <c r="C379" i="32"/>
  <c r="C378" i="32"/>
  <c r="C377" i="32"/>
  <c r="C376" i="32"/>
  <c r="C361" i="32"/>
  <c r="C360" i="32"/>
  <c r="C359" i="32"/>
  <c r="C358" i="32"/>
  <c r="C357" i="32"/>
  <c r="C339" i="32"/>
  <c r="C338" i="32"/>
  <c r="C337" i="32"/>
  <c r="C336" i="32"/>
  <c r="C335" i="32"/>
  <c r="C320" i="32"/>
  <c r="C319" i="32"/>
  <c r="C318" i="32"/>
  <c r="C317" i="32"/>
  <c r="C316" i="32"/>
  <c r="C400" i="31"/>
  <c r="C399" i="31"/>
  <c r="C398" i="31"/>
  <c r="C397" i="31"/>
  <c r="C396" i="31"/>
  <c r="C380" i="31"/>
  <c r="C379" i="31"/>
  <c r="C378" i="31"/>
  <c r="C377" i="31"/>
  <c r="C376" i="31"/>
  <c r="C361" i="31"/>
  <c r="C360" i="31"/>
  <c r="C359" i="31"/>
  <c r="C358" i="31"/>
  <c r="C357" i="31"/>
  <c r="C339" i="31"/>
  <c r="C338" i="31"/>
  <c r="C337" i="31"/>
  <c r="C336" i="31"/>
  <c r="C335" i="31"/>
  <c r="C320" i="31"/>
  <c r="C319" i="31"/>
  <c r="C318" i="31"/>
  <c r="C317" i="31"/>
  <c r="C316" i="31"/>
  <c r="C400" i="30"/>
  <c r="C399" i="30"/>
  <c r="C398" i="30"/>
  <c r="C397" i="30"/>
  <c r="C396" i="30"/>
  <c r="C380" i="30"/>
  <c r="C379" i="30"/>
  <c r="C378" i="30"/>
  <c r="C377" i="30"/>
  <c r="C376" i="30"/>
  <c r="C361" i="30"/>
  <c r="C360" i="30"/>
  <c r="C359" i="30"/>
  <c r="C358" i="30"/>
  <c r="C357" i="30"/>
  <c r="C339" i="30"/>
  <c r="C338" i="30"/>
  <c r="C337" i="30"/>
  <c r="C336" i="30"/>
  <c r="C335" i="30"/>
  <c r="C320" i="30"/>
  <c r="C319" i="30"/>
  <c r="C318" i="30"/>
  <c r="C317" i="30"/>
  <c r="C316" i="30"/>
  <c r="C400" i="29"/>
  <c r="C399" i="29"/>
  <c r="C398" i="29"/>
  <c r="C397" i="29"/>
  <c r="C396" i="29"/>
  <c r="C380" i="29"/>
  <c r="C379" i="29"/>
  <c r="C378" i="29"/>
  <c r="C377" i="29"/>
  <c r="C376" i="29"/>
  <c r="C361" i="29"/>
  <c r="C360" i="29"/>
  <c r="C359" i="29"/>
  <c r="C358" i="29"/>
  <c r="C357" i="29"/>
  <c r="C339" i="29"/>
  <c r="C338" i="29"/>
  <c r="C337" i="29"/>
  <c r="C336" i="29"/>
  <c r="C335" i="29"/>
  <c r="C320" i="29"/>
  <c r="C319" i="29"/>
  <c r="C318" i="29"/>
  <c r="C317" i="29"/>
  <c r="C316" i="29"/>
  <c r="C400" i="28"/>
  <c r="C399" i="28"/>
  <c r="C398" i="28"/>
  <c r="C397" i="28"/>
  <c r="C396" i="28"/>
  <c r="C380" i="28"/>
  <c r="C379" i="28"/>
  <c r="C378" i="28"/>
  <c r="C377" i="28"/>
  <c r="C376" i="28"/>
  <c r="C361" i="28"/>
  <c r="C360" i="28"/>
  <c r="C359" i="28"/>
  <c r="C358" i="28"/>
  <c r="C357" i="28"/>
  <c r="C339" i="28"/>
  <c r="C338" i="28"/>
  <c r="C337" i="28"/>
  <c r="C336" i="28"/>
  <c r="C335" i="28"/>
  <c r="C320" i="28"/>
  <c r="C319" i="28"/>
  <c r="C318" i="28"/>
  <c r="C317" i="28"/>
  <c r="C316" i="28"/>
  <c r="C400" i="27"/>
  <c r="C399" i="27"/>
  <c r="C398" i="27"/>
  <c r="C397" i="27"/>
  <c r="C396" i="27"/>
  <c r="C380" i="27"/>
  <c r="C379" i="27"/>
  <c r="C378" i="27"/>
  <c r="C377" i="27"/>
  <c r="C376" i="27"/>
  <c r="C361" i="27"/>
  <c r="C360" i="27"/>
  <c r="C359" i="27"/>
  <c r="C358" i="27"/>
  <c r="C357" i="27"/>
  <c r="C339" i="27"/>
  <c r="C338" i="27"/>
  <c r="C337" i="27"/>
  <c r="C336" i="27"/>
  <c r="C335" i="27"/>
  <c r="C320" i="27"/>
  <c r="C319" i="27"/>
  <c r="C318" i="27"/>
  <c r="C317" i="27"/>
  <c r="C316" i="27"/>
  <c r="C400" i="26"/>
  <c r="C399" i="26"/>
  <c r="C398" i="26"/>
  <c r="C397" i="26"/>
  <c r="C396" i="26"/>
  <c r="C380" i="26"/>
  <c r="C379" i="26"/>
  <c r="C378" i="26"/>
  <c r="C377" i="26"/>
  <c r="C376" i="26"/>
  <c r="C361" i="26"/>
  <c r="C360" i="26"/>
  <c r="C359" i="26"/>
  <c r="C358" i="26"/>
  <c r="C357" i="26"/>
  <c r="C339" i="26"/>
  <c r="C338" i="26"/>
  <c r="C337" i="26"/>
  <c r="C336" i="26"/>
  <c r="C335" i="26"/>
  <c r="C320" i="26"/>
  <c r="C319" i="26"/>
  <c r="C318" i="26"/>
  <c r="C317" i="26"/>
  <c r="C316" i="26"/>
  <c r="C400" i="25"/>
  <c r="C399" i="25"/>
  <c r="C398" i="25"/>
  <c r="C397" i="25"/>
  <c r="C396" i="25"/>
  <c r="C380" i="25"/>
  <c r="C379" i="25"/>
  <c r="C378" i="25"/>
  <c r="C377" i="25"/>
  <c r="C376" i="25"/>
  <c r="C361" i="25"/>
  <c r="C360" i="25"/>
  <c r="C359" i="25"/>
  <c r="C358" i="25"/>
  <c r="C357" i="25"/>
  <c r="C339" i="25"/>
  <c r="C338" i="25"/>
  <c r="C337" i="25"/>
  <c r="C336" i="25"/>
  <c r="C335" i="25"/>
  <c r="C320" i="25"/>
  <c r="C319" i="25"/>
  <c r="C318" i="25"/>
  <c r="C317" i="25"/>
  <c r="C316" i="25"/>
  <c r="C400" i="24"/>
  <c r="C399" i="24"/>
  <c r="C398" i="24"/>
  <c r="C397" i="24"/>
  <c r="C396" i="24"/>
  <c r="C380" i="24"/>
  <c r="C379" i="24"/>
  <c r="C378" i="24"/>
  <c r="C377" i="24"/>
  <c r="C376" i="24"/>
  <c r="C361" i="24"/>
  <c r="C360" i="24"/>
  <c r="C359" i="24"/>
  <c r="C358" i="24"/>
  <c r="C357" i="24"/>
  <c r="C339" i="24"/>
  <c r="C338" i="24"/>
  <c r="C337" i="24"/>
  <c r="C336" i="24"/>
  <c r="C335" i="24"/>
  <c r="C320" i="24"/>
  <c r="C319" i="24"/>
  <c r="C318" i="24"/>
  <c r="C317" i="24"/>
  <c r="C316" i="24"/>
  <c r="C400" i="23"/>
  <c r="C399" i="23"/>
  <c r="C398" i="23"/>
  <c r="C397" i="23"/>
  <c r="C396" i="23"/>
  <c r="C380" i="23"/>
  <c r="C379" i="23"/>
  <c r="C378" i="23"/>
  <c r="C377" i="23"/>
  <c r="C376" i="23"/>
  <c r="C361" i="23"/>
  <c r="C360" i="23"/>
  <c r="C359" i="23"/>
  <c r="C358" i="23"/>
  <c r="C357" i="23"/>
  <c r="C339" i="23"/>
  <c r="C338" i="23"/>
  <c r="C337" i="23"/>
  <c r="C336" i="23"/>
  <c r="C335" i="23"/>
  <c r="C320" i="23"/>
  <c r="C319" i="23"/>
  <c r="C318" i="23"/>
  <c r="C317" i="23"/>
  <c r="C316" i="23"/>
  <c r="C400" i="21"/>
  <c r="C399" i="21"/>
  <c r="C398" i="21"/>
  <c r="C397" i="21"/>
  <c r="C396" i="21"/>
  <c r="C380" i="21"/>
  <c r="C379" i="21"/>
  <c r="C378" i="21"/>
  <c r="C377" i="21"/>
  <c r="C376" i="21"/>
  <c r="C361" i="21"/>
  <c r="C360" i="21"/>
  <c r="C359" i="21"/>
  <c r="C358" i="21"/>
  <c r="C357" i="21"/>
  <c r="C339" i="21"/>
  <c r="C338" i="21"/>
  <c r="C337" i="21"/>
  <c r="C336" i="21"/>
  <c r="C335" i="21"/>
  <c r="C320" i="21"/>
  <c r="C319" i="21"/>
  <c r="C318" i="21"/>
  <c r="C317" i="21"/>
  <c r="C316" i="21"/>
  <c r="C400" i="20"/>
  <c r="C399" i="20"/>
  <c r="C398" i="20"/>
  <c r="C397" i="20"/>
  <c r="C396" i="20"/>
  <c r="C380" i="20"/>
  <c r="C379" i="20"/>
  <c r="C378" i="20"/>
  <c r="C377" i="20"/>
  <c r="C376" i="20"/>
  <c r="C361" i="20"/>
  <c r="C360" i="20"/>
  <c r="C359" i="20"/>
  <c r="C358" i="20"/>
  <c r="C357" i="20"/>
  <c r="C339" i="20"/>
  <c r="C338" i="20"/>
  <c r="C337" i="20"/>
  <c r="C336" i="20"/>
  <c r="C335" i="20"/>
  <c r="C320" i="20"/>
  <c r="C319" i="20"/>
  <c r="C318" i="20"/>
  <c r="C317" i="20"/>
  <c r="C316" i="20"/>
  <c r="C400" i="19"/>
  <c r="C399" i="19"/>
  <c r="C398" i="19"/>
  <c r="C397" i="19"/>
  <c r="C396" i="19"/>
  <c r="C380" i="19"/>
  <c r="C379" i="19"/>
  <c r="C378" i="19"/>
  <c r="C377" i="19"/>
  <c r="C376" i="19"/>
  <c r="C361" i="19"/>
  <c r="C360" i="19"/>
  <c r="C359" i="19"/>
  <c r="C358" i="19"/>
  <c r="C357" i="19"/>
  <c r="C339" i="19"/>
  <c r="C338" i="19"/>
  <c r="C337" i="19"/>
  <c r="C336" i="19"/>
  <c r="C335" i="19"/>
  <c r="C320" i="19"/>
  <c r="C319" i="19"/>
  <c r="C318" i="19"/>
  <c r="C317" i="19"/>
  <c r="C316" i="19"/>
  <c r="C400" i="18"/>
  <c r="C399" i="18"/>
  <c r="C398" i="18"/>
  <c r="C397" i="18"/>
  <c r="C396" i="18"/>
  <c r="C380" i="18"/>
  <c r="C379" i="18"/>
  <c r="C378" i="18"/>
  <c r="C377" i="18"/>
  <c r="C376" i="18"/>
  <c r="C361" i="18"/>
  <c r="C360" i="18"/>
  <c r="C359" i="18"/>
  <c r="C358" i="18"/>
  <c r="C357" i="18"/>
  <c r="C339" i="18"/>
  <c r="C338" i="18"/>
  <c r="C337" i="18"/>
  <c r="C336" i="18"/>
  <c r="C335" i="18"/>
  <c r="C320" i="18"/>
  <c r="C319" i="18"/>
  <c r="C318" i="18"/>
  <c r="C317" i="18"/>
  <c r="C316" i="18"/>
  <c r="C400" i="17"/>
  <c r="C399" i="17"/>
  <c r="C398" i="17"/>
  <c r="C397" i="17"/>
  <c r="C396" i="17"/>
  <c r="C380" i="17"/>
  <c r="C379" i="17"/>
  <c r="C378" i="17"/>
  <c r="C377" i="17"/>
  <c r="C376" i="17"/>
  <c r="C361" i="17"/>
  <c r="C360" i="17"/>
  <c r="C359" i="17"/>
  <c r="C358" i="17"/>
  <c r="C357" i="17"/>
  <c r="C339" i="17"/>
  <c r="C338" i="17"/>
  <c r="C337" i="17"/>
  <c r="C336" i="17"/>
  <c r="C335" i="17"/>
  <c r="C320" i="17"/>
  <c r="C319" i="17"/>
  <c r="C318" i="17"/>
  <c r="C317" i="17"/>
  <c r="C316" i="17"/>
  <c r="C400" i="9"/>
  <c r="C399" i="9"/>
  <c r="C398" i="9"/>
  <c r="C397" i="9"/>
  <c r="C396" i="9"/>
  <c r="C380" i="9"/>
  <c r="C379" i="9"/>
  <c r="C378" i="9"/>
  <c r="C377" i="9"/>
  <c r="C376" i="9"/>
  <c r="C361" i="9"/>
  <c r="C360" i="9"/>
  <c r="C359" i="9"/>
  <c r="C358" i="9"/>
  <c r="C357" i="9"/>
  <c r="C339" i="9"/>
  <c r="C338" i="9"/>
  <c r="C337" i="9"/>
  <c r="C336" i="9"/>
  <c r="C335" i="9"/>
  <c r="C320" i="9"/>
  <c r="C319" i="9"/>
  <c r="C318" i="9"/>
  <c r="C317" i="9"/>
  <c r="C316" i="9"/>
  <c r="C301" i="36"/>
  <c r="C300" i="36"/>
  <c r="C299" i="36"/>
  <c r="C298" i="36"/>
  <c r="C297" i="36"/>
  <c r="C301" i="35"/>
  <c r="C300" i="35"/>
  <c r="C299" i="35"/>
  <c r="C298" i="35"/>
  <c r="C297" i="35"/>
  <c r="C301" i="34"/>
  <c r="C300" i="34"/>
  <c r="C299" i="34"/>
  <c r="C298" i="34"/>
  <c r="C297" i="34"/>
  <c r="C301" i="33"/>
  <c r="C300" i="33"/>
  <c r="C299" i="33"/>
  <c r="C298" i="33"/>
  <c r="C297" i="33"/>
  <c r="C301" i="32"/>
  <c r="C300" i="32"/>
  <c r="C299" i="32"/>
  <c r="C298" i="32"/>
  <c r="C297" i="32"/>
  <c r="C301" i="31"/>
  <c r="C300" i="31"/>
  <c r="C299" i="31"/>
  <c r="C298" i="31"/>
  <c r="C297" i="31"/>
  <c r="C301" i="30"/>
  <c r="C300" i="30"/>
  <c r="C299" i="30"/>
  <c r="C298" i="30"/>
  <c r="C297" i="30"/>
  <c r="C301" i="29"/>
  <c r="C300" i="29"/>
  <c r="C299" i="29"/>
  <c r="C298" i="29"/>
  <c r="C297" i="29"/>
  <c r="C301" i="28"/>
  <c r="C300" i="28"/>
  <c r="C299" i="28"/>
  <c r="C298" i="28"/>
  <c r="C297" i="28"/>
  <c r="C301" i="27"/>
  <c r="C300" i="27"/>
  <c r="C299" i="27"/>
  <c r="C298" i="27"/>
  <c r="C297" i="27"/>
  <c r="C301" i="26"/>
  <c r="C300" i="26"/>
  <c r="C299" i="26"/>
  <c r="C298" i="26"/>
  <c r="C297" i="26"/>
  <c r="C301" i="25"/>
  <c r="C300" i="25"/>
  <c r="C299" i="25"/>
  <c r="C298" i="25"/>
  <c r="C297" i="25"/>
  <c r="C301" i="24"/>
  <c r="C300" i="24"/>
  <c r="C299" i="24"/>
  <c r="C298" i="24"/>
  <c r="C297" i="24"/>
  <c r="C301" i="23"/>
  <c r="C300" i="23"/>
  <c r="C299" i="23"/>
  <c r="C298" i="23"/>
  <c r="C297" i="23"/>
  <c r="C301" i="21"/>
  <c r="C300" i="21"/>
  <c r="C299" i="21"/>
  <c r="C298" i="21"/>
  <c r="C297" i="21"/>
  <c r="C301" i="20"/>
  <c r="C300" i="20"/>
  <c r="C299" i="20"/>
  <c r="C298" i="20"/>
  <c r="C297" i="20"/>
  <c r="C301" i="19"/>
  <c r="C300" i="19"/>
  <c r="C299" i="19"/>
  <c r="C298" i="19"/>
  <c r="C297" i="19"/>
  <c r="C301" i="18"/>
  <c r="C300" i="18"/>
  <c r="C299" i="18"/>
  <c r="C298" i="18"/>
  <c r="C297" i="18"/>
  <c r="C301" i="17"/>
  <c r="C300" i="17"/>
  <c r="C299" i="17"/>
  <c r="C298" i="17"/>
  <c r="C297" i="17"/>
  <c r="C301" i="9"/>
  <c r="C300" i="9"/>
  <c r="C299" i="9"/>
  <c r="C298" i="9"/>
  <c r="C297" i="9"/>
  <c r="C280" i="36"/>
  <c r="C279" i="36"/>
  <c r="C278" i="36"/>
  <c r="C277" i="36"/>
  <c r="C276" i="36"/>
  <c r="C280" i="35"/>
  <c r="C279" i="35"/>
  <c r="C278" i="35"/>
  <c r="C277" i="35"/>
  <c r="C276" i="35"/>
  <c r="C280" i="34"/>
  <c r="C279" i="34"/>
  <c r="C278" i="34"/>
  <c r="C277" i="34"/>
  <c r="C276" i="34"/>
  <c r="C280" i="33"/>
  <c r="C279" i="33"/>
  <c r="C278" i="33"/>
  <c r="C277" i="33"/>
  <c r="C276" i="33"/>
  <c r="C280" i="32"/>
  <c r="C279" i="32"/>
  <c r="C278" i="32"/>
  <c r="C277" i="32"/>
  <c r="C276" i="32"/>
  <c r="C280" i="31"/>
  <c r="C279" i="31"/>
  <c r="C278" i="31"/>
  <c r="C277" i="31"/>
  <c r="C276" i="31"/>
  <c r="C280" i="30"/>
  <c r="C279" i="30"/>
  <c r="C278" i="30"/>
  <c r="C277" i="30"/>
  <c r="C276" i="30"/>
  <c r="C280" i="29"/>
  <c r="C279" i="29"/>
  <c r="C278" i="29"/>
  <c r="C277" i="29"/>
  <c r="C276" i="29"/>
  <c r="C280" i="28"/>
  <c r="C279" i="28"/>
  <c r="C278" i="28"/>
  <c r="C277" i="28"/>
  <c r="C276" i="28"/>
  <c r="C280" i="27"/>
  <c r="C279" i="27"/>
  <c r="C278" i="27"/>
  <c r="C277" i="27"/>
  <c r="C276" i="27"/>
  <c r="C280" i="26"/>
  <c r="C279" i="26"/>
  <c r="C278" i="26"/>
  <c r="C277" i="26"/>
  <c r="C276" i="26"/>
  <c r="C280" i="25"/>
  <c r="C279" i="25"/>
  <c r="C278" i="25"/>
  <c r="C277" i="25"/>
  <c r="C276" i="25"/>
  <c r="C280" i="24"/>
  <c r="C279" i="24"/>
  <c r="C278" i="24"/>
  <c r="C277" i="24"/>
  <c r="C276" i="24"/>
  <c r="C280" i="23"/>
  <c r="C279" i="23"/>
  <c r="C278" i="23"/>
  <c r="C277" i="23"/>
  <c r="C276" i="23"/>
  <c r="C280" i="21"/>
  <c r="C279" i="21"/>
  <c r="C278" i="21"/>
  <c r="C277" i="21"/>
  <c r="C276" i="21"/>
  <c r="C280" i="20"/>
  <c r="C279" i="20"/>
  <c r="C278" i="20"/>
  <c r="C277" i="20"/>
  <c r="C276" i="20"/>
  <c r="C280" i="19"/>
  <c r="C279" i="19"/>
  <c r="C278" i="19"/>
  <c r="C277" i="19"/>
  <c r="C276" i="19"/>
  <c r="C280" i="18"/>
  <c r="C279" i="18"/>
  <c r="C278" i="18"/>
  <c r="C277" i="18"/>
  <c r="C276" i="18"/>
  <c r="C280" i="17"/>
  <c r="C279" i="17"/>
  <c r="C278" i="17"/>
  <c r="C277" i="17"/>
  <c r="C276" i="17"/>
  <c r="C280" i="9"/>
  <c r="C279" i="9"/>
  <c r="C278" i="9"/>
  <c r="C277" i="9"/>
  <c r="C276" i="9"/>
  <c r="C251" i="36"/>
  <c r="C250" i="36"/>
  <c r="C249" i="36"/>
  <c r="C248" i="36"/>
  <c r="C247" i="36"/>
  <c r="C231" i="36"/>
  <c r="C230" i="36"/>
  <c r="C229" i="36"/>
  <c r="C228" i="36"/>
  <c r="C227" i="36"/>
  <c r="C210" i="36"/>
  <c r="C209" i="36"/>
  <c r="C208" i="36"/>
  <c r="C207" i="36"/>
  <c r="C206" i="36"/>
  <c r="C190" i="36"/>
  <c r="C189" i="36"/>
  <c r="C188" i="36"/>
  <c r="C187" i="36"/>
  <c r="C186" i="36"/>
  <c r="C170" i="36"/>
  <c r="C169" i="36"/>
  <c r="C168" i="36"/>
  <c r="C167" i="36"/>
  <c r="C166" i="36"/>
  <c r="C251" i="35"/>
  <c r="C250" i="35"/>
  <c r="C249" i="35"/>
  <c r="C248" i="35"/>
  <c r="C247" i="35"/>
  <c r="C231" i="35"/>
  <c r="C230" i="35"/>
  <c r="C229" i="35"/>
  <c r="C228" i="35"/>
  <c r="C227" i="35"/>
  <c r="C210" i="35"/>
  <c r="C209" i="35"/>
  <c r="C208" i="35"/>
  <c r="C207" i="35"/>
  <c r="C206" i="35"/>
  <c r="C190" i="35"/>
  <c r="C189" i="35"/>
  <c r="C188" i="35"/>
  <c r="C187" i="35"/>
  <c r="C186" i="35"/>
  <c r="C170" i="35"/>
  <c r="C169" i="35"/>
  <c r="C168" i="35"/>
  <c r="C167" i="35"/>
  <c r="C166" i="35"/>
  <c r="C251" i="34"/>
  <c r="C250" i="34"/>
  <c r="C249" i="34"/>
  <c r="C248" i="34"/>
  <c r="C247" i="34"/>
  <c r="C231" i="34"/>
  <c r="C230" i="34"/>
  <c r="C229" i="34"/>
  <c r="C228" i="34"/>
  <c r="C227" i="34"/>
  <c r="C210" i="34"/>
  <c r="C209" i="34"/>
  <c r="C208" i="34"/>
  <c r="C207" i="34"/>
  <c r="C206" i="34"/>
  <c r="C190" i="34"/>
  <c r="C189" i="34"/>
  <c r="C188" i="34"/>
  <c r="C187" i="34"/>
  <c r="C186" i="34"/>
  <c r="C170" i="34"/>
  <c r="C169" i="34"/>
  <c r="C168" i="34"/>
  <c r="C167" i="34"/>
  <c r="C166" i="34"/>
  <c r="C251" i="33"/>
  <c r="C250" i="33"/>
  <c r="C249" i="33"/>
  <c r="C248" i="33"/>
  <c r="C247" i="33"/>
  <c r="C231" i="33"/>
  <c r="C230" i="33"/>
  <c r="C229" i="33"/>
  <c r="C228" i="33"/>
  <c r="C227" i="33"/>
  <c r="C210" i="33"/>
  <c r="C209" i="33"/>
  <c r="C208" i="33"/>
  <c r="C207" i="33"/>
  <c r="C206" i="33"/>
  <c r="C190" i="33"/>
  <c r="C189" i="33"/>
  <c r="C188" i="33"/>
  <c r="C187" i="33"/>
  <c r="C186" i="33"/>
  <c r="C170" i="33"/>
  <c r="C169" i="33"/>
  <c r="C168" i="33"/>
  <c r="C167" i="33"/>
  <c r="C166" i="33"/>
  <c r="C251" i="32"/>
  <c r="C250" i="32"/>
  <c r="C249" i="32"/>
  <c r="C248" i="32"/>
  <c r="C247" i="32"/>
  <c r="C231" i="32"/>
  <c r="C230" i="32"/>
  <c r="C229" i="32"/>
  <c r="C228" i="32"/>
  <c r="C227" i="32"/>
  <c r="C210" i="32"/>
  <c r="C209" i="32"/>
  <c r="C208" i="32"/>
  <c r="C207" i="32"/>
  <c r="C206" i="32"/>
  <c r="C190" i="32"/>
  <c r="C189" i="32"/>
  <c r="C188" i="32"/>
  <c r="C187" i="32"/>
  <c r="C186" i="32"/>
  <c r="C170" i="32"/>
  <c r="C169" i="32"/>
  <c r="C168" i="32"/>
  <c r="C167" i="32"/>
  <c r="C166" i="32"/>
  <c r="C251" i="31"/>
  <c r="C250" i="31"/>
  <c r="C249" i="31"/>
  <c r="C248" i="31"/>
  <c r="C247" i="31"/>
  <c r="C231" i="31"/>
  <c r="C230" i="31"/>
  <c r="C229" i="31"/>
  <c r="C228" i="31"/>
  <c r="C227" i="31"/>
  <c r="C210" i="31"/>
  <c r="C209" i="31"/>
  <c r="C208" i="31"/>
  <c r="C207" i="31"/>
  <c r="C206" i="31"/>
  <c r="C190" i="31"/>
  <c r="C189" i="31"/>
  <c r="C188" i="31"/>
  <c r="C187" i="31"/>
  <c r="C186" i="31"/>
  <c r="C170" i="31"/>
  <c r="C169" i="31"/>
  <c r="C168" i="31"/>
  <c r="C167" i="31"/>
  <c r="C166" i="31"/>
  <c r="C251" i="30"/>
  <c r="C250" i="30"/>
  <c r="C249" i="30"/>
  <c r="C248" i="30"/>
  <c r="C247" i="30"/>
  <c r="C231" i="30"/>
  <c r="C230" i="30"/>
  <c r="C229" i="30"/>
  <c r="C228" i="30"/>
  <c r="C227" i="30"/>
  <c r="C210" i="30"/>
  <c r="C209" i="30"/>
  <c r="C208" i="30"/>
  <c r="C207" i="30"/>
  <c r="C206" i="30"/>
  <c r="C190" i="30"/>
  <c r="C189" i="30"/>
  <c r="C188" i="30"/>
  <c r="C187" i="30"/>
  <c r="C186" i="30"/>
  <c r="C170" i="30"/>
  <c r="C169" i="30"/>
  <c r="C168" i="30"/>
  <c r="C167" i="30"/>
  <c r="C166" i="30"/>
  <c r="C251" i="29"/>
  <c r="C250" i="29"/>
  <c r="C249" i="29"/>
  <c r="C248" i="29"/>
  <c r="C247" i="29"/>
  <c r="C231" i="29"/>
  <c r="C230" i="29"/>
  <c r="C229" i="29"/>
  <c r="C228" i="29"/>
  <c r="C227" i="29"/>
  <c r="C210" i="29"/>
  <c r="C209" i="29"/>
  <c r="C208" i="29"/>
  <c r="C207" i="29"/>
  <c r="C206" i="29"/>
  <c r="C190" i="29"/>
  <c r="C189" i="29"/>
  <c r="C188" i="29"/>
  <c r="C187" i="29"/>
  <c r="C186" i="29"/>
  <c r="C170" i="29"/>
  <c r="C169" i="29"/>
  <c r="C168" i="29"/>
  <c r="C167" i="29"/>
  <c r="C166" i="29"/>
  <c r="C251" i="28"/>
  <c r="C250" i="28"/>
  <c r="C249" i="28"/>
  <c r="C248" i="28"/>
  <c r="C247" i="28"/>
  <c r="C231" i="28"/>
  <c r="C230" i="28"/>
  <c r="C229" i="28"/>
  <c r="C228" i="28"/>
  <c r="C227" i="28"/>
  <c r="C210" i="28"/>
  <c r="C209" i="28"/>
  <c r="C208" i="28"/>
  <c r="C207" i="28"/>
  <c r="C206" i="28"/>
  <c r="C190" i="28"/>
  <c r="C189" i="28"/>
  <c r="C188" i="28"/>
  <c r="C187" i="28"/>
  <c r="C186" i="28"/>
  <c r="C170" i="28"/>
  <c r="C169" i="28"/>
  <c r="C168" i="28"/>
  <c r="C167" i="28"/>
  <c r="C166" i="28"/>
  <c r="C251" i="27"/>
  <c r="C250" i="27"/>
  <c r="C249" i="27"/>
  <c r="C248" i="27"/>
  <c r="C247" i="27"/>
  <c r="C231" i="27"/>
  <c r="C230" i="27"/>
  <c r="C229" i="27"/>
  <c r="C228" i="27"/>
  <c r="C227" i="27"/>
  <c r="C210" i="27"/>
  <c r="C209" i="27"/>
  <c r="C208" i="27"/>
  <c r="C207" i="27"/>
  <c r="C206" i="27"/>
  <c r="C190" i="27"/>
  <c r="C189" i="27"/>
  <c r="C188" i="27"/>
  <c r="C187" i="27"/>
  <c r="C186" i="27"/>
  <c r="C170" i="27"/>
  <c r="C169" i="27"/>
  <c r="C168" i="27"/>
  <c r="C167" i="27"/>
  <c r="C166" i="27"/>
  <c r="C251" i="26"/>
  <c r="C250" i="26"/>
  <c r="C249" i="26"/>
  <c r="C248" i="26"/>
  <c r="C247" i="26"/>
  <c r="C231" i="26"/>
  <c r="C230" i="26"/>
  <c r="C229" i="26"/>
  <c r="C228" i="26"/>
  <c r="C227" i="26"/>
  <c r="C210" i="26"/>
  <c r="C209" i="26"/>
  <c r="C208" i="26"/>
  <c r="C207" i="26"/>
  <c r="C206" i="26"/>
  <c r="C190" i="26"/>
  <c r="C189" i="26"/>
  <c r="C188" i="26"/>
  <c r="C187" i="26"/>
  <c r="C186" i="26"/>
  <c r="C170" i="26"/>
  <c r="C169" i="26"/>
  <c r="C168" i="26"/>
  <c r="C167" i="26"/>
  <c r="C166" i="26"/>
  <c r="C251" i="25"/>
  <c r="C250" i="25"/>
  <c r="C249" i="25"/>
  <c r="C248" i="25"/>
  <c r="C247" i="25"/>
  <c r="C231" i="25"/>
  <c r="C230" i="25"/>
  <c r="C229" i="25"/>
  <c r="C228" i="25"/>
  <c r="C227" i="25"/>
  <c r="C210" i="25"/>
  <c r="C209" i="25"/>
  <c r="C208" i="25"/>
  <c r="C207" i="25"/>
  <c r="C206" i="25"/>
  <c r="C190" i="25"/>
  <c r="C189" i="25"/>
  <c r="C188" i="25"/>
  <c r="C187" i="25"/>
  <c r="C186" i="25"/>
  <c r="C170" i="25"/>
  <c r="C169" i="25"/>
  <c r="C168" i="25"/>
  <c r="C167" i="25"/>
  <c r="C166" i="25"/>
  <c r="C251" i="24"/>
  <c r="C250" i="24"/>
  <c r="C249" i="24"/>
  <c r="C248" i="24"/>
  <c r="C247" i="24"/>
  <c r="C231" i="24"/>
  <c r="C230" i="24"/>
  <c r="C229" i="24"/>
  <c r="C228" i="24"/>
  <c r="C227" i="24"/>
  <c r="C210" i="24"/>
  <c r="C209" i="24"/>
  <c r="C208" i="24"/>
  <c r="C207" i="24"/>
  <c r="C206" i="24"/>
  <c r="C190" i="24"/>
  <c r="C189" i="24"/>
  <c r="C188" i="24"/>
  <c r="C187" i="24"/>
  <c r="C186" i="24"/>
  <c r="C170" i="24"/>
  <c r="C169" i="24"/>
  <c r="C168" i="24"/>
  <c r="C167" i="24"/>
  <c r="C166" i="24"/>
  <c r="C251" i="23"/>
  <c r="C250" i="23"/>
  <c r="C249" i="23"/>
  <c r="C248" i="23"/>
  <c r="C247" i="23"/>
  <c r="C231" i="23"/>
  <c r="C230" i="23"/>
  <c r="C229" i="23"/>
  <c r="C228" i="23"/>
  <c r="C227" i="23"/>
  <c r="C210" i="23"/>
  <c r="C209" i="23"/>
  <c r="C208" i="23"/>
  <c r="C207" i="23"/>
  <c r="C206" i="23"/>
  <c r="C190" i="23"/>
  <c r="C189" i="23"/>
  <c r="C188" i="23"/>
  <c r="C187" i="23"/>
  <c r="C186" i="23"/>
  <c r="C170" i="23"/>
  <c r="C169" i="23"/>
  <c r="C168" i="23"/>
  <c r="C167" i="23"/>
  <c r="C166" i="23"/>
  <c r="C251" i="21"/>
  <c r="C250" i="21"/>
  <c r="C249" i="21"/>
  <c r="C248" i="21"/>
  <c r="C247" i="21"/>
  <c r="C231" i="21"/>
  <c r="C230" i="21"/>
  <c r="C229" i="21"/>
  <c r="C228" i="21"/>
  <c r="C227" i="21"/>
  <c r="C210" i="21"/>
  <c r="C209" i="21"/>
  <c r="C208" i="21"/>
  <c r="C207" i="21"/>
  <c r="C206" i="21"/>
  <c r="C190" i="21"/>
  <c r="C189" i="21"/>
  <c r="C188" i="21"/>
  <c r="C187" i="21"/>
  <c r="C186" i="21"/>
  <c r="C170" i="21"/>
  <c r="C169" i="21"/>
  <c r="C168" i="21"/>
  <c r="C167" i="21"/>
  <c r="C166" i="21"/>
  <c r="C251" i="20"/>
  <c r="C250" i="20"/>
  <c r="C249" i="20"/>
  <c r="C248" i="20"/>
  <c r="C247" i="20"/>
  <c r="C231" i="20"/>
  <c r="C230" i="20"/>
  <c r="C229" i="20"/>
  <c r="C228" i="20"/>
  <c r="C227" i="20"/>
  <c r="C210" i="20"/>
  <c r="C209" i="20"/>
  <c r="C208" i="20"/>
  <c r="C207" i="20"/>
  <c r="C206" i="20"/>
  <c r="C190" i="20"/>
  <c r="C189" i="20"/>
  <c r="C188" i="20"/>
  <c r="C187" i="20"/>
  <c r="C186" i="20"/>
  <c r="C170" i="20"/>
  <c r="C169" i="20"/>
  <c r="C168" i="20"/>
  <c r="C167" i="20"/>
  <c r="C166" i="20"/>
  <c r="C251" i="19"/>
  <c r="C250" i="19"/>
  <c r="C249" i="19"/>
  <c r="C248" i="19"/>
  <c r="C247" i="19"/>
  <c r="C231" i="19"/>
  <c r="C230" i="19"/>
  <c r="C229" i="19"/>
  <c r="C228" i="19"/>
  <c r="C227" i="19"/>
  <c r="C210" i="19"/>
  <c r="C209" i="19"/>
  <c r="C208" i="19"/>
  <c r="C207" i="19"/>
  <c r="C206" i="19"/>
  <c r="C190" i="19"/>
  <c r="C189" i="19"/>
  <c r="C188" i="19"/>
  <c r="C187" i="19"/>
  <c r="C186" i="19"/>
  <c r="C170" i="19"/>
  <c r="C169" i="19"/>
  <c r="C168" i="19"/>
  <c r="C167" i="19"/>
  <c r="C166" i="19"/>
  <c r="C251" i="18"/>
  <c r="C250" i="18"/>
  <c r="C249" i="18"/>
  <c r="C248" i="18"/>
  <c r="C247" i="18"/>
  <c r="C231" i="18"/>
  <c r="C230" i="18"/>
  <c r="C229" i="18"/>
  <c r="C228" i="18"/>
  <c r="C227" i="18"/>
  <c r="C210" i="18"/>
  <c r="C209" i="18"/>
  <c r="C208" i="18"/>
  <c r="C207" i="18"/>
  <c r="C206" i="18"/>
  <c r="C190" i="18"/>
  <c r="C189" i="18"/>
  <c r="C188" i="18"/>
  <c r="C187" i="18"/>
  <c r="C186" i="18"/>
  <c r="C170" i="18"/>
  <c r="C169" i="18"/>
  <c r="C168" i="18"/>
  <c r="C167" i="18"/>
  <c r="C166" i="18"/>
  <c r="C251" i="17"/>
  <c r="C250" i="17"/>
  <c r="C249" i="17"/>
  <c r="C248" i="17"/>
  <c r="C247" i="17"/>
  <c r="C231" i="17"/>
  <c r="C230" i="17"/>
  <c r="C229" i="17"/>
  <c r="C228" i="17"/>
  <c r="C227" i="17"/>
  <c r="C210" i="17"/>
  <c r="C209" i="17"/>
  <c r="C208" i="17"/>
  <c r="C207" i="17"/>
  <c r="C206" i="17"/>
  <c r="C190" i="17"/>
  <c r="C189" i="17"/>
  <c r="C188" i="17"/>
  <c r="C187" i="17"/>
  <c r="C186" i="17"/>
  <c r="C170" i="17"/>
  <c r="C169" i="17"/>
  <c r="C168" i="17"/>
  <c r="C167" i="17"/>
  <c r="C166" i="17"/>
  <c r="C251" i="9"/>
  <c r="C250" i="9"/>
  <c r="C249" i="9"/>
  <c r="C248" i="9"/>
  <c r="C247" i="9"/>
  <c r="C231" i="9"/>
  <c r="C230" i="9"/>
  <c r="C229" i="9"/>
  <c r="C228" i="9"/>
  <c r="C227" i="9"/>
  <c r="C210" i="9"/>
  <c r="C209" i="9"/>
  <c r="C208" i="9"/>
  <c r="C207" i="9"/>
  <c r="C206" i="9"/>
  <c r="C190" i="9"/>
  <c r="C189" i="9"/>
  <c r="C188" i="9"/>
  <c r="C187" i="9"/>
  <c r="C186" i="9"/>
  <c r="C170" i="9"/>
  <c r="C169" i="9"/>
  <c r="C168" i="9"/>
  <c r="C167" i="9"/>
  <c r="C166" i="9"/>
  <c r="C149" i="36"/>
  <c r="C148" i="36"/>
  <c r="C147" i="36"/>
  <c r="C146" i="36"/>
  <c r="C145" i="36"/>
  <c r="C149" i="35"/>
  <c r="C148" i="35"/>
  <c r="C147" i="35"/>
  <c r="C146" i="35"/>
  <c r="C145" i="35"/>
  <c r="C149" i="34"/>
  <c r="C148" i="34"/>
  <c r="C147" i="34"/>
  <c r="C146" i="34"/>
  <c r="C145" i="34"/>
  <c r="C149" i="33"/>
  <c r="C148" i="33"/>
  <c r="C147" i="33"/>
  <c r="C146" i="33"/>
  <c r="C145" i="33"/>
  <c r="C149" i="32"/>
  <c r="C148" i="32"/>
  <c r="C147" i="32"/>
  <c r="C146" i="32"/>
  <c r="C145" i="32"/>
  <c r="C149" i="31"/>
  <c r="C148" i="31"/>
  <c r="C147" i="31"/>
  <c r="C146" i="31"/>
  <c r="C145" i="31"/>
  <c r="C149" i="30"/>
  <c r="C148" i="30"/>
  <c r="C147" i="30"/>
  <c r="C146" i="30"/>
  <c r="C145" i="30"/>
  <c r="C149" i="29"/>
  <c r="C148" i="29"/>
  <c r="C147" i="29"/>
  <c r="C146" i="29"/>
  <c r="C145" i="29"/>
  <c r="C149" i="28"/>
  <c r="C148" i="28"/>
  <c r="C147" i="28"/>
  <c r="C146" i="28"/>
  <c r="C145" i="28"/>
  <c r="C149" i="27"/>
  <c r="C148" i="27"/>
  <c r="C147" i="27"/>
  <c r="C146" i="27"/>
  <c r="C145" i="27"/>
  <c r="C149" i="26"/>
  <c r="C148" i="26"/>
  <c r="C147" i="26"/>
  <c r="C146" i="26"/>
  <c r="C145" i="26"/>
  <c r="C149" i="25"/>
  <c r="C148" i="25"/>
  <c r="C147" i="25"/>
  <c r="C146" i="25"/>
  <c r="C145" i="25"/>
  <c r="C149" i="24"/>
  <c r="C148" i="24"/>
  <c r="C147" i="24"/>
  <c r="C146" i="24"/>
  <c r="C145" i="24"/>
  <c r="C149" i="23"/>
  <c r="C148" i="23"/>
  <c r="C147" i="23"/>
  <c r="C146" i="23"/>
  <c r="C145" i="23"/>
  <c r="C149" i="21"/>
  <c r="C148" i="21"/>
  <c r="C147" i="21"/>
  <c r="C146" i="21"/>
  <c r="C145" i="21"/>
  <c r="C149" i="20"/>
  <c r="C148" i="20"/>
  <c r="C147" i="20"/>
  <c r="C146" i="20"/>
  <c r="C145" i="20"/>
  <c r="C149" i="19"/>
  <c r="C148" i="19"/>
  <c r="C147" i="19"/>
  <c r="C146" i="19"/>
  <c r="C145" i="19"/>
  <c r="C149" i="18"/>
  <c r="C148" i="18"/>
  <c r="C147" i="18"/>
  <c r="C146" i="18"/>
  <c r="C145" i="18"/>
  <c r="C149" i="17"/>
  <c r="C148" i="17"/>
  <c r="C147" i="17"/>
  <c r="C146" i="17"/>
  <c r="C145" i="17"/>
  <c r="C149" i="9"/>
  <c r="C148" i="9"/>
  <c r="C147" i="9"/>
  <c r="C146" i="9"/>
  <c r="C145" i="9"/>
  <c r="C108" i="36"/>
  <c r="C107" i="36"/>
  <c r="C106" i="36"/>
  <c r="C105" i="36"/>
  <c r="C104" i="36"/>
  <c r="C89" i="36"/>
  <c r="C88" i="36"/>
  <c r="C87" i="36"/>
  <c r="C86" i="36"/>
  <c r="C85" i="36"/>
  <c r="C70" i="36"/>
  <c r="C69" i="36"/>
  <c r="C68" i="36"/>
  <c r="C67" i="36"/>
  <c r="C66" i="36"/>
  <c r="C51" i="36"/>
  <c r="C50" i="36"/>
  <c r="C49" i="36"/>
  <c r="C48" i="36"/>
  <c r="C47" i="36"/>
  <c r="C108" i="35"/>
  <c r="C107" i="35"/>
  <c r="C106" i="35"/>
  <c r="C105" i="35"/>
  <c r="C104" i="35"/>
  <c r="C89" i="35"/>
  <c r="C88" i="35"/>
  <c r="C87" i="35"/>
  <c r="C86" i="35"/>
  <c r="C85" i="35"/>
  <c r="C70" i="35"/>
  <c r="C69" i="35"/>
  <c r="C68" i="35"/>
  <c r="C67" i="35"/>
  <c r="C66" i="35"/>
  <c r="C51" i="35"/>
  <c r="C50" i="35"/>
  <c r="C49" i="35"/>
  <c r="C48" i="35"/>
  <c r="C47" i="35"/>
  <c r="C108" i="34"/>
  <c r="C107" i="34"/>
  <c r="C106" i="34"/>
  <c r="C105" i="34"/>
  <c r="C104" i="34"/>
  <c r="C89" i="34"/>
  <c r="C88" i="34"/>
  <c r="C87" i="34"/>
  <c r="C86" i="34"/>
  <c r="C85" i="34"/>
  <c r="C70" i="34"/>
  <c r="C69" i="34"/>
  <c r="C68" i="34"/>
  <c r="C67" i="34"/>
  <c r="C66" i="34"/>
  <c r="C51" i="34"/>
  <c r="C50" i="34"/>
  <c r="C49" i="34"/>
  <c r="C48" i="34"/>
  <c r="C47" i="34"/>
  <c r="C108" i="33"/>
  <c r="C107" i="33"/>
  <c r="C106" i="33"/>
  <c r="C105" i="33"/>
  <c r="C104" i="33"/>
  <c r="C89" i="33"/>
  <c r="C88" i="33"/>
  <c r="C87" i="33"/>
  <c r="C86" i="33"/>
  <c r="C85" i="33"/>
  <c r="C70" i="33"/>
  <c r="C69" i="33"/>
  <c r="C68" i="33"/>
  <c r="C67" i="33"/>
  <c r="C66" i="33"/>
  <c r="C51" i="33"/>
  <c r="C50" i="33"/>
  <c r="C49" i="33"/>
  <c r="C48" i="33"/>
  <c r="C47" i="33"/>
  <c r="C108" i="32"/>
  <c r="C107" i="32"/>
  <c r="C106" i="32"/>
  <c r="C105" i="32"/>
  <c r="C104" i="32"/>
  <c r="C89" i="32"/>
  <c r="C88" i="32"/>
  <c r="C87" i="32"/>
  <c r="C86" i="32"/>
  <c r="C85" i="32"/>
  <c r="C70" i="32"/>
  <c r="C69" i="32"/>
  <c r="C68" i="32"/>
  <c r="C67" i="32"/>
  <c r="C66" i="32"/>
  <c r="C51" i="32"/>
  <c r="C50" i="32"/>
  <c r="C49" i="32"/>
  <c r="C48" i="32"/>
  <c r="C47" i="32"/>
  <c r="C108" i="31"/>
  <c r="C107" i="31"/>
  <c r="C106" i="31"/>
  <c r="C105" i="31"/>
  <c r="C104" i="31"/>
  <c r="C89" i="31"/>
  <c r="C88" i="31"/>
  <c r="C87" i="31"/>
  <c r="C86" i="31"/>
  <c r="C85" i="31"/>
  <c r="C70" i="31"/>
  <c r="C69" i="31"/>
  <c r="C68" i="31"/>
  <c r="C67" i="31"/>
  <c r="C66" i="31"/>
  <c r="C51" i="31"/>
  <c r="C50" i="31"/>
  <c r="C49" i="31"/>
  <c r="C48" i="31"/>
  <c r="C47" i="31"/>
  <c r="C108" i="30"/>
  <c r="C107" i="30"/>
  <c r="C106" i="30"/>
  <c r="C105" i="30"/>
  <c r="C104" i="30"/>
  <c r="C89" i="30"/>
  <c r="C88" i="30"/>
  <c r="C87" i="30"/>
  <c r="C86" i="30"/>
  <c r="C85" i="30"/>
  <c r="C70" i="30"/>
  <c r="C69" i="30"/>
  <c r="C68" i="30"/>
  <c r="C67" i="30"/>
  <c r="C66" i="30"/>
  <c r="C51" i="30"/>
  <c r="C50" i="30"/>
  <c r="C49" i="30"/>
  <c r="C48" i="30"/>
  <c r="C47" i="30"/>
  <c r="C108" i="29"/>
  <c r="C107" i="29"/>
  <c r="C106" i="29"/>
  <c r="C105" i="29"/>
  <c r="C104" i="29"/>
  <c r="C89" i="29"/>
  <c r="C88" i="29"/>
  <c r="C87" i="29"/>
  <c r="C86" i="29"/>
  <c r="C85" i="29"/>
  <c r="C70" i="29"/>
  <c r="C69" i="29"/>
  <c r="C68" i="29"/>
  <c r="C67" i="29"/>
  <c r="C66" i="29"/>
  <c r="C51" i="29"/>
  <c r="C50" i="29"/>
  <c r="C49" i="29"/>
  <c r="C48" i="29"/>
  <c r="C47" i="29"/>
  <c r="C108" i="28"/>
  <c r="C107" i="28"/>
  <c r="C106" i="28"/>
  <c r="C105" i="28"/>
  <c r="C104" i="28"/>
  <c r="C89" i="28"/>
  <c r="C88" i="28"/>
  <c r="C87" i="28"/>
  <c r="C86" i="28"/>
  <c r="C85" i="28"/>
  <c r="C70" i="28"/>
  <c r="C69" i="28"/>
  <c r="C68" i="28"/>
  <c r="C67" i="28"/>
  <c r="C66" i="28"/>
  <c r="C51" i="28"/>
  <c r="C50" i="28"/>
  <c r="C49" i="28"/>
  <c r="C48" i="28"/>
  <c r="C47" i="28"/>
  <c r="C108" i="27"/>
  <c r="C107" i="27"/>
  <c r="C106" i="27"/>
  <c r="C105" i="27"/>
  <c r="C104" i="27"/>
  <c r="C89" i="27"/>
  <c r="C88" i="27"/>
  <c r="C87" i="27"/>
  <c r="C86" i="27"/>
  <c r="C85" i="27"/>
  <c r="C70" i="27"/>
  <c r="C69" i="27"/>
  <c r="C68" i="27"/>
  <c r="C67" i="27"/>
  <c r="C66" i="27"/>
  <c r="C51" i="27"/>
  <c r="C50" i="27"/>
  <c r="C49" i="27"/>
  <c r="C48" i="27"/>
  <c r="C47" i="27"/>
  <c r="C108" i="26"/>
  <c r="C107" i="26"/>
  <c r="C106" i="26"/>
  <c r="C105" i="26"/>
  <c r="C104" i="26"/>
  <c r="C89" i="26"/>
  <c r="C88" i="26"/>
  <c r="C87" i="26"/>
  <c r="C86" i="26"/>
  <c r="C85" i="26"/>
  <c r="C70" i="26"/>
  <c r="C69" i="26"/>
  <c r="C68" i="26"/>
  <c r="C67" i="26"/>
  <c r="C66" i="26"/>
  <c r="C51" i="26"/>
  <c r="C50" i="26"/>
  <c r="C49" i="26"/>
  <c r="C48" i="26"/>
  <c r="C47" i="26"/>
  <c r="C108" i="25"/>
  <c r="C107" i="25"/>
  <c r="C106" i="25"/>
  <c r="C105" i="25"/>
  <c r="C104" i="25"/>
  <c r="C89" i="25"/>
  <c r="C88" i="25"/>
  <c r="C87" i="25"/>
  <c r="C86" i="25"/>
  <c r="C85" i="25"/>
  <c r="C70" i="25"/>
  <c r="C69" i="25"/>
  <c r="C68" i="25"/>
  <c r="C67" i="25"/>
  <c r="C66" i="25"/>
  <c r="C51" i="25"/>
  <c r="C50" i="25"/>
  <c r="C49" i="25"/>
  <c r="C48" i="25"/>
  <c r="C47" i="25"/>
  <c r="C108" i="24"/>
  <c r="C107" i="24"/>
  <c r="C106" i="24"/>
  <c r="C105" i="24"/>
  <c r="C104" i="24"/>
  <c r="C89" i="24"/>
  <c r="C88" i="24"/>
  <c r="C87" i="24"/>
  <c r="C86" i="24"/>
  <c r="C85" i="24"/>
  <c r="C70" i="24"/>
  <c r="C69" i="24"/>
  <c r="C68" i="24"/>
  <c r="C67" i="24"/>
  <c r="C66" i="24"/>
  <c r="C51" i="24"/>
  <c r="C50" i="24"/>
  <c r="C49" i="24"/>
  <c r="C48" i="24"/>
  <c r="C47" i="24"/>
  <c r="C108" i="23"/>
  <c r="C107" i="23"/>
  <c r="C106" i="23"/>
  <c r="C105" i="23"/>
  <c r="C104" i="23"/>
  <c r="C89" i="23"/>
  <c r="C88" i="23"/>
  <c r="C87" i="23"/>
  <c r="C86" i="23"/>
  <c r="C85" i="23"/>
  <c r="C70" i="23"/>
  <c r="C69" i="23"/>
  <c r="C68" i="23"/>
  <c r="C67" i="23"/>
  <c r="C66" i="23"/>
  <c r="C51" i="23"/>
  <c r="C50" i="23"/>
  <c r="C49" i="23"/>
  <c r="C48" i="23"/>
  <c r="C47" i="23"/>
  <c r="C108" i="21"/>
  <c r="C107" i="21"/>
  <c r="C106" i="21"/>
  <c r="C105" i="21"/>
  <c r="C104" i="21"/>
  <c r="C89" i="21"/>
  <c r="C88" i="21"/>
  <c r="C87" i="21"/>
  <c r="C86" i="21"/>
  <c r="C85" i="21"/>
  <c r="C70" i="21"/>
  <c r="C69" i="21"/>
  <c r="C68" i="21"/>
  <c r="C67" i="21"/>
  <c r="C66" i="21"/>
  <c r="C51" i="21"/>
  <c r="C50" i="21"/>
  <c r="C49" i="21"/>
  <c r="C48" i="21"/>
  <c r="C47" i="21"/>
  <c r="C108" i="20"/>
  <c r="C107" i="20"/>
  <c r="C106" i="20"/>
  <c r="C105" i="20"/>
  <c r="C104" i="20"/>
  <c r="C89" i="20"/>
  <c r="C88" i="20"/>
  <c r="C87" i="20"/>
  <c r="C86" i="20"/>
  <c r="C85" i="20"/>
  <c r="C70" i="20"/>
  <c r="C69" i="20"/>
  <c r="C68" i="20"/>
  <c r="C67" i="20"/>
  <c r="C66" i="20"/>
  <c r="C51" i="20"/>
  <c r="C50" i="20"/>
  <c r="C49" i="20"/>
  <c r="C48" i="20"/>
  <c r="C47" i="20"/>
  <c r="C108" i="19"/>
  <c r="C107" i="19"/>
  <c r="C106" i="19"/>
  <c r="C105" i="19"/>
  <c r="C104" i="19"/>
  <c r="C89" i="19"/>
  <c r="C88" i="19"/>
  <c r="C87" i="19"/>
  <c r="C86" i="19"/>
  <c r="C85" i="19"/>
  <c r="C70" i="19"/>
  <c r="C69" i="19"/>
  <c r="C68" i="19"/>
  <c r="C67" i="19"/>
  <c r="C66" i="19"/>
  <c r="C51" i="19"/>
  <c r="C50" i="19"/>
  <c r="C49" i="19"/>
  <c r="C48" i="19"/>
  <c r="C47" i="19"/>
  <c r="C108" i="18"/>
  <c r="C107" i="18"/>
  <c r="C106" i="18"/>
  <c r="C105" i="18"/>
  <c r="C104" i="18"/>
  <c r="C89" i="18"/>
  <c r="C88" i="18"/>
  <c r="C87" i="18"/>
  <c r="C86" i="18"/>
  <c r="C85" i="18"/>
  <c r="C70" i="18"/>
  <c r="C69" i="18"/>
  <c r="C68" i="18"/>
  <c r="C67" i="18"/>
  <c r="C66" i="18"/>
  <c r="C51" i="18"/>
  <c r="C50" i="18"/>
  <c r="C49" i="18"/>
  <c r="C48" i="18"/>
  <c r="C47" i="18"/>
  <c r="C32" i="36"/>
  <c r="C31" i="36"/>
  <c r="C30" i="36"/>
  <c r="C29" i="36"/>
  <c r="C28" i="36"/>
  <c r="C32" i="35"/>
  <c r="C31" i="35"/>
  <c r="C30" i="35"/>
  <c r="C29" i="35"/>
  <c r="C28" i="35"/>
  <c r="C32" i="34"/>
  <c r="C31" i="34"/>
  <c r="C30" i="34"/>
  <c r="C29" i="34"/>
  <c r="C28" i="34"/>
  <c r="C32" i="33"/>
  <c r="C31" i="33"/>
  <c r="C30" i="33"/>
  <c r="C29" i="33"/>
  <c r="C28" i="33"/>
  <c r="C32" i="32"/>
  <c r="C31" i="32"/>
  <c r="C30" i="32"/>
  <c r="C29" i="32"/>
  <c r="C28" i="32"/>
  <c r="C32" i="31"/>
  <c r="C31" i="31"/>
  <c r="C30" i="31"/>
  <c r="C29" i="31"/>
  <c r="C28" i="31"/>
  <c r="C32" i="30"/>
  <c r="C31" i="30"/>
  <c r="C30" i="30"/>
  <c r="C29" i="30"/>
  <c r="C28" i="30"/>
  <c r="C32" i="29"/>
  <c r="C31" i="29"/>
  <c r="C30" i="29"/>
  <c r="C29" i="29"/>
  <c r="C28" i="29"/>
  <c r="C32" i="28"/>
  <c r="C31" i="28"/>
  <c r="C30" i="28"/>
  <c r="C29" i="28"/>
  <c r="C28" i="28"/>
  <c r="C32" i="27"/>
  <c r="C31" i="27"/>
  <c r="C30" i="27"/>
  <c r="C29" i="27"/>
  <c r="C28" i="27"/>
  <c r="C32" i="26"/>
  <c r="C31" i="26"/>
  <c r="C30" i="26"/>
  <c r="C29" i="26"/>
  <c r="C28" i="26"/>
  <c r="C32" i="25"/>
  <c r="C31" i="25"/>
  <c r="C30" i="25"/>
  <c r="C29" i="25"/>
  <c r="C28" i="25"/>
  <c r="C32" i="24"/>
  <c r="C31" i="24"/>
  <c r="C30" i="24"/>
  <c r="C29" i="24"/>
  <c r="C28" i="24"/>
  <c r="C32" i="23"/>
  <c r="C31" i="23"/>
  <c r="C30" i="23"/>
  <c r="C29" i="23"/>
  <c r="C28" i="23"/>
  <c r="C32" i="21"/>
  <c r="C31" i="21"/>
  <c r="C30" i="21"/>
  <c r="C29" i="21"/>
  <c r="C28" i="21"/>
  <c r="C32" i="20"/>
  <c r="C31" i="20"/>
  <c r="C30" i="20"/>
  <c r="C29" i="20"/>
  <c r="C28" i="20"/>
  <c r="C32" i="19"/>
  <c r="C31" i="19"/>
  <c r="C30" i="19"/>
  <c r="C29" i="19"/>
  <c r="C28" i="19"/>
  <c r="C32" i="18"/>
  <c r="C31" i="18"/>
  <c r="C30" i="18"/>
  <c r="C29" i="18"/>
  <c r="C28" i="18"/>
  <c r="C108" i="17"/>
  <c r="C107" i="17"/>
  <c r="C106" i="17"/>
  <c r="C105" i="17"/>
  <c r="C104" i="17"/>
  <c r="C89" i="17"/>
  <c r="C88" i="17"/>
  <c r="C87" i="17"/>
  <c r="C86" i="17"/>
  <c r="C85" i="17"/>
  <c r="C70" i="17"/>
  <c r="C69" i="17"/>
  <c r="C68" i="17"/>
  <c r="C67" i="17"/>
  <c r="C66" i="17"/>
  <c r="C51" i="17"/>
  <c r="C50" i="17"/>
  <c r="C49" i="17"/>
  <c r="C48" i="17"/>
  <c r="C47" i="17"/>
  <c r="C32" i="17"/>
  <c r="C31" i="17"/>
  <c r="C30" i="17"/>
  <c r="C29" i="17"/>
  <c r="C28" i="17"/>
  <c r="C108" i="9"/>
  <c r="C107" i="9"/>
  <c r="C106" i="9"/>
  <c r="C105" i="9"/>
  <c r="C104" i="9"/>
  <c r="C89" i="9"/>
  <c r="C88" i="9"/>
  <c r="C87" i="9"/>
  <c r="C86" i="9"/>
  <c r="C85" i="9"/>
  <c r="C70" i="9"/>
  <c r="C69" i="9"/>
  <c r="C68" i="9"/>
  <c r="C67" i="9"/>
  <c r="C66" i="9"/>
  <c r="C51" i="9"/>
  <c r="C50" i="9"/>
  <c r="C49" i="9"/>
  <c r="C48" i="9"/>
  <c r="C47" i="9"/>
  <c r="C32" i="9"/>
  <c r="C31" i="9"/>
  <c r="C30" i="9"/>
  <c r="C29" i="9"/>
  <c r="C28" i="9"/>
  <c r="J409" i="18" l="1"/>
  <c r="J673" i="33"/>
  <c r="J651" i="33"/>
  <c r="J629" i="33"/>
  <c r="J579" i="33"/>
  <c r="J556" i="33"/>
  <c r="J282" i="33"/>
  <c r="J253" i="33"/>
  <c r="J233" i="33"/>
  <c r="J212" i="33"/>
  <c r="J192" i="33"/>
  <c r="J172" i="33"/>
  <c r="J151" i="33"/>
  <c r="J110" i="33"/>
  <c r="J91" i="33"/>
  <c r="J72" i="33"/>
  <c r="J53" i="33"/>
  <c r="J34" i="33"/>
  <c r="J381" i="31" l="1"/>
  <c r="J932" i="18"/>
  <c r="J928" i="18"/>
  <c r="J924" i="18"/>
  <c r="J920" i="18"/>
  <c r="J916" i="18"/>
  <c r="J912" i="18"/>
  <c r="J908" i="18"/>
  <c r="J904" i="18"/>
  <c r="J890" i="18"/>
  <c r="J886" i="18"/>
  <c r="J882" i="18"/>
  <c r="J878" i="18"/>
  <c r="J874" i="18"/>
  <c r="J870" i="18"/>
  <c r="J866" i="18"/>
  <c r="J862" i="18"/>
  <c r="J858" i="18"/>
  <c r="J854" i="18"/>
  <c r="J850" i="18"/>
  <c r="J846" i="18"/>
  <c r="J842" i="18"/>
  <c r="J838" i="18"/>
  <c r="J834" i="18"/>
  <c r="J661" i="18"/>
  <c r="J640" i="18"/>
  <c r="J619" i="18"/>
  <c r="J568" i="18"/>
  <c r="J546" i="18"/>
  <c r="J381" i="18"/>
  <c r="J354" i="18"/>
  <c r="J341" i="18"/>
  <c r="J243" i="18"/>
  <c r="J222" i="18"/>
  <c r="J202" i="18"/>
  <c r="J204" i="18" s="1"/>
  <c r="J182" i="18"/>
  <c r="J161" i="18"/>
  <c r="J140" i="18"/>
  <c r="J101" i="18"/>
  <c r="J103" i="18" s="1"/>
  <c r="J82" i="18"/>
  <c r="J83" i="18" s="1"/>
  <c r="J63" i="18"/>
  <c r="J65" i="18" s="1"/>
  <c r="J44" i="18"/>
  <c r="J46" i="18" s="1"/>
  <c r="J25" i="18"/>
  <c r="J27" i="18" s="1"/>
  <c r="J770" i="18" l="1"/>
  <c r="J769" i="18"/>
  <c r="J768" i="18"/>
  <c r="J767" i="18"/>
  <c r="J766" i="18"/>
  <c r="J765" i="18"/>
  <c r="J764" i="18"/>
  <c r="J763" i="18"/>
  <c r="J762" i="18"/>
  <c r="J755" i="18"/>
  <c r="J754" i="18"/>
  <c r="J753" i="18"/>
  <c r="J752" i="18"/>
  <c r="J751" i="18"/>
  <c r="J750" i="18"/>
  <c r="J749" i="18"/>
  <c r="J748" i="18"/>
  <c r="J747" i="18"/>
  <c r="J740" i="18"/>
  <c r="J739" i="18"/>
  <c r="J738" i="18"/>
  <c r="J737" i="18"/>
  <c r="J736" i="18"/>
  <c r="J735" i="18"/>
  <c r="J734" i="18"/>
  <c r="J733" i="18"/>
  <c r="J732" i="18"/>
  <c r="J725" i="18"/>
  <c r="J724" i="18"/>
  <c r="J723" i="18"/>
  <c r="J722" i="18"/>
  <c r="J721" i="18"/>
  <c r="J720" i="18"/>
  <c r="J719" i="18"/>
  <c r="J718" i="18"/>
  <c r="J717" i="18"/>
  <c r="J775" i="18" s="1"/>
  <c r="J675" i="18"/>
  <c r="J673" i="18"/>
  <c r="J663" i="18"/>
  <c r="J666" i="18"/>
  <c r="J653" i="18"/>
  <c r="J651" i="18"/>
  <c r="J644" i="18"/>
  <c r="J631" i="18"/>
  <c r="J629" i="18"/>
  <c r="J622" i="18"/>
  <c r="J606" i="18"/>
  <c r="J615" i="18" s="1"/>
  <c r="J597" i="18"/>
  <c r="J590" i="18"/>
  <c r="J581" i="18"/>
  <c r="J579" i="18"/>
  <c r="J572" i="18"/>
  <c r="J558" i="18"/>
  <c r="J556" i="18"/>
  <c r="J549" i="18"/>
  <c r="J533" i="18"/>
  <c r="J526" i="18"/>
  <c r="J516" i="18"/>
  <c r="J520" i="18" s="1"/>
  <c r="J509" i="18"/>
  <c r="J500" i="18"/>
  <c r="J493" i="18"/>
  <c r="J479" i="18"/>
  <c r="J488" i="18" s="1"/>
  <c r="J469" i="18"/>
  <c r="J462" i="18"/>
  <c r="J453" i="18"/>
  <c r="J446" i="18"/>
  <c r="J436" i="18"/>
  <c r="J429" i="18"/>
  <c r="J440" i="18" s="1"/>
  <c r="J418" i="18"/>
  <c r="J383" i="18"/>
  <c r="J375" i="18"/>
  <c r="J363" i="18"/>
  <c r="J356" i="18"/>
  <c r="J342" i="18"/>
  <c r="J322" i="18"/>
  <c r="J303" i="18"/>
  <c r="J284" i="18"/>
  <c r="J282" i="18"/>
  <c r="J271" i="18"/>
  <c r="J255" i="18"/>
  <c r="J253" i="18"/>
  <c r="J246" i="18"/>
  <c r="J235" i="18"/>
  <c r="J233" i="18"/>
  <c r="J224" i="18"/>
  <c r="J226" i="18"/>
  <c r="J214" i="18"/>
  <c r="J212" i="18"/>
  <c r="J205" i="18"/>
  <c r="J194" i="18"/>
  <c r="J192" i="18"/>
  <c r="J185" i="18"/>
  <c r="J174" i="18"/>
  <c r="J172" i="18"/>
  <c r="J163" i="18"/>
  <c r="J165" i="18" s="1"/>
  <c r="J153" i="18"/>
  <c r="J151" i="18"/>
  <c r="J127" i="18"/>
  <c r="J125" i="18"/>
  <c r="J112" i="18"/>
  <c r="J110" i="18"/>
  <c r="J93" i="18"/>
  <c r="J91" i="18"/>
  <c r="J74" i="18"/>
  <c r="J72" i="18"/>
  <c r="J55" i="18"/>
  <c r="J53" i="18"/>
  <c r="J36" i="18"/>
  <c r="J34" i="18"/>
  <c r="E18" i="18"/>
  <c r="E17" i="18"/>
  <c r="J791" i="18" l="1"/>
  <c r="J807" i="18"/>
  <c r="J131" i="18"/>
  <c r="J537" i="18"/>
  <c r="J142" i="18"/>
  <c r="J345" i="18"/>
  <c r="J84" i="18"/>
  <c r="J473" i="18"/>
  <c r="J59" i="18"/>
  <c r="J601" i="18"/>
  <c r="J178" i="18"/>
  <c r="J40" i="18"/>
  <c r="J116" i="18"/>
  <c r="J787" i="18"/>
  <c r="J803" i="18"/>
  <c r="J783" i="18"/>
  <c r="J799" i="18"/>
  <c r="J239" i="18"/>
  <c r="J367" i="18"/>
  <c r="J457" i="18"/>
  <c r="J779" i="18"/>
  <c r="J795" i="18"/>
  <c r="J504" i="18"/>
  <c r="J78" i="18"/>
  <c r="J562" i="18"/>
  <c r="J585" i="18"/>
  <c r="J218" i="18"/>
  <c r="J259" i="18"/>
  <c r="J387" i="18"/>
  <c r="J657" i="18"/>
  <c r="J198" i="18"/>
  <c r="J635" i="18"/>
  <c r="J679" i="18"/>
  <c r="J97" i="18"/>
  <c r="J144" i="18" l="1"/>
  <c r="J157" i="18" s="1"/>
  <c r="J261" i="18" s="1"/>
  <c r="J539" i="18"/>
  <c r="J133" i="18"/>
  <c r="J681" i="18"/>
  <c r="J690" i="18" l="1"/>
  <c r="J428" i="30"/>
  <c r="J461" i="30"/>
  <c r="J36" i="17"/>
  <c r="J703" i="18" l="1"/>
  <c r="J409" i="36"/>
  <c r="J409" i="35"/>
  <c r="J409" i="34"/>
  <c r="J409" i="33"/>
  <c r="J409" i="31"/>
  <c r="J409" i="29"/>
  <c r="J409" i="27"/>
  <c r="J409" i="26"/>
  <c r="J409" i="25"/>
  <c r="J409" i="24"/>
  <c r="J409" i="23"/>
  <c r="J409" i="21"/>
  <c r="J409" i="20"/>
  <c r="J409" i="19"/>
  <c r="J375" i="35"/>
  <c r="J375" i="34"/>
  <c r="J375" i="33"/>
  <c r="J375" i="32"/>
  <c r="J375" i="29"/>
  <c r="J375" i="28"/>
  <c r="J375" i="26"/>
  <c r="J375" i="25"/>
  <c r="J375" i="24"/>
  <c r="J375" i="23"/>
  <c r="J375" i="21"/>
  <c r="J375" i="19"/>
  <c r="J375" i="17"/>
  <c r="J375" i="9"/>
  <c r="J354" i="36" l="1"/>
  <c r="J182" i="36"/>
  <c r="J354" i="35"/>
  <c r="J182" i="35"/>
  <c r="J354" i="34"/>
  <c r="J182" i="34"/>
  <c r="J354" i="33"/>
  <c r="J182" i="33"/>
  <c r="J354" i="32"/>
  <c r="J182" i="32"/>
  <c r="J354" i="31"/>
  <c r="J182" i="31"/>
  <c r="J354" i="30"/>
  <c r="J182" i="30"/>
  <c r="J354" i="29"/>
  <c r="J182" i="29"/>
  <c r="J354" i="28"/>
  <c r="J182" i="28"/>
  <c r="J354" i="27"/>
  <c r="J182" i="27"/>
  <c r="J354" i="26"/>
  <c r="J182" i="26"/>
  <c r="J354" i="25"/>
  <c r="J182" i="25"/>
  <c r="J354" i="24"/>
  <c r="J182" i="24"/>
  <c r="J354" i="23"/>
  <c r="J182" i="23"/>
  <c r="J354" i="21"/>
  <c r="J182" i="21"/>
  <c r="J354" i="20"/>
  <c r="J182" i="20"/>
  <c r="J354" i="19"/>
  <c r="J182" i="19"/>
  <c r="J354" i="17"/>
  <c r="J182" i="17"/>
  <c r="J354" i="9"/>
  <c r="J182" i="9"/>
  <c r="J185" i="9" s="1"/>
  <c r="J312" i="20" l="1"/>
  <c r="J331" i="20" s="1"/>
  <c r="J392" i="30" l="1"/>
  <c r="J372" i="30"/>
  <c r="J312" i="30"/>
  <c r="J381" i="20"/>
  <c r="J363" i="20"/>
  <c r="J356" i="20"/>
  <c r="J341" i="20"/>
  <c r="J322" i="20"/>
  <c r="J303" i="20"/>
  <c r="J381" i="23"/>
  <c r="J353" i="23"/>
  <c r="J355" i="23" s="1"/>
  <c r="J363" i="23"/>
  <c r="J341" i="23"/>
  <c r="J322" i="23"/>
  <c r="J303" i="23"/>
  <c r="J381" i="27"/>
  <c r="J363" i="27"/>
  <c r="J356" i="27"/>
  <c r="J341" i="27"/>
  <c r="J322" i="27"/>
  <c r="J303" i="27"/>
  <c r="J381" i="30"/>
  <c r="J363" i="30"/>
  <c r="J356" i="30"/>
  <c r="J341" i="30"/>
  <c r="J322" i="30"/>
  <c r="J303" i="30"/>
  <c r="J363" i="31"/>
  <c r="J356" i="31"/>
  <c r="J341" i="31"/>
  <c r="J341" i="33"/>
  <c r="J322" i="31"/>
  <c r="J303" i="31"/>
  <c r="J381" i="36"/>
  <c r="J363" i="36"/>
  <c r="J356" i="36"/>
  <c r="J341" i="36"/>
  <c r="J322" i="36"/>
  <c r="J303" i="36"/>
  <c r="J381" i="35"/>
  <c r="J363" i="35"/>
  <c r="J341" i="35"/>
  <c r="J322" i="35"/>
  <c r="J303" i="35"/>
  <c r="J342" i="36" l="1"/>
  <c r="J383" i="36"/>
  <c r="J342" i="35"/>
  <c r="J383" i="35"/>
  <c r="J387" i="35" s="1"/>
  <c r="J342" i="31"/>
  <c r="J383" i="31"/>
  <c r="J342" i="30"/>
  <c r="J383" i="30"/>
  <c r="J383" i="27"/>
  <c r="J342" i="27"/>
  <c r="J342" i="23"/>
  <c r="J383" i="23"/>
  <c r="J387" i="23" s="1"/>
  <c r="J342" i="20"/>
  <c r="J383" i="20"/>
  <c r="J367" i="36"/>
  <c r="J367" i="31"/>
  <c r="J375" i="30"/>
  <c r="J367" i="30"/>
  <c r="J367" i="27"/>
  <c r="J367" i="20"/>
  <c r="C78" i="38"/>
  <c r="C72" i="38"/>
  <c r="C68" i="38"/>
  <c r="C71" i="38"/>
  <c r="C62" i="38"/>
  <c r="C77" i="38"/>
  <c r="C67" i="38"/>
  <c r="C76" i="38"/>
  <c r="C66" i="38"/>
  <c r="C65" i="38"/>
  <c r="C64" i="38"/>
  <c r="C80" i="38"/>
  <c r="C75" i="38"/>
  <c r="C79" i="38"/>
  <c r="C61" i="38"/>
  <c r="C63" i="38"/>
  <c r="C74" i="38"/>
  <c r="C69" i="38"/>
  <c r="C70" i="38"/>
  <c r="C73" i="38"/>
  <c r="C53" i="38"/>
  <c r="C52" i="38"/>
  <c r="C51" i="38"/>
  <c r="C50" i="38"/>
  <c r="C49" i="38"/>
  <c r="C48" i="38"/>
  <c r="C47" i="38"/>
  <c r="C46" i="38"/>
  <c r="C45" i="38"/>
  <c r="C44" i="38"/>
  <c r="C43" i="38"/>
  <c r="C42" i="38"/>
  <c r="C41" i="38"/>
  <c r="C40" i="38"/>
  <c r="C39" i="38"/>
  <c r="C38" i="38"/>
  <c r="C37" i="38"/>
  <c r="C54" i="38"/>
  <c r="C36" i="38"/>
  <c r="C35" i="38"/>
  <c r="C28" i="38"/>
  <c r="C27" i="38"/>
  <c r="C26" i="38"/>
  <c r="C24" i="38"/>
  <c r="C25" i="38"/>
  <c r="C23" i="38"/>
  <c r="C20" i="38"/>
  <c r="C21" i="38"/>
  <c r="C22" i="38"/>
  <c r="C19" i="38"/>
  <c r="C18" i="38"/>
  <c r="C16" i="38"/>
  <c r="C15" i="38"/>
  <c r="C14" i="38"/>
  <c r="C17" i="38"/>
  <c r="C13" i="38"/>
  <c r="C12" i="38"/>
  <c r="C11" i="38"/>
  <c r="C9" i="38"/>
  <c r="C10" i="38"/>
  <c r="J932" i="36"/>
  <c r="J928" i="36"/>
  <c r="J924" i="36"/>
  <c r="J920" i="36"/>
  <c r="J916" i="36"/>
  <c r="J912" i="36"/>
  <c r="J908" i="36"/>
  <c r="J904" i="36"/>
  <c r="J890" i="36"/>
  <c r="J886" i="36"/>
  <c r="J882" i="36"/>
  <c r="J878" i="36"/>
  <c r="J874" i="36"/>
  <c r="J870" i="36"/>
  <c r="J866" i="36"/>
  <c r="J862" i="36"/>
  <c r="J858" i="36"/>
  <c r="J854" i="36"/>
  <c r="J850" i="36"/>
  <c r="J846" i="36"/>
  <c r="J842" i="36"/>
  <c r="J838" i="36"/>
  <c r="J834" i="36"/>
  <c r="J770" i="36"/>
  <c r="J769" i="36"/>
  <c r="J768" i="36"/>
  <c r="J767" i="36"/>
  <c r="J766" i="36"/>
  <c r="J765" i="36"/>
  <c r="J764" i="36"/>
  <c r="J763" i="36"/>
  <c r="J762" i="36"/>
  <c r="J755" i="36"/>
  <c r="J754" i="36"/>
  <c r="J753" i="36"/>
  <c r="J752" i="36"/>
  <c r="J751" i="36"/>
  <c r="J750" i="36"/>
  <c r="J749" i="36"/>
  <c r="J748" i="36"/>
  <c r="J747" i="36"/>
  <c r="J740" i="36"/>
  <c r="J739" i="36"/>
  <c r="J738" i="36"/>
  <c r="J737" i="36"/>
  <c r="J736" i="36"/>
  <c r="J735" i="36"/>
  <c r="J734" i="36"/>
  <c r="J733" i="36"/>
  <c r="J732" i="36"/>
  <c r="J725" i="36"/>
  <c r="J724" i="36"/>
  <c r="J723" i="36"/>
  <c r="J722" i="36"/>
  <c r="J721" i="36"/>
  <c r="J720" i="36"/>
  <c r="J719" i="36"/>
  <c r="J718" i="36"/>
  <c r="J717" i="36"/>
  <c r="J675" i="36"/>
  <c r="J673" i="36"/>
  <c r="J661" i="36"/>
  <c r="J653" i="36"/>
  <c r="J651" i="36"/>
  <c r="J640" i="36"/>
  <c r="J644" i="36" s="1"/>
  <c r="J631" i="36"/>
  <c r="J629" i="36"/>
  <c r="J619" i="36"/>
  <c r="J622" i="36" s="1"/>
  <c r="J606" i="36"/>
  <c r="J615" i="36" s="1"/>
  <c r="J597" i="36"/>
  <c r="J590" i="36"/>
  <c r="J581" i="36"/>
  <c r="J579" i="36"/>
  <c r="J568" i="36"/>
  <c r="J572" i="36" s="1"/>
  <c r="J558" i="36"/>
  <c r="J556" i="36"/>
  <c r="J546" i="36"/>
  <c r="J533" i="36"/>
  <c r="J526" i="36"/>
  <c r="J516" i="36"/>
  <c r="J520" i="36" s="1"/>
  <c r="J509" i="36"/>
  <c r="J500" i="36"/>
  <c r="J493" i="36"/>
  <c r="J488" i="36"/>
  <c r="J479" i="36"/>
  <c r="J469" i="36"/>
  <c r="J462" i="36"/>
  <c r="J453" i="36"/>
  <c r="J457" i="36" s="1"/>
  <c r="J446" i="36"/>
  <c r="J436" i="36"/>
  <c r="J428" i="36"/>
  <c r="J429" i="36" s="1"/>
  <c r="J418" i="36"/>
  <c r="J284" i="36"/>
  <c r="J282" i="36"/>
  <c r="J255" i="36"/>
  <c r="J253" i="36"/>
  <c r="J243" i="36"/>
  <c r="J235" i="36"/>
  <c r="J233" i="36"/>
  <c r="J222" i="36"/>
  <c r="J214" i="36"/>
  <c r="J212" i="36"/>
  <c r="J202" i="36"/>
  <c r="J194" i="36"/>
  <c r="J192" i="36"/>
  <c r="J183" i="36"/>
  <c r="J174" i="36"/>
  <c r="J172" i="36"/>
  <c r="J161" i="36"/>
  <c r="J153" i="36"/>
  <c r="J151" i="36"/>
  <c r="J140" i="36"/>
  <c r="J127" i="36"/>
  <c r="J125" i="36"/>
  <c r="J112" i="36"/>
  <c r="J110" i="36"/>
  <c r="J101" i="36"/>
  <c r="J93" i="36"/>
  <c r="J91" i="36"/>
  <c r="J82" i="36"/>
  <c r="J74" i="36"/>
  <c r="J72" i="36"/>
  <c r="J63" i="36"/>
  <c r="J55" i="36"/>
  <c r="J53" i="36"/>
  <c r="J44" i="36"/>
  <c r="J36" i="36"/>
  <c r="J34" i="36"/>
  <c r="J26" i="36"/>
  <c r="J25" i="36"/>
  <c r="E18" i="36"/>
  <c r="E17" i="36"/>
  <c r="J932" i="35"/>
  <c r="J928" i="35"/>
  <c r="J924" i="35"/>
  <c r="J920" i="35"/>
  <c r="J916" i="35"/>
  <c r="J912" i="35"/>
  <c r="J908" i="35"/>
  <c r="J904" i="35"/>
  <c r="J890" i="35"/>
  <c r="J886" i="35"/>
  <c r="J882" i="35"/>
  <c r="J878" i="35"/>
  <c r="J874" i="35"/>
  <c r="J870" i="35"/>
  <c r="J866" i="35"/>
  <c r="J862" i="35"/>
  <c r="J858" i="35"/>
  <c r="J854" i="35"/>
  <c r="J850" i="35"/>
  <c r="J846" i="35"/>
  <c r="J842" i="35"/>
  <c r="J838" i="35"/>
  <c r="J834" i="35"/>
  <c r="J770" i="35"/>
  <c r="J769" i="35"/>
  <c r="J768" i="35"/>
  <c r="J767" i="35"/>
  <c r="J766" i="35"/>
  <c r="J765" i="35"/>
  <c r="J764" i="35"/>
  <c r="J763" i="35"/>
  <c r="J762" i="35"/>
  <c r="J755" i="35"/>
  <c r="J754" i="35"/>
  <c r="J753" i="35"/>
  <c r="J752" i="35"/>
  <c r="J751" i="35"/>
  <c r="J750" i="35"/>
  <c r="J749" i="35"/>
  <c r="J748" i="35"/>
  <c r="J747" i="35"/>
  <c r="J740" i="35"/>
  <c r="J739" i="35"/>
  <c r="J738" i="35"/>
  <c r="J737" i="35"/>
  <c r="J736" i="35"/>
  <c r="J735" i="35"/>
  <c r="J734" i="35"/>
  <c r="J733" i="35"/>
  <c r="J732" i="35"/>
  <c r="J725" i="35"/>
  <c r="J724" i="35"/>
  <c r="J723" i="35"/>
  <c r="J722" i="35"/>
  <c r="J721" i="35"/>
  <c r="J720" i="35"/>
  <c r="J719" i="35"/>
  <c r="J718" i="35"/>
  <c r="J717" i="35"/>
  <c r="J675" i="35"/>
  <c r="J673" i="35"/>
  <c r="J663" i="35"/>
  <c r="J661" i="35"/>
  <c r="J666" i="35" s="1"/>
  <c r="J653" i="35"/>
  <c r="J651" i="35"/>
  <c r="J640" i="35"/>
  <c r="J644" i="35" s="1"/>
  <c r="J631" i="35"/>
  <c r="J629" i="35"/>
  <c r="J619" i="35"/>
  <c r="J622" i="35" s="1"/>
  <c r="J606" i="35"/>
  <c r="J615" i="35" s="1"/>
  <c r="J597" i="35"/>
  <c r="J589" i="35"/>
  <c r="J581" i="35"/>
  <c r="J579" i="35"/>
  <c r="J568" i="35"/>
  <c r="J571" i="35" s="1"/>
  <c r="J558" i="35"/>
  <c r="J556" i="35"/>
  <c r="J546" i="35"/>
  <c r="J548" i="35" s="1"/>
  <c r="J533" i="35"/>
  <c r="J526" i="35"/>
  <c r="J516" i="35"/>
  <c r="J509" i="35"/>
  <c r="J500" i="35"/>
  <c r="J493" i="35"/>
  <c r="J479" i="35"/>
  <c r="J488" i="35" s="1"/>
  <c r="J469" i="35"/>
  <c r="J462" i="35"/>
  <c r="J453" i="35"/>
  <c r="J446" i="35"/>
  <c r="J436" i="35"/>
  <c r="J428" i="35"/>
  <c r="J429" i="35" s="1"/>
  <c r="J418" i="35"/>
  <c r="J284" i="35"/>
  <c r="J282" i="35"/>
  <c r="J271" i="35"/>
  <c r="J255" i="35"/>
  <c r="J253" i="35"/>
  <c r="J243" i="35"/>
  <c r="J235" i="35"/>
  <c r="J233" i="35"/>
  <c r="J224" i="35"/>
  <c r="J223" i="35"/>
  <c r="J222" i="35"/>
  <c r="J214" i="35"/>
  <c r="J212" i="35"/>
  <c r="J202" i="35"/>
  <c r="J203" i="35" s="1"/>
  <c r="J194" i="35"/>
  <c r="J192" i="35"/>
  <c r="J183" i="35"/>
  <c r="J353" i="35" s="1"/>
  <c r="J355" i="35" s="1"/>
  <c r="J174" i="35"/>
  <c r="J172" i="35"/>
  <c r="J162" i="35"/>
  <c r="J161" i="35"/>
  <c r="J153" i="35"/>
  <c r="J151" i="35"/>
  <c r="J142" i="35"/>
  <c r="J140" i="35"/>
  <c r="J127" i="35"/>
  <c r="J125" i="35"/>
  <c r="J112" i="35"/>
  <c r="J110" i="35"/>
  <c r="J101" i="35"/>
  <c r="J103" i="35" s="1"/>
  <c r="J93" i="35"/>
  <c r="J91" i="35"/>
  <c r="J82" i="35"/>
  <c r="J84" i="35" s="1"/>
  <c r="J74" i="35"/>
  <c r="J72" i="35"/>
  <c r="J63" i="35"/>
  <c r="J55" i="35"/>
  <c r="J53" i="35"/>
  <c r="J44" i="35"/>
  <c r="J36" i="35"/>
  <c r="J34" i="35"/>
  <c r="J25" i="35"/>
  <c r="J27" i="35" s="1"/>
  <c r="E18" i="35"/>
  <c r="E17" i="35"/>
  <c r="J932" i="34"/>
  <c r="J928" i="34"/>
  <c r="J924" i="34"/>
  <c r="J920" i="34"/>
  <c r="J916" i="34"/>
  <c r="J912" i="34"/>
  <c r="J908" i="34"/>
  <c r="J904" i="34"/>
  <c r="J890" i="34"/>
  <c r="J886" i="34"/>
  <c r="J882" i="34"/>
  <c r="J878" i="34"/>
  <c r="J874" i="34"/>
  <c r="J870" i="34"/>
  <c r="J866" i="34"/>
  <c r="J862" i="34"/>
  <c r="J858" i="34"/>
  <c r="J854" i="34"/>
  <c r="J850" i="34"/>
  <c r="J846" i="34"/>
  <c r="J842" i="34"/>
  <c r="J838" i="34"/>
  <c r="J834" i="34"/>
  <c r="J770" i="34"/>
  <c r="J769" i="34"/>
  <c r="J768" i="34"/>
  <c r="J767" i="34"/>
  <c r="J766" i="34"/>
  <c r="J765" i="34"/>
  <c r="J764" i="34"/>
  <c r="J763" i="34"/>
  <c r="J762" i="34"/>
  <c r="J755" i="34"/>
  <c r="J754" i="34"/>
  <c r="J753" i="34"/>
  <c r="J752" i="34"/>
  <c r="J751" i="34"/>
  <c r="J750" i="34"/>
  <c r="J749" i="34"/>
  <c r="J748" i="34"/>
  <c r="J747" i="34"/>
  <c r="J740" i="34"/>
  <c r="J739" i="34"/>
  <c r="J738" i="34"/>
  <c r="J737" i="34"/>
  <c r="J736" i="34"/>
  <c r="J735" i="34"/>
  <c r="J734" i="34"/>
  <c r="J733" i="34"/>
  <c r="J732" i="34"/>
  <c r="J725" i="34"/>
  <c r="J724" i="34"/>
  <c r="J723" i="34"/>
  <c r="J722" i="34"/>
  <c r="J721" i="34"/>
  <c r="J720" i="34"/>
  <c r="J719" i="34"/>
  <c r="J718" i="34"/>
  <c r="J717" i="34"/>
  <c r="J675" i="34"/>
  <c r="J673" i="34"/>
  <c r="J663" i="34"/>
  <c r="J661" i="34"/>
  <c r="J653" i="34"/>
  <c r="J651" i="34"/>
  <c r="J640" i="34"/>
  <c r="J644" i="34" s="1"/>
  <c r="J631" i="34"/>
  <c r="J629" i="34"/>
  <c r="J619" i="34"/>
  <c r="J621" i="34" s="1"/>
  <c r="J606" i="34"/>
  <c r="J615" i="34" s="1"/>
  <c r="J597" i="34"/>
  <c r="J601" i="34" s="1"/>
  <c r="J590" i="34"/>
  <c r="J581" i="34"/>
  <c r="J579" i="34"/>
  <c r="J568" i="34"/>
  <c r="J558" i="34"/>
  <c r="J556" i="34"/>
  <c r="J546" i="34"/>
  <c r="J548" i="34" s="1"/>
  <c r="J533" i="34"/>
  <c r="J537" i="34" s="1"/>
  <c r="J526" i="34"/>
  <c r="J516" i="34"/>
  <c r="J509" i="34"/>
  <c r="J500" i="34"/>
  <c r="J504" i="34" s="1"/>
  <c r="J493" i="34"/>
  <c r="J479" i="34"/>
  <c r="J488" i="34" s="1"/>
  <c r="J469" i="34"/>
  <c r="J462" i="34"/>
  <c r="J453" i="34"/>
  <c r="J457" i="34" s="1"/>
  <c r="J446" i="34"/>
  <c r="J436" i="34"/>
  <c r="J428" i="34"/>
  <c r="J429" i="34" s="1"/>
  <c r="J418" i="34"/>
  <c r="J381" i="34"/>
  <c r="J363" i="34"/>
  <c r="J356" i="34"/>
  <c r="J341" i="34"/>
  <c r="J322" i="34"/>
  <c r="J303" i="34"/>
  <c r="J284" i="34"/>
  <c r="J282" i="34"/>
  <c r="J271" i="34"/>
  <c r="J255" i="34"/>
  <c r="J253" i="34"/>
  <c r="J245" i="34"/>
  <c r="J243" i="34"/>
  <c r="J235" i="34"/>
  <c r="J233" i="34"/>
  <c r="J224" i="34"/>
  <c r="J222" i="34"/>
  <c r="J226" i="34" s="1"/>
  <c r="J214" i="34"/>
  <c r="J212" i="34"/>
  <c r="J202" i="34"/>
  <c r="J203" i="34" s="1"/>
  <c r="J194" i="34"/>
  <c r="J192" i="34"/>
  <c r="J185" i="34"/>
  <c r="J174" i="34"/>
  <c r="J172" i="34"/>
  <c r="J163" i="34"/>
  <c r="J161" i="34"/>
  <c r="J165" i="34" s="1"/>
  <c r="J153" i="34"/>
  <c r="J151" i="34"/>
  <c r="J142" i="34"/>
  <c r="J140" i="34"/>
  <c r="J127" i="34"/>
  <c r="J125" i="34"/>
  <c r="J112" i="34"/>
  <c r="J110" i="34"/>
  <c r="J101" i="34"/>
  <c r="J103" i="34" s="1"/>
  <c r="J93" i="34"/>
  <c r="J91" i="34"/>
  <c r="J82" i="34"/>
  <c r="J84" i="34" s="1"/>
  <c r="J74" i="34"/>
  <c r="J72" i="34"/>
  <c r="J63" i="34"/>
  <c r="J65" i="34" s="1"/>
  <c r="J55" i="34"/>
  <c r="J53" i="34"/>
  <c r="J44" i="34"/>
  <c r="J36" i="34"/>
  <c r="J34" i="34"/>
  <c r="J25" i="34"/>
  <c r="J27" i="34" s="1"/>
  <c r="E18" i="34"/>
  <c r="E17" i="34"/>
  <c r="J932" i="33"/>
  <c r="J928" i="33"/>
  <c r="J924" i="33"/>
  <c r="J920" i="33"/>
  <c r="J916" i="33"/>
  <c r="J913" i="33"/>
  <c r="J912" i="33"/>
  <c r="J908" i="33"/>
  <c r="J904" i="33"/>
  <c r="J890" i="33"/>
  <c r="J886" i="33"/>
  <c r="J882" i="33"/>
  <c r="J878" i="33"/>
  <c r="J874" i="33"/>
  <c r="J870" i="33"/>
  <c r="J866" i="33"/>
  <c r="J862" i="33"/>
  <c r="J858" i="33"/>
  <c r="J854" i="33"/>
  <c r="J850" i="33"/>
  <c r="J846" i="33"/>
  <c r="J842" i="33"/>
  <c r="J838" i="33"/>
  <c r="J834" i="33"/>
  <c r="J770" i="33"/>
  <c r="J769" i="33"/>
  <c r="J768" i="33"/>
  <c r="J767" i="33"/>
  <c r="J766" i="33"/>
  <c r="J765" i="33"/>
  <c r="J764" i="33"/>
  <c r="J763" i="33"/>
  <c r="J762" i="33"/>
  <c r="J755" i="33"/>
  <c r="J754" i="33"/>
  <c r="J753" i="33"/>
  <c r="J752" i="33"/>
  <c r="J751" i="33"/>
  <c r="J750" i="33"/>
  <c r="J749" i="33"/>
  <c r="J748" i="33"/>
  <c r="J747" i="33"/>
  <c r="J740" i="33"/>
  <c r="J739" i="33"/>
  <c r="J738" i="33"/>
  <c r="J737" i="33"/>
  <c r="J736" i="33"/>
  <c r="J735" i="33"/>
  <c r="J734" i="33"/>
  <c r="J733" i="33"/>
  <c r="J732" i="33"/>
  <c r="J725" i="33"/>
  <c r="J724" i="33"/>
  <c r="J723" i="33"/>
  <c r="J722" i="33"/>
  <c r="J721" i="33"/>
  <c r="J720" i="33"/>
  <c r="J719" i="33"/>
  <c r="J718" i="33"/>
  <c r="J717" i="33"/>
  <c r="J675" i="33"/>
  <c r="J661" i="33"/>
  <c r="J653" i="33"/>
  <c r="J640" i="33"/>
  <c r="J644" i="33" s="1"/>
  <c r="J631" i="33"/>
  <c r="J619" i="33"/>
  <c r="J622" i="33" s="1"/>
  <c r="J606" i="33"/>
  <c r="J615" i="33" s="1"/>
  <c r="J597" i="33"/>
  <c r="J590" i="33"/>
  <c r="J581" i="33"/>
  <c r="J568" i="33"/>
  <c r="J558" i="33"/>
  <c r="J546" i="33"/>
  <c r="J549" i="33" s="1"/>
  <c r="J533" i="33"/>
  <c r="J526" i="33"/>
  <c r="J516" i="33"/>
  <c r="J520" i="33" s="1"/>
  <c r="J509" i="33"/>
  <c r="J500" i="33"/>
  <c r="J493" i="33"/>
  <c r="J479" i="33"/>
  <c r="J488" i="33" s="1"/>
  <c r="J469" i="33"/>
  <c r="J473" i="33" s="1"/>
  <c r="J462" i="33"/>
  <c r="J453" i="33"/>
  <c r="J457" i="33" s="1"/>
  <c r="J446" i="33"/>
  <c r="J436" i="33"/>
  <c r="J429" i="33"/>
  <c r="J418" i="33"/>
  <c r="J381" i="33"/>
  <c r="J363" i="33"/>
  <c r="J356" i="33"/>
  <c r="J342" i="33"/>
  <c r="J322" i="33"/>
  <c r="J303" i="33"/>
  <c r="J284" i="33"/>
  <c r="J255" i="33"/>
  <c r="J243" i="33"/>
  <c r="J246" i="33" s="1"/>
  <c r="J235" i="33"/>
  <c r="J224" i="33"/>
  <c r="J222" i="33"/>
  <c r="J226" i="33" s="1"/>
  <c r="J214" i="33"/>
  <c r="J202" i="33"/>
  <c r="J205" i="33" s="1"/>
  <c r="J194" i="33"/>
  <c r="J184" i="33"/>
  <c r="J174" i="33"/>
  <c r="J161" i="33"/>
  <c r="J153" i="33"/>
  <c r="J142" i="33"/>
  <c r="J140" i="33"/>
  <c r="J144" i="33" s="1"/>
  <c r="J127" i="33"/>
  <c r="J125" i="33"/>
  <c r="J112" i="33"/>
  <c r="J101" i="33"/>
  <c r="J103" i="33" s="1"/>
  <c r="J93" i="33"/>
  <c r="J82" i="33"/>
  <c r="J84" i="33" s="1"/>
  <c r="J74" i="33"/>
  <c r="J64" i="33"/>
  <c r="J63" i="33"/>
  <c r="J55" i="33"/>
  <c r="J44" i="33"/>
  <c r="J36" i="33"/>
  <c r="J25" i="33"/>
  <c r="E18" i="33"/>
  <c r="E17" i="33"/>
  <c r="J932" i="32"/>
  <c r="J928" i="32"/>
  <c r="J924" i="32"/>
  <c r="J920" i="32"/>
  <c r="J916" i="32"/>
  <c r="J913" i="32"/>
  <c r="J912" i="32"/>
  <c r="J908" i="32"/>
  <c r="J904" i="32"/>
  <c r="J890" i="32"/>
  <c r="J886" i="32"/>
  <c r="J882" i="32"/>
  <c r="J878" i="32"/>
  <c r="J874" i="32"/>
  <c r="J870" i="32"/>
  <c r="J866" i="32"/>
  <c r="J862" i="32"/>
  <c r="J858" i="32"/>
  <c r="J854" i="32"/>
  <c r="J850" i="32"/>
  <c r="J846" i="32"/>
  <c r="J842" i="32"/>
  <c r="J838" i="32"/>
  <c r="J834" i="32"/>
  <c r="J770" i="32"/>
  <c r="J769" i="32"/>
  <c r="J768" i="32"/>
  <c r="J767" i="32"/>
  <c r="J766" i="32"/>
  <c r="J765" i="32"/>
  <c r="J764" i="32"/>
  <c r="J763" i="32"/>
  <c r="J762" i="32"/>
  <c r="J755" i="32"/>
  <c r="J754" i="32"/>
  <c r="J753" i="32"/>
  <c r="J752" i="32"/>
  <c r="J751" i="32"/>
  <c r="J750" i="32"/>
  <c r="J749" i="32"/>
  <c r="J748" i="32"/>
  <c r="J747" i="32"/>
  <c r="J740" i="32"/>
  <c r="J739" i="32"/>
  <c r="J738" i="32"/>
  <c r="J737" i="32"/>
  <c r="J736" i="32"/>
  <c r="J735" i="32"/>
  <c r="J734" i="32"/>
  <c r="J733" i="32"/>
  <c r="J732" i="32"/>
  <c r="J725" i="32"/>
  <c r="J724" i="32"/>
  <c r="J723" i="32"/>
  <c r="J722" i="32"/>
  <c r="J721" i="32"/>
  <c r="J720" i="32"/>
  <c r="J719" i="32"/>
  <c r="J718" i="32"/>
  <c r="J717" i="32"/>
  <c r="J675" i="32"/>
  <c r="J673" i="32"/>
  <c r="J663" i="32"/>
  <c r="J661" i="32"/>
  <c r="J666" i="32" s="1"/>
  <c r="J653" i="32"/>
  <c r="J651" i="32"/>
  <c r="J640" i="32"/>
  <c r="J644" i="32" s="1"/>
  <c r="J631" i="32"/>
  <c r="J629" i="32"/>
  <c r="J619" i="32"/>
  <c r="J622" i="32" s="1"/>
  <c r="J606" i="32"/>
  <c r="J615" i="32" s="1"/>
  <c r="J597" i="32"/>
  <c r="J590" i="32"/>
  <c r="J581" i="32"/>
  <c r="J579" i="32"/>
  <c r="J568" i="32"/>
  <c r="J572" i="32" s="1"/>
  <c r="J558" i="32"/>
  <c r="J556" i="32"/>
  <c r="J546" i="32"/>
  <c r="J548" i="32" s="1"/>
  <c r="J533" i="32"/>
  <c r="J537" i="32" s="1"/>
  <c r="J526" i="32"/>
  <c r="J516" i="32"/>
  <c r="J509" i="32"/>
  <c r="J500" i="32"/>
  <c r="J504" i="32" s="1"/>
  <c r="J493" i="32"/>
  <c r="J479" i="32"/>
  <c r="J488" i="32" s="1"/>
  <c r="J469" i="32"/>
  <c r="J473" i="32" s="1"/>
  <c r="J462" i="32"/>
  <c r="J453" i="32"/>
  <c r="J446" i="32"/>
  <c r="J436" i="32"/>
  <c r="J440" i="32" s="1"/>
  <c r="J429" i="32"/>
  <c r="J381" i="32"/>
  <c r="J363" i="32"/>
  <c r="J356" i="32"/>
  <c r="J341" i="32"/>
  <c r="J322" i="32"/>
  <c r="J303" i="32"/>
  <c r="J284" i="32"/>
  <c r="J282" i="32"/>
  <c r="J271" i="32"/>
  <c r="J255" i="32"/>
  <c r="J253" i="32"/>
  <c r="J245" i="32"/>
  <c r="J243" i="32"/>
  <c r="J235" i="32"/>
  <c r="J233" i="32"/>
  <c r="J224" i="32"/>
  <c r="J222" i="32"/>
  <c r="J214" i="32"/>
  <c r="J212" i="32"/>
  <c r="J202" i="32"/>
  <c r="J203" i="32" s="1"/>
  <c r="J194" i="32"/>
  <c r="J192" i="32"/>
  <c r="J185" i="32"/>
  <c r="J174" i="32"/>
  <c r="J172" i="32"/>
  <c r="J163" i="32"/>
  <c r="J161" i="32"/>
  <c r="J165" i="32" s="1"/>
  <c r="J153" i="32"/>
  <c r="J151" i="32"/>
  <c r="J140" i="32"/>
  <c r="J127" i="32"/>
  <c r="J125" i="32"/>
  <c r="J112" i="32"/>
  <c r="J110" i="32"/>
  <c r="J101" i="32"/>
  <c r="J103" i="32" s="1"/>
  <c r="J93" i="32"/>
  <c r="J91" i="32"/>
  <c r="J82" i="32"/>
  <c r="J74" i="32"/>
  <c r="J72" i="32"/>
  <c r="J63" i="32"/>
  <c r="J65" i="32" s="1"/>
  <c r="J55" i="32"/>
  <c r="J53" i="32"/>
  <c r="J44" i="32"/>
  <c r="J46" i="32" s="1"/>
  <c r="J36" i="32"/>
  <c r="J34" i="32"/>
  <c r="J25" i="32"/>
  <c r="J27" i="32" s="1"/>
  <c r="E18" i="32"/>
  <c r="E17" i="32"/>
  <c r="J932" i="31"/>
  <c r="J928" i="31"/>
  <c r="J924" i="31"/>
  <c r="J920" i="31"/>
  <c r="J916" i="31"/>
  <c r="J912" i="31"/>
  <c r="J908" i="31"/>
  <c r="J904" i="31"/>
  <c r="J890" i="31"/>
  <c r="J886" i="31"/>
  <c r="J882" i="31"/>
  <c r="J878" i="31"/>
  <c r="J874" i="31"/>
  <c r="J870" i="31"/>
  <c r="J866" i="31"/>
  <c r="J862" i="31"/>
  <c r="J858" i="31"/>
  <c r="J854" i="31"/>
  <c r="J850" i="31"/>
  <c r="J846" i="31"/>
  <c r="J842" i="31"/>
  <c r="J838" i="31"/>
  <c r="J834" i="31"/>
  <c r="J770" i="31"/>
  <c r="J769" i="31"/>
  <c r="J768" i="31"/>
  <c r="J767" i="31"/>
  <c r="J766" i="31"/>
  <c r="J765" i="31"/>
  <c r="J764" i="31"/>
  <c r="J763" i="31"/>
  <c r="J762" i="31"/>
  <c r="J755" i="31"/>
  <c r="J754" i="31"/>
  <c r="J753" i="31"/>
  <c r="J752" i="31"/>
  <c r="J751" i="31"/>
  <c r="J750" i="31"/>
  <c r="J749" i="31"/>
  <c r="J748" i="31"/>
  <c r="J747" i="31"/>
  <c r="J740" i="31"/>
  <c r="J739" i="31"/>
  <c r="J738" i="31"/>
  <c r="J737" i="31"/>
  <c r="J736" i="31"/>
  <c r="J735" i="31"/>
  <c r="J734" i="31"/>
  <c r="J733" i="31"/>
  <c r="J732" i="31"/>
  <c r="J725" i="31"/>
  <c r="J724" i="31"/>
  <c r="J723" i="31"/>
  <c r="J722" i="31"/>
  <c r="J721" i="31"/>
  <c r="J720" i="31"/>
  <c r="J719" i="31"/>
  <c r="J718" i="31"/>
  <c r="J717" i="31"/>
  <c r="J675" i="31"/>
  <c r="J673" i="31"/>
  <c r="J661" i="31"/>
  <c r="J653" i="31"/>
  <c r="J651" i="31"/>
  <c r="J640" i="31"/>
  <c r="J644" i="31" s="1"/>
  <c r="J631" i="31"/>
  <c r="J629" i="31"/>
  <c r="J619" i="31"/>
  <c r="J621" i="31" s="1"/>
  <c r="J606" i="31"/>
  <c r="J615" i="31" s="1"/>
  <c r="J597" i="31"/>
  <c r="J590" i="31"/>
  <c r="J581" i="31"/>
  <c r="J579" i="31"/>
  <c r="J568" i="31"/>
  <c r="J558" i="31"/>
  <c r="J556" i="31"/>
  <c r="J546" i="31"/>
  <c r="J548" i="31" s="1"/>
  <c r="J533" i="31"/>
  <c r="J526" i="31"/>
  <c r="J516" i="31"/>
  <c r="J509" i="31"/>
  <c r="J500" i="31"/>
  <c r="J493" i="31"/>
  <c r="J478" i="31"/>
  <c r="J479" i="31" s="1"/>
  <c r="J488" i="31" s="1"/>
  <c r="J469" i="31"/>
  <c r="J462" i="31"/>
  <c r="J453" i="31"/>
  <c r="J446" i="31"/>
  <c r="J436" i="31"/>
  <c r="J429" i="31"/>
  <c r="J418" i="31"/>
  <c r="J284" i="31"/>
  <c r="J282" i="31"/>
  <c r="J255" i="31"/>
  <c r="J253" i="31"/>
  <c r="J245" i="31"/>
  <c r="J243" i="31"/>
  <c r="J244" i="31" s="1"/>
  <c r="J235" i="31"/>
  <c r="J233" i="31"/>
  <c r="J224" i="31"/>
  <c r="J222" i="31"/>
  <c r="J223" i="31" s="1"/>
  <c r="J214" i="31"/>
  <c r="J212" i="31"/>
  <c r="J204" i="31"/>
  <c r="J202" i="31"/>
  <c r="J203" i="31" s="1"/>
  <c r="J194" i="31"/>
  <c r="J192" i="31"/>
  <c r="J184" i="31"/>
  <c r="J183" i="31"/>
  <c r="J174" i="31"/>
  <c r="J172" i="31"/>
  <c r="J161" i="31"/>
  <c r="J153" i="31"/>
  <c r="J151" i="31"/>
  <c r="J140" i="31"/>
  <c r="J127" i="31"/>
  <c r="J125" i="31"/>
  <c r="J112" i="31"/>
  <c r="J110" i="31"/>
  <c r="J101" i="31"/>
  <c r="J103" i="31" s="1"/>
  <c r="J93" i="31"/>
  <c r="J91" i="31"/>
  <c r="J83" i="31"/>
  <c r="J82" i="31"/>
  <c r="J74" i="31"/>
  <c r="J72" i="31"/>
  <c r="J63" i="31"/>
  <c r="J55" i="31"/>
  <c r="J53" i="31"/>
  <c r="J44" i="31"/>
  <c r="J36" i="31"/>
  <c r="J34" i="31"/>
  <c r="J26" i="31"/>
  <c r="J25" i="31"/>
  <c r="E18" i="31"/>
  <c r="E17" i="31"/>
  <c r="J932" i="30"/>
  <c r="J928" i="30"/>
  <c r="J924" i="30"/>
  <c r="J920" i="30"/>
  <c r="J916" i="30"/>
  <c r="J912" i="30"/>
  <c r="J908" i="30"/>
  <c r="J904" i="30"/>
  <c r="J890" i="30"/>
  <c r="J886" i="30"/>
  <c r="J882" i="30"/>
  <c r="J878" i="30"/>
  <c r="J874" i="30"/>
  <c r="J870" i="30"/>
  <c r="J866" i="30"/>
  <c r="J862" i="30"/>
  <c r="J858" i="30"/>
  <c r="J854" i="30"/>
  <c r="J850" i="30"/>
  <c r="J846" i="30"/>
  <c r="J842" i="30"/>
  <c r="J838" i="30"/>
  <c r="J834" i="30"/>
  <c r="J770" i="30"/>
  <c r="J769" i="30"/>
  <c r="J768" i="30"/>
  <c r="J767" i="30"/>
  <c r="J766" i="30"/>
  <c r="J765" i="30"/>
  <c r="J764" i="30"/>
  <c r="J763" i="30"/>
  <c r="J762" i="30"/>
  <c r="J755" i="30"/>
  <c r="J754" i="30"/>
  <c r="J753" i="30"/>
  <c r="J752" i="30"/>
  <c r="J751" i="30"/>
  <c r="J750" i="30"/>
  <c r="J749" i="30"/>
  <c r="J748" i="30"/>
  <c r="J747" i="30"/>
  <c r="J740" i="30"/>
  <c r="J739" i="30"/>
  <c r="J738" i="30"/>
  <c r="J737" i="30"/>
  <c r="J736" i="30"/>
  <c r="J735" i="30"/>
  <c r="J734" i="30"/>
  <c r="J733" i="30"/>
  <c r="J732" i="30"/>
  <c r="J725" i="30"/>
  <c r="J724" i="30"/>
  <c r="J723" i="30"/>
  <c r="J722" i="30"/>
  <c r="J721" i="30"/>
  <c r="J720" i="30"/>
  <c r="J719" i="30"/>
  <c r="J718" i="30"/>
  <c r="J717" i="30"/>
  <c r="J673" i="30"/>
  <c r="J663" i="30"/>
  <c r="J662" i="30"/>
  <c r="J675" i="30" s="1"/>
  <c r="J661" i="30"/>
  <c r="J653" i="30"/>
  <c r="J651" i="30"/>
  <c r="J640" i="30"/>
  <c r="J644" i="30" s="1"/>
  <c r="J629" i="30"/>
  <c r="J621" i="30"/>
  <c r="J631" i="30" s="1"/>
  <c r="J619" i="30"/>
  <c r="J605" i="30"/>
  <c r="J606" i="30" s="1"/>
  <c r="J615" i="30" s="1"/>
  <c r="J589" i="30"/>
  <c r="J597" i="30" s="1"/>
  <c r="J579" i="30"/>
  <c r="J568" i="30"/>
  <c r="J556" i="30"/>
  <c r="J546" i="30"/>
  <c r="J525" i="30"/>
  <c r="J533" i="30" s="1"/>
  <c r="J508" i="30"/>
  <c r="J516" i="30" s="1"/>
  <c r="J492" i="30"/>
  <c r="J493" i="30" s="1"/>
  <c r="J479" i="30"/>
  <c r="J488" i="30" s="1"/>
  <c r="J462" i="30"/>
  <c r="J453" i="30"/>
  <c r="J446" i="30"/>
  <c r="J429" i="30"/>
  <c r="J282" i="30"/>
  <c r="J271" i="30"/>
  <c r="J269" i="30"/>
  <c r="J253" i="30"/>
  <c r="J245" i="30"/>
  <c r="J244" i="30"/>
  <c r="J243" i="30"/>
  <c r="J233" i="30"/>
  <c r="J224" i="30"/>
  <c r="J223" i="30"/>
  <c r="J235" i="30" s="1"/>
  <c r="J222" i="30"/>
  <c r="J212" i="30"/>
  <c r="J203" i="30"/>
  <c r="J202" i="30"/>
  <c r="J204" i="30" s="1"/>
  <c r="J192" i="30"/>
  <c r="J183" i="30"/>
  <c r="J194" i="30" s="1"/>
  <c r="J172" i="30"/>
  <c r="J162" i="30"/>
  <c r="J161" i="30"/>
  <c r="J151" i="30"/>
  <c r="J141" i="30"/>
  <c r="J140" i="30"/>
  <c r="J127" i="30"/>
  <c r="J125" i="30"/>
  <c r="J112" i="30"/>
  <c r="J110" i="30"/>
  <c r="J101" i="30"/>
  <c r="J103" i="30" s="1"/>
  <c r="J91" i="30"/>
  <c r="J82" i="30"/>
  <c r="J72" i="30"/>
  <c r="J64" i="30"/>
  <c r="J63" i="30"/>
  <c r="J53" i="30"/>
  <c r="J44" i="30"/>
  <c r="J36" i="30"/>
  <c r="J34" i="30"/>
  <c r="J25" i="30"/>
  <c r="J27" i="30" s="1"/>
  <c r="E18" i="30"/>
  <c r="E17" i="30"/>
  <c r="J932" i="29"/>
  <c r="J928" i="29"/>
  <c r="J924" i="29"/>
  <c r="J920" i="29"/>
  <c r="J916" i="29"/>
  <c r="J912" i="29"/>
  <c r="J908" i="29"/>
  <c r="J904" i="29"/>
  <c r="J890" i="29"/>
  <c r="J886" i="29"/>
  <c r="J882" i="29"/>
  <c r="J878" i="29"/>
  <c r="J874" i="29"/>
  <c r="J870" i="29"/>
  <c r="J866" i="29"/>
  <c r="J862" i="29"/>
  <c r="J858" i="29"/>
  <c r="J854" i="29"/>
  <c r="J850" i="29"/>
  <c r="J846" i="29"/>
  <c r="J842" i="29"/>
  <c r="J838" i="29"/>
  <c r="J834" i="29"/>
  <c r="J770" i="29"/>
  <c r="J769" i="29"/>
  <c r="J768" i="29"/>
  <c r="J767" i="29"/>
  <c r="J766" i="29"/>
  <c r="J765" i="29"/>
  <c r="J764" i="29"/>
  <c r="J763" i="29"/>
  <c r="J762" i="29"/>
  <c r="J755" i="29"/>
  <c r="J754" i="29"/>
  <c r="J753" i="29"/>
  <c r="J752" i="29"/>
  <c r="J751" i="29"/>
  <c r="J750" i="29"/>
  <c r="J749" i="29"/>
  <c r="J748" i="29"/>
  <c r="J747" i="29"/>
  <c r="J740" i="29"/>
  <c r="J739" i="29"/>
  <c r="J738" i="29"/>
  <c r="J737" i="29"/>
  <c r="J736" i="29"/>
  <c r="J735" i="29"/>
  <c r="J734" i="29"/>
  <c r="J733" i="29"/>
  <c r="J732" i="29"/>
  <c r="J725" i="29"/>
  <c r="J724" i="29"/>
  <c r="J723" i="29"/>
  <c r="J722" i="29"/>
  <c r="J721" i="29"/>
  <c r="J720" i="29"/>
  <c r="J719" i="29"/>
  <c r="J718" i="29"/>
  <c r="J717" i="29"/>
  <c r="J675" i="29"/>
  <c r="J673" i="29"/>
  <c r="J661" i="29"/>
  <c r="J653" i="29"/>
  <c r="J651" i="29"/>
  <c r="J640" i="29"/>
  <c r="J644" i="29" s="1"/>
  <c r="J631" i="29"/>
  <c r="J629" i="29"/>
  <c r="J621" i="29"/>
  <c r="J619" i="29"/>
  <c r="J606" i="29"/>
  <c r="J615" i="29" s="1"/>
  <c r="J597" i="29"/>
  <c r="J590" i="29"/>
  <c r="J581" i="29"/>
  <c r="J579" i="29"/>
  <c r="J571" i="29"/>
  <c r="J568" i="29"/>
  <c r="J558" i="29"/>
  <c r="J556" i="29"/>
  <c r="J546" i="29"/>
  <c r="J549" i="29" s="1"/>
  <c r="J533" i="29"/>
  <c r="J537" i="29" s="1"/>
  <c r="J526" i="29"/>
  <c r="J516" i="29"/>
  <c r="J509" i="29"/>
  <c r="J500" i="29"/>
  <c r="J504" i="29" s="1"/>
  <c r="J493" i="29"/>
  <c r="J479" i="29"/>
  <c r="J488" i="29" s="1"/>
  <c r="J469" i="29"/>
  <c r="J462" i="29"/>
  <c r="J453" i="29"/>
  <c r="J446" i="29"/>
  <c r="J436" i="29"/>
  <c r="J429" i="29"/>
  <c r="J418" i="29"/>
  <c r="J381" i="29"/>
  <c r="J363" i="29"/>
  <c r="J356" i="29"/>
  <c r="J341" i="29"/>
  <c r="J322" i="29"/>
  <c r="J303" i="29"/>
  <c r="J284" i="29"/>
  <c r="J282" i="29"/>
  <c r="J271" i="29"/>
  <c r="J255" i="29"/>
  <c r="J253" i="29"/>
  <c r="J243" i="29"/>
  <c r="J246" i="29" s="1"/>
  <c r="J235" i="29"/>
  <c r="J233" i="29"/>
  <c r="J224" i="29"/>
  <c r="J222" i="29"/>
  <c r="J214" i="29"/>
  <c r="J212" i="29"/>
  <c r="J202" i="29"/>
  <c r="J205" i="29" s="1"/>
  <c r="J194" i="29"/>
  <c r="J192" i="29"/>
  <c r="J183" i="29"/>
  <c r="J174" i="29"/>
  <c r="J172" i="29"/>
  <c r="J161" i="29"/>
  <c r="J153" i="29"/>
  <c r="J151" i="29"/>
  <c r="J140" i="29"/>
  <c r="J127" i="29"/>
  <c r="J125" i="29"/>
  <c r="J112" i="29"/>
  <c r="J110" i="29"/>
  <c r="J101" i="29"/>
  <c r="J103" i="29" s="1"/>
  <c r="J93" i="29"/>
  <c r="J91" i="29"/>
  <c r="J83" i="29"/>
  <c r="J82" i="29"/>
  <c r="J74" i="29"/>
  <c r="J72" i="29"/>
  <c r="J64" i="29"/>
  <c r="J63" i="29"/>
  <c r="J55" i="29"/>
  <c r="J53" i="29"/>
  <c r="J44" i="29"/>
  <c r="J46" i="29" s="1"/>
  <c r="J36" i="29"/>
  <c r="J34" i="29"/>
  <c r="J26" i="29"/>
  <c r="J25" i="29"/>
  <c r="E18" i="29"/>
  <c r="E17" i="29"/>
  <c r="J932" i="28"/>
  <c r="J928" i="28"/>
  <c r="J924" i="28"/>
  <c r="J920" i="28"/>
  <c r="J916" i="28"/>
  <c r="J912" i="28"/>
  <c r="J908" i="28"/>
  <c r="J904" i="28"/>
  <c r="J890" i="28"/>
  <c r="J886" i="28"/>
  <c r="J882" i="28"/>
  <c r="J878" i="28"/>
  <c r="J874" i="28"/>
  <c r="J870" i="28"/>
  <c r="J866" i="28"/>
  <c r="J862" i="28"/>
  <c r="J858" i="28"/>
  <c r="J854" i="28"/>
  <c r="J850" i="28"/>
  <c r="J846" i="28"/>
  <c r="J842" i="28"/>
  <c r="J838" i="28"/>
  <c r="J834" i="28"/>
  <c r="J770" i="28"/>
  <c r="J769" i="28"/>
  <c r="J768" i="28"/>
  <c r="J767" i="28"/>
  <c r="J766" i="28"/>
  <c r="J765" i="28"/>
  <c r="J764" i="28"/>
  <c r="J763" i="28"/>
  <c r="J762" i="28"/>
  <c r="J755" i="28"/>
  <c r="J754" i="28"/>
  <c r="J753" i="28"/>
  <c r="J752" i="28"/>
  <c r="J751" i="28"/>
  <c r="J750" i="28"/>
  <c r="J749" i="28"/>
  <c r="J748" i="28"/>
  <c r="J747" i="28"/>
  <c r="J740" i="28"/>
  <c r="J739" i="28"/>
  <c r="J738" i="28"/>
  <c r="J737" i="28"/>
  <c r="J736" i="28"/>
  <c r="J735" i="28"/>
  <c r="J734" i="28"/>
  <c r="J733" i="28"/>
  <c r="J732" i="28"/>
  <c r="J725" i="28"/>
  <c r="J724" i="28"/>
  <c r="J803" i="28" s="1"/>
  <c r="J723" i="28"/>
  <c r="J722" i="28"/>
  <c r="J721" i="28"/>
  <c r="J720" i="28"/>
  <c r="J719" i="28"/>
  <c r="J718" i="28"/>
  <c r="J717" i="28"/>
  <c r="J675" i="28"/>
  <c r="J673" i="28"/>
  <c r="J663" i="28"/>
  <c r="J661" i="28"/>
  <c r="J653" i="28"/>
  <c r="J651" i="28"/>
  <c r="J640" i="28"/>
  <c r="J644" i="28" s="1"/>
  <c r="J631" i="28"/>
  <c r="J629" i="28"/>
  <c r="J619" i="28"/>
  <c r="J622" i="28" s="1"/>
  <c r="J606" i="28"/>
  <c r="J615" i="28" s="1"/>
  <c r="J597" i="28"/>
  <c r="J589" i="28"/>
  <c r="J590" i="28" s="1"/>
  <c r="J581" i="28"/>
  <c r="J579" i="28"/>
  <c r="J568" i="28"/>
  <c r="J572" i="28" s="1"/>
  <c r="J558" i="28"/>
  <c r="J556" i="28"/>
  <c r="J546" i="28"/>
  <c r="J549" i="28" s="1"/>
  <c r="J533" i="28"/>
  <c r="J526" i="28"/>
  <c r="J516" i="28"/>
  <c r="J508" i="28"/>
  <c r="J509" i="28" s="1"/>
  <c r="J500" i="28"/>
  <c r="J504" i="28" s="1"/>
  <c r="J493" i="28"/>
  <c r="J488" i="28"/>
  <c r="J479" i="28"/>
  <c r="J469" i="28"/>
  <c r="J462" i="28"/>
  <c r="J453" i="28"/>
  <c r="J457" i="28" s="1"/>
  <c r="J446" i="28"/>
  <c r="J436" i="28"/>
  <c r="J429" i="28"/>
  <c r="J408" i="28"/>
  <c r="J381" i="28"/>
  <c r="J363" i="28"/>
  <c r="J356" i="28"/>
  <c r="J341" i="28"/>
  <c r="J322" i="28"/>
  <c r="J303" i="28"/>
  <c r="J284" i="28"/>
  <c r="J282" i="28"/>
  <c r="J271" i="28"/>
  <c r="J255" i="28"/>
  <c r="J253" i="28"/>
  <c r="J245" i="28"/>
  <c r="J243" i="28"/>
  <c r="J235" i="28"/>
  <c r="J233" i="28"/>
  <c r="J224" i="28"/>
  <c r="J222" i="28"/>
  <c r="J226" i="28" s="1"/>
  <c r="J214" i="28"/>
  <c r="J212" i="28"/>
  <c r="J202" i="28"/>
  <c r="J205" i="28" s="1"/>
  <c r="J194" i="28"/>
  <c r="J192" i="28"/>
  <c r="J185" i="28"/>
  <c r="J174" i="28"/>
  <c r="J172" i="28"/>
  <c r="J163" i="28"/>
  <c r="J161" i="28"/>
  <c r="J165" i="28" s="1"/>
  <c r="J153" i="28"/>
  <c r="J151" i="28"/>
  <c r="J142" i="28"/>
  <c r="J140" i="28"/>
  <c r="J144" i="28" s="1"/>
  <c r="J127" i="28"/>
  <c r="J125" i="28"/>
  <c r="J112" i="28"/>
  <c r="J110" i="28"/>
  <c r="J101" i="28"/>
  <c r="J103" i="28" s="1"/>
  <c r="J93" i="28"/>
  <c r="J91" i="28"/>
  <c r="J82" i="28"/>
  <c r="J84" i="28" s="1"/>
  <c r="J74" i="28"/>
  <c r="J72" i="28"/>
  <c r="J63" i="28"/>
  <c r="J65" i="28" s="1"/>
  <c r="J55" i="28"/>
  <c r="J53" i="28"/>
  <c r="J44" i="28"/>
  <c r="J46" i="28" s="1"/>
  <c r="J36" i="28"/>
  <c r="J34" i="28"/>
  <c r="J25" i="28"/>
  <c r="J27" i="28" s="1"/>
  <c r="E18" i="28"/>
  <c r="E17" i="28"/>
  <c r="J932" i="27"/>
  <c r="J928" i="27"/>
  <c r="J924" i="27"/>
  <c r="J920" i="27"/>
  <c r="J916" i="27"/>
  <c r="J912" i="27"/>
  <c r="J908" i="27"/>
  <c r="J904" i="27"/>
  <c r="J890" i="27"/>
  <c r="J886" i="27"/>
  <c r="J882" i="27"/>
  <c r="J878" i="27"/>
  <c r="J874" i="27"/>
  <c r="J870" i="27"/>
  <c r="J866" i="27"/>
  <c r="J862" i="27"/>
  <c r="J858" i="27"/>
  <c r="J854" i="27"/>
  <c r="J850" i="27"/>
  <c r="J846" i="27"/>
  <c r="J842" i="27"/>
  <c r="J838" i="27"/>
  <c r="J834" i="27"/>
  <c r="J770" i="27"/>
  <c r="J769" i="27"/>
  <c r="J768" i="27"/>
  <c r="J767" i="27"/>
  <c r="J766" i="27"/>
  <c r="J765" i="27"/>
  <c r="J764" i="27"/>
  <c r="J763" i="27"/>
  <c r="J762" i="27"/>
  <c r="J755" i="27"/>
  <c r="J754" i="27"/>
  <c r="J753" i="27"/>
  <c r="J752" i="27"/>
  <c r="J751" i="27"/>
  <c r="J750" i="27"/>
  <c r="J749" i="27"/>
  <c r="J748" i="27"/>
  <c r="J747" i="27"/>
  <c r="J740" i="27"/>
  <c r="J739" i="27"/>
  <c r="J738" i="27"/>
  <c r="J737" i="27"/>
  <c r="J736" i="27"/>
  <c r="J735" i="27"/>
  <c r="J734" i="27"/>
  <c r="J733" i="27"/>
  <c r="J732" i="27"/>
  <c r="J725" i="27"/>
  <c r="J724" i="27"/>
  <c r="J723" i="27"/>
  <c r="J722" i="27"/>
  <c r="J721" i="27"/>
  <c r="J720" i="27"/>
  <c r="J719" i="27"/>
  <c r="J718" i="27"/>
  <c r="J717" i="27"/>
  <c r="J675" i="27"/>
  <c r="J673" i="27"/>
  <c r="J663" i="27"/>
  <c r="J661" i="27"/>
  <c r="J666" i="27" s="1"/>
  <c r="J653" i="27"/>
  <c r="J651" i="27"/>
  <c r="J640" i="27"/>
  <c r="J644" i="27" s="1"/>
  <c r="J631" i="27"/>
  <c r="J629" i="27"/>
  <c r="J619" i="27"/>
  <c r="J606" i="27"/>
  <c r="J615" i="27" s="1"/>
  <c r="J597" i="27"/>
  <c r="J590" i="27"/>
  <c r="J581" i="27"/>
  <c r="J579" i="27"/>
  <c r="J568" i="27"/>
  <c r="J558" i="27"/>
  <c r="J556" i="27"/>
  <c r="J546" i="27"/>
  <c r="J548" i="27" s="1"/>
  <c r="J533" i="27"/>
  <c r="J526" i="27"/>
  <c r="J516" i="27"/>
  <c r="J509" i="27"/>
  <c r="J500" i="27"/>
  <c r="J493" i="27"/>
  <c r="J479" i="27"/>
  <c r="J488" i="27" s="1"/>
  <c r="J469" i="27"/>
  <c r="J462" i="27"/>
  <c r="J453" i="27"/>
  <c r="J446" i="27"/>
  <c r="J445" i="27"/>
  <c r="J436" i="27"/>
  <c r="J428" i="27"/>
  <c r="J429" i="27" s="1"/>
  <c r="J418" i="27"/>
  <c r="J284" i="27"/>
  <c r="J282" i="27"/>
  <c r="J271" i="27"/>
  <c r="J255" i="27"/>
  <c r="J253" i="27"/>
  <c r="J243" i="27"/>
  <c r="J245" i="27" s="1"/>
  <c r="J235" i="27"/>
  <c r="J233" i="27"/>
  <c r="J224" i="27"/>
  <c r="J222" i="27"/>
  <c r="J214" i="27"/>
  <c r="J212" i="27"/>
  <c r="J202" i="27"/>
  <c r="J203" i="27" s="1"/>
  <c r="J194" i="27"/>
  <c r="J192" i="27"/>
  <c r="J185" i="27"/>
  <c r="J174" i="27"/>
  <c r="J172" i="27"/>
  <c r="J161" i="27"/>
  <c r="J153" i="27"/>
  <c r="J151" i="27"/>
  <c r="J142" i="27"/>
  <c r="J140" i="27"/>
  <c r="J127" i="27"/>
  <c r="J131" i="27" s="1"/>
  <c r="J125" i="27"/>
  <c r="J112" i="27"/>
  <c r="J110" i="27"/>
  <c r="J101" i="27"/>
  <c r="J103" i="27" s="1"/>
  <c r="J93" i="27"/>
  <c r="J91" i="27"/>
  <c r="J82" i="27"/>
  <c r="J84" i="27" s="1"/>
  <c r="J74" i="27"/>
  <c r="J72" i="27"/>
  <c r="J63" i="27"/>
  <c r="J55" i="27"/>
  <c r="J53" i="27"/>
  <c r="J44" i="27"/>
  <c r="J36" i="27"/>
  <c r="J34" i="27"/>
  <c r="J25" i="27"/>
  <c r="J27" i="27" s="1"/>
  <c r="E18" i="27"/>
  <c r="E17" i="27"/>
  <c r="J932" i="26"/>
  <c r="J928" i="26"/>
  <c r="J924" i="26"/>
  <c r="J920" i="26"/>
  <c r="J916" i="26"/>
  <c r="J912" i="26"/>
  <c r="J908" i="26"/>
  <c r="J904" i="26"/>
  <c r="J890" i="26"/>
  <c r="J886" i="26"/>
  <c r="J882" i="26"/>
  <c r="J878" i="26"/>
  <c r="J874" i="26"/>
  <c r="J870" i="26"/>
  <c r="J866" i="26"/>
  <c r="J862" i="26"/>
  <c r="J858" i="26"/>
  <c r="J854" i="26"/>
  <c r="J850" i="26"/>
  <c r="J846" i="26"/>
  <c r="J842" i="26"/>
  <c r="J838" i="26"/>
  <c r="J834" i="26"/>
  <c r="J770" i="26"/>
  <c r="J769" i="26"/>
  <c r="J768" i="26"/>
  <c r="J767" i="26"/>
  <c r="J766" i="26"/>
  <c r="J765" i="26"/>
  <c r="J764" i="26"/>
  <c r="J763" i="26"/>
  <c r="J762" i="26"/>
  <c r="J755" i="26"/>
  <c r="J754" i="26"/>
  <c r="J753" i="26"/>
  <c r="J752" i="26"/>
  <c r="J751" i="26"/>
  <c r="J750" i="26"/>
  <c r="J749" i="26"/>
  <c r="J748" i="26"/>
  <c r="J747" i="26"/>
  <c r="J740" i="26"/>
  <c r="J739" i="26"/>
  <c r="J738" i="26"/>
  <c r="J737" i="26"/>
  <c r="J736" i="26"/>
  <c r="J735" i="26"/>
  <c r="J734" i="26"/>
  <c r="J733" i="26"/>
  <c r="J732" i="26"/>
  <c r="J725" i="26"/>
  <c r="J724" i="26"/>
  <c r="J723" i="26"/>
  <c r="J722" i="26"/>
  <c r="J721" i="26"/>
  <c r="J720" i="26"/>
  <c r="J719" i="26"/>
  <c r="J718" i="26"/>
  <c r="J779" i="26" s="1"/>
  <c r="J717" i="26"/>
  <c r="J675" i="26"/>
  <c r="J673" i="26"/>
  <c r="J663" i="26"/>
  <c r="J661" i="26"/>
  <c r="J653" i="26"/>
  <c r="J651" i="26"/>
  <c r="J640" i="26"/>
  <c r="J644" i="26" s="1"/>
  <c r="J631" i="26"/>
  <c r="J629" i="26"/>
  <c r="J619" i="26"/>
  <c r="J622" i="26" s="1"/>
  <c r="J615" i="26"/>
  <c r="J606" i="26"/>
  <c r="J597" i="26"/>
  <c r="J590" i="26"/>
  <c r="J581" i="26"/>
  <c r="J579" i="26"/>
  <c r="J568" i="26"/>
  <c r="J572" i="26" s="1"/>
  <c r="J558" i="26"/>
  <c r="J556" i="26"/>
  <c r="J546" i="26"/>
  <c r="J549" i="26" s="1"/>
  <c r="J533" i="26"/>
  <c r="J526" i="26"/>
  <c r="J516" i="26"/>
  <c r="J520" i="26" s="1"/>
  <c r="J509" i="26"/>
  <c r="J500" i="26"/>
  <c r="J493" i="26"/>
  <c r="J488" i="26"/>
  <c r="J479" i="26"/>
  <c r="J469" i="26"/>
  <c r="J473" i="26" s="1"/>
  <c r="J462" i="26"/>
  <c r="J453" i="26"/>
  <c r="J457" i="26" s="1"/>
  <c r="J446" i="26"/>
  <c r="J436" i="26"/>
  <c r="J429" i="26"/>
  <c r="J418" i="26"/>
  <c r="J381" i="26"/>
  <c r="J363" i="26"/>
  <c r="J356" i="26"/>
  <c r="J341" i="26"/>
  <c r="J322" i="26"/>
  <c r="J303" i="26"/>
  <c r="J284" i="26"/>
  <c r="J282" i="26"/>
  <c r="J271" i="26"/>
  <c r="J255" i="26"/>
  <c r="J253" i="26"/>
  <c r="J243" i="26"/>
  <c r="J246" i="26" s="1"/>
  <c r="J235" i="26"/>
  <c r="J233" i="26"/>
  <c r="J224" i="26"/>
  <c r="J222" i="26"/>
  <c r="J214" i="26"/>
  <c r="J212" i="26"/>
  <c r="J202" i="26"/>
  <c r="J205" i="26" s="1"/>
  <c r="J194" i="26"/>
  <c r="J192" i="26"/>
  <c r="J185" i="26"/>
  <c r="J174" i="26"/>
  <c r="J172" i="26"/>
  <c r="J163" i="26"/>
  <c r="J161" i="26"/>
  <c r="J165" i="26" s="1"/>
  <c r="J153" i="26"/>
  <c r="J151" i="26"/>
  <c r="J142" i="26"/>
  <c r="J140" i="26"/>
  <c r="J144" i="26" s="1"/>
  <c r="J127" i="26"/>
  <c r="J125" i="26"/>
  <c r="J112" i="26"/>
  <c r="J110" i="26"/>
  <c r="J101" i="26"/>
  <c r="J103" i="26" s="1"/>
  <c r="J93" i="26"/>
  <c r="J91" i="26"/>
  <c r="J82" i="26"/>
  <c r="J84" i="26" s="1"/>
  <c r="J74" i="26"/>
  <c r="J72" i="26"/>
  <c r="J63" i="26"/>
  <c r="J65" i="26" s="1"/>
  <c r="J55" i="26"/>
  <c r="J53" i="26"/>
  <c r="J44" i="26"/>
  <c r="J46" i="26" s="1"/>
  <c r="J36" i="26"/>
  <c r="J34" i="26"/>
  <c r="J25" i="26"/>
  <c r="J27" i="26" s="1"/>
  <c r="E18" i="26"/>
  <c r="E17" i="26"/>
  <c r="J932" i="25"/>
  <c r="J928" i="25"/>
  <c r="J924" i="25"/>
  <c r="J920" i="25"/>
  <c r="J916" i="25"/>
  <c r="J913" i="25"/>
  <c r="J912" i="25"/>
  <c r="J908" i="25"/>
  <c r="J904" i="25"/>
  <c r="J890" i="25"/>
  <c r="J886" i="25"/>
  <c r="J882" i="25"/>
  <c r="J878" i="25"/>
  <c r="J874" i="25"/>
  <c r="J870" i="25"/>
  <c r="J866" i="25"/>
  <c r="J862" i="25"/>
  <c r="J858" i="25"/>
  <c r="J854" i="25"/>
  <c r="J850" i="25"/>
  <c r="J846" i="25"/>
  <c r="J842" i="25"/>
  <c r="J838" i="25"/>
  <c r="J834" i="25"/>
  <c r="J770" i="25"/>
  <c r="J769" i="25"/>
  <c r="J768" i="25"/>
  <c r="J767" i="25"/>
  <c r="J766" i="25"/>
  <c r="J765" i="25"/>
  <c r="J764" i="25"/>
  <c r="J763" i="25"/>
  <c r="J762" i="25"/>
  <c r="J755" i="25"/>
  <c r="J754" i="25"/>
  <c r="J753" i="25"/>
  <c r="J752" i="25"/>
  <c r="J751" i="25"/>
  <c r="J750" i="25"/>
  <c r="J749" i="25"/>
  <c r="J748" i="25"/>
  <c r="J747" i="25"/>
  <c r="J740" i="25"/>
  <c r="J739" i="25"/>
  <c r="J738" i="25"/>
  <c r="J737" i="25"/>
  <c r="J736" i="25"/>
  <c r="J735" i="25"/>
  <c r="J734" i="25"/>
  <c r="J733" i="25"/>
  <c r="J732" i="25"/>
  <c r="J725" i="25"/>
  <c r="J724" i="25"/>
  <c r="J723" i="25"/>
  <c r="J722" i="25"/>
  <c r="J721" i="25"/>
  <c r="J720" i="25"/>
  <c r="J719" i="25"/>
  <c r="J718" i="25"/>
  <c r="J717" i="25"/>
  <c r="J675" i="25"/>
  <c r="J673" i="25"/>
  <c r="J663" i="25"/>
  <c r="J661" i="25"/>
  <c r="J653" i="25"/>
  <c r="J651" i="25"/>
  <c r="J640" i="25"/>
  <c r="J644" i="25" s="1"/>
  <c r="J631" i="25"/>
  <c r="J629" i="25"/>
  <c r="J619" i="25"/>
  <c r="J622" i="25" s="1"/>
  <c r="J606" i="25"/>
  <c r="J615" i="25" s="1"/>
  <c r="J597" i="25"/>
  <c r="J590" i="25"/>
  <c r="J581" i="25"/>
  <c r="J579" i="25"/>
  <c r="J568" i="25"/>
  <c r="J572" i="25" s="1"/>
  <c r="J558" i="25"/>
  <c r="J556" i="25"/>
  <c r="J546" i="25"/>
  <c r="J549" i="25" s="1"/>
  <c r="J533" i="25"/>
  <c r="J537" i="25" s="1"/>
  <c r="J526" i="25"/>
  <c r="J516" i="25"/>
  <c r="J509" i="25"/>
  <c r="J500" i="25"/>
  <c r="J493" i="25"/>
  <c r="J479" i="25"/>
  <c r="J488" i="25" s="1"/>
  <c r="J469" i="25"/>
  <c r="J462" i="25"/>
  <c r="J453" i="25"/>
  <c r="J446" i="25"/>
  <c r="J436" i="25"/>
  <c r="J428" i="25"/>
  <c r="J429" i="25" s="1"/>
  <c r="J418" i="25"/>
  <c r="J381" i="25"/>
  <c r="J363" i="25"/>
  <c r="J356" i="25"/>
  <c r="J341" i="25"/>
  <c r="J322" i="25"/>
  <c r="J303" i="25"/>
  <c r="J284" i="25"/>
  <c r="J282" i="25"/>
  <c r="J271" i="25"/>
  <c r="J255" i="25"/>
  <c r="J253" i="25"/>
  <c r="J243" i="25"/>
  <c r="J246" i="25" s="1"/>
  <c r="J235" i="25"/>
  <c r="J233" i="25"/>
  <c r="J224" i="25"/>
  <c r="J222" i="25"/>
  <c r="J214" i="25"/>
  <c r="J212" i="25"/>
  <c r="J202" i="25"/>
  <c r="J205" i="25" s="1"/>
  <c r="J194" i="25"/>
  <c r="J192" i="25"/>
  <c r="J185" i="25"/>
  <c r="J174" i="25"/>
  <c r="J172" i="25"/>
  <c r="J163" i="25"/>
  <c r="J161" i="25"/>
  <c r="J165" i="25" s="1"/>
  <c r="J153" i="25"/>
  <c r="J151" i="25"/>
  <c r="J142" i="25"/>
  <c r="J140" i="25"/>
  <c r="J144" i="25" s="1"/>
  <c r="J127" i="25"/>
  <c r="J125" i="25"/>
  <c r="J112" i="25"/>
  <c r="J110" i="25"/>
  <c r="J101" i="25"/>
  <c r="J103" i="25" s="1"/>
  <c r="J93" i="25"/>
  <c r="J91" i="25"/>
  <c r="J82" i="25"/>
  <c r="J84" i="25" s="1"/>
  <c r="J74" i="25"/>
  <c r="J72" i="25"/>
  <c r="J63" i="25"/>
  <c r="J65" i="25" s="1"/>
  <c r="J55" i="25"/>
  <c r="J53" i="25"/>
  <c r="J44" i="25"/>
  <c r="J46" i="25" s="1"/>
  <c r="J36" i="25"/>
  <c r="J34" i="25"/>
  <c r="J25" i="25"/>
  <c r="J27" i="25" s="1"/>
  <c r="E18" i="25"/>
  <c r="E17" i="25"/>
  <c r="J932" i="24"/>
  <c r="J928" i="24"/>
  <c r="J924" i="24"/>
  <c r="J920" i="24"/>
  <c r="J916" i="24"/>
  <c r="J912" i="24"/>
  <c r="J908" i="24"/>
  <c r="J904" i="24"/>
  <c r="J890" i="24"/>
  <c r="J886" i="24"/>
  <c r="J882" i="24"/>
  <c r="J878" i="24"/>
  <c r="J874" i="24"/>
  <c r="J870" i="24"/>
  <c r="J866" i="24"/>
  <c r="J862" i="24"/>
  <c r="J858" i="24"/>
  <c r="J854" i="24"/>
  <c r="J850" i="24"/>
  <c r="J846" i="24"/>
  <c r="J842" i="24"/>
  <c r="J838" i="24"/>
  <c r="J834" i="24"/>
  <c r="J770" i="24"/>
  <c r="J769" i="24"/>
  <c r="J768" i="24"/>
  <c r="J767" i="24"/>
  <c r="J766" i="24"/>
  <c r="J765" i="24"/>
  <c r="J764" i="24"/>
  <c r="J763" i="24"/>
  <c r="J762" i="24"/>
  <c r="J755" i="24"/>
  <c r="J754" i="24"/>
  <c r="J753" i="24"/>
  <c r="J752" i="24"/>
  <c r="J751" i="24"/>
  <c r="J750" i="24"/>
  <c r="J749" i="24"/>
  <c r="J748" i="24"/>
  <c r="J747" i="24"/>
  <c r="J740" i="24"/>
  <c r="J739" i="24"/>
  <c r="J738" i="24"/>
  <c r="J737" i="24"/>
  <c r="J736" i="24"/>
  <c r="J735" i="24"/>
  <c r="J734" i="24"/>
  <c r="J733" i="24"/>
  <c r="J732" i="24"/>
  <c r="J725" i="24"/>
  <c r="J724" i="24"/>
  <c r="J723" i="24"/>
  <c r="J722" i="24"/>
  <c r="J721" i="24"/>
  <c r="J720" i="24"/>
  <c r="J719" i="24"/>
  <c r="J718" i="24"/>
  <c r="J717" i="24"/>
  <c r="J675" i="24"/>
  <c r="J673" i="24"/>
  <c r="J663" i="24"/>
  <c r="J661" i="24"/>
  <c r="J653" i="24"/>
  <c r="J651" i="24"/>
  <c r="J640" i="24"/>
  <c r="J644" i="24" s="1"/>
  <c r="J631" i="24"/>
  <c r="J629" i="24"/>
  <c r="J619" i="24"/>
  <c r="J622" i="24" s="1"/>
  <c r="J606" i="24"/>
  <c r="J615" i="24" s="1"/>
  <c r="J597" i="24"/>
  <c r="J601" i="24" s="1"/>
  <c r="J590" i="24"/>
  <c r="J581" i="24"/>
  <c r="J579" i="24"/>
  <c r="J568" i="24"/>
  <c r="J571" i="24" s="1"/>
  <c r="J558" i="24"/>
  <c r="J556" i="24"/>
  <c r="J546" i="24"/>
  <c r="J549" i="24" s="1"/>
  <c r="J533" i="24"/>
  <c r="J537" i="24" s="1"/>
  <c r="J526" i="24"/>
  <c r="J516" i="24"/>
  <c r="J509" i="24"/>
  <c r="J500" i="24"/>
  <c r="J504" i="24" s="1"/>
  <c r="J493" i="24"/>
  <c r="J488" i="24"/>
  <c r="J479" i="24"/>
  <c r="J469" i="24"/>
  <c r="J473" i="24" s="1"/>
  <c r="J462" i="24"/>
  <c r="J453" i="24"/>
  <c r="J446" i="24"/>
  <c r="J436" i="24"/>
  <c r="J440" i="24" s="1"/>
  <c r="J429" i="24"/>
  <c r="J418" i="24"/>
  <c r="J381" i="24"/>
  <c r="J363" i="24"/>
  <c r="J356" i="24"/>
  <c r="J341" i="24"/>
  <c r="J322" i="24"/>
  <c r="J303" i="24"/>
  <c r="J284" i="24"/>
  <c r="J282" i="24"/>
  <c r="J271" i="24"/>
  <c r="J255" i="24"/>
  <c r="J253" i="24"/>
  <c r="J243" i="24"/>
  <c r="J245" i="24" s="1"/>
  <c r="J235" i="24"/>
  <c r="J233" i="24"/>
  <c r="J224" i="24"/>
  <c r="J222" i="24"/>
  <c r="J214" i="24"/>
  <c r="J212" i="24"/>
  <c r="J202" i="24"/>
  <c r="J205" i="24" s="1"/>
  <c r="J194" i="24"/>
  <c r="J192" i="24"/>
  <c r="J185" i="24"/>
  <c r="J174" i="24"/>
  <c r="J172" i="24"/>
  <c r="J163" i="24"/>
  <c r="J161" i="24"/>
  <c r="J165" i="24" s="1"/>
  <c r="J153" i="24"/>
  <c r="J151" i="24"/>
  <c r="J140" i="24"/>
  <c r="J127" i="24"/>
  <c r="J125" i="24"/>
  <c r="J112" i="24"/>
  <c r="J110" i="24"/>
  <c r="J101" i="24"/>
  <c r="J103" i="24" s="1"/>
  <c r="J93" i="24"/>
  <c r="J91" i="24"/>
  <c r="J82" i="24"/>
  <c r="J74" i="24"/>
  <c r="J72" i="24"/>
  <c r="J63" i="24"/>
  <c r="J65" i="24" s="1"/>
  <c r="J55" i="24"/>
  <c r="J53" i="24"/>
  <c r="J44" i="24"/>
  <c r="J46" i="24" s="1"/>
  <c r="J36" i="24"/>
  <c r="J34" i="24"/>
  <c r="J25" i="24"/>
  <c r="J27" i="24" s="1"/>
  <c r="E18" i="24"/>
  <c r="E17" i="24"/>
  <c r="J932" i="23"/>
  <c r="J928" i="23"/>
  <c r="J924" i="23"/>
  <c r="J920" i="23"/>
  <c r="J916" i="23"/>
  <c r="J912" i="23"/>
  <c r="J908" i="23"/>
  <c r="J904" i="23"/>
  <c r="J890" i="23"/>
  <c r="J886" i="23"/>
  <c r="J882" i="23"/>
  <c r="J878" i="23"/>
  <c r="J874" i="23"/>
  <c r="J870" i="23"/>
  <c r="J866" i="23"/>
  <c r="J862" i="23"/>
  <c r="J858" i="23"/>
  <c r="J854" i="23"/>
  <c r="J850" i="23"/>
  <c r="J846" i="23"/>
  <c r="J842" i="23"/>
  <c r="J838" i="23"/>
  <c r="J834" i="23"/>
  <c r="J770" i="23"/>
  <c r="J769" i="23"/>
  <c r="J768" i="23"/>
  <c r="J767" i="23"/>
  <c r="J766" i="23"/>
  <c r="J765" i="23"/>
  <c r="J764" i="23"/>
  <c r="J763" i="23"/>
  <c r="J762" i="23"/>
  <c r="J755" i="23"/>
  <c r="J754" i="23"/>
  <c r="J753" i="23"/>
  <c r="J752" i="23"/>
  <c r="J751" i="23"/>
  <c r="J750" i="23"/>
  <c r="J749" i="23"/>
  <c r="J748" i="23"/>
  <c r="J747" i="23"/>
  <c r="J740" i="23"/>
  <c r="J739" i="23"/>
  <c r="J738" i="23"/>
  <c r="J737" i="23"/>
  <c r="J736" i="23"/>
  <c r="J735" i="23"/>
  <c r="J734" i="23"/>
  <c r="J733" i="23"/>
  <c r="J732" i="23"/>
  <c r="J725" i="23"/>
  <c r="J724" i="23"/>
  <c r="J723" i="23"/>
  <c r="J722" i="23"/>
  <c r="J721" i="23"/>
  <c r="J720" i="23"/>
  <c r="J719" i="23"/>
  <c r="J718" i="23"/>
  <c r="J717" i="23"/>
  <c r="J675" i="23"/>
  <c r="J673" i="23"/>
  <c r="J663" i="23"/>
  <c r="J661" i="23"/>
  <c r="J653" i="23"/>
  <c r="J651" i="23"/>
  <c r="J640" i="23"/>
  <c r="J644" i="23" s="1"/>
  <c r="J631" i="23"/>
  <c r="J629" i="23"/>
  <c r="J619" i="23"/>
  <c r="J622" i="23" s="1"/>
  <c r="J615" i="23"/>
  <c r="J606" i="23"/>
  <c r="J597" i="23"/>
  <c r="J590" i="23"/>
  <c r="J581" i="23"/>
  <c r="J579" i="23"/>
  <c r="J568" i="23"/>
  <c r="J572" i="23" s="1"/>
  <c r="J558" i="23"/>
  <c r="J556" i="23"/>
  <c r="J546" i="23"/>
  <c r="J549" i="23" s="1"/>
  <c r="J533" i="23"/>
  <c r="J537" i="23" s="1"/>
  <c r="J526" i="23"/>
  <c r="J516" i="23"/>
  <c r="J520" i="23" s="1"/>
  <c r="J509" i="23"/>
  <c r="J500" i="23"/>
  <c r="J493" i="23"/>
  <c r="J488" i="23"/>
  <c r="J479" i="23"/>
  <c r="J469" i="23"/>
  <c r="J473" i="23" s="1"/>
  <c r="J462" i="23"/>
  <c r="J453" i="23"/>
  <c r="J457" i="23" s="1"/>
  <c r="J446" i="23"/>
  <c r="J436" i="23"/>
  <c r="J440" i="23" s="1"/>
  <c r="J429" i="23"/>
  <c r="J418" i="23"/>
  <c r="J284" i="23"/>
  <c r="J282" i="23"/>
  <c r="J255" i="23"/>
  <c r="J253" i="23"/>
  <c r="J243" i="23"/>
  <c r="J235" i="23"/>
  <c r="J233" i="23"/>
  <c r="J224" i="23"/>
  <c r="J222" i="23"/>
  <c r="J226" i="23" s="1"/>
  <c r="J214" i="23"/>
  <c r="J212" i="23"/>
  <c r="J202" i="23"/>
  <c r="J194" i="23"/>
  <c r="J192" i="23"/>
  <c r="J184" i="23"/>
  <c r="J174" i="23"/>
  <c r="J172" i="23"/>
  <c r="J163" i="23"/>
  <c r="J161" i="23"/>
  <c r="J153" i="23"/>
  <c r="J151" i="23"/>
  <c r="J142" i="23"/>
  <c r="J140" i="23"/>
  <c r="J144" i="23" s="1"/>
  <c r="J127" i="23"/>
  <c r="J125" i="23"/>
  <c r="J112" i="23"/>
  <c r="J110" i="23"/>
  <c r="J101" i="23"/>
  <c r="J103" i="23" s="1"/>
  <c r="J93" i="23"/>
  <c r="J91" i="23"/>
  <c r="J82" i="23"/>
  <c r="J84" i="23" s="1"/>
  <c r="J74" i="23"/>
  <c r="J72" i="23"/>
  <c r="J63" i="23"/>
  <c r="J65" i="23" s="1"/>
  <c r="J55" i="23"/>
  <c r="J53" i="23"/>
  <c r="J44" i="23"/>
  <c r="J46" i="23" s="1"/>
  <c r="J36" i="23"/>
  <c r="J34" i="23"/>
  <c r="J25" i="23"/>
  <c r="J27" i="23" s="1"/>
  <c r="E18" i="23"/>
  <c r="E17" i="23"/>
  <c r="J932" i="21"/>
  <c r="J928" i="21"/>
  <c r="J924" i="21"/>
  <c r="J920" i="21"/>
  <c r="J916" i="21"/>
  <c r="J912" i="21"/>
  <c r="J908" i="21"/>
  <c r="J904" i="21"/>
  <c r="J890" i="21"/>
  <c r="J886" i="21"/>
  <c r="J882" i="21"/>
  <c r="J878" i="21"/>
  <c r="J874" i="21"/>
  <c r="J870" i="21"/>
  <c r="J866" i="21"/>
  <c r="J862" i="21"/>
  <c r="J858" i="21"/>
  <c r="J854" i="21"/>
  <c r="J850" i="21"/>
  <c r="J846" i="21"/>
  <c r="J842" i="21"/>
  <c r="J838" i="21"/>
  <c r="J834" i="21"/>
  <c r="J770" i="21"/>
  <c r="J769" i="21"/>
  <c r="J768" i="21"/>
  <c r="J767" i="21"/>
  <c r="J766" i="21"/>
  <c r="J765" i="21"/>
  <c r="J764" i="21"/>
  <c r="J763" i="21"/>
  <c r="J762" i="21"/>
  <c r="J755" i="21"/>
  <c r="J754" i="21"/>
  <c r="J753" i="21"/>
  <c r="J752" i="21"/>
  <c r="J751" i="21"/>
  <c r="J750" i="21"/>
  <c r="J749" i="21"/>
  <c r="J748" i="21"/>
  <c r="J747" i="21"/>
  <c r="J740" i="21"/>
  <c r="J739" i="21"/>
  <c r="J738" i="21"/>
  <c r="J737" i="21"/>
  <c r="J736" i="21"/>
  <c r="J735" i="21"/>
  <c r="J734" i="21"/>
  <c r="J733" i="21"/>
  <c r="J732" i="21"/>
  <c r="J725" i="21"/>
  <c r="J724" i="21"/>
  <c r="J723" i="21"/>
  <c r="J722" i="21"/>
  <c r="J721" i="21"/>
  <c r="J720" i="21"/>
  <c r="J719" i="21"/>
  <c r="J718" i="21"/>
  <c r="J717" i="21"/>
  <c r="J675" i="21"/>
  <c r="J673" i="21"/>
  <c r="J663" i="21"/>
  <c r="J661" i="21"/>
  <c r="J666" i="21" s="1"/>
  <c r="J653" i="21"/>
  <c r="J651" i="21"/>
  <c r="J640" i="21"/>
  <c r="J644" i="21" s="1"/>
  <c r="J631" i="21"/>
  <c r="J629" i="21"/>
  <c r="J619" i="21"/>
  <c r="J622" i="21" s="1"/>
  <c r="J606" i="21"/>
  <c r="J615" i="21" s="1"/>
  <c r="J597" i="21"/>
  <c r="J590" i="21"/>
  <c r="J581" i="21"/>
  <c r="J579" i="21"/>
  <c r="J568" i="21"/>
  <c r="J558" i="21"/>
  <c r="J556" i="21"/>
  <c r="J546" i="21"/>
  <c r="J547" i="21" s="1"/>
  <c r="J533" i="21"/>
  <c r="J526" i="21"/>
  <c r="J516" i="21"/>
  <c r="J509" i="21"/>
  <c r="J500" i="21"/>
  <c r="J493" i="21"/>
  <c r="J479" i="21"/>
  <c r="J488" i="21" s="1"/>
  <c r="J469" i="21"/>
  <c r="J473" i="21" s="1"/>
  <c r="J462" i="21"/>
  <c r="J453" i="21"/>
  <c r="J446" i="21"/>
  <c r="J436" i="21"/>
  <c r="J429" i="21"/>
  <c r="J440" i="21" s="1"/>
  <c r="J418" i="21"/>
  <c r="J381" i="21"/>
  <c r="J363" i="21"/>
  <c r="J356" i="21"/>
  <c r="J341" i="21"/>
  <c r="J322" i="21"/>
  <c r="J303" i="21"/>
  <c r="J284" i="21"/>
  <c r="J282" i="21"/>
  <c r="J271" i="21"/>
  <c r="J255" i="21"/>
  <c r="J253" i="21"/>
  <c r="J243" i="21"/>
  <c r="J235" i="21"/>
  <c r="J233" i="21"/>
  <c r="J224" i="21"/>
  <c r="J222" i="21"/>
  <c r="J214" i="21"/>
  <c r="J212" i="21"/>
  <c r="J202" i="21"/>
  <c r="J205" i="21" s="1"/>
  <c r="J194" i="21"/>
  <c r="J192" i="21"/>
  <c r="J185" i="21"/>
  <c r="J174" i="21"/>
  <c r="J172" i="21"/>
  <c r="J163" i="21"/>
  <c r="J161" i="21"/>
  <c r="J165" i="21" s="1"/>
  <c r="J153" i="21"/>
  <c r="J151" i="21"/>
  <c r="J142" i="21"/>
  <c r="J140" i="21"/>
  <c r="J144" i="21" s="1"/>
  <c r="J127" i="21"/>
  <c r="J125" i="21"/>
  <c r="J112" i="21"/>
  <c r="J110" i="21"/>
  <c r="J101" i="21"/>
  <c r="J103" i="21" s="1"/>
  <c r="J93" i="21"/>
  <c r="J91" i="21"/>
  <c r="J82" i="21"/>
  <c r="J84" i="21" s="1"/>
  <c r="J74" i="21"/>
  <c r="J72" i="21"/>
  <c r="J63" i="21"/>
  <c r="J65" i="21" s="1"/>
  <c r="J55" i="21"/>
  <c r="J53" i="21"/>
  <c r="J44" i="21"/>
  <c r="J46" i="21" s="1"/>
  <c r="J36" i="21"/>
  <c r="J34" i="21"/>
  <c r="J25" i="21"/>
  <c r="J27" i="21" s="1"/>
  <c r="E18" i="21"/>
  <c r="E17" i="21"/>
  <c r="J932" i="20"/>
  <c r="J928" i="20"/>
  <c r="J924" i="20"/>
  <c r="J920" i="20"/>
  <c r="J916" i="20"/>
  <c r="J912" i="20"/>
  <c r="J908" i="20"/>
  <c r="J904" i="20"/>
  <c r="J890" i="20"/>
  <c r="J886" i="20"/>
  <c r="J882" i="20"/>
  <c r="J878" i="20"/>
  <c r="J874" i="20"/>
  <c r="J870" i="20"/>
  <c r="J866" i="20"/>
  <c r="J862" i="20"/>
  <c r="J858" i="20"/>
  <c r="J854" i="20"/>
  <c r="J850" i="20"/>
  <c r="J846" i="20"/>
  <c r="J842" i="20"/>
  <c r="J838" i="20"/>
  <c r="J834" i="20"/>
  <c r="J770" i="20"/>
  <c r="J769" i="20"/>
  <c r="J768" i="20"/>
  <c r="J767" i="20"/>
  <c r="J766" i="20"/>
  <c r="J765" i="20"/>
  <c r="J764" i="20"/>
  <c r="J763" i="20"/>
  <c r="J762" i="20"/>
  <c r="J755" i="20"/>
  <c r="J754" i="20"/>
  <c r="J753" i="20"/>
  <c r="J752" i="20"/>
  <c r="J751" i="20"/>
  <c r="J750" i="20"/>
  <c r="J749" i="20"/>
  <c r="J748" i="20"/>
  <c r="J747" i="20"/>
  <c r="J740" i="20"/>
  <c r="J739" i="20"/>
  <c r="J738" i="20"/>
  <c r="J737" i="20"/>
  <c r="J736" i="20"/>
  <c r="J735" i="20"/>
  <c r="J734" i="20"/>
  <c r="J733" i="20"/>
  <c r="J732" i="20"/>
  <c r="J725" i="20"/>
  <c r="J724" i="20"/>
  <c r="J723" i="20"/>
  <c r="J722" i="20"/>
  <c r="J721" i="20"/>
  <c r="J720" i="20"/>
  <c r="J719" i="20"/>
  <c r="J718" i="20"/>
  <c r="J717" i="20"/>
  <c r="J675" i="20"/>
  <c r="J673" i="20"/>
  <c r="J663" i="20"/>
  <c r="J661" i="20"/>
  <c r="J653" i="20"/>
  <c r="J651" i="20"/>
  <c r="J640" i="20"/>
  <c r="J644" i="20" s="1"/>
  <c r="J631" i="20"/>
  <c r="J629" i="20"/>
  <c r="J619" i="20"/>
  <c r="J621" i="20" s="1"/>
  <c r="J606" i="20"/>
  <c r="J615" i="20" s="1"/>
  <c r="J597" i="20"/>
  <c r="J590" i="20"/>
  <c r="J581" i="20"/>
  <c r="J579" i="20"/>
  <c r="J568" i="20"/>
  <c r="J571" i="20" s="1"/>
  <c r="J558" i="20"/>
  <c r="J556" i="20"/>
  <c r="J546" i="20"/>
  <c r="J533" i="20"/>
  <c r="J526" i="20"/>
  <c r="J516" i="20"/>
  <c r="J509" i="20"/>
  <c r="J500" i="20"/>
  <c r="J492" i="20"/>
  <c r="J493" i="20" s="1"/>
  <c r="J479" i="20"/>
  <c r="J488" i="20" s="1"/>
  <c r="J469" i="20"/>
  <c r="J461" i="20"/>
  <c r="J462" i="20" s="1"/>
  <c r="J453" i="20"/>
  <c r="J445" i="20"/>
  <c r="J446" i="20" s="1"/>
  <c r="J436" i="20"/>
  <c r="J428" i="20"/>
  <c r="J429" i="20" s="1"/>
  <c r="J418" i="20"/>
  <c r="J284" i="20"/>
  <c r="J282" i="20"/>
  <c r="J271" i="20"/>
  <c r="J255" i="20"/>
  <c r="J253" i="20"/>
  <c r="J243" i="20"/>
  <c r="J245" i="20" s="1"/>
  <c r="J235" i="20"/>
  <c r="J233" i="20"/>
  <c r="J222" i="20"/>
  <c r="J214" i="20"/>
  <c r="J212" i="20"/>
  <c r="J202" i="20"/>
  <c r="J194" i="20"/>
  <c r="J192" i="20"/>
  <c r="J185" i="20"/>
  <c r="J174" i="20"/>
  <c r="J172" i="20"/>
  <c r="J161" i="20"/>
  <c r="J153" i="20"/>
  <c r="J151" i="20"/>
  <c r="J142" i="20"/>
  <c r="J140" i="20"/>
  <c r="J127" i="20"/>
  <c r="J125" i="20"/>
  <c r="J112" i="20"/>
  <c r="J110" i="20"/>
  <c r="J101" i="20"/>
  <c r="J93" i="20"/>
  <c r="J91" i="20"/>
  <c r="J82" i="20"/>
  <c r="J84" i="20" s="1"/>
  <c r="J74" i="20"/>
  <c r="J72" i="20"/>
  <c r="J63" i="20"/>
  <c r="J55" i="20"/>
  <c r="J53" i="20"/>
  <c r="J44" i="20"/>
  <c r="J36" i="20"/>
  <c r="J34" i="20"/>
  <c r="J25" i="20"/>
  <c r="J27" i="20" s="1"/>
  <c r="E18" i="20"/>
  <c r="E17" i="20"/>
  <c r="J932" i="19"/>
  <c r="J928" i="19"/>
  <c r="J924" i="19"/>
  <c r="J920" i="19"/>
  <c r="J916" i="19"/>
  <c r="J912" i="19"/>
  <c r="J908" i="19"/>
  <c r="J904" i="19"/>
  <c r="J890" i="19"/>
  <c r="J886" i="19"/>
  <c r="J882" i="19"/>
  <c r="J878" i="19"/>
  <c r="J874" i="19"/>
  <c r="J870" i="19"/>
  <c r="J866" i="19"/>
  <c r="J862" i="19"/>
  <c r="J858" i="19"/>
  <c r="J854" i="19"/>
  <c r="J850" i="19"/>
  <c r="J846" i="19"/>
  <c r="J842" i="19"/>
  <c r="J838" i="19"/>
  <c r="J834" i="19"/>
  <c r="J770" i="19"/>
  <c r="J769" i="19"/>
  <c r="J768" i="19"/>
  <c r="J767" i="19"/>
  <c r="J766" i="19"/>
  <c r="J765" i="19"/>
  <c r="J764" i="19"/>
  <c r="J763" i="19"/>
  <c r="J762" i="19"/>
  <c r="J755" i="19"/>
  <c r="J754" i="19"/>
  <c r="J753" i="19"/>
  <c r="J752" i="19"/>
  <c r="J751" i="19"/>
  <c r="J750" i="19"/>
  <c r="J749" i="19"/>
  <c r="J748" i="19"/>
  <c r="J747" i="19"/>
  <c r="J740" i="19"/>
  <c r="J739" i="19"/>
  <c r="J738" i="19"/>
  <c r="J737" i="19"/>
  <c r="J736" i="19"/>
  <c r="J735" i="19"/>
  <c r="J734" i="19"/>
  <c r="J733" i="19"/>
  <c r="J732" i="19"/>
  <c r="J725" i="19"/>
  <c r="J724" i="19"/>
  <c r="J723" i="19"/>
  <c r="J722" i="19"/>
  <c r="J721" i="19"/>
  <c r="J720" i="19"/>
  <c r="J719" i="19"/>
  <c r="J718" i="19"/>
  <c r="J717" i="19"/>
  <c r="J675" i="19"/>
  <c r="J673" i="19"/>
  <c r="J661" i="19"/>
  <c r="J653" i="19"/>
  <c r="J651" i="19"/>
  <c r="J640" i="19"/>
  <c r="J644" i="19" s="1"/>
  <c r="J631" i="19"/>
  <c r="J629" i="19"/>
  <c r="J619" i="19"/>
  <c r="J622" i="19" s="1"/>
  <c r="J606" i="19"/>
  <c r="J615" i="19" s="1"/>
  <c r="J597" i="19"/>
  <c r="J590" i="19"/>
  <c r="J581" i="19"/>
  <c r="J579" i="19"/>
  <c r="J568" i="19"/>
  <c r="J571" i="19" s="1"/>
  <c r="J558" i="19"/>
  <c r="J556" i="19"/>
  <c r="J548" i="19"/>
  <c r="J546" i="19"/>
  <c r="J533" i="19"/>
  <c r="J526" i="19"/>
  <c r="J516" i="19"/>
  <c r="J509" i="19"/>
  <c r="J500" i="19"/>
  <c r="J504" i="19" s="1"/>
  <c r="J493" i="19"/>
  <c r="J479" i="19"/>
  <c r="J488" i="19" s="1"/>
  <c r="J469" i="19"/>
  <c r="J462" i="19"/>
  <c r="J453" i="19"/>
  <c r="J457" i="19" s="1"/>
  <c r="J446" i="19"/>
  <c r="J436" i="19"/>
  <c r="J429" i="19"/>
  <c r="J418" i="19"/>
  <c r="J381" i="19"/>
  <c r="J363" i="19"/>
  <c r="J356" i="19"/>
  <c r="J341" i="19"/>
  <c r="J322" i="19"/>
  <c r="J303" i="19"/>
  <c r="J284" i="19"/>
  <c r="J282" i="19"/>
  <c r="J255" i="19"/>
  <c r="J253" i="19"/>
  <c r="J245" i="19"/>
  <c r="J243" i="19"/>
  <c r="J244" i="19" s="1"/>
  <c r="J235" i="19"/>
  <c r="J233" i="19"/>
  <c r="J222" i="19"/>
  <c r="J214" i="19"/>
  <c r="J212" i="19"/>
  <c r="J203" i="19"/>
  <c r="J202" i="19"/>
  <c r="J194" i="19"/>
  <c r="J192" i="19"/>
  <c r="J184" i="19"/>
  <c r="J174" i="19"/>
  <c r="J172" i="19"/>
  <c r="J161" i="19"/>
  <c r="J153" i="19"/>
  <c r="J151" i="19"/>
  <c r="J142" i="19"/>
  <c r="J141" i="19"/>
  <c r="J140" i="19"/>
  <c r="J127" i="19"/>
  <c r="J125" i="19"/>
  <c r="J112" i="19"/>
  <c r="J110" i="19"/>
  <c r="J102" i="19"/>
  <c r="J101" i="19"/>
  <c r="J93" i="19"/>
  <c r="J91" i="19"/>
  <c r="J82" i="19"/>
  <c r="J84" i="19" s="1"/>
  <c r="J74" i="19"/>
  <c r="J72" i="19"/>
  <c r="J64" i="19"/>
  <c r="J63" i="19"/>
  <c r="J55" i="19"/>
  <c r="J53" i="19"/>
  <c r="J45" i="19"/>
  <c r="J44" i="19"/>
  <c r="J36" i="19"/>
  <c r="J34" i="19"/>
  <c r="J26" i="19"/>
  <c r="J25" i="19"/>
  <c r="E18" i="19"/>
  <c r="E17" i="19"/>
  <c r="J932" i="17"/>
  <c r="J928" i="17"/>
  <c r="J924" i="17"/>
  <c r="J920" i="17"/>
  <c r="J916" i="17"/>
  <c r="J912" i="17"/>
  <c r="J908" i="17"/>
  <c r="J904" i="17"/>
  <c r="J890" i="17"/>
  <c r="J886" i="17"/>
  <c r="J882" i="17"/>
  <c r="J878" i="17"/>
  <c r="J874" i="17"/>
  <c r="J870" i="17"/>
  <c r="J866" i="17"/>
  <c r="J862" i="17"/>
  <c r="J858" i="17"/>
  <c r="J854" i="17"/>
  <c r="J850" i="17"/>
  <c r="J846" i="17"/>
  <c r="J842" i="17"/>
  <c r="J838" i="17"/>
  <c r="J834" i="17"/>
  <c r="J770" i="17"/>
  <c r="J769" i="17"/>
  <c r="J768" i="17"/>
  <c r="J767" i="17"/>
  <c r="J766" i="17"/>
  <c r="J765" i="17"/>
  <c r="J764" i="17"/>
  <c r="J763" i="17"/>
  <c r="J762" i="17"/>
  <c r="J755" i="17"/>
  <c r="J754" i="17"/>
  <c r="J753" i="17"/>
  <c r="J752" i="17"/>
  <c r="J751" i="17"/>
  <c r="J750" i="17"/>
  <c r="J749" i="17"/>
  <c r="J748" i="17"/>
  <c r="J747" i="17"/>
  <c r="J740" i="17"/>
  <c r="J739" i="17"/>
  <c r="J738" i="17"/>
  <c r="J737" i="17"/>
  <c r="J736" i="17"/>
  <c r="J735" i="17"/>
  <c r="J734" i="17"/>
  <c r="J733" i="17"/>
  <c r="J732" i="17"/>
  <c r="J725" i="17"/>
  <c r="J724" i="17"/>
  <c r="J723" i="17"/>
  <c r="J722" i="17"/>
  <c r="J721" i="17"/>
  <c r="J720" i="17"/>
  <c r="J719" i="17"/>
  <c r="J718" i="17"/>
  <c r="J717" i="17"/>
  <c r="J675" i="17"/>
  <c r="J673" i="17"/>
  <c r="J661" i="17"/>
  <c r="J653" i="17"/>
  <c r="J651" i="17"/>
  <c r="J640" i="17"/>
  <c r="J644" i="17" s="1"/>
  <c r="J631" i="17"/>
  <c r="J629" i="17"/>
  <c r="J619" i="17"/>
  <c r="J606" i="17"/>
  <c r="J615" i="17" s="1"/>
  <c r="J597" i="17"/>
  <c r="J590" i="17"/>
  <c r="J581" i="17"/>
  <c r="J579" i="17"/>
  <c r="J571" i="17"/>
  <c r="J621" i="17" s="1"/>
  <c r="J568" i="17"/>
  <c r="J572" i="17" s="1"/>
  <c r="J558" i="17"/>
  <c r="J556" i="17"/>
  <c r="J546" i="17"/>
  <c r="J547" i="17" s="1"/>
  <c r="J533" i="17"/>
  <c r="J537" i="17" s="1"/>
  <c r="J526" i="17"/>
  <c r="J516" i="17"/>
  <c r="J520" i="17" s="1"/>
  <c r="J509" i="17"/>
  <c r="J500" i="17"/>
  <c r="J493" i="17"/>
  <c r="J479" i="17"/>
  <c r="J488" i="17" s="1"/>
  <c r="J469" i="17"/>
  <c r="J462" i="17"/>
  <c r="J453" i="17"/>
  <c r="J446" i="17"/>
  <c r="J436" i="17"/>
  <c r="J440" i="17" s="1"/>
  <c r="J429" i="17"/>
  <c r="J408" i="17"/>
  <c r="J381" i="17"/>
  <c r="J363" i="17"/>
  <c r="J356" i="17"/>
  <c r="J341" i="17"/>
  <c r="J322" i="17"/>
  <c r="J303" i="17"/>
  <c r="J284" i="17"/>
  <c r="J282" i="17"/>
  <c r="J271" i="17"/>
  <c r="J255" i="17"/>
  <c r="J253" i="17"/>
  <c r="J245" i="17"/>
  <c r="J243" i="17"/>
  <c r="J235" i="17"/>
  <c r="J233" i="17"/>
  <c r="J224" i="17"/>
  <c r="J222" i="17"/>
  <c r="J214" i="17"/>
  <c r="J212" i="17"/>
  <c r="J204" i="17"/>
  <c r="J202" i="17"/>
  <c r="J203" i="17" s="1"/>
  <c r="J194" i="17"/>
  <c r="J192" i="17"/>
  <c r="J184" i="17"/>
  <c r="J174" i="17"/>
  <c r="J172" i="17"/>
  <c r="J163" i="17"/>
  <c r="J161" i="17"/>
  <c r="J153" i="17"/>
  <c r="J151" i="17"/>
  <c r="J142" i="17"/>
  <c r="J140" i="17"/>
  <c r="J127" i="17"/>
  <c r="J125" i="17"/>
  <c r="J112" i="17"/>
  <c r="J110" i="17"/>
  <c r="J101" i="17"/>
  <c r="J103" i="17" s="1"/>
  <c r="J93" i="17"/>
  <c r="J91" i="17"/>
  <c r="J83" i="17"/>
  <c r="J82" i="17"/>
  <c r="J84" i="17" s="1"/>
  <c r="J74" i="17"/>
  <c r="J72" i="17"/>
  <c r="J64" i="17"/>
  <c r="J63" i="17"/>
  <c r="J65" i="17" s="1"/>
  <c r="J55" i="17"/>
  <c r="J53" i="17"/>
  <c r="J45" i="17"/>
  <c r="J44" i="17"/>
  <c r="J46" i="17" s="1"/>
  <c r="J34" i="17"/>
  <c r="J26" i="17"/>
  <c r="J663" i="17" s="1"/>
  <c r="J25" i="17"/>
  <c r="J27" i="17" s="1"/>
  <c r="E18" i="17"/>
  <c r="E17" i="17"/>
  <c r="J932" i="9"/>
  <c r="J928" i="9"/>
  <c r="J924" i="9"/>
  <c r="J920" i="9"/>
  <c r="J916" i="9"/>
  <c r="J912" i="9"/>
  <c r="J908" i="9"/>
  <c r="J904" i="9"/>
  <c r="J890" i="9"/>
  <c r="J886" i="9"/>
  <c r="J882" i="9"/>
  <c r="J878" i="9"/>
  <c r="J874" i="9"/>
  <c r="J870" i="9"/>
  <c r="J866" i="9"/>
  <c r="J862" i="9"/>
  <c r="J858" i="9"/>
  <c r="J854" i="9"/>
  <c r="J850" i="9"/>
  <c r="J846" i="9"/>
  <c r="J842" i="9"/>
  <c r="J838" i="9"/>
  <c r="J834" i="9"/>
  <c r="J770" i="9"/>
  <c r="J769" i="9"/>
  <c r="J768" i="9"/>
  <c r="J767" i="9"/>
  <c r="J766" i="9"/>
  <c r="J765" i="9"/>
  <c r="J764" i="9"/>
  <c r="J763" i="9"/>
  <c r="J762" i="9"/>
  <c r="J755" i="9"/>
  <c r="J754" i="9"/>
  <c r="J753" i="9"/>
  <c r="J752" i="9"/>
  <c r="J751" i="9"/>
  <c r="J750" i="9"/>
  <c r="J749" i="9"/>
  <c r="J748" i="9"/>
  <c r="J747" i="9"/>
  <c r="J740" i="9"/>
  <c r="J739" i="9"/>
  <c r="J738" i="9"/>
  <c r="J737" i="9"/>
  <c r="J736" i="9"/>
  <c r="J735" i="9"/>
  <c r="J734" i="9"/>
  <c r="J733" i="9"/>
  <c r="J732" i="9"/>
  <c r="J725" i="9"/>
  <c r="J724" i="9"/>
  <c r="J723" i="9"/>
  <c r="J722" i="9"/>
  <c r="J721" i="9"/>
  <c r="J720" i="9"/>
  <c r="J719" i="9"/>
  <c r="J718" i="9"/>
  <c r="J717" i="9"/>
  <c r="J675" i="9"/>
  <c r="J673" i="9"/>
  <c r="J663" i="9"/>
  <c r="J661" i="9"/>
  <c r="J653" i="9"/>
  <c r="J651" i="9"/>
  <c r="J640" i="9"/>
  <c r="J644" i="9" s="1"/>
  <c r="J631" i="9"/>
  <c r="J629" i="9"/>
  <c r="J619" i="9"/>
  <c r="J622" i="9" s="1"/>
  <c r="J606" i="9"/>
  <c r="J615" i="9" s="1"/>
  <c r="J597" i="9"/>
  <c r="J590" i="9"/>
  <c r="J581" i="9"/>
  <c r="J579" i="9"/>
  <c r="J568" i="9"/>
  <c r="J572" i="9" s="1"/>
  <c r="J558" i="9"/>
  <c r="J556" i="9"/>
  <c r="J546" i="9"/>
  <c r="J549" i="9" s="1"/>
  <c r="J533" i="9"/>
  <c r="J526" i="9"/>
  <c r="J516" i="9"/>
  <c r="J508" i="9"/>
  <c r="J509" i="9" s="1"/>
  <c r="J500" i="9"/>
  <c r="J493" i="9"/>
  <c r="J479" i="9"/>
  <c r="J488" i="9" s="1"/>
  <c r="J469" i="9"/>
  <c r="J462" i="9"/>
  <c r="J453" i="9"/>
  <c r="J446" i="9"/>
  <c r="J436" i="9"/>
  <c r="J429" i="9"/>
  <c r="J418" i="9"/>
  <c r="J381" i="9"/>
  <c r="J363" i="9"/>
  <c r="J341" i="9"/>
  <c r="J322" i="9"/>
  <c r="J303" i="9"/>
  <c r="J284" i="9"/>
  <c r="J282" i="9"/>
  <c r="J271" i="9"/>
  <c r="J255" i="9"/>
  <c r="J253" i="9"/>
  <c r="J245" i="9"/>
  <c r="J243" i="9"/>
  <c r="J235" i="9"/>
  <c r="J233" i="9"/>
  <c r="J224" i="9"/>
  <c r="J222" i="9"/>
  <c r="J214" i="9"/>
  <c r="J212" i="9"/>
  <c r="J202" i="9"/>
  <c r="J205" i="9" s="1"/>
  <c r="J194" i="9"/>
  <c r="J192" i="9"/>
  <c r="J174" i="9"/>
  <c r="J172" i="9"/>
  <c r="J163" i="9"/>
  <c r="J161" i="9"/>
  <c r="J153" i="9"/>
  <c r="J151" i="9"/>
  <c r="J142" i="9"/>
  <c r="J140" i="9"/>
  <c r="J127" i="9"/>
  <c r="J125" i="9"/>
  <c r="J112" i="9"/>
  <c r="J110" i="9"/>
  <c r="J101" i="9"/>
  <c r="J103" i="9" s="1"/>
  <c r="J93" i="9"/>
  <c r="J91" i="9"/>
  <c r="J82" i="9"/>
  <c r="J84" i="9" s="1"/>
  <c r="J74" i="9"/>
  <c r="J72" i="9"/>
  <c r="J63" i="9"/>
  <c r="J65" i="9" s="1"/>
  <c r="J55" i="9"/>
  <c r="J53" i="9"/>
  <c r="J44" i="9"/>
  <c r="J46" i="9" s="1"/>
  <c r="J36" i="9"/>
  <c r="J34" i="9"/>
  <c r="J25" i="9"/>
  <c r="J27" i="9" s="1"/>
  <c r="E18" i="9"/>
  <c r="E17" i="9"/>
  <c r="H10" i="8"/>
  <c r="H92" i="8" s="1"/>
  <c r="J106" i="68"/>
  <c r="J104" i="68"/>
  <c r="J102" i="68"/>
  <c r="J100" i="68"/>
  <c r="J108" i="68" s="1"/>
  <c r="J92" i="68"/>
  <c r="J90" i="68"/>
  <c r="J94" i="68" s="1"/>
  <c r="J82" i="68"/>
  <c r="J84" i="68" s="1"/>
  <c r="J80" i="68"/>
  <c r="J78" i="68"/>
  <c r="J76" i="68"/>
  <c r="J74" i="68"/>
  <c r="J66" i="68"/>
  <c r="J68" i="68" s="1"/>
  <c r="J64" i="68"/>
  <c r="J56" i="68"/>
  <c r="J54" i="68"/>
  <c r="J52" i="68"/>
  <c r="J58" i="68" s="1"/>
  <c r="J46" i="68"/>
  <c r="J913" i="18" s="1"/>
  <c r="J44" i="68"/>
  <c r="J42" i="68"/>
  <c r="J40" i="68"/>
  <c r="J38" i="68"/>
  <c r="J30" i="68"/>
  <c r="J32" i="68" s="1"/>
  <c r="J28" i="68"/>
  <c r="J20" i="68"/>
  <c r="J18" i="68"/>
  <c r="J16" i="68"/>
  <c r="J14" i="68"/>
  <c r="J12" i="68"/>
  <c r="J10" i="68"/>
  <c r="J8" i="68"/>
  <c r="J22" i="68" s="1"/>
  <c r="J220" i="7"/>
  <c r="J218" i="7"/>
  <c r="J216" i="7"/>
  <c r="J214" i="7"/>
  <c r="J206" i="7"/>
  <c r="J204" i="7"/>
  <c r="J202" i="7"/>
  <c r="J200" i="7"/>
  <c r="J192" i="7"/>
  <c r="J190" i="7"/>
  <c r="J188" i="7"/>
  <c r="J186" i="7"/>
  <c r="J178" i="7"/>
  <c r="J176" i="7"/>
  <c r="J174" i="7"/>
  <c r="J172" i="7"/>
  <c r="J170" i="7"/>
  <c r="J162" i="7"/>
  <c r="J160" i="7"/>
  <c r="J158" i="7"/>
  <c r="J156" i="7"/>
  <c r="J148" i="7"/>
  <c r="J146" i="7"/>
  <c r="J144" i="7"/>
  <c r="J142" i="7"/>
  <c r="J134" i="7"/>
  <c r="J132" i="7"/>
  <c r="J130" i="7"/>
  <c r="J128" i="7"/>
  <c r="J126" i="7"/>
  <c r="J124" i="7"/>
  <c r="J116" i="7"/>
  <c r="J114" i="7"/>
  <c r="J112" i="7"/>
  <c r="J110" i="7"/>
  <c r="J108" i="7"/>
  <c r="J100" i="7"/>
  <c r="J98" i="7"/>
  <c r="J96" i="7"/>
  <c r="J94" i="7"/>
  <c r="J86" i="7"/>
  <c r="J84" i="7"/>
  <c r="J82" i="7"/>
  <c r="J74" i="7"/>
  <c r="J72" i="7"/>
  <c r="J70" i="7"/>
  <c r="J68" i="7"/>
  <c r="J66" i="7"/>
  <c r="J58" i="7"/>
  <c r="J56" i="7"/>
  <c r="J54" i="7"/>
  <c r="J52" i="7"/>
  <c r="J50" i="7"/>
  <c r="J42" i="7"/>
  <c r="J40" i="7"/>
  <c r="J38" i="7"/>
  <c r="J36" i="7"/>
  <c r="J34" i="7"/>
  <c r="J26" i="7"/>
  <c r="J24" i="7"/>
  <c r="J22" i="7"/>
  <c r="J14" i="7"/>
  <c r="J12" i="7"/>
  <c r="J10" i="7"/>
  <c r="J8" i="7"/>
  <c r="H58" i="6"/>
  <c r="J806" i="18" s="1"/>
  <c r="J808" i="18" s="1"/>
  <c r="H52" i="6"/>
  <c r="J802" i="18" s="1"/>
  <c r="J804" i="18" s="1"/>
  <c r="H46" i="6"/>
  <c r="J798" i="18" s="1"/>
  <c r="J800" i="18" s="1"/>
  <c r="H40" i="6"/>
  <c r="J794" i="18" s="1"/>
  <c r="J796" i="18" s="1"/>
  <c r="H34" i="6"/>
  <c r="J790" i="18" s="1"/>
  <c r="J792" i="18" s="1"/>
  <c r="H27" i="6"/>
  <c r="H21" i="6"/>
  <c r="J782" i="18" s="1"/>
  <c r="J784" i="18" s="1"/>
  <c r="H14" i="6"/>
  <c r="H8" i="6"/>
  <c r="G151" i="4"/>
  <c r="G124" i="4"/>
  <c r="G102" i="4"/>
  <c r="G93" i="4"/>
  <c r="J270" i="18" s="1"/>
  <c r="G88" i="4"/>
  <c r="J268" i="18" s="1"/>
  <c r="G78" i="4"/>
  <c r="G72" i="4"/>
  <c r="G66" i="4"/>
  <c r="G60" i="4"/>
  <c r="G52" i="4"/>
  <c r="G46" i="4"/>
  <c r="G36" i="4"/>
  <c r="G30" i="4"/>
  <c r="G24" i="4"/>
  <c r="G18" i="4"/>
  <c r="G12" i="4"/>
  <c r="J909" i="18" l="1"/>
  <c r="J909" i="33"/>
  <c r="J909" i="32"/>
  <c r="J909" i="25"/>
  <c r="J909" i="23"/>
  <c r="J909" i="21"/>
  <c r="J909" i="17"/>
  <c r="J909" i="9"/>
  <c r="J909" i="35"/>
  <c r="J909" i="29"/>
  <c r="J909" i="34"/>
  <c r="J909" i="19"/>
  <c r="J909" i="31"/>
  <c r="J909" i="30"/>
  <c r="J909" i="27"/>
  <c r="J909" i="26"/>
  <c r="J909" i="36"/>
  <c r="J909" i="24"/>
  <c r="J909" i="20"/>
  <c r="J909" i="28"/>
  <c r="J929" i="18"/>
  <c r="J929" i="28"/>
  <c r="J929" i="33"/>
  <c r="J929" i="32"/>
  <c r="J929" i="25"/>
  <c r="J929" i="23"/>
  <c r="J929" i="21"/>
  <c r="J929" i="9"/>
  <c r="J929" i="17"/>
  <c r="J929" i="35"/>
  <c r="J929" i="29"/>
  <c r="J929" i="34"/>
  <c r="J929" i="19"/>
  <c r="J929" i="31"/>
  <c r="J929" i="30"/>
  <c r="J929" i="27"/>
  <c r="J929" i="26"/>
  <c r="J929" i="36"/>
  <c r="J929" i="24"/>
  <c r="J929" i="20"/>
  <c r="J925" i="18"/>
  <c r="J925" i="36"/>
  <c r="J925" i="24"/>
  <c r="J925" i="20"/>
  <c r="J925" i="28"/>
  <c r="J925" i="33"/>
  <c r="J925" i="32"/>
  <c r="J925" i="25"/>
  <c r="J925" i="23"/>
  <c r="J925" i="21"/>
  <c r="J925" i="17"/>
  <c r="J925" i="9"/>
  <c r="J925" i="35"/>
  <c r="J925" i="29"/>
  <c r="J925" i="34"/>
  <c r="J925" i="19"/>
  <c r="J925" i="31"/>
  <c r="J925" i="30"/>
  <c r="J925" i="27"/>
  <c r="J925" i="26"/>
  <c r="J905" i="18"/>
  <c r="J905" i="28"/>
  <c r="J905" i="9"/>
  <c r="J905" i="33"/>
  <c r="J905" i="32"/>
  <c r="J905" i="25"/>
  <c r="J905" i="23"/>
  <c r="J905" i="21"/>
  <c r="J905" i="17"/>
  <c r="J905" i="35"/>
  <c r="J905" i="29"/>
  <c r="J905" i="34"/>
  <c r="J936" i="34" s="1"/>
  <c r="J905" i="19"/>
  <c r="J905" i="31"/>
  <c r="J905" i="30"/>
  <c r="J905" i="27"/>
  <c r="J905" i="26"/>
  <c r="J905" i="36"/>
  <c r="J905" i="24"/>
  <c r="J905" i="20"/>
  <c r="J917" i="18"/>
  <c r="J917" i="35"/>
  <c r="J917" i="29"/>
  <c r="J917" i="34"/>
  <c r="J917" i="19"/>
  <c r="J917" i="31"/>
  <c r="J917" i="30"/>
  <c r="J917" i="27"/>
  <c r="J917" i="26"/>
  <c r="J917" i="36"/>
  <c r="J917" i="24"/>
  <c r="J917" i="20"/>
  <c r="J917" i="9"/>
  <c r="J917" i="28"/>
  <c r="J917" i="17"/>
  <c r="J917" i="33"/>
  <c r="J936" i="33" s="1"/>
  <c r="J917" i="32"/>
  <c r="J917" i="25"/>
  <c r="J917" i="23"/>
  <c r="J917" i="21"/>
  <c r="J933" i="18"/>
  <c r="J933" i="33"/>
  <c r="J933" i="32"/>
  <c r="J933" i="25"/>
  <c r="J933" i="23"/>
  <c r="J933" i="21"/>
  <c r="J933" i="17"/>
  <c r="J933" i="9"/>
  <c r="J933" i="35"/>
  <c r="J933" i="29"/>
  <c r="J933" i="28"/>
  <c r="J933" i="34"/>
  <c r="J933" i="19"/>
  <c r="J933" i="31"/>
  <c r="J933" i="30"/>
  <c r="J933" i="27"/>
  <c r="J933" i="26"/>
  <c r="J933" i="36"/>
  <c r="J933" i="24"/>
  <c r="J933" i="20"/>
  <c r="J936" i="20" s="1"/>
  <c r="J921" i="18"/>
  <c r="J921" i="31"/>
  <c r="J921" i="30"/>
  <c r="J921" i="27"/>
  <c r="J921" i="26"/>
  <c r="J921" i="36"/>
  <c r="J921" i="24"/>
  <c r="J921" i="20"/>
  <c r="J921" i="34"/>
  <c r="J921" i="28"/>
  <c r="J921" i="33"/>
  <c r="J921" i="32"/>
  <c r="J921" i="25"/>
  <c r="J921" i="19"/>
  <c r="J921" i="23"/>
  <c r="J921" i="21"/>
  <c r="J921" i="17"/>
  <c r="J921" i="9"/>
  <c r="J921" i="35"/>
  <c r="J921" i="29"/>
  <c r="J504" i="17"/>
  <c r="J537" i="20"/>
  <c r="J520" i="27"/>
  <c r="J601" i="29"/>
  <c r="J440" i="33"/>
  <c r="J537" i="33"/>
  <c r="J520" i="34"/>
  <c r="J504" i="23"/>
  <c r="J601" i="23"/>
  <c r="J457" i="24"/>
  <c r="J795" i="24"/>
  <c r="J807" i="24"/>
  <c r="J440" i="26"/>
  <c r="J537" i="26"/>
  <c r="J473" i="28"/>
  <c r="J913" i="28"/>
  <c r="J779" i="17"/>
  <c r="J787" i="19"/>
  <c r="J601" i="21"/>
  <c r="J601" i="25"/>
  <c r="J779" i="23"/>
  <c r="J795" i="26"/>
  <c r="J913" i="20"/>
  <c r="J913" i="24"/>
  <c r="J457" i="27"/>
  <c r="J440" i="29"/>
  <c r="J913" i="36"/>
  <c r="J457" i="17"/>
  <c r="J795" i="17"/>
  <c r="J803" i="19"/>
  <c r="J537" i="21"/>
  <c r="J913" i="26"/>
  <c r="J913" i="27"/>
  <c r="J913" i="30"/>
  <c r="J913" i="31"/>
  <c r="J787" i="32"/>
  <c r="J601" i="33"/>
  <c r="J473" i="34"/>
  <c r="J913" i="19"/>
  <c r="J913" i="34"/>
  <c r="J164" i="7"/>
  <c r="J875" i="18" s="1"/>
  <c r="J473" i="17"/>
  <c r="J601" i="20"/>
  <c r="J787" i="28"/>
  <c r="J473" i="29"/>
  <c r="J913" i="29"/>
  <c r="J504" i="33"/>
  <c r="J913" i="35"/>
  <c r="J601" i="36"/>
  <c r="J913" i="9"/>
  <c r="J913" i="17"/>
  <c r="J520" i="24"/>
  <c r="J779" i="24"/>
  <c r="J791" i="24"/>
  <c r="J504" i="26"/>
  <c r="J601" i="26"/>
  <c r="J440" i="28"/>
  <c r="J537" i="28"/>
  <c r="J457" i="32"/>
  <c r="J913" i="21"/>
  <c r="J913" i="23"/>
  <c r="J803" i="32"/>
  <c r="J222" i="7"/>
  <c r="J891" i="18" s="1"/>
  <c r="J891" i="29"/>
  <c r="J208" i="7"/>
  <c r="J887" i="18" s="1"/>
  <c r="J194" i="7"/>
  <c r="J883" i="18" s="1"/>
  <c r="J180" i="7"/>
  <c r="J879" i="18" s="1"/>
  <c r="J875" i="23"/>
  <c r="J875" i="27"/>
  <c r="J875" i="34"/>
  <c r="J875" i="9"/>
  <c r="J875" i="25"/>
  <c r="J875" i="26"/>
  <c r="J150" i="7"/>
  <c r="J871" i="18" s="1"/>
  <c r="J136" i="7"/>
  <c r="J867" i="18" s="1"/>
  <c r="J790" i="24"/>
  <c r="J601" i="32"/>
  <c r="J520" i="32"/>
  <c r="J504" i="21"/>
  <c r="J118" i="7"/>
  <c r="J863" i="18" s="1"/>
  <c r="J102" i="7"/>
  <c r="J859" i="18" s="1"/>
  <c r="J88" i="7"/>
  <c r="J855" i="20" s="1"/>
  <c r="J76" i="7"/>
  <c r="J851" i="18" s="1"/>
  <c r="J60" i="7"/>
  <c r="J847" i="18" s="1"/>
  <c r="J44" i="7"/>
  <c r="J843" i="18" s="1"/>
  <c r="J28" i="7"/>
  <c r="J839" i="20" s="1"/>
  <c r="J16" i="7"/>
  <c r="J835" i="18" s="1"/>
  <c r="J806" i="19"/>
  <c r="J806" i="24"/>
  <c r="J806" i="29"/>
  <c r="J806" i="32"/>
  <c r="J806" i="33"/>
  <c r="J808" i="33" s="1"/>
  <c r="J806" i="34"/>
  <c r="J806" i="20"/>
  <c r="J806" i="21"/>
  <c r="J806" i="23"/>
  <c r="J806" i="28"/>
  <c r="J808" i="28" s="1"/>
  <c r="J806" i="35"/>
  <c r="J806" i="36"/>
  <c r="J806" i="9"/>
  <c r="J806" i="17"/>
  <c r="J806" i="26"/>
  <c r="J806" i="27"/>
  <c r="J806" i="30"/>
  <c r="J808" i="30" s="1"/>
  <c r="J806" i="31"/>
  <c r="J806" i="25"/>
  <c r="J802" i="17"/>
  <c r="J802" i="27"/>
  <c r="J802" i="28"/>
  <c r="J804" i="28" s="1"/>
  <c r="J802" i="29"/>
  <c r="J802" i="31"/>
  <c r="J802" i="33"/>
  <c r="J802" i="36"/>
  <c r="J802" i="20"/>
  <c r="J802" i="34"/>
  <c r="J802" i="21"/>
  <c r="J802" i="9"/>
  <c r="J802" i="19"/>
  <c r="J804" i="19" s="1"/>
  <c r="J802" i="23"/>
  <c r="J802" i="24"/>
  <c r="J802" i="25"/>
  <c r="J804" i="25" s="1"/>
  <c r="J802" i="26"/>
  <c r="J802" i="30"/>
  <c r="J802" i="32"/>
  <c r="J804" i="32" s="1"/>
  <c r="J802" i="35"/>
  <c r="J798" i="24"/>
  <c r="J798" i="9"/>
  <c r="J798" i="26"/>
  <c r="J800" i="26" s="1"/>
  <c r="J798" i="29"/>
  <c r="J798" i="30"/>
  <c r="J798" i="33"/>
  <c r="J798" i="32"/>
  <c r="J798" i="34"/>
  <c r="J800" i="34" s="1"/>
  <c r="J798" i="20"/>
  <c r="J800" i="20" s="1"/>
  <c r="J798" i="23"/>
  <c r="J798" i="35"/>
  <c r="J798" i="17"/>
  <c r="J798" i="19"/>
  <c r="J798" i="27"/>
  <c r="J798" i="31"/>
  <c r="J800" i="31" s="1"/>
  <c r="J798" i="21"/>
  <c r="J798" i="25"/>
  <c r="J798" i="28"/>
  <c r="J798" i="36"/>
  <c r="J794" i="21"/>
  <c r="J794" i="27"/>
  <c r="J796" i="27" s="1"/>
  <c r="J794" i="29"/>
  <c r="J794" i="31"/>
  <c r="J794" i="33"/>
  <c r="J794" i="17"/>
  <c r="J794" i="9"/>
  <c r="J794" i="19"/>
  <c r="J796" i="19" s="1"/>
  <c r="J794" i="20"/>
  <c r="J794" i="24"/>
  <c r="J796" i="24" s="1"/>
  <c r="J794" i="26"/>
  <c r="J796" i="26" s="1"/>
  <c r="J794" i="30"/>
  <c r="J794" i="32"/>
  <c r="J794" i="28"/>
  <c r="J794" i="36"/>
  <c r="J794" i="23"/>
  <c r="J794" i="25"/>
  <c r="J794" i="34"/>
  <c r="J794" i="35"/>
  <c r="J790" i="29"/>
  <c r="J792" i="29" s="1"/>
  <c r="J790" i="32"/>
  <c r="J790" i="33"/>
  <c r="J790" i="34"/>
  <c r="J790" i="19"/>
  <c r="J790" i="28"/>
  <c r="J790" i="35"/>
  <c r="J790" i="36"/>
  <c r="J790" i="20"/>
  <c r="J790" i="21"/>
  <c r="J790" i="23"/>
  <c r="J790" i="26"/>
  <c r="J790" i="27"/>
  <c r="J792" i="27" s="1"/>
  <c r="J790" i="30"/>
  <c r="J790" i="31"/>
  <c r="J790" i="9"/>
  <c r="J790" i="17"/>
  <c r="J790" i="25"/>
  <c r="J792" i="25" s="1"/>
  <c r="J786" i="29"/>
  <c r="J786" i="18"/>
  <c r="J788" i="18" s="1"/>
  <c r="J778" i="28"/>
  <c r="J778" i="18"/>
  <c r="J780" i="18" s="1"/>
  <c r="J774" i="33"/>
  <c r="J774" i="18"/>
  <c r="J776" i="18" s="1"/>
  <c r="J774" i="9"/>
  <c r="J394" i="9"/>
  <c r="J395" i="9" s="1"/>
  <c r="J270" i="17"/>
  <c r="J333" i="17"/>
  <c r="J334" i="17" s="1"/>
  <c r="J374" i="17"/>
  <c r="J314" i="19"/>
  <c r="J315" i="19" s="1"/>
  <c r="J394" i="19"/>
  <c r="J395" i="19" s="1"/>
  <c r="J404" i="19" s="1"/>
  <c r="J268" i="20"/>
  <c r="J270" i="21"/>
  <c r="J333" i="21"/>
  <c r="J334" i="21" s="1"/>
  <c r="J374" i="21"/>
  <c r="J270" i="24"/>
  <c r="J333" i="24"/>
  <c r="J334" i="24" s="1"/>
  <c r="J374" i="24"/>
  <c r="J314" i="25"/>
  <c r="J394" i="25"/>
  <c r="J395" i="25" s="1"/>
  <c r="J404" i="25" s="1"/>
  <c r="J270" i="26"/>
  <c r="J333" i="26"/>
  <c r="J334" i="26" s="1"/>
  <c r="J374" i="26"/>
  <c r="J268" i="27"/>
  <c r="J269" i="27" s="1"/>
  <c r="J314" i="28"/>
  <c r="J394" i="28"/>
  <c r="J395" i="28" s="1"/>
  <c r="J404" i="28" s="1"/>
  <c r="J270" i="29"/>
  <c r="J333" i="29"/>
  <c r="J334" i="29" s="1"/>
  <c r="J374" i="29"/>
  <c r="J268" i="30"/>
  <c r="J268" i="31"/>
  <c r="J269" i="31" s="1"/>
  <c r="J314" i="32"/>
  <c r="J315" i="32" s="1"/>
  <c r="J326" i="32" s="1"/>
  <c r="J394" i="32"/>
  <c r="J395" i="32" s="1"/>
  <c r="J404" i="32" s="1"/>
  <c r="J314" i="34"/>
  <c r="J394" i="34"/>
  <c r="J395" i="34" s="1"/>
  <c r="J404" i="34" s="1"/>
  <c r="J268" i="35"/>
  <c r="J374" i="30"/>
  <c r="J314" i="30"/>
  <c r="J315" i="30" s="1"/>
  <c r="J326" i="30" s="1"/>
  <c r="J314" i="9"/>
  <c r="J394" i="31"/>
  <c r="J395" i="31" s="1"/>
  <c r="J404" i="31" s="1"/>
  <c r="J294" i="18"/>
  <c r="J373" i="31"/>
  <c r="J314" i="18"/>
  <c r="J315" i="18" s="1"/>
  <c r="J326" i="18" s="1"/>
  <c r="J374" i="18"/>
  <c r="J313" i="18"/>
  <c r="J393" i="31"/>
  <c r="J394" i="18"/>
  <c r="J395" i="18" s="1"/>
  <c r="J404" i="18" s="1"/>
  <c r="J373" i="18"/>
  <c r="J333" i="18"/>
  <c r="J334" i="18" s="1"/>
  <c r="J349" i="18" s="1"/>
  <c r="J295" i="18"/>
  <c r="J296" i="18" s="1"/>
  <c r="J307" i="18" s="1"/>
  <c r="J393" i="18"/>
  <c r="J332" i="18"/>
  <c r="J313" i="36"/>
  <c r="J313" i="35"/>
  <c r="J313" i="32"/>
  <c r="J373" i="30"/>
  <c r="J295" i="29"/>
  <c r="J296" i="29" s="1"/>
  <c r="J307" i="29" s="1"/>
  <c r="J373" i="27"/>
  <c r="J295" i="26"/>
  <c r="J296" i="26" s="1"/>
  <c r="J307" i="26" s="1"/>
  <c r="J373" i="24"/>
  <c r="J373" i="21"/>
  <c r="J295" i="20"/>
  <c r="J296" i="20" s="1"/>
  <c r="J307" i="20" s="1"/>
  <c r="J373" i="17"/>
  <c r="J295" i="9"/>
  <c r="J296" i="9" s="1"/>
  <c r="J307" i="9" s="1"/>
  <c r="J332" i="21"/>
  <c r="J332" i="17"/>
  <c r="J332" i="9"/>
  <c r="J295" i="34"/>
  <c r="J296" i="34" s="1"/>
  <c r="J307" i="34" s="1"/>
  <c r="J313" i="30"/>
  <c r="J313" i="28"/>
  <c r="J313" i="24"/>
  <c r="J313" i="21"/>
  <c r="J393" i="36"/>
  <c r="J294" i="36"/>
  <c r="J393" i="35"/>
  <c r="J294" i="35"/>
  <c r="J393" i="34"/>
  <c r="J294" i="34"/>
  <c r="J393" i="33"/>
  <c r="J294" i="33"/>
  <c r="J393" i="32"/>
  <c r="J294" i="32"/>
  <c r="J332" i="31"/>
  <c r="J332" i="30"/>
  <c r="J332" i="29"/>
  <c r="J332" i="28"/>
  <c r="J332" i="27"/>
  <c r="J332" i="26"/>
  <c r="J332" i="25"/>
  <c r="J332" i="24"/>
  <c r="J332" i="23"/>
  <c r="J295" i="33"/>
  <c r="J296" i="33" s="1"/>
  <c r="J307" i="33" s="1"/>
  <c r="J313" i="29"/>
  <c r="J313" i="27"/>
  <c r="J313" i="20"/>
  <c r="J313" i="9"/>
  <c r="J373" i="36"/>
  <c r="J295" i="36"/>
  <c r="J296" i="36" s="1"/>
  <c r="J307" i="36" s="1"/>
  <c r="J373" i="35"/>
  <c r="J295" i="35"/>
  <c r="J296" i="35" s="1"/>
  <c r="J307" i="35" s="1"/>
  <c r="J373" i="33"/>
  <c r="J373" i="32"/>
  <c r="J313" i="31"/>
  <c r="J313" i="23"/>
  <c r="J332" i="36"/>
  <c r="J332" i="35"/>
  <c r="J332" i="34"/>
  <c r="J332" i="33"/>
  <c r="J332" i="32"/>
  <c r="J294" i="31"/>
  <c r="J393" i="30"/>
  <c r="J294" i="30"/>
  <c r="J393" i="29"/>
  <c r="J294" i="29"/>
  <c r="J393" i="28"/>
  <c r="J294" i="28"/>
  <c r="J393" i="27"/>
  <c r="J294" i="27"/>
  <c r="J393" i="26"/>
  <c r="J294" i="26"/>
  <c r="J393" i="25"/>
  <c r="J294" i="25"/>
  <c r="J393" i="24"/>
  <c r="J294" i="24"/>
  <c r="J393" i="23"/>
  <c r="J294" i="23"/>
  <c r="J393" i="21"/>
  <c r="J294" i="21"/>
  <c r="J393" i="20"/>
  <c r="J294" i="20"/>
  <c r="J393" i="19"/>
  <c r="J294" i="19"/>
  <c r="J393" i="17"/>
  <c r="J294" i="17"/>
  <c r="J393" i="9"/>
  <c r="J294" i="9"/>
  <c r="J313" i="34"/>
  <c r="J313" i="33"/>
  <c r="J295" i="31"/>
  <c r="J296" i="31" s="1"/>
  <c r="J307" i="31" s="1"/>
  <c r="J295" i="30"/>
  <c r="J296" i="30" s="1"/>
  <c r="J307" i="30" s="1"/>
  <c r="J373" i="29"/>
  <c r="J373" i="28"/>
  <c r="J295" i="28"/>
  <c r="J296" i="28" s="1"/>
  <c r="J307" i="28" s="1"/>
  <c r="J295" i="27"/>
  <c r="J296" i="27" s="1"/>
  <c r="J307" i="27" s="1"/>
  <c r="J373" i="26"/>
  <c r="J373" i="25"/>
  <c r="J295" i="25"/>
  <c r="J296" i="25" s="1"/>
  <c r="J307" i="25" s="1"/>
  <c r="J295" i="24"/>
  <c r="J296" i="24" s="1"/>
  <c r="J307" i="24" s="1"/>
  <c r="J373" i="23"/>
  <c r="J295" i="23"/>
  <c r="J296" i="23" s="1"/>
  <c r="J307" i="23" s="1"/>
  <c r="J295" i="21"/>
  <c r="J296" i="21" s="1"/>
  <c r="J373" i="20"/>
  <c r="J373" i="19"/>
  <c r="J295" i="19"/>
  <c r="J296" i="19" s="1"/>
  <c r="J295" i="17"/>
  <c r="J296" i="17" s="1"/>
  <c r="J307" i="17" s="1"/>
  <c r="J373" i="9"/>
  <c r="J332" i="20"/>
  <c r="J332" i="19"/>
  <c r="J373" i="34"/>
  <c r="J295" i="32"/>
  <c r="J296" i="32" s="1"/>
  <c r="J307" i="32" s="1"/>
  <c r="J313" i="26"/>
  <c r="J313" i="25"/>
  <c r="J313" i="19"/>
  <c r="J313" i="17"/>
  <c r="J314" i="20"/>
  <c r="J315" i="20" s="1"/>
  <c r="J326" i="20" s="1"/>
  <c r="J394" i="36"/>
  <c r="J395" i="36" s="1"/>
  <c r="J404" i="36" s="1"/>
  <c r="J314" i="36"/>
  <c r="J315" i="36" s="1"/>
  <c r="J326" i="36" s="1"/>
  <c r="J374" i="35"/>
  <c r="J312" i="35"/>
  <c r="J314" i="27"/>
  <c r="J315" i="27" s="1"/>
  <c r="J326" i="27" s="1"/>
  <c r="J372" i="31"/>
  <c r="J374" i="31" s="1"/>
  <c r="J312" i="31"/>
  <c r="J314" i="31" s="1"/>
  <c r="J315" i="31" s="1"/>
  <c r="J326" i="31" s="1"/>
  <c r="J372" i="36"/>
  <c r="J374" i="36" s="1"/>
  <c r="J333" i="36"/>
  <c r="J334" i="36" s="1"/>
  <c r="J394" i="20"/>
  <c r="J395" i="20" s="1"/>
  <c r="J404" i="20" s="1"/>
  <c r="J374" i="23"/>
  <c r="J333" i="23"/>
  <c r="J334" i="23" s="1"/>
  <c r="J394" i="27"/>
  <c r="J395" i="27" s="1"/>
  <c r="J404" i="27" s="1"/>
  <c r="J372" i="27"/>
  <c r="J374" i="27" s="1"/>
  <c r="J394" i="35"/>
  <c r="J395" i="35" s="1"/>
  <c r="J404" i="35" s="1"/>
  <c r="J372" i="20"/>
  <c r="J333" i="20"/>
  <c r="J334" i="20" s="1"/>
  <c r="J394" i="23"/>
  <c r="J395" i="23" s="1"/>
  <c r="J404" i="23" s="1"/>
  <c r="J314" i="23"/>
  <c r="J315" i="23" s="1"/>
  <c r="J326" i="23" s="1"/>
  <c r="J333" i="27"/>
  <c r="J334" i="27" s="1"/>
  <c r="J333" i="30"/>
  <c r="J334" i="30" s="1"/>
  <c r="J333" i="31"/>
  <c r="J334" i="31" s="1"/>
  <c r="J331" i="35"/>
  <c r="J333" i="35" s="1"/>
  <c r="J334" i="35" s="1"/>
  <c r="J270" i="20"/>
  <c r="J307" i="21"/>
  <c r="J268" i="23"/>
  <c r="J268" i="25"/>
  <c r="J270" i="27"/>
  <c r="J268" i="28"/>
  <c r="J270" i="31"/>
  <c r="J268" i="32"/>
  <c r="J269" i="32" s="1"/>
  <c r="J333" i="33"/>
  <c r="J334" i="33" s="1"/>
  <c r="J374" i="33"/>
  <c r="J268" i="34"/>
  <c r="J270" i="35"/>
  <c r="J268" i="36"/>
  <c r="J269" i="36" s="1"/>
  <c r="G97" i="4"/>
  <c r="J268" i="9"/>
  <c r="J333" i="9"/>
  <c r="J334" i="9" s="1"/>
  <c r="J374" i="9"/>
  <c r="J314" i="17"/>
  <c r="J315" i="17" s="1"/>
  <c r="J326" i="17" s="1"/>
  <c r="J394" i="17"/>
  <c r="J395" i="17" s="1"/>
  <c r="J404" i="17" s="1"/>
  <c r="J268" i="19"/>
  <c r="J333" i="19"/>
  <c r="J334" i="19" s="1"/>
  <c r="J374" i="19"/>
  <c r="J314" i="21"/>
  <c r="J315" i="21" s="1"/>
  <c r="J394" i="21"/>
  <c r="J395" i="21" s="1"/>
  <c r="J404" i="21" s="1"/>
  <c r="J270" i="23"/>
  <c r="J314" i="24"/>
  <c r="J315" i="24" s="1"/>
  <c r="J394" i="24"/>
  <c r="J395" i="24" s="1"/>
  <c r="J404" i="24" s="1"/>
  <c r="J270" i="25"/>
  <c r="J333" i="25"/>
  <c r="J334" i="25" s="1"/>
  <c r="J374" i="25"/>
  <c r="J314" i="26"/>
  <c r="J315" i="26" s="1"/>
  <c r="J394" i="26"/>
  <c r="J395" i="26" s="1"/>
  <c r="J404" i="26" s="1"/>
  <c r="J270" i="28"/>
  <c r="J333" i="28"/>
  <c r="J334" i="28" s="1"/>
  <c r="J374" i="28"/>
  <c r="J314" i="29"/>
  <c r="J315" i="29" s="1"/>
  <c r="J394" i="29"/>
  <c r="J395" i="29" s="1"/>
  <c r="J404" i="29" s="1"/>
  <c r="J270" i="30"/>
  <c r="J270" i="32"/>
  <c r="J333" i="32"/>
  <c r="J334" i="32" s="1"/>
  <c r="J374" i="32"/>
  <c r="J268" i="33"/>
  <c r="J270" i="34"/>
  <c r="J333" i="34"/>
  <c r="J334" i="34" s="1"/>
  <c r="J374" i="34"/>
  <c r="J270" i="36"/>
  <c r="J270" i="9"/>
  <c r="J268" i="17"/>
  <c r="J269" i="17" s="1"/>
  <c r="J270" i="19"/>
  <c r="J307" i="19"/>
  <c r="J268" i="21"/>
  <c r="J268" i="24"/>
  <c r="J268" i="26"/>
  <c r="J268" i="29"/>
  <c r="J270" i="33"/>
  <c r="J314" i="33"/>
  <c r="J315" i="33" s="1"/>
  <c r="J394" i="33"/>
  <c r="J395" i="33" s="1"/>
  <c r="J404" i="33" s="1"/>
  <c r="J394" i="30"/>
  <c r="J395" i="30" s="1"/>
  <c r="J404" i="30" s="1"/>
  <c r="J663" i="29"/>
  <c r="J284" i="30"/>
  <c r="J271" i="31"/>
  <c r="J205" i="35"/>
  <c r="J218" i="35" s="1"/>
  <c r="J345" i="20"/>
  <c r="J205" i="27"/>
  <c r="J142" i="31"/>
  <c r="J205" i="32"/>
  <c r="J345" i="33"/>
  <c r="J622" i="34"/>
  <c r="J635" i="34" s="1"/>
  <c r="J663" i="36"/>
  <c r="J666" i="36" s="1"/>
  <c r="J345" i="27"/>
  <c r="J345" i="30"/>
  <c r="J224" i="19"/>
  <c r="J572" i="20"/>
  <c r="J585" i="20" s="1"/>
  <c r="J590" i="35"/>
  <c r="J601" i="35" s="1"/>
  <c r="J345" i="35"/>
  <c r="J345" i="36"/>
  <c r="J663" i="19"/>
  <c r="J163" i="19"/>
  <c r="J271" i="19"/>
  <c r="J185" i="23"/>
  <c r="J246" i="24"/>
  <c r="J163" i="29"/>
  <c r="J165" i="29" s="1"/>
  <c r="J178" i="29" s="1"/>
  <c r="J142" i="29"/>
  <c r="J144" i="29" s="1"/>
  <c r="J157" i="29" s="1"/>
  <c r="J163" i="30"/>
  <c r="J165" i="30" s="1"/>
  <c r="J64" i="31"/>
  <c r="J65" i="31" s="1"/>
  <c r="J142" i="32"/>
  <c r="J549" i="34"/>
  <c r="J562" i="34" s="1"/>
  <c r="J572" i="35"/>
  <c r="J585" i="35" s="1"/>
  <c r="J345" i="23"/>
  <c r="J345" i="31"/>
  <c r="J226" i="9"/>
  <c r="J239" i="9" s="1"/>
  <c r="J144" i="9"/>
  <c r="J157" i="9" s="1"/>
  <c r="J165" i="9"/>
  <c r="J178" i="9" s="1"/>
  <c r="J246" i="9"/>
  <c r="J259" i="9" s="1"/>
  <c r="J162" i="36"/>
  <c r="J141" i="36"/>
  <c r="J141" i="35"/>
  <c r="J141" i="34"/>
  <c r="J141" i="32"/>
  <c r="J162" i="31"/>
  <c r="J141" i="31"/>
  <c r="J409" i="30"/>
  <c r="J418" i="30" s="1"/>
  <c r="J141" i="27"/>
  <c r="J162" i="23"/>
  <c r="J165" i="19"/>
  <c r="J178" i="19" s="1"/>
  <c r="J144" i="19"/>
  <c r="J157" i="19" s="1"/>
  <c r="J141" i="17"/>
  <c r="J27" i="36"/>
  <c r="J83" i="36"/>
  <c r="J64" i="36"/>
  <c r="J45" i="36"/>
  <c r="J102" i="36"/>
  <c r="J64" i="35"/>
  <c r="J45" i="35"/>
  <c r="J26" i="33"/>
  <c r="J65" i="33"/>
  <c r="J45" i="33"/>
  <c r="J84" i="32"/>
  <c r="J84" i="31"/>
  <c r="J27" i="31"/>
  <c r="J387" i="30"/>
  <c r="J83" i="30"/>
  <c r="J65" i="30"/>
  <c r="J65" i="29"/>
  <c r="J84" i="29"/>
  <c r="J27" i="29"/>
  <c r="J45" i="27"/>
  <c r="J83" i="24"/>
  <c r="J64" i="20"/>
  <c r="J102" i="20"/>
  <c r="J27" i="19"/>
  <c r="J46" i="19"/>
  <c r="J65" i="19"/>
  <c r="J103" i="19"/>
  <c r="J342" i="34"/>
  <c r="J383" i="34"/>
  <c r="J387" i="34" s="1"/>
  <c r="J383" i="33"/>
  <c r="J387" i="33" s="1"/>
  <c r="J342" i="32"/>
  <c r="J383" i="32"/>
  <c r="J387" i="32" s="1"/>
  <c r="J666" i="29"/>
  <c r="J679" i="29" s="1"/>
  <c r="J342" i="29"/>
  <c r="J383" i="29"/>
  <c r="J387" i="29" s="1"/>
  <c r="J342" i="28"/>
  <c r="J383" i="28"/>
  <c r="J387" i="28" s="1"/>
  <c r="J342" i="26"/>
  <c r="J383" i="26"/>
  <c r="J387" i="26" s="1"/>
  <c r="J342" i="25"/>
  <c r="J383" i="25"/>
  <c r="J387" i="25" s="1"/>
  <c r="J342" i="24"/>
  <c r="J383" i="24"/>
  <c r="J387" i="24" s="1"/>
  <c r="J356" i="23"/>
  <c r="J367" i="23" s="1"/>
  <c r="J342" i="21"/>
  <c r="J383" i="21"/>
  <c r="J387" i="21" s="1"/>
  <c r="J342" i="19"/>
  <c r="J383" i="19"/>
  <c r="J387" i="19" s="1"/>
  <c r="J342" i="17"/>
  <c r="J383" i="17"/>
  <c r="J387" i="17" s="1"/>
  <c r="J666" i="9"/>
  <c r="J679" i="9" s="1"/>
  <c r="J356" i="9"/>
  <c r="J367" i="9" s="1"/>
  <c r="J404" i="9"/>
  <c r="J791" i="9"/>
  <c r="J792" i="9" s="1"/>
  <c r="J440" i="9"/>
  <c r="J473" i="9"/>
  <c r="J342" i="9"/>
  <c r="J383" i="9"/>
  <c r="J387" i="9" s="1"/>
  <c r="J504" i="9"/>
  <c r="J537" i="9"/>
  <c r="J562" i="9"/>
  <c r="J473" i="36"/>
  <c r="J504" i="36"/>
  <c r="J537" i="36"/>
  <c r="J666" i="34"/>
  <c r="J679" i="34" s="1"/>
  <c r="J157" i="33"/>
  <c r="J226" i="32"/>
  <c r="J239" i="32" s="1"/>
  <c r="J457" i="30"/>
  <c r="J787" i="29"/>
  <c r="J803" i="29"/>
  <c r="J457" i="29"/>
  <c r="J539" i="29" s="1"/>
  <c r="J520" i="29"/>
  <c r="J226" i="29"/>
  <c r="J239" i="29" s="1"/>
  <c r="J666" i="28"/>
  <c r="J131" i="28"/>
  <c r="J226" i="27"/>
  <c r="J239" i="27" s="1"/>
  <c r="J473" i="27"/>
  <c r="J504" i="27"/>
  <c r="J537" i="27"/>
  <c r="J601" i="27"/>
  <c r="J787" i="27"/>
  <c r="J803" i="27"/>
  <c r="J787" i="26"/>
  <c r="J803" i="26"/>
  <c r="J157" i="26"/>
  <c r="J178" i="26"/>
  <c r="J666" i="26"/>
  <c r="J59" i="26"/>
  <c r="J226" i="26"/>
  <c r="J239" i="26" s="1"/>
  <c r="J783" i="26"/>
  <c r="J226" i="25"/>
  <c r="J239" i="25" s="1"/>
  <c r="J259" i="25"/>
  <c r="J779" i="25"/>
  <c r="J473" i="25"/>
  <c r="J504" i="25"/>
  <c r="J78" i="25"/>
  <c r="J457" i="25"/>
  <c r="J520" i="25"/>
  <c r="J562" i="25"/>
  <c r="J666" i="25"/>
  <c r="J131" i="24"/>
  <c r="J178" i="24"/>
  <c r="J666" i="24"/>
  <c r="J679" i="24" s="1"/>
  <c r="J799" i="24"/>
  <c r="J226" i="24"/>
  <c r="J239" i="24" s="1"/>
  <c r="J795" i="23"/>
  <c r="J666" i="23"/>
  <c r="J457" i="21"/>
  <c r="J520" i="21"/>
  <c r="J572" i="21"/>
  <c r="J585" i="21" s="1"/>
  <c r="J226" i="21"/>
  <c r="J239" i="21" s="1"/>
  <c r="J520" i="19"/>
  <c r="J473" i="19"/>
  <c r="J59" i="17"/>
  <c r="J97" i="17"/>
  <c r="J205" i="17"/>
  <c r="J218" i="17" s="1"/>
  <c r="J226" i="17"/>
  <c r="J239" i="17" s="1"/>
  <c r="J787" i="17"/>
  <c r="J803" i="17"/>
  <c r="J40" i="17"/>
  <c r="J666" i="17"/>
  <c r="J622" i="17"/>
  <c r="J601" i="17"/>
  <c r="J457" i="9"/>
  <c r="J779" i="9"/>
  <c r="J795" i="9"/>
  <c r="J799" i="9"/>
  <c r="J800" i="9" s="1"/>
  <c r="J601" i="9"/>
  <c r="J78" i="35"/>
  <c r="J440" i="34"/>
  <c r="J131" i="33"/>
  <c r="J585" i="28"/>
  <c r="J198" i="27"/>
  <c r="J97" i="27"/>
  <c r="J367" i="25"/>
  <c r="J131" i="25"/>
  <c r="J59" i="25"/>
  <c r="J367" i="21"/>
  <c r="J666" i="20"/>
  <c r="J679" i="20" s="1"/>
  <c r="J97" i="20"/>
  <c r="J504" i="20"/>
  <c r="J457" i="20"/>
  <c r="J520" i="20"/>
  <c r="J635" i="19"/>
  <c r="J601" i="19"/>
  <c r="J259" i="29"/>
  <c r="J218" i="29"/>
  <c r="J779" i="29"/>
  <c r="J795" i="29"/>
  <c r="J131" i="29"/>
  <c r="J40" i="32"/>
  <c r="J131" i="32"/>
  <c r="J635" i="33"/>
  <c r="J787" i="33"/>
  <c r="J803" i="33"/>
  <c r="J787" i="34"/>
  <c r="J803" i="34"/>
  <c r="J97" i="34"/>
  <c r="J178" i="34"/>
  <c r="J78" i="34"/>
  <c r="J367" i="34"/>
  <c r="J440" i="35"/>
  <c r="J473" i="35"/>
  <c r="J504" i="35"/>
  <c r="J787" i="35"/>
  <c r="J803" i="35"/>
  <c r="J783" i="35"/>
  <c r="J799" i="35"/>
  <c r="J131" i="36"/>
  <c r="J783" i="36"/>
  <c r="J799" i="36"/>
  <c r="J787" i="36"/>
  <c r="J803" i="36"/>
  <c r="J78" i="36"/>
  <c r="J775" i="36"/>
  <c r="J791" i="36"/>
  <c r="J807" i="36"/>
  <c r="J779" i="36"/>
  <c r="J795" i="36"/>
  <c r="J131" i="34"/>
  <c r="J783" i="34"/>
  <c r="J799" i="34"/>
  <c r="J775" i="34"/>
  <c r="J791" i="34"/>
  <c r="J807" i="34"/>
  <c r="J239" i="34"/>
  <c r="J779" i="34"/>
  <c r="J795" i="34"/>
  <c r="J562" i="33"/>
  <c r="J779" i="33"/>
  <c r="J795" i="33"/>
  <c r="J259" i="33"/>
  <c r="J783" i="33"/>
  <c r="J799" i="33"/>
  <c r="J775" i="33"/>
  <c r="J791" i="33"/>
  <c r="J807" i="33"/>
  <c r="J585" i="36"/>
  <c r="J635" i="36"/>
  <c r="J440" i="36"/>
  <c r="J657" i="36"/>
  <c r="J315" i="34"/>
  <c r="J657" i="34"/>
  <c r="J40" i="34"/>
  <c r="J116" i="34"/>
  <c r="J198" i="34"/>
  <c r="J539" i="33"/>
  <c r="J218" i="33"/>
  <c r="J116" i="33"/>
  <c r="J218" i="32"/>
  <c r="J539" i="32"/>
  <c r="J679" i="32"/>
  <c r="J775" i="32"/>
  <c r="J791" i="32"/>
  <c r="J807" i="32"/>
  <c r="J116" i="32"/>
  <c r="J779" i="32"/>
  <c r="J795" i="32"/>
  <c r="J783" i="32"/>
  <c r="J799" i="32"/>
  <c r="J779" i="30"/>
  <c r="J795" i="30"/>
  <c r="J657" i="33"/>
  <c r="J239" i="33"/>
  <c r="J97" i="33"/>
  <c r="J367" i="33"/>
  <c r="J787" i="31"/>
  <c r="J779" i="31"/>
  <c r="J473" i="31"/>
  <c r="J537" i="31"/>
  <c r="J116" i="30"/>
  <c r="J131" i="31"/>
  <c r="J787" i="30"/>
  <c r="J803" i="30"/>
  <c r="J178" i="32"/>
  <c r="J409" i="32"/>
  <c r="J418" i="32" s="1"/>
  <c r="J59" i="32"/>
  <c r="J585" i="32"/>
  <c r="J635" i="32"/>
  <c r="J367" i="32"/>
  <c r="J78" i="32"/>
  <c r="J198" i="32"/>
  <c r="J657" i="32"/>
  <c r="J520" i="31"/>
  <c r="J775" i="31"/>
  <c r="J791" i="31"/>
  <c r="J807" i="31"/>
  <c r="J440" i="31"/>
  <c r="J795" i="31"/>
  <c r="J457" i="31"/>
  <c r="J601" i="31"/>
  <c r="J803" i="31"/>
  <c r="J504" i="31"/>
  <c r="J657" i="31"/>
  <c r="J783" i="31"/>
  <c r="J799" i="31"/>
  <c r="J783" i="30"/>
  <c r="J799" i="30"/>
  <c r="J131" i="30"/>
  <c r="J775" i="30"/>
  <c r="J791" i="30"/>
  <c r="J807" i="30"/>
  <c r="J40" i="30"/>
  <c r="J657" i="30"/>
  <c r="J40" i="28"/>
  <c r="J116" i="28"/>
  <c r="J218" i="28"/>
  <c r="J562" i="28"/>
  <c r="J367" i="29"/>
  <c r="J775" i="29"/>
  <c r="J791" i="29"/>
  <c r="J807" i="29"/>
  <c r="J783" i="29"/>
  <c r="J799" i="29"/>
  <c r="J59" i="29"/>
  <c r="J562" i="29"/>
  <c r="J657" i="29"/>
  <c r="J116" i="29"/>
  <c r="J779" i="27"/>
  <c r="J795" i="27"/>
  <c r="J779" i="28"/>
  <c r="J795" i="28"/>
  <c r="J239" i="28"/>
  <c r="J367" i="28"/>
  <c r="J601" i="28"/>
  <c r="J783" i="28"/>
  <c r="J799" i="28"/>
  <c r="J97" i="28"/>
  <c r="J157" i="28"/>
  <c r="J775" i="28"/>
  <c r="J791" i="28"/>
  <c r="J807" i="28"/>
  <c r="J315" i="28"/>
  <c r="J178" i="28"/>
  <c r="J409" i="28"/>
  <c r="J418" i="28" s="1"/>
  <c r="J520" i="28"/>
  <c r="J78" i="28"/>
  <c r="J198" i="28"/>
  <c r="J59" i="28"/>
  <c r="J657" i="28"/>
  <c r="J635" i="28"/>
  <c r="J367" i="26"/>
  <c r="J783" i="27"/>
  <c r="J799" i="27"/>
  <c r="J679" i="27"/>
  <c r="J775" i="27"/>
  <c r="J791" i="27"/>
  <c r="J807" i="27"/>
  <c r="J40" i="27"/>
  <c r="J116" i="27"/>
  <c r="J218" i="27"/>
  <c r="J440" i="27"/>
  <c r="J59" i="27"/>
  <c r="J657" i="27"/>
  <c r="J585" i="25"/>
  <c r="J787" i="25"/>
  <c r="J803" i="25"/>
  <c r="J775" i="25"/>
  <c r="J791" i="25"/>
  <c r="J807" i="25"/>
  <c r="J198" i="26"/>
  <c r="J562" i="26"/>
  <c r="J775" i="26"/>
  <c r="J791" i="26"/>
  <c r="J807" i="26"/>
  <c r="J78" i="26"/>
  <c r="J131" i="26"/>
  <c r="J799" i="26"/>
  <c r="J539" i="26"/>
  <c r="J97" i="26"/>
  <c r="J218" i="26"/>
  <c r="J585" i="26"/>
  <c r="J635" i="26"/>
  <c r="J40" i="26"/>
  <c r="J116" i="26"/>
  <c r="J259" i="26"/>
  <c r="J657" i="26"/>
  <c r="J635" i="24"/>
  <c r="J40" i="24"/>
  <c r="J198" i="24"/>
  <c r="J97" i="25"/>
  <c r="J635" i="25"/>
  <c r="J783" i="25"/>
  <c r="J799" i="25"/>
  <c r="J795" i="25"/>
  <c r="J116" i="25"/>
  <c r="J440" i="25"/>
  <c r="J315" i="25"/>
  <c r="J40" i="25"/>
  <c r="J218" i="25"/>
  <c r="J157" i="25"/>
  <c r="J178" i="25"/>
  <c r="J198" i="25"/>
  <c r="J657" i="25"/>
  <c r="J657" i="23"/>
  <c r="J367" i="24"/>
  <c r="J783" i="24"/>
  <c r="J787" i="24"/>
  <c r="J803" i="24"/>
  <c r="J59" i="24"/>
  <c r="J562" i="24"/>
  <c r="J775" i="24"/>
  <c r="J539" i="24"/>
  <c r="J78" i="24"/>
  <c r="J97" i="24"/>
  <c r="J116" i="24"/>
  <c r="J218" i="24"/>
  <c r="J657" i="24"/>
  <c r="J259" i="24"/>
  <c r="J40" i="21"/>
  <c r="J116" i="21"/>
  <c r="J218" i="21"/>
  <c r="J779" i="21"/>
  <c r="J795" i="21"/>
  <c r="J791" i="21"/>
  <c r="J807" i="21"/>
  <c r="J131" i="21"/>
  <c r="J97" i="21"/>
  <c r="J157" i="21"/>
  <c r="J178" i="21"/>
  <c r="J40" i="23"/>
  <c r="J116" i="23"/>
  <c r="J787" i="23"/>
  <c r="J803" i="23"/>
  <c r="J775" i="23"/>
  <c r="J791" i="23"/>
  <c r="J807" i="23"/>
  <c r="J131" i="23"/>
  <c r="J783" i="23"/>
  <c r="J799" i="23"/>
  <c r="J539" i="23"/>
  <c r="J59" i="23"/>
  <c r="J239" i="23"/>
  <c r="J97" i="23"/>
  <c r="J585" i="23"/>
  <c r="J635" i="23"/>
  <c r="J78" i="23"/>
  <c r="J157" i="23"/>
  <c r="J198" i="23"/>
  <c r="J562" i="23"/>
  <c r="J787" i="20"/>
  <c r="J803" i="20"/>
  <c r="J131" i="20"/>
  <c r="J787" i="21"/>
  <c r="J803" i="21"/>
  <c r="J799" i="21"/>
  <c r="J775" i="21"/>
  <c r="J783" i="21"/>
  <c r="J59" i="21"/>
  <c r="J635" i="21"/>
  <c r="J679" i="21"/>
  <c r="J78" i="21"/>
  <c r="J198" i="21"/>
  <c r="J657" i="21"/>
  <c r="J775" i="20"/>
  <c r="J791" i="20"/>
  <c r="J807" i="20"/>
  <c r="J40" i="20"/>
  <c r="J116" i="20"/>
  <c r="J779" i="20"/>
  <c r="J795" i="20"/>
  <c r="J198" i="20"/>
  <c r="J783" i="20"/>
  <c r="J799" i="20"/>
  <c r="J440" i="20"/>
  <c r="J473" i="20"/>
  <c r="J657" i="20"/>
  <c r="J367" i="19"/>
  <c r="J779" i="19"/>
  <c r="J131" i="19"/>
  <c r="J775" i="19"/>
  <c r="J791" i="19"/>
  <c r="J807" i="19"/>
  <c r="J440" i="19"/>
  <c r="J537" i="19"/>
  <c r="J657" i="19"/>
  <c r="J783" i="19"/>
  <c r="J799" i="19"/>
  <c r="J795" i="19"/>
  <c r="J97" i="19"/>
  <c r="J226" i="19"/>
  <c r="J239" i="19" s="1"/>
  <c r="J162" i="17"/>
  <c r="J409" i="17"/>
  <c r="J418" i="17" s="1"/>
  <c r="J315" i="9"/>
  <c r="J116" i="17"/>
  <c r="J783" i="17"/>
  <c r="J799" i="17"/>
  <c r="J775" i="17"/>
  <c r="J791" i="17"/>
  <c r="J807" i="17"/>
  <c r="J78" i="17"/>
  <c r="J539" i="17"/>
  <c r="J585" i="17"/>
  <c r="J131" i="17"/>
  <c r="J367" i="17"/>
  <c r="J657" i="17"/>
  <c r="J787" i="9"/>
  <c r="J803" i="9"/>
  <c r="J804" i="9" s="1"/>
  <c r="J783" i="9"/>
  <c r="J807" i="9"/>
  <c r="J808" i="9" s="1"/>
  <c r="J775" i="9"/>
  <c r="J59" i="9"/>
  <c r="J131" i="9"/>
  <c r="J40" i="9"/>
  <c r="J116" i="9"/>
  <c r="J97" i="9"/>
  <c r="J218" i="9"/>
  <c r="J78" i="9"/>
  <c r="J198" i="9"/>
  <c r="J657" i="9"/>
  <c r="J520" i="9"/>
  <c r="J585" i="9"/>
  <c r="J635" i="9"/>
  <c r="J786" i="17"/>
  <c r="J786" i="20"/>
  <c r="J788" i="20" s="1"/>
  <c r="J786" i="28"/>
  <c r="J788" i="28" s="1"/>
  <c r="J786" i="31"/>
  <c r="J788" i="31" s="1"/>
  <c r="J786" i="32"/>
  <c r="J788" i="32" s="1"/>
  <c r="J786" i="35"/>
  <c r="J786" i="36"/>
  <c r="J786" i="24"/>
  <c r="J788" i="24" s="1"/>
  <c r="J786" i="27"/>
  <c r="J788" i="27" s="1"/>
  <c r="J786" i="34"/>
  <c r="J786" i="21"/>
  <c r="J786" i="23"/>
  <c r="J786" i="30"/>
  <c r="J788" i="30" s="1"/>
  <c r="J786" i="33"/>
  <c r="J786" i="9"/>
  <c r="J786" i="19"/>
  <c r="J788" i="19" s="1"/>
  <c r="J786" i="25"/>
  <c r="J788" i="25" s="1"/>
  <c r="J786" i="26"/>
  <c r="J788" i="26" s="1"/>
  <c r="J782" i="19"/>
  <c r="J784" i="19" s="1"/>
  <c r="J782" i="9"/>
  <c r="J782" i="21"/>
  <c r="J784" i="21" s="1"/>
  <c r="J782" i="25"/>
  <c r="J782" i="27"/>
  <c r="J782" i="28"/>
  <c r="J784" i="28" s="1"/>
  <c r="J782" i="33"/>
  <c r="J784" i="33" s="1"/>
  <c r="J782" i="34"/>
  <c r="J784" i="34" s="1"/>
  <c r="J782" i="20"/>
  <c r="J782" i="23"/>
  <c r="J784" i="23" s="1"/>
  <c r="J782" i="24"/>
  <c r="J782" i="26"/>
  <c r="J784" i="26" s="1"/>
  <c r="J782" i="29"/>
  <c r="J782" i="30"/>
  <c r="J784" i="30" s="1"/>
  <c r="J782" i="31"/>
  <c r="J784" i="31" s="1"/>
  <c r="J782" i="32"/>
  <c r="J782" i="35"/>
  <c r="J782" i="36"/>
  <c r="J784" i="36" s="1"/>
  <c r="J782" i="17"/>
  <c r="J778" i="20"/>
  <c r="J780" i="20" s="1"/>
  <c r="J778" i="21"/>
  <c r="J780" i="21" s="1"/>
  <c r="J778" i="25"/>
  <c r="J778" i="31"/>
  <c r="J780" i="31" s="1"/>
  <c r="J778" i="32"/>
  <c r="J780" i="32" s="1"/>
  <c r="J778" i="33"/>
  <c r="J778" i="35"/>
  <c r="J780" i="35" s="1"/>
  <c r="J778" i="36"/>
  <c r="J780" i="36" s="1"/>
  <c r="J778" i="19"/>
  <c r="J778" i="29"/>
  <c r="J778" i="34"/>
  <c r="J780" i="34" s="1"/>
  <c r="J778" i="17"/>
  <c r="J780" i="17" s="1"/>
  <c r="J778" i="23"/>
  <c r="J780" i="23" s="1"/>
  <c r="J778" i="26"/>
  <c r="J780" i="26" s="1"/>
  <c r="J778" i="27"/>
  <c r="J778" i="30"/>
  <c r="J780" i="30" s="1"/>
  <c r="J778" i="9"/>
  <c r="J778" i="24"/>
  <c r="J780" i="24" s="1"/>
  <c r="J774" i="24"/>
  <c r="J776" i="24" s="1"/>
  <c r="J774" i="29"/>
  <c r="J776" i="29" s="1"/>
  <c r="J774" i="17"/>
  <c r="J776" i="17" s="1"/>
  <c r="J774" i="28"/>
  <c r="J774" i="34"/>
  <c r="J774" i="19"/>
  <c r="J774" i="20"/>
  <c r="J776" i="20" s="1"/>
  <c r="J774" i="23"/>
  <c r="J776" i="23" s="1"/>
  <c r="J774" i="26"/>
  <c r="J776" i="26" s="1"/>
  <c r="J774" i="30"/>
  <c r="J774" i="31"/>
  <c r="J776" i="31" s="1"/>
  <c r="J774" i="32"/>
  <c r="J774" i="35"/>
  <c r="J774" i="36"/>
  <c r="J776" i="36" s="1"/>
  <c r="J774" i="21"/>
  <c r="J774" i="25"/>
  <c r="J774" i="27"/>
  <c r="J776" i="27" s="1"/>
  <c r="J204" i="34"/>
  <c r="J246" i="34"/>
  <c r="J259" i="34" s="1"/>
  <c r="J45" i="34"/>
  <c r="J571" i="34"/>
  <c r="J271" i="33"/>
  <c r="J185" i="33"/>
  <c r="J198" i="33" s="1"/>
  <c r="J78" i="33"/>
  <c r="J163" i="33"/>
  <c r="J40" i="33"/>
  <c r="J59" i="33"/>
  <c r="J571" i="33"/>
  <c r="J97" i="32"/>
  <c r="J246" i="32"/>
  <c r="J259" i="32" s="1"/>
  <c r="J936" i="32"/>
  <c r="J549" i="32"/>
  <c r="J40" i="29"/>
  <c r="J78" i="29"/>
  <c r="J97" i="29"/>
  <c r="J622" i="29"/>
  <c r="J936" i="29"/>
  <c r="J185" i="29"/>
  <c r="J198" i="29" s="1"/>
  <c r="J572" i="29"/>
  <c r="J246" i="28"/>
  <c r="J259" i="28" s="1"/>
  <c r="J936" i="28"/>
  <c r="J244" i="27"/>
  <c r="J936" i="26"/>
  <c r="J936" i="25"/>
  <c r="J572" i="24"/>
  <c r="J936" i="24"/>
  <c r="J246" i="21"/>
  <c r="J259" i="21" s="1"/>
  <c r="J936" i="21"/>
  <c r="J548" i="21"/>
  <c r="J59" i="19"/>
  <c r="J116" i="19"/>
  <c r="J246" i="19"/>
  <c r="J259" i="19" s="1"/>
  <c r="J40" i="19"/>
  <c r="J78" i="19"/>
  <c r="J205" i="19"/>
  <c r="J218" i="19" s="1"/>
  <c r="J572" i="19"/>
  <c r="J936" i="19"/>
  <c r="J185" i="19"/>
  <c r="J198" i="19" s="1"/>
  <c r="J547" i="19"/>
  <c r="J936" i="17"/>
  <c r="J183" i="17"/>
  <c r="J244" i="17"/>
  <c r="J548" i="17"/>
  <c r="J936" i="9"/>
  <c r="H69" i="8"/>
  <c r="H87" i="8"/>
  <c r="H64" i="8"/>
  <c r="H97" i="8"/>
  <c r="J590" i="30"/>
  <c r="J601" i="30" s="1"/>
  <c r="J244" i="20"/>
  <c r="J622" i="20"/>
  <c r="J203" i="20"/>
  <c r="J78" i="20"/>
  <c r="J141" i="20"/>
  <c r="J45" i="20"/>
  <c r="J548" i="20"/>
  <c r="J936" i="23"/>
  <c r="J204" i="23"/>
  <c r="J245" i="23"/>
  <c r="J271" i="23"/>
  <c r="J571" i="27"/>
  <c r="J936" i="27"/>
  <c r="J64" i="27"/>
  <c r="J549" i="27"/>
  <c r="J621" i="27"/>
  <c r="J666" i="30"/>
  <c r="J214" i="30"/>
  <c r="J936" i="30"/>
  <c r="J174" i="30"/>
  <c r="J205" i="30"/>
  <c r="J255" i="30"/>
  <c r="J526" i="30"/>
  <c r="J537" i="30" s="1"/>
  <c r="J226" i="30"/>
  <c r="J239" i="30" s="1"/>
  <c r="J246" i="30"/>
  <c r="J74" i="30"/>
  <c r="J622" i="30"/>
  <c r="J45" i="30"/>
  <c r="J436" i="30"/>
  <c r="J440" i="30" s="1"/>
  <c r="J469" i="30"/>
  <c r="J473" i="30" s="1"/>
  <c r="J500" i="30"/>
  <c r="J504" i="30" s="1"/>
  <c r="J509" i="30"/>
  <c r="J520" i="30" s="1"/>
  <c r="J548" i="30"/>
  <c r="J185" i="30"/>
  <c r="J198" i="30" s="1"/>
  <c r="J547" i="30"/>
  <c r="J571" i="30"/>
  <c r="J581" i="30" s="1"/>
  <c r="J116" i="31"/>
  <c r="J246" i="31"/>
  <c r="J259" i="31" s="1"/>
  <c r="J185" i="31"/>
  <c r="J198" i="31" s="1"/>
  <c r="J226" i="31"/>
  <c r="J239" i="31" s="1"/>
  <c r="J547" i="31"/>
  <c r="J663" i="31"/>
  <c r="J936" i="31"/>
  <c r="J97" i="31"/>
  <c r="J40" i="31"/>
  <c r="J45" i="31"/>
  <c r="J78" i="31"/>
  <c r="J571" i="31"/>
  <c r="J622" i="31"/>
  <c r="J205" i="31"/>
  <c r="J218" i="31" s="1"/>
  <c r="J116" i="36"/>
  <c r="J40" i="36"/>
  <c r="J59" i="36"/>
  <c r="J184" i="36"/>
  <c r="J97" i="36"/>
  <c r="J936" i="36"/>
  <c r="J204" i="36"/>
  <c r="J244" i="36"/>
  <c r="J547" i="36"/>
  <c r="J245" i="36"/>
  <c r="J40" i="35"/>
  <c r="J131" i="35"/>
  <c r="J457" i="35"/>
  <c r="J520" i="35"/>
  <c r="J779" i="35"/>
  <c r="J795" i="35"/>
  <c r="J775" i="35"/>
  <c r="J791" i="35"/>
  <c r="J807" i="35"/>
  <c r="J97" i="35"/>
  <c r="J537" i="35"/>
  <c r="J679" i="35"/>
  <c r="J547" i="35"/>
  <c r="J635" i="35"/>
  <c r="J226" i="35"/>
  <c r="J239" i="35" s="1"/>
  <c r="J185" i="35"/>
  <c r="J198" i="35" s="1"/>
  <c r="J657" i="35"/>
  <c r="J936" i="35"/>
  <c r="J59" i="35"/>
  <c r="J116" i="35"/>
  <c r="J244" i="35"/>
  <c r="J776" i="32" l="1"/>
  <c r="J780" i="33"/>
  <c r="J784" i="29"/>
  <c r="J788" i="36"/>
  <c r="J792" i="17"/>
  <c r="J792" i="19"/>
  <c r="J796" i="30"/>
  <c r="J800" i="36"/>
  <c r="J800" i="32"/>
  <c r="J804" i="24"/>
  <c r="J804" i="27"/>
  <c r="J808" i="23"/>
  <c r="J875" i="36"/>
  <c r="J875" i="31"/>
  <c r="J792" i="28"/>
  <c r="J796" i="32"/>
  <c r="J796" i="21"/>
  <c r="J788" i="35"/>
  <c r="J539" i="21"/>
  <c r="J792" i="34"/>
  <c r="J800" i="28"/>
  <c r="J800" i="33"/>
  <c r="J804" i="23"/>
  <c r="J804" i="17"/>
  <c r="J808" i="21"/>
  <c r="J875" i="33"/>
  <c r="J875" i="29"/>
  <c r="J776" i="35"/>
  <c r="J776" i="30"/>
  <c r="J784" i="24"/>
  <c r="J792" i="31"/>
  <c r="J792" i="33"/>
  <c r="J800" i="25"/>
  <c r="J811" i="25" s="1"/>
  <c r="J800" i="30"/>
  <c r="J808" i="25"/>
  <c r="J808" i="20"/>
  <c r="J875" i="30"/>
  <c r="J875" i="28"/>
  <c r="J780" i="27"/>
  <c r="J780" i="25"/>
  <c r="J349" i="27"/>
  <c r="J792" i="30"/>
  <c r="J792" i="32"/>
  <c r="J796" i="20"/>
  <c r="J800" i="21"/>
  <c r="J800" i="29"/>
  <c r="J808" i="31"/>
  <c r="J808" i="34"/>
  <c r="J784" i="20"/>
  <c r="J804" i="21"/>
  <c r="J792" i="26"/>
  <c r="J796" i="35"/>
  <c r="J800" i="27"/>
  <c r="J804" i="34"/>
  <c r="J808" i="27"/>
  <c r="J808" i="32"/>
  <c r="J875" i="24"/>
  <c r="J875" i="20"/>
  <c r="J788" i="33"/>
  <c r="J776" i="19"/>
  <c r="J784" i="17"/>
  <c r="J788" i="17"/>
  <c r="J776" i="33"/>
  <c r="J792" i="23"/>
  <c r="J796" i="34"/>
  <c r="J796" i="17"/>
  <c r="J800" i="19"/>
  <c r="J800" i="24"/>
  <c r="J804" i="20"/>
  <c r="J808" i="26"/>
  <c r="J808" i="29"/>
  <c r="J875" i="21"/>
  <c r="J875" i="19"/>
  <c r="J788" i="23"/>
  <c r="J796" i="25"/>
  <c r="J796" i="33"/>
  <c r="J800" i="17"/>
  <c r="J804" i="35"/>
  <c r="J804" i="36"/>
  <c r="J808" i="17"/>
  <c r="J808" i="24"/>
  <c r="J811" i="24" s="1"/>
  <c r="J875" i="17"/>
  <c r="J792" i="21"/>
  <c r="J776" i="25"/>
  <c r="J776" i="28"/>
  <c r="J780" i="29"/>
  <c r="J784" i="35"/>
  <c r="J784" i="27"/>
  <c r="J788" i="21"/>
  <c r="J796" i="9"/>
  <c r="J349" i="23"/>
  <c r="J780" i="28"/>
  <c r="J792" i="20"/>
  <c r="J796" i="23"/>
  <c r="J796" i="31"/>
  <c r="J800" i="35"/>
  <c r="J804" i="33"/>
  <c r="J808" i="19"/>
  <c r="J792" i="24"/>
  <c r="J875" i="35"/>
  <c r="J883" i="25"/>
  <c r="J776" i="34"/>
  <c r="J776" i="21"/>
  <c r="J780" i="19"/>
  <c r="J784" i="32"/>
  <c r="J811" i="32" s="1"/>
  <c r="J784" i="25"/>
  <c r="J788" i="34"/>
  <c r="J792" i="36"/>
  <c r="J796" i="36"/>
  <c r="J796" i="29"/>
  <c r="J800" i="23"/>
  <c r="J804" i="30"/>
  <c r="J804" i="31"/>
  <c r="J808" i="36"/>
  <c r="J875" i="32"/>
  <c r="J788" i="29"/>
  <c r="J792" i="35"/>
  <c r="J811" i="35" s="1"/>
  <c r="J796" i="28"/>
  <c r="J804" i="26"/>
  <c r="J804" i="29"/>
  <c r="J808" i="35"/>
  <c r="J871" i="24"/>
  <c r="J936" i="18"/>
  <c r="J891" i="32"/>
  <c r="J891" i="21"/>
  <c r="J891" i="20"/>
  <c r="J891" i="30"/>
  <c r="J891" i="23"/>
  <c r="J891" i="31"/>
  <c r="J891" i="35"/>
  <c r="J891" i="24"/>
  <c r="J891" i="33"/>
  <c r="J891" i="27"/>
  <c r="J891" i="34"/>
  <c r="J891" i="9"/>
  <c r="J891" i="25"/>
  <c r="J891" i="36"/>
  <c r="J891" i="28"/>
  <c r="J891" i="19"/>
  <c r="J891" i="17"/>
  <c r="J891" i="26"/>
  <c r="J887" i="23"/>
  <c r="J887" i="36"/>
  <c r="J887" i="33"/>
  <c r="J887" i="17"/>
  <c r="J887" i="29"/>
  <c r="J883" i="28"/>
  <c r="J883" i="26"/>
  <c r="J883" i="20"/>
  <c r="J883" i="31"/>
  <c r="J887" i="19"/>
  <c r="J887" i="24"/>
  <c r="J887" i="9"/>
  <c r="J887" i="20"/>
  <c r="J887" i="30"/>
  <c r="J887" i="32"/>
  <c r="J887" i="27"/>
  <c r="J887" i="25"/>
  <c r="J887" i="21"/>
  <c r="J887" i="35"/>
  <c r="J887" i="34"/>
  <c r="J887" i="31"/>
  <c r="J887" i="28"/>
  <c r="J887" i="26"/>
  <c r="J883" i="34"/>
  <c r="J883" i="33"/>
  <c r="J883" i="23"/>
  <c r="J883" i="32"/>
  <c r="J883" i="30"/>
  <c r="J883" i="35"/>
  <c r="J883" i="9"/>
  <c r="J883" i="27"/>
  <c r="J883" i="21"/>
  <c r="J883" i="36"/>
  <c r="J883" i="17"/>
  <c r="J883" i="19"/>
  <c r="J883" i="29"/>
  <c r="J883" i="24"/>
  <c r="J879" i="34"/>
  <c r="J879" i="35"/>
  <c r="J879" i="19"/>
  <c r="J879" i="28"/>
  <c r="J879" i="25"/>
  <c r="J879" i="27"/>
  <c r="J879" i="20"/>
  <c r="J879" i="36"/>
  <c r="J879" i="21"/>
  <c r="J879" i="30"/>
  <c r="J879" i="32"/>
  <c r="J879" i="24"/>
  <c r="J879" i="9"/>
  <c r="J879" i="23"/>
  <c r="J879" i="31"/>
  <c r="J879" i="33"/>
  <c r="J879" i="29"/>
  <c r="J879" i="17"/>
  <c r="J879" i="26"/>
  <c r="J871" i="9"/>
  <c r="J871" i="23"/>
  <c r="J871" i="17"/>
  <c r="J871" i="29"/>
  <c r="J871" i="19"/>
  <c r="J871" i="27"/>
  <c r="J871" i="25"/>
  <c r="J871" i="20"/>
  <c r="J871" i="30"/>
  <c r="J871" i="32"/>
  <c r="J871" i="31"/>
  <c r="J871" i="28"/>
  <c r="J871" i="21"/>
  <c r="J871" i="35"/>
  <c r="J871" i="34"/>
  <c r="J871" i="36"/>
  <c r="J871" i="33"/>
  <c r="J871" i="26"/>
  <c r="J867" i="25"/>
  <c r="J867" i="20"/>
  <c r="J867" i="31"/>
  <c r="J867" i="28"/>
  <c r="J867" i="26"/>
  <c r="J867" i="34"/>
  <c r="J867" i="33"/>
  <c r="J867" i="23"/>
  <c r="J867" i="32"/>
  <c r="J867" i="30"/>
  <c r="J867" i="35"/>
  <c r="J867" i="9"/>
  <c r="J867" i="27"/>
  <c r="J867" i="21"/>
  <c r="J867" i="36"/>
  <c r="J867" i="17"/>
  <c r="J867" i="19"/>
  <c r="J867" i="29"/>
  <c r="J867" i="24"/>
  <c r="J859" i="29"/>
  <c r="J859" i="25"/>
  <c r="J859" i="9"/>
  <c r="J859" i="35"/>
  <c r="J863" i="34"/>
  <c r="J863" i="23"/>
  <c r="J863" i="9"/>
  <c r="J863" i="24"/>
  <c r="J863" i="30"/>
  <c r="J863" i="29"/>
  <c r="J863" i="19"/>
  <c r="J863" i="28"/>
  <c r="J863" i="31"/>
  <c r="J863" i="17"/>
  <c r="J863" i="32"/>
  <c r="J863" i="20"/>
  <c r="J863" i="35"/>
  <c r="J863" i="26"/>
  <c r="J863" i="25"/>
  <c r="J863" i="33"/>
  <c r="J863" i="21"/>
  <c r="J863" i="36"/>
  <c r="J863" i="27"/>
  <c r="J859" i="36"/>
  <c r="J859" i="28"/>
  <c r="J859" i="32"/>
  <c r="J859" i="21"/>
  <c r="J859" i="24"/>
  <c r="J859" i="33"/>
  <c r="J859" i="27"/>
  <c r="J859" i="30"/>
  <c r="J859" i="23"/>
  <c r="J859" i="34"/>
  <c r="J859" i="31"/>
  <c r="J859" i="17"/>
  <c r="J859" i="26"/>
  <c r="J859" i="19"/>
  <c r="J859" i="20"/>
  <c r="J855" i="19"/>
  <c r="J855" i="32"/>
  <c r="J855" i="28"/>
  <c r="J855" i="29"/>
  <c r="J855" i="23"/>
  <c r="J855" i="24"/>
  <c r="J855" i="34"/>
  <c r="J855" i="36"/>
  <c r="J855" i="30"/>
  <c r="J855" i="35"/>
  <c r="J855" i="27"/>
  <c r="J855" i="21"/>
  <c r="J855" i="9"/>
  <c r="J855" i="33"/>
  <c r="J855" i="18"/>
  <c r="J855" i="17"/>
  <c r="J855" i="31"/>
  <c r="J855" i="25"/>
  <c r="J855" i="26"/>
  <c r="J851" i="17"/>
  <c r="J851" i="31"/>
  <c r="J851" i="20"/>
  <c r="J851" i="23"/>
  <c r="J851" i="32"/>
  <c r="J851" i="25"/>
  <c r="J851" i="21"/>
  <c r="J851" i="33"/>
  <c r="J851" i="24"/>
  <c r="J851" i="28"/>
  <c r="J851" i="34"/>
  <c r="J851" i="27"/>
  <c r="J851" i="9"/>
  <c r="J851" i="26"/>
  <c r="J851" i="36"/>
  <c r="J851" i="35"/>
  <c r="J851" i="29"/>
  <c r="J851" i="19"/>
  <c r="J851" i="30"/>
  <c r="J847" i="34"/>
  <c r="J847" i="9"/>
  <c r="J847" i="24"/>
  <c r="J847" i="17"/>
  <c r="J847" i="30"/>
  <c r="J847" i="23"/>
  <c r="J847" i="29"/>
  <c r="J847" i="19"/>
  <c r="J847" i="28"/>
  <c r="J847" i="31"/>
  <c r="J847" i="32"/>
  <c r="J847" i="20"/>
  <c r="J847" i="35"/>
  <c r="J847" i="26"/>
  <c r="J847" i="25"/>
  <c r="J847" i="33"/>
  <c r="J847" i="21"/>
  <c r="J847" i="36"/>
  <c r="J847" i="27"/>
  <c r="J843" i="29"/>
  <c r="J843" i="35"/>
  <c r="J843" i="25"/>
  <c r="J843" i="9"/>
  <c r="J843" i="36"/>
  <c r="J843" i="28"/>
  <c r="J843" i="32"/>
  <c r="J843" i="21"/>
  <c r="J843" i="24"/>
  <c r="J843" i="33"/>
  <c r="J843" i="27"/>
  <c r="J843" i="30"/>
  <c r="J843" i="23"/>
  <c r="J843" i="34"/>
  <c r="J843" i="31"/>
  <c r="J843" i="17"/>
  <c r="J843" i="26"/>
  <c r="J843" i="19"/>
  <c r="J843" i="20"/>
  <c r="J839" i="24"/>
  <c r="J839" i="34"/>
  <c r="J839" i="28"/>
  <c r="J839" i="29"/>
  <c r="J839" i="23"/>
  <c r="J839" i="27"/>
  <c r="J839" i="17"/>
  <c r="J839" i="36"/>
  <c r="J839" i="30"/>
  <c r="J839" i="35"/>
  <c r="J839" i="31"/>
  <c r="J839" i="21"/>
  <c r="J839" i="9"/>
  <c r="J839" i="33"/>
  <c r="J839" i="18"/>
  <c r="J839" i="19"/>
  <c r="J839" i="32"/>
  <c r="J839" i="25"/>
  <c r="J839" i="26"/>
  <c r="J835" i="17"/>
  <c r="J835" i="31"/>
  <c r="J835" i="20"/>
  <c r="J835" i="23"/>
  <c r="J835" i="32"/>
  <c r="J835" i="25"/>
  <c r="J835" i="21"/>
  <c r="J835" i="33"/>
  <c r="J835" i="24"/>
  <c r="J835" i="28"/>
  <c r="J835" i="34"/>
  <c r="J835" i="27"/>
  <c r="J835" i="9"/>
  <c r="J835" i="26"/>
  <c r="J835" i="36"/>
  <c r="J835" i="35"/>
  <c r="J835" i="29"/>
  <c r="J835" i="19"/>
  <c r="J835" i="30"/>
  <c r="J894" i="18"/>
  <c r="J811" i="18"/>
  <c r="J349" i="30"/>
  <c r="J349" i="20"/>
  <c r="J776" i="9"/>
  <c r="J820" i="18"/>
  <c r="J349" i="36"/>
  <c r="J349" i="35"/>
  <c r="J349" i="33"/>
  <c r="J163" i="31"/>
  <c r="J165" i="31" s="1"/>
  <c r="J178" i="31" s="1"/>
  <c r="J349" i="31"/>
  <c r="J273" i="18"/>
  <c r="J273" i="36"/>
  <c r="J273" i="35"/>
  <c r="J274" i="35" s="1"/>
  <c r="J273" i="27"/>
  <c r="J274" i="27" s="1"/>
  <c r="J273" i="23"/>
  <c r="J274" i="23" s="1"/>
  <c r="J275" i="23" s="1"/>
  <c r="J288" i="23" s="1"/>
  <c r="J273" i="20"/>
  <c r="J274" i="20" s="1"/>
  <c r="J273" i="31"/>
  <c r="J274" i="31" s="1"/>
  <c r="J275" i="31" s="1"/>
  <c r="J288" i="31" s="1"/>
  <c r="J273" i="29"/>
  <c r="J274" i="29" s="1"/>
  <c r="J273" i="26"/>
  <c r="J274" i="26" s="1"/>
  <c r="J273" i="24"/>
  <c r="J274" i="24" s="1"/>
  <c r="J273" i="21"/>
  <c r="J274" i="21" s="1"/>
  <c r="J273" i="17"/>
  <c r="J274" i="17" s="1"/>
  <c r="J273" i="9"/>
  <c r="J274" i="9" s="1"/>
  <c r="J273" i="34"/>
  <c r="J274" i="34" s="1"/>
  <c r="J273" i="33"/>
  <c r="J274" i="33" s="1"/>
  <c r="J273" i="32"/>
  <c r="J274" i="32" s="1"/>
  <c r="J273" i="30"/>
  <c r="J274" i="30" s="1"/>
  <c r="J273" i="28"/>
  <c r="J274" i="28" s="1"/>
  <c r="J273" i="25"/>
  <c r="J274" i="25" s="1"/>
  <c r="J273" i="19"/>
  <c r="J274" i="19" s="1"/>
  <c r="J375" i="20"/>
  <c r="J387" i="20" s="1"/>
  <c r="J375" i="36"/>
  <c r="J387" i="36" s="1"/>
  <c r="J374" i="20"/>
  <c r="J375" i="27"/>
  <c r="J387" i="27" s="1"/>
  <c r="J375" i="31"/>
  <c r="J387" i="31" s="1"/>
  <c r="J421" i="31" s="1"/>
  <c r="J314" i="35"/>
  <c r="J315" i="35" s="1"/>
  <c r="J326" i="35" s="1"/>
  <c r="J549" i="31"/>
  <c r="J562" i="31" s="1"/>
  <c r="J205" i="20"/>
  <c r="J218" i="20" s="1"/>
  <c r="J246" i="17"/>
  <c r="J259" i="17" s="1"/>
  <c r="J622" i="27"/>
  <c r="J635" i="27" s="1"/>
  <c r="J246" i="23"/>
  <c r="J259" i="23" s="1"/>
  <c r="J549" i="20"/>
  <c r="J562" i="20" s="1"/>
  <c r="J185" i="17"/>
  <c r="J198" i="17" s="1"/>
  <c r="J549" i="19"/>
  <c r="J562" i="19" s="1"/>
  <c r="J549" i="21"/>
  <c r="J562" i="21" s="1"/>
  <c r="J205" i="34"/>
  <c r="J218" i="34" s="1"/>
  <c r="J345" i="19"/>
  <c r="J349" i="19" s="1"/>
  <c r="J345" i="25"/>
  <c r="J349" i="25" s="1"/>
  <c r="J345" i="29"/>
  <c r="J349" i="29" s="1"/>
  <c r="J163" i="20"/>
  <c r="J93" i="30"/>
  <c r="J97" i="30" s="1"/>
  <c r="J663" i="33"/>
  <c r="J46" i="36"/>
  <c r="J144" i="17"/>
  <c r="J157" i="17" s="1"/>
  <c r="J144" i="27"/>
  <c r="J157" i="27" s="1"/>
  <c r="J144" i="34"/>
  <c r="J157" i="34" s="1"/>
  <c r="J59" i="31"/>
  <c r="J46" i="30"/>
  <c r="J275" i="20"/>
  <c r="J288" i="20" s="1"/>
  <c r="J246" i="27"/>
  <c r="J259" i="27" s="1"/>
  <c r="J572" i="33"/>
  <c r="J585" i="33" s="1"/>
  <c r="J275" i="34"/>
  <c r="J288" i="34" s="1"/>
  <c r="J345" i="34"/>
  <c r="J349" i="34" s="1"/>
  <c r="J46" i="35"/>
  <c r="J65" i="36"/>
  <c r="J144" i="31"/>
  <c r="J157" i="31" s="1"/>
  <c r="J144" i="35"/>
  <c r="J157" i="35" s="1"/>
  <c r="J666" i="19"/>
  <c r="J679" i="19" s="1"/>
  <c r="J572" i="27"/>
  <c r="J585" i="27" s="1"/>
  <c r="J205" i="23"/>
  <c r="J218" i="23" s="1"/>
  <c r="J246" i="20"/>
  <c r="J259" i="20" s="1"/>
  <c r="J549" i="35"/>
  <c r="J562" i="35" s="1"/>
  <c r="J185" i="36"/>
  <c r="J198" i="36" s="1"/>
  <c r="J572" i="31"/>
  <c r="J585" i="31" s="1"/>
  <c r="J666" i="31"/>
  <c r="J679" i="31" s="1"/>
  <c r="J65" i="27"/>
  <c r="J59" i="20"/>
  <c r="J549" i="17"/>
  <c r="J562" i="17" s="1"/>
  <c r="J275" i="17"/>
  <c r="J288" i="17" s="1"/>
  <c r="J59" i="34"/>
  <c r="J345" i="17"/>
  <c r="J349" i="17" s="1"/>
  <c r="J345" i="21"/>
  <c r="J349" i="21" s="1"/>
  <c r="J345" i="24"/>
  <c r="J349" i="24" s="1"/>
  <c r="J345" i="26"/>
  <c r="J349" i="26" s="1"/>
  <c r="J345" i="28"/>
  <c r="J349" i="28" s="1"/>
  <c r="J345" i="32"/>
  <c r="J349" i="32" s="1"/>
  <c r="J142" i="24"/>
  <c r="J46" i="33"/>
  <c r="J65" i="35"/>
  <c r="J142" i="36"/>
  <c r="J144" i="36" s="1"/>
  <c r="J157" i="36" s="1"/>
  <c r="J572" i="34"/>
  <c r="J585" i="34" s="1"/>
  <c r="J103" i="20"/>
  <c r="J46" i="27"/>
  <c r="J224" i="36"/>
  <c r="J165" i="23"/>
  <c r="J178" i="23" s="1"/>
  <c r="J144" i="32"/>
  <c r="J157" i="32" s="1"/>
  <c r="J261" i="32" s="1"/>
  <c r="J784" i="9"/>
  <c r="J165" i="33"/>
  <c r="J178" i="33" s="1"/>
  <c r="J261" i="33" s="1"/>
  <c r="J224" i="20"/>
  <c r="J144" i="20"/>
  <c r="J157" i="20" s="1"/>
  <c r="J165" i="17"/>
  <c r="J178" i="17" s="1"/>
  <c r="J163" i="36"/>
  <c r="J103" i="36"/>
  <c r="J84" i="36"/>
  <c r="J163" i="35"/>
  <c r="J46" i="34"/>
  <c r="J27" i="33"/>
  <c r="J46" i="31"/>
  <c r="J142" i="30"/>
  <c r="J84" i="30"/>
  <c r="J84" i="24"/>
  <c r="J46" i="20"/>
  <c r="J65" i="20"/>
  <c r="J539" i="36"/>
  <c r="J679" i="36"/>
  <c r="J356" i="35"/>
  <c r="J367" i="35" s="1"/>
  <c r="J539" i="34"/>
  <c r="J326" i="34"/>
  <c r="J326" i="33"/>
  <c r="J562" i="32"/>
  <c r="J679" i="30"/>
  <c r="J585" i="29"/>
  <c r="J635" i="29"/>
  <c r="J326" i="29"/>
  <c r="J539" i="28"/>
  <c r="J679" i="28"/>
  <c r="J326" i="28"/>
  <c r="J539" i="27"/>
  <c r="J679" i="26"/>
  <c r="J326" i="26"/>
  <c r="J679" i="25"/>
  <c r="J681" i="25" s="1"/>
  <c r="J326" i="25"/>
  <c r="J539" i="25"/>
  <c r="J585" i="24"/>
  <c r="J326" i="24"/>
  <c r="J679" i="23"/>
  <c r="J326" i="21"/>
  <c r="J635" i="20"/>
  <c r="J585" i="19"/>
  <c r="J326" i="19"/>
  <c r="J679" i="17"/>
  <c r="J635" i="17"/>
  <c r="J345" i="9"/>
  <c r="J349" i="9" s="1"/>
  <c r="J780" i="9"/>
  <c r="J788" i="9"/>
  <c r="J539" i="9"/>
  <c r="J326" i="9"/>
  <c r="J261" i="28"/>
  <c r="J133" i="25"/>
  <c r="J539" i="35"/>
  <c r="J133" i="32"/>
  <c r="J261" i="26"/>
  <c r="J261" i="25"/>
  <c r="J261" i="21"/>
  <c r="J539" i="20"/>
  <c r="J133" i="34"/>
  <c r="J811" i="36"/>
  <c r="J811" i="33"/>
  <c r="J539" i="31"/>
  <c r="J811" i="28"/>
  <c r="J133" i="28"/>
  <c r="J811" i="29"/>
  <c r="J133" i="26"/>
  <c r="J811" i="27"/>
  <c r="J811" i="26"/>
  <c r="J811" i="23"/>
  <c r="J133" i="24"/>
  <c r="J811" i="21"/>
  <c r="J133" i="23"/>
  <c r="J133" i="21"/>
  <c r="J811" i="17"/>
  <c r="J539" i="19"/>
  <c r="J811" i="19"/>
  <c r="J133" i="17"/>
  <c r="J681" i="9"/>
  <c r="J261" i="9"/>
  <c r="J133" i="9"/>
  <c r="J811" i="30"/>
  <c r="J133" i="33"/>
  <c r="J133" i="29"/>
  <c r="J261" i="29"/>
  <c r="J133" i="19"/>
  <c r="J261" i="19"/>
  <c r="J218" i="30"/>
  <c r="J78" i="30"/>
  <c r="J133" i="20"/>
  <c r="J275" i="27"/>
  <c r="J288" i="27" s="1"/>
  <c r="J163" i="27"/>
  <c r="J78" i="27"/>
  <c r="J133" i="27" s="1"/>
  <c r="J562" i="27"/>
  <c r="J259" i="30"/>
  <c r="J558" i="30"/>
  <c r="J549" i="30"/>
  <c r="J178" i="30"/>
  <c r="J539" i="30"/>
  <c r="J55" i="30"/>
  <c r="J59" i="30" s="1"/>
  <c r="J153" i="30"/>
  <c r="J635" i="30"/>
  <c r="J572" i="30"/>
  <c r="J133" i="31"/>
  <c r="J635" i="31"/>
  <c r="J133" i="36"/>
  <c r="J271" i="36"/>
  <c r="J274" i="36" s="1"/>
  <c r="J549" i="36"/>
  <c r="J205" i="36"/>
  <c r="J218" i="36" s="1"/>
  <c r="J246" i="36"/>
  <c r="J259" i="36" s="1"/>
  <c r="J133" i="35"/>
  <c r="J275" i="35"/>
  <c r="J288" i="35" s="1"/>
  <c r="J246" i="35"/>
  <c r="J259" i="35" s="1"/>
  <c r="J275" i="9" l="1"/>
  <c r="J288" i="9" s="1"/>
  <c r="J275" i="24"/>
  <c r="J288" i="24" s="1"/>
  <c r="J275" i="26"/>
  <c r="J288" i="26" s="1"/>
  <c r="J261" i="34"/>
  <c r="J894" i="17"/>
  <c r="J894" i="31"/>
  <c r="J894" i="32"/>
  <c r="J942" i="32" s="1"/>
  <c r="J894" i="23"/>
  <c r="J894" i="20"/>
  <c r="J894" i="19"/>
  <c r="J894" i="26"/>
  <c r="J894" i="28"/>
  <c r="J894" i="29"/>
  <c r="J894" i="9"/>
  <c r="J894" i="24"/>
  <c r="J894" i="35"/>
  <c r="J894" i="27"/>
  <c r="J894" i="33"/>
  <c r="J894" i="30"/>
  <c r="J894" i="36"/>
  <c r="J894" i="34"/>
  <c r="J894" i="21"/>
  <c r="J894" i="25"/>
  <c r="J942" i="18"/>
  <c r="J261" i="31"/>
  <c r="J693" i="31" s="1"/>
  <c r="J421" i="20"/>
  <c r="J421" i="17"/>
  <c r="J275" i="21"/>
  <c r="J288" i="21" s="1"/>
  <c r="J421" i="21" s="1"/>
  <c r="J275" i="19"/>
  <c r="J288" i="19" s="1"/>
  <c r="J421" i="19" s="1"/>
  <c r="J275" i="29"/>
  <c r="J288" i="29" s="1"/>
  <c r="J421" i="29" s="1"/>
  <c r="J275" i="30"/>
  <c r="J288" i="30" s="1"/>
  <c r="J421" i="30" s="1"/>
  <c r="J275" i="32"/>
  <c r="J288" i="32" s="1"/>
  <c r="J421" i="32" s="1"/>
  <c r="J261" i="23"/>
  <c r="J952" i="18"/>
  <c r="J275" i="28"/>
  <c r="J288" i="28" s="1"/>
  <c r="J421" i="28" s="1"/>
  <c r="J275" i="25"/>
  <c r="J288" i="25" s="1"/>
  <c r="J421" i="25" s="1"/>
  <c r="J275" i="33"/>
  <c r="J288" i="33" s="1"/>
  <c r="J421" i="33" s="1"/>
  <c r="J274" i="18"/>
  <c r="J275" i="18" s="1"/>
  <c r="J288" i="18" s="1"/>
  <c r="J421" i="18" s="1"/>
  <c r="J226" i="36"/>
  <c r="J239" i="36" s="1"/>
  <c r="J666" i="33"/>
  <c r="J679" i="33" s="1"/>
  <c r="J681" i="33" s="1"/>
  <c r="J165" i="27"/>
  <c r="J178" i="27" s="1"/>
  <c r="J261" i="27" s="1"/>
  <c r="J144" i="30"/>
  <c r="J157" i="30" s="1"/>
  <c r="J261" i="30" s="1"/>
  <c r="J261" i="17"/>
  <c r="J165" i="20"/>
  <c r="J178" i="20" s="1"/>
  <c r="J226" i="20"/>
  <c r="J239" i="20" s="1"/>
  <c r="J144" i="24"/>
  <c r="J157" i="24" s="1"/>
  <c r="J261" i="24" s="1"/>
  <c r="J165" i="36"/>
  <c r="J178" i="36" s="1"/>
  <c r="J165" i="35"/>
  <c r="J178" i="35" s="1"/>
  <c r="J261" i="35" s="1"/>
  <c r="J562" i="36"/>
  <c r="J681" i="35"/>
  <c r="J421" i="35"/>
  <c r="J421" i="34"/>
  <c r="J681" i="34"/>
  <c r="J681" i="32"/>
  <c r="J681" i="29"/>
  <c r="J681" i="28"/>
  <c r="J421" i="27"/>
  <c r="J421" i="26"/>
  <c r="J681" i="26"/>
  <c r="J421" i="24"/>
  <c r="J681" i="24"/>
  <c r="J421" i="23"/>
  <c r="J681" i="23"/>
  <c r="J681" i="21"/>
  <c r="J681" i="20"/>
  <c r="J681" i="19"/>
  <c r="J681" i="17"/>
  <c r="J811" i="9"/>
  <c r="J421" i="9"/>
  <c r="J811" i="34"/>
  <c r="J690" i="25"/>
  <c r="J133" i="30"/>
  <c r="J811" i="31"/>
  <c r="J811" i="20"/>
  <c r="J690" i="9"/>
  <c r="J681" i="27"/>
  <c r="J562" i="30"/>
  <c r="J585" i="30"/>
  <c r="J681" i="31"/>
  <c r="J275" i="36"/>
  <c r="J288" i="36" s="1"/>
  <c r="J261" i="36" l="1"/>
  <c r="J942" i="17"/>
  <c r="J942" i="20"/>
  <c r="J942" i="23"/>
  <c r="J942" i="31"/>
  <c r="J942" i="25"/>
  <c r="J942" i="34"/>
  <c r="J942" i="21"/>
  <c r="J942" i="33"/>
  <c r="J942" i="9"/>
  <c r="J942" i="27"/>
  <c r="J942" i="29"/>
  <c r="J942" i="36"/>
  <c r="J942" i="35"/>
  <c r="J942" i="28"/>
  <c r="J942" i="24"/>
  <c r="J942" i="26"/>
  <c r="J942" i="30"/>
  <c r="J942" i="19"/>
  <c r="J693" i="17"/>
  <c r="J706" i="17" s="1"/>
  <c r="J693" i="32"/>
  <c r="J706" i="32" s="1"/>
  <c r="J687" i="18"/>
  <c r="J693" i="18"/>
  <c r="J261" i="20"/>
  <c r="J687" i="20" s="1"/>
  <c r="J690" i="33"/>
  <c r="J703" i="33" s="1"/>
  <c r="J690" i="17"/>
  <c r="J703" i="17" s="1"/>
  <c r="J690" i="19"/>
  <c r="J703" i="19" s="1"/>
  <c r="J690" i="32"/>
  <c r="J703" i="32" s="1"/>
  <c r="J690" i="21"/>
  <c r="J703" i="21" s="1"/>
  <c r="J690" i="29"/>
  <c r="J703" i="29" s="1"/>
  <c r="J690" i="24"/>
  <c r="J703" i="24" s="1"/>
  <c r="J687" i="34"/>
  <c r="J687" i="33"/>
  <c r="J687" i="32"/>
  <c r="J693" i="27"/>
  <c r="J687" i="26"/>
  <c r="J693" i="25"/>
  <c r="J693" i="23"/>
  <c r="J693" i="19"/>
  <c r="J687" i="17"/>
  <c r="J681" i="36"/>
  <c r="J421" i="36"/>
  <c r="J687" i="35"/>
  <c r="J693" i="34"/>
  <c r="J690" i="34"/>
  <c r="J693" i="33"/>
  <c r="J687" i="31"/>
  <c r="J687" i="29"/>
  <c r="J693" i="29"/>
  <c r="J693" i="28"/>
  <c r="J690" i="28"/>
  <c r="J687" i="28"/>
  <c r="J693" i="26"/>
  <c r="J690" i="26"/>
  <c r="J687" i="25"/>
  <c r="J693" i="24"/>
  <c r="J687" i="24"/>
  <c r="J690" i="23"/>
  <c r="J687" i="23"/>
  <c r="J693" i="21"/>
  <c r="J687" i="21"/>
  <c r="J687" i="19"/>
  <c r="J687" i="9"/>
  <c r="J693" i="9"/>
  <c r="J703" i="9"/>
  <c r="J703" i="25"/>
  <c r="J690" i="35"/>
  <c r="J690" i="27"/>
  <c r="J687" i="27"/>
  <c r="J681" i="30"/>
  <c r="J690" i="31"/>
  <c r="J706" i="31"/>
  <c r="J693" i="35"/>
  <c r="J706" i="18" l="1"/>
  <c r="J690" i="20"/>
  <c r="J703" i="20" s="1"/>
  <c r="J693" i="20"/>
  <c r="J700" i="18"/>
  <c r="J703" i="28"/>
  <c r="J703" i="26"/>
  <c r="J820" i="26" s="1"/>
  <c r="J820" i="32"/>
  <c r="J952" i="32" s="1"/>
  <c r="J700" i="17"/>
  <c r="J706" i="9"/>
  <c r="J823" i="9" s="1"/>
  <c r="J700" i="21"/>
  <c r="J817" i="21" s="1"/>
  <c r="J706" i="26"/>
  <c r="J823" i="26" s="1"/>
  <c r="J706" i="19"/>
  <c r="J706" i="27"/>
  <c r="J823" i="27" s="1"/>
  <c r="J700" i="9"/>
  <c r="J817" i="9" s="1"/>
  <c r="J706" i="24"/>
  <c r="J823" i="24" s="1"/>
  <c r="J700" i="29"/>
  <c r="J817" i="29" s="1"/>
  <c r="J706" i="33"/>
  <c r="J823" i="33" s="1"/>
  <c r="J706" i="23"/>
  <c r="J823" i="23" s="1"/>
  <c r="J700" i="32"/>
  <c r="J817" i="32" s="1"/>
  <c r="J700" i="31"/>
  <c r="J817" i="31" s="1"/>
  <c r="J703" i="34"/>
  <c r="J690" i="36"/>
  <c r="J703" i="36" s="1"/>
  <c r="J706" i="25"/>
  <c r="J823" i="25" s="1"/>
  <c r="J700" i="33"/>
  <c r="J817" i="33" s="1"/>
  <c r="J700" i="26"/>
  <c r="J817" i="26" s="1"/>
  <c r="J700" i="34"/>
  <c r="J700" i="20"/>
  <c r="J817" i="20" s="1"/>
  <c r="J823" i="32"/>
  <c r="J823" i="19"/>
  <c r="J823" i="17"/>
  <c r="J693" i="36"/>
  <c r="J687" i="36"/>
  <c r="J706" i="35"/>
  <c r="J700" i="35"/>
  <c r="J706" i="34"/>
  <c r="J820" i="33"/>
  <c r="J690" i="30"/>
  <c r="J706" i="29"/>
  <c r="J706" i="28"/>
  <c r="J700" i="28"/>
  <c r="J700" i="27"/>
  <c r="J703" i="27"/>
  <c r="J700" i="25"/>
  <c r="J820" i="25"/>
  <c r="J700" i="24"/>
  <c r="J820" i="24"/>
  <c r="J703" i="23"/>
  <c r="J700" i="23"/>
  <c r="J706" i="21"/>
  <c r="J820" i="21"/>
  <c r="J700" i="19"/>
  <c r="J820" i="17"/>
  <c r="J820" i="9"/>
  <c r="J820" i="29"/>
  <c r="J703" i="35"/>
  <c r="J820" i="19"/>
  <c r="J693" i="30"/>
  <c r="J687" i="30"/>
  <c r="J703" i="31"/>
  <c r="J823" i="31"/>
  <c r="J817" i="18" l="1"/>
  <c r="J706" i="20"/>
  <c r="J823" i="18"/>
  <c r="J703" i="30"/>
  <c r="J820" i="30" s="1"/>
  <c r="J955" i="32"/>
  <c r="J820" i="34"/>
  <c r="J952" i="34" s="1"/>
  <c r="J952" i="21"/>
  <c r="J817" i="17"/>
  <c r="J949" i="29"/>
  <c r="J952" i="33"/>
  <c r="J817" i="27"/>
  <c r="J949" i="27" s="1"/>
  <c r="J949" i="33"/>
  <c r="J817" i="34"/>
  <c r="J817" i="28"/>
  <c r="J949" i="28" s="1"/>
  <c r="J820" i="28"/>
  <c r="J949" i="20"/>
  <c r="J700" i="36"/>
  <c r="J817" i="36" s="1"/>
  <c r="J706" i="36"/>
  <c r="J823" i="36" s="1"/>
  <c r="J823" i="35"/>
  <c r="J823" i="34"/>
  <c r="J823" i="29"/>
  <c r="J823" i="28"/>
  <c r="J955" i="26"/>
  <c r="J817" i="25"/>
  <c r="J955" i="25"/>
  <c r="J955" i="24"/>
  <c r="J817" i="24"/>
  <c r="J955" i="23"/>
  <c r="J820" i="23"/>
  <c r="J823" i="21"/>
  <c r="J820" i="20"/>
  <c r="J955" i="19"/>
  <c r="J817" i="19"/>
  <c r="J955" i="17"/>
  <c r="J955" i="9"/>
  <c r="J952" i="17"/>
  <c r="J817" i="35"/>
  <c r="J949" i="32"/>
  <c r="J820" i="31"/>
  <c r="J706" i="30"/>
  <c r="J820" i="27"/>
  <c r="J952" i="26"/>
  <c r="J952" i="25"/>
  <c r="J952" i="24"/>
  <c r="J817" i="23"/>
  <c r="J949" i="21"/>
  <c r="J949" i="9"/>
  <c r="J952" i="9"/>
  <c r="J949" i="26"/>
  <c r="J952" i="19"/>
  <c r="J952" i="29"/>
  <c r="J820" i="35"/>
  <c r="J955" i="33"/>
  <c r="J955" i="27"/>
  <c r="J700" i="30"/>
  <c r="J949" i="31"/>
  <c r="J955" i="31"/>
  <c r="J820" i="36"/>
  <c r="J955" i="18" l="1"/>
  <c r="J823" i="20"/>
  <c r="J949" i="18"/>
  <c r="J952" i="28"/>
  <c r="J952" i="30"/>
  <c r="J949" i="35"/>
  <c r="J949" i="25"/>
  <c r="J955" i="34"/>
  <c r="J949" i="34"/>
  <c r="J952" i="31"/>
  <c r="J955" i="35"/>
  <c r="J949" i="17"/>
  <c r="J952" i="20"/>
  <c r="J823" i="30"/>
  <c r="J955" i="29"/>
  <c r="J955" i="28"/>
  <c r="J949" i="24"/>
  <c r="J952" i="23"/>
  <c r="J955" i="21"/>
  <c r="J949" i="19"/>
  <c r="J952" i="27"/>
  <c r="J949" i="23"/>
  <c r="J952" i="35"/>
  <c r="J817" i="30"/>
  <c r="J952" i="36"/>
  <c r="J949" i="36"/>
  <c r="J955" i="36"/>
  <c r="V157" i="37"/>
  <c r="F110" i="37"/>
  <c r="Q107" i="37"/>
  <c r="L73" i="37"/>
  <c r="P57" i="37"/>
  <c r="D116" i="37"/>
  <c r="D155" i="37"/>
  <c r="M51" i="37"/>
  <c r="Q87" i="37"/>
  <c r="Q118" i="37"/>
  <c r="R130" i="37"/>
  <c r="H147" i="37"/>
  <c r="S100" i="37"/>
  <c r="H124" i="37"/>
  <c r="F143" i="37"/>
  <c r="C112" i="37"/>
  <c r="F142" i="37"/>
  <c r="E118" i="37"/>
  <c r="E73" i="37"/>
  <c r="K142" i="37"/>
  <c r="J105" i="37"/>
  <c r="E54" i="37"/>
  <c r="H88" i="37"/>
  <c r="D106" i="37"/>
  <c r="D114" i="37"/>
  <c r="G154" i="37"/>
  <c r="F131" i="37"/>
  <c r="S143" i="37"/>
  <c r="I90" i="37"/>
  <c r="D45" i="37"/>
  <c r="V99" i="37"/>
  <c r="I84" i="37"/>
  <c r="O82" i="37"/>
  <c r="I80" i="37"/>
  <c r="D95" i="37"/>
  <c r="P145" i="37"/>
  <c r="T61" i="37"/>
  <c r="K145" i="37"/>
  <c r="D63" i="37"/>
  <c r="U127" i="37"/>
  <c r="D99" i="37"/>
  <c r="J29" i="37"/>
  <c r="E150" i="37"/>
  <c r="U152" i="37"/>
  <c r="R116" i="37"/>
  <c r="V96" i="37"/>
  <c r="R156" i="72"/>
  <c r="O138" i="37"/>
  <c r="T84" i="37"/>
  <c r="L128" i="37"/>
  <c r="T103" i="37"/>
  <c r="C19" i="37"/>
  <c r="I48" i="37"/>
  <c r="L87" i="37"/>
  <c r="U144" i="37"/>
  <c r="C104" i="37"/>
  <c r="D128" i="37"/>
  <c r="N114" i="37"/>
  <c r="E127" i="37"/>
  <c r="T56" i="37"/>
  <c r="L139" i="37"/>
  <c r="M154" i="37"/>
  <c r="C55" i="37"/>
  <c r="P128" i="37"/>
  <c r="F37" i="37"/>
  <c r="E128" i="37"/>
  <c r="U67" i="37"/>
  <c r="J82" i="37"/>
  <c r="U66" i="37"/>
  <c r="R145" i="37"/>
  <c r="O157" i="37"/>
  <c r="K39" i="37"/>
  <c r="N87" i="37"/>
  <c r="V38" i="37"/>
  <c r="U76" i="37"/>
  <c r="L90" i="37"/>
  <c r="L153" i="37"/>
  <c r="D152" i="37"/>
  <c r="J155" i="37"/>
  <c r="O76" i="37"/>
  <c r="R44" i="37"/>
  <c r="R84" i="37"/>
  <c r="F136" i="37"/>
  <c r="F94" i="37"/>
  <c r="F79" i="37"/>
  <c r="F78" i="37"/>
  <c r="N116" i="37"/>
  <c r="N52" i="37"/>
  <c r="M90" i="37"/>
  <c r="P143" i="37"/>
  <c r="M97" i="37"/>
  <c r="M41" i="37"/>
  <c r="L124" i="37"/>
  <c r="I77" i="37"/>
  <c r="O80" i="37"/>
  <c r="J112" i="37"/>
  <c r="H54" i="37"/>
  <c r="G84" i="37"/>
  <c r="H104" i="37"/>
  <c r="T12" i="37"/>
  <c r="M32" i="37"/>
  <c r="N18" i="37"/>
  <c r="G136" i="37"/>
  <c r="M80" i="37"/>
  <c r="U100" i="37"/>
  <c r="T157" i="37"/>
  <c r="O78" i="37"/>
  <c r="C103" i="37"/>
  <c r="H155" i="37"/>
  <c r="F146" i="37"/>
  <c r="J81" i="37"/>
  <c r="L102" i="37"/>
  <c r="L98" i="37"/>
  <c r="L52" i="37"/>
  <c r="H52" i="37"/>
  <c r="T111" i="37"/>
  <c r="D75" i="37"/>
  <c r="C20" i="37"/>
  <c r="I52" i="37"/>
  <c r="F93" i="37"/>
  <c r="M53" i="37"/>
  <c r="E96" i="37"/>
  <c r="J11" i="39"/>
  <c r="F106" i="37"/>
  <c r="O118" i="37"/>
  <c r="G145" i="37"/>
  <c r="N34" i="37"/>
  <c r="T132" i="37"/>
  <c r="M120" i="37"/>
  <c r="P69" i="37"/>
  <c r="H50" i="37"/>
  <c r="E98" i="37"/>
  <c r="F99" i="37"/>
  <c r="E40" i="37"/>
  <c r="F76" i="37"/>
  <c r="Q83" i="37"/>
  <c r="P76" i="37"/>
  <c r="K146" i="37"/>
  <c r="I149" i="37"/>
  <c r="N148" i="37"/>
  <c r="P138" i="37"/>
  <c r="O42" i="37"/>
  <c r="F128" i="37"/>
  <c r="C68" i="37"/>
  <c r="E152" i="37"/>
  <c r="J126" i="37"/>
  <c r="E120" i="37"/>
  <c r="U85" i="37"/>
  <c r="O93" i="37"/>
  <c r="R86" i="37"/>
  <c r="N35" i="37"/>
  <c r="H120" i="37"/>
  <c r="G82" i="37"/>
  <c r="N63" i="37"/>
  <c r="Q110" i="37"/>
  <c r="R112" i="37"/>
  <c r="G142" i="37"/>
  <c r="K120" i="37"/>
  <c r="N44" i="37"/>
  <c r="E156" i="72"/>
  <c r="R91" i="37"/>
  <c r="F44" i="37"/>
  <c r="I75" i="37"/>
  <c r="L95" i="37"/>
  <c r="I18" i="37"/>
  <c r="N144" i="37"/>
  <c r="H63" i="37"/>
  <c r="V146" i="37"/>
  <c r="J28" i="37"/>
  <c r="V89" i="37"/>
  <c r="R56" i="37"/>
  <c r="J153" i="37"/>
  <c r="T145" i="37"/>
  <c r="C142" i="37"/>
  <c r="O145" i="37"/>
  <c r="E28" i="37"/>
  <c r="P84" i="37"/>
  <c r="R133" i="37"/>
  <c r="S67" i="37"/>
  <c r="E48" i="37"/>
  <c r="C67" i="37"/>
  <c r="M110" i="37"/>
  <c r="V135" i="37"/>
  <c r="M58" i="37"/>
  <c r="G77" i="37"/>
  <c r="V72" i="37"/>
  <c r="S58" i="37"/>
  <c r="K91" i="37"/>
  <c r="S147" i="37"/>
  <c r="Q75" i="37"/>
  <c r="H130" i="37"/>
  <c r="D28" i="37"/>
  <c r="G156" i="37"/>
  <c r="H80" i="37"/>
  <c r="G114" i="37"/>
  <c r="J139" i="37"/>
  <c r="J97" i="37"/>
  <c r="D138" i="37"/>
  <c r="D91" i="37"/>
  <c r="E91" i="37"/>
  <c r="V24" i="37"/>
  <c r="Q78" i="37"/>
  <c r="R137" i="37"/>
  <c r="F45" i="37"/>
  <c r="J77" i="37"/>
  <c r="O11" i="37"/>
  <c r="E41" i="37"/>
  <c r="T78" i="37"/>
  <c r="N81" i="37"/>
  <c r="O136" i="37"/>
  <c r="K138" i="37"/>
  <c r="F95" i="37"/>
  <c r="V35" i="37"/>
  <c r="J122" i="37"/>
  <c r="R93" i="37"/>
  <c r="S52" i="37"/>
  <c r="J152" i="37"/>
  <c r="V134" i="37"/>
  <c r="H79" i="37"/>
  <c r="U56" i="37"/>
  <c r="D147" i="37"/>
  <c r="K23" i="37"/>
  <c r="I133" i="37"/>
  <c r="V32" i="37"/>
  <c r="G137" i="37"/>
  <c r="I125" i="37"/>
  <c r="H84" i="37"/>
  <c r="R151" i="37"/>
  <c r="I151" i="37"/>
  <c r="Q50" i="37"/>
  <c r="U41" i="37"/>
  <c r="C66" i="37"/>
  <c r="G124" i="37"/>
  <c r="Q144" i="37"/>
  <c r="L40" i="37"/>
  <c r="C93" i="37"/>
  <c r="C110" i="37"/>
  <c r="G32" i="37"/>
  <c r="Q61" i="37"/>
  <c r="O139" i="37"/>
  <c r="E90" i="37"/>
  <c r="R74" i="37"/>
  <c r="V37" i="37"/>
  <c r="D21" i="37"/>
  <c r="J73" i="37"/>
  <c r="J67" i="37"/>
  <c r="H102" i="37"/>
  <c r="Q101" i="37"/>
  <c r="H62" i="37"/>
  <c r="N26" i="37"/>
  <c r="N19" i="37"/>
  <c r="Q152" i="37"/>
  <c r="F97" i="37"/>
  <c r="K79" i="37"/>
  <c r="H65" i="37"/>
  <c r="V73" i="37"/>
  <c r="Q94" i="37"/>
  <c r="F81" i="37"/>
  <c r="T139" i="37"/>
  <c r="S18" i="37"/>
  <c r="N13" i="37"/>
  <c r="D130" i="37"/>
  <c r="K61" i="37"/>
  <c r="Q156" i="37"/>
  <c r="N129" i="37"/>
  <c r="P146" i="37"/>
  <c r="J43" i="37"/>
  <c r="S148" i="37"/>
  <c r="T156" i="37"/>
  <c r="R45" i="37"/>
  <c r="Q149" i="37"/>
  <c r="L120" i="37"/>
  <c r="F100" i="37"/>
  <c r="C106" i="37"/>
  <c r="J79" i="37"/>
  <c r="K50" i="37"/>
  <c r="U126" i="37"/>
  <c r="P139" i="37"/>
  <c r="I144" i="37"/>
  <c r="I148" i="37"/>
  <c r="C127" i="37"/>
  <c r="V90" i="37"/>
  <c r="D93" i="37"/>
  <c r="I44" i="37"/>
  <c r="J98" i="37"/>
  <c r="G89" i="37"/>
  <c r="J85" i="37"/>
  <c r="F50" i="37"/>
  <c r="F49" i="37"/>
  <c r="E151" i="37"/>
  <c r="O86" i="37"/>
  <c r="N151" i="37"/>
  <c r="I120" i="37"/>
  <c r="Q151" i="37"/>
  <c r="E149" i="37"/>
  <c r="P142" i="37"/>
  <c r="S104" i="37"/>
  <c r="E75" i="37"/>
  <c r="K56" i="37"/>
  <c r="M156" i="37"/>
  <c r="C87" i="37"/>
  <c r="P94" i="37"/>
  <c r="U114" i="37"/>
  <c r="I100" i="37"/>
  <c r="G132" i="37"/>
  <c r="H19" i="37"/>
  <c r="U81" i="37"/>
  <c r="R76" i="37"/>
  <c r="U157" i="37"/>
  <c r="M72" i="37"/>
  <c r="S80" i="37"/>
  <c r="R97" i="37"/>
  <c r="O151" i="37"/>
  <c r="S95" i="37"/>
  <c r="K156" i="72"/>
  <c r="I152" i="37"/>
  <c r="I87" i="37"/>
  <c r="H114" i="37"/>
  <c r="S79" i="37"/>
  <c r="S138" i="37"/>
  <c r="L147" i="37"/>
  <c r="Q116" i="37"/>
  <c r="J34" i="37"/>
  <c r="V98" i="37"/>
  <c r="R22" i="37"/>
  <c r="J80" i="37"/>
  <c r="T55" i="37"/>
  <c r="F156" i="37"/>
  <c r="J154" i="72"/>
  <c r="P112" i="37"/>
  <c r="U91" i="37"/>
  <c r="N118" i="37"/>
  <c r="J66" i="37"/>
  <c r="F120" i="37"/>
  <c r="H58" i="37"/>
  <c r="K12" i="37"/>
  <c r="D48" i="37"/>
  <c r="I29" i="37"/>
  <c r="O24" i="37"/>
  <c r="Q26" i="37"/>
  <c r="J100" i="37"/>
  <c r="R119" i="37"/>
  <c r="T23" i="37"/>
  <c r="U49" i="37"/>
  <c r="C88" i="37"/>
  <c r="V67" i="37"/>
  <c r="I20" i="37"/>
  <c r="E94" i="37"/>
  <c r="C76" i="37"/>
  <c r="K85" i="37"/>
  <c r="K112" i="37"/>
  <c r="H105" i="37"/>
  <c r="L101" i="37"/>
  <c r="O57" i="37"/>
  <c r="O23" i="37"/>
  <c r="C82" i="37"/>
  <c r="J145" i="37"/>
  <c r="R53" i="37"/>
  <c r="P87" i="37"/>
  <c r="E51" i="37"/>
  <c r="U38" i="37"/>
  <c r="D118" i="37"/>
  <c r="K55" i="37"/>
  <c r="E88" i="37"/>
  <c r="N112" i="37"/>
  <c r="E124" i="37"/>
  <c r="H149" i="37"/>
  <c r="D53" i="37"/>
  <c r="V152" i="37"/>
  <c r="C13" i="39"/>
  <c r="N138" i="37"/>
  <c r="F54" i="37"/>
  <c r="G80" i="37"/>
  <c r="Q98" i="37"/>
  <c r="P26" i="37"/>
  <c r="H87" i="37"/>
  <c r="D96" i="37"/>
  <c r="V126" i="37"/>
  <c r="M87" i="37"/>
  <c r="K88" i="37"/>
  <c r="G25" i="37"/>
  <c r="V77" i="37"/>
  <c r="T68" i="37"/>
  <c r="J104" i="37"/>
  <c r="K81" i="37"/>
  <c r="U149" i="37"/>
  <c r="U110" i="37"/>
  <c r="F73" i="37"/>
  <c r="Q127" i="37"/>
  <c r="P97" i="37"/>
  <c r="U150" i="37"/>
  <c r="N86" i="37"/>
  <c r="R49" i="37"/>
  <c r="C124" i="37"/>
  <c r="C149" i="37"/>
  <c r="V124" i="37"/>
  <c r="I129" i="37"/>
  <c r="H74" i="37"/>
  <c r="P90" i="37"/>
  <c r="S114" i="37"/>
  <c r="S134" i="37"/>
  <c r="J23" i="37"/>
  <c r="J127" i="37"/>
  <c r="M96" i="37"/>
  <c r="R154" i="37"/>
  <c r="N75" i="37"/>
  <c r="C24" i="39"/>
  <c r="K58" i="37"/>
  <c r="F132" i="37"/>
  <c r="L107" i="37"/>
  <c r="S49" i="37"/>
  <c r="V127" i="37"/>
  <c r="I101" i="37"/>
  <c r="L62" i="37"/>
  <c r="F86" i="37"/>
  <c r="H156" i="37"/>
  <c r="E137" i="37"/>
  <c r="C96" i="37"/>
  <c r="V34" i="37"/>
  <c r="F87" i="37"/>
  <c r="G150" i="37"/>
  <c r="C89" i="37"/>
  <c r="Q131" i="37"/>
  <c r="L112" i="37"/>
  <c r="O41" i="37"/>
  <c r="P129" i="37"/>
  <c r="P107" i="37"/>
  <c r="N142" i="37"/>
  <c r="C150" i="37"/>
  <c r="V87" i="37"/>
  <c r="H69" i="37"/>
  <c r="T100" i="37"/>
  <c r="K53" i="37"/>
  <c r="F103" i="37"/>
  <c r="E42" i="37"/>
  <c r="C27" i="37"/>
  <c r="T92" i="37"/>
  <c r="K27" i="37"/>
  <c r="M88" i="37"/>
  <c r="F37" i="39"/>
  <c r="Q80" i="37"/>
  <c r="S139" i="37"/>
  <c r="O92" i="37"/>
  <c r="K68" i="37"/>
  <c r="O12" i="37"/>
  <c r="O94" i="37"/>
  <c r="S11" i="37"/>
  <c r="O142" i="37"/>
  <c r="Q126" i="37"/>
  <c r="V154" i="37"/>
  <c r="C44" i="39"/>
  <c r="L39" i="37"/>
  <c r="H86" i="37"/>
  <c r="K129" i="37"/>
  <c r="E99" i="37"/>
  <c r="M81" i="37"/>
  <c r="O156" i="37"/>
  <c r="I150" i="37"/>
  <c r="C134" i="37"/>
  <c r="P44" i="37"/>
  <c r="I126" i="37"/>
  <c r="I26" i="37"/>
  <c r="G110" i="37"/>
  <c r="T35" i="37"/>
  <c r="R94" i="37"/>
  <c r="F102" i="37"/>
  <c r="Q128" i="37"/>
  <c r="F39" i="37"/>
  <c r="Q156" i="72"/>
  <c r="G138" i="37"/>
  <c r="V84" i="37"/>
  <c r="J51" i="37"/>
  <c r="E101" i="37"/>
  <c r="M128" i="37"/>
  <c r="K54" i="37"/>
  <c r="E56" i="37"/>
  <c r="L79" i="37"/>
  <c r="T52" i="37"/>
  <c r="K134" i="37"/>
  <c r="C33" i="37"/>
  <c r="Q89" i="37"/>
  <c r="J22" i="39"/>
  <c r="J118" i="37"/>
  <c r="I136" i="37"/>
  <c r="C63" i="37"/>
  <c r="I73" i="37"/>
  <c r="O55" i="37"/>
  <c r="V129" i="37"/>
  <c r="Q102" i="37"/>
  <c r="K151" i="37"/>
  <c r="R147" i="37"/>
  <c r="J114" i="37"/>
  <c r="E85" i="37"/>
  <c r="G146" i="37"/>
  <c r="Q14" i="37"/>
  <c r="L99" i="37"/>
  <c r="P156" i="72"/>
  <c r="O126" i="37"/>
  <c r="Q146" i="37"/>
  <c r="K78" i="37"/>
  <c r="Q106" i="37"/>
  <c r="M122" i="37"/>
  <c r="L85" i="37"/>
  <c r="H98" i="37"/>
  <c r="G81" i="37"/>
  <c r="G130" i="37"/>
  <c r="R143" i="37"/>
  <c r="E76" i="37"/>
  <c r="D124" i="37"/>
  <c r="H11" i="37"/>
  <c r="F118" i="37"/>
  <c r="C25" i="37"/>
  <c r="R153" i="72"/>
  <c r="U25" i="37"/>
  <c r="I122" i="37"/>
  <c r="U55" i="37"/>
  <c r="C57" i="37"/>
  <c r="G147" i="37"/>
  <c r="N48" i="37"/>
  <c r="R65" i="37"/>
  <c r="C156" i="72"/>
  <c r="Q97" i="37"/>
  <c r="P92" i="37"/>
  <c r="D104" i="37"/>
  <c r="E55" i="37"/>
  <c r="E25" i="37"/>
  <c r="T54" i="37"/>
  <c r="V114" i="37"/>
  <c r="R73" i="37"/>
  <c r="S20" i="37"/>
  <c r="F148" i="37"/>
  <c r="F155" i="37"/>
  <c r="K118" i="37"/>
  <c r="M112" i="37"/>
  <c r="L51" i="37"/>
  <c r="C58" i="37"/>
  <c r="R80" i="37"/>
  <c r="M82" i="37"/>
  <c r="Q73" i="37"/>
  <c r="Q135" i="37"/>
  <c r="Q130" i="37"/>
  <c r="I104" i="37"/>
  <c r="H112" i="37"/>
  <c r="T73" i="37"/>
  <c r="N67" i="37"/>
  <c r="P135" i="37"/>
  <c r="D134" i="37"/>
  <c r="L137" i="37"/>
  <c r="U45" i="37"/>
  <c r="M106" i="37"/>
  <c r="O137" i="37"/>
  <c r="P79" i="37"/>
  <c r="D133" i="37"/>
  <c r="I95" i="37"/>
  <c r="U51" i="37"/>
  <c r="E105" i="37"/>
  <c r="U139" i="37"/>
  <c r="C120" i="37"/>
  <c r="I67" i="37"/>
  <c r="L132" i="37"/>
  <c r="V150" i="37"/>
  <c r="U151" i="37"/>
  <c r="P153" i="37"/>
  <c r="C16" i="39"/>
  <c r="M25" i="37"/>
  <c r="Q99" i="37"/>
  <c r="U54" i="37"/>
  <c r="Q155" i="37"/>
  <c r="V91" i="37"/>
  <c r="P116" i="37"/>
  <c r="Q139" i="37"/>
  <c r="I147" i="37"/>
  <c r="O44" i="37"/>
  <c r="J123" i="37"/>
  <c r="H110" i="37"/>
  <c r="U104" i="37"/>
  <c r="N106" i="37"/>
  <c r="G78" i="37"/>
  <c r="V36" i="37"/>
  <c r="C10" i="37"/>
  <c r="V130" i="37"/>
  <c r="P27" i="37"/>
  <c r="V104" i="37"/>
  <c r="T153" i="37"/>
  <c r="V41" i="37"/>
  <c r="V79" i="37"/>
  <c r="G117" i="37"/>
  <c r="U50" i="37"/>
  <c r="S107" i="37"/>
  <c r="M131" i="37"/>
  <c r="C11" i="37"/>
  <c r="U53" i="37"/>
  <c r="K20" i="37"/>
  <c r="K35" i="37"/>
  <c r="H142" i="37"/>
  <c r="V83" i="37"/>
  <c r="L129" i="37"/>
  <c r="V116" i="37"/>
  <c r="N73" i="37"/>
  <c r="V110" i="37"/>
  <c r="P101" i="37"/>
  <c r="N126" i="37"/>
  <c r="L157" i="37"/>
  <c r="F116" i="37"/>
  <c r="O128" i="37"/>
  <c r="C10" i="39"/>
  <c r="F149" i="37"/>
  <c r="K144" i="37"/>
  <c r="E45" i="37"/>
  <c r="P151" i="37"/>
  <c r="H85" i="37"/>
  <c r="M67" i="37"/>
  <c r="O56" i="37"/>
  <c r="S65" i="37"/>
  <c r="Q143" i="37"/>
  <c r="H10" i="37"/>
  <c r="D88" i="37"/>
  <c r="M14" i="37"/>
  <c r="I143" i="37"/>
  <c r="N136" i="37"/>
  <c r="G90" i="37"/>
  <c r="H37" i="37"/>
  <c r="O120" i="37"/>
  <c r="F75" i="37"/>
  <c r="E143" i="37"/>
  <c r="J134" i="37"/>
  <c r="U155" i="37"/>
  <c r="I68" i="37"/>
  <c r="K135" i="37"/>
  <c r="C151" i="37"/>
  <c r="R40" i="37"/>
  <c r="T130" i="37"/>
  <c r="I83" i="37"/>
  <c r="C15" i="39"/>
  <c r="V144" i="37"/>
  <c r="S92" i="37"/>
  <c r="J110" i="37"/>
  <c r="R138" i="37"/>
  <c r="S142" i="37"/>
  <c r="N122" i="37"/>
  <c r="I155" i="37"/>
  <c r="M100" i="37"/>
  <c r="N105" i="37"/>
  <c r="P96" i="37"/>
  <c r="E114" i="37"/>
  <c r="P66" i="37"/>
  <c r="K133" i="37"/>
  <c r="S106" i="37"/>
  <c r="R118" i="37"/>
  <c r="L155" i="37"/>
  <c r="N12" i="37"/>
  <c r="V85" i="37"/>
  <c r="K93" i="37"/>
  <c r="F83" i="37"/>
  <c r="V105" i="37"/>
  <c r="E43" i="37"/>
  <c r="O50" i="37"/>
  <c r="R106" i="37"/>
  <c r="E72" i="37"/>
  <c r="N124" i="37"/>
  <c r="C114" i="37"/>
  <c r="O91" i="37"/>
  <c r="S64" i="37"/>
  <c r="E84" i="37"/>
  <c r="M12" i="37"/>
  <c r="Q104" i="37"/>
  <c r="H68" i="37"/>
  <c r="H145" i="37"/>
  <c r="F114" i="37"/>
  <c r="C39" i="37"/>
  <c r="N156" i="37"/>
  <c r="V52" i="37"/>
  <c r="M105" i="37"/>
  <c r="I13" i="37"/>
  <c r="P105" i="37"/>
  <c r="U43" i="37"/>
  <c r="P91" i="37"/>
  <c r="R72" i="37"/>
  <c r="R152" i="37"/>
  <c r="R150" i="37"/>
  <c r="I81" i="37"/>
  <c r="T114" i="37"/>
  <c r="S101" i="37"/>
  <c r="U156" i="37"/>
  <c r="E138" i="37"/>
  <c r="G121" i="37"/>
  <c r="J95" i="37"/>
  <c r="P21" i="37"/>
  <c r="D112" i="37"/>
  <c r="L94" i="37"/>
  <c r="L152" i="37"/>
  <c r="M153" i="37"/>
  <c r="Q34" i="37"/>
  <c r="F14" i="37"/>
  <c r="C155" i="37"/>
  <c r="P114" i="37"/>
  <c r="F137" i="37"/>
  <c r="C132" i="37"/>
  <c r="O13" i="37"/>
  <c r="O51" i="37"/>
  <c r="L21" i="37"/>
  <c r="O153" i="37"/>
  <c r="C20" i="39"/>
  <c r="J27" i="37"/>
  <c r="E110" i="37"/>
  <c r="N133" i="37"/>
  <c r="L122" i="37"/>
  <c r="C12" i="37"/>
  <c r="N62" i="37"/>
  <c r="V33" i="37"/>
  <c r="L49" i="37"/>
  <c r="R101" i="37"/>
  <c r="I132" i="37"/>
  <c r="F152" i="37"/>
  <c r="O155" i="37"/>
  <c r="N120" i="37"/>
  <c r="H45" i="37"/>
  <c r="H146" i="37"/>
  <c r="D94" i="37"/>
  <c r="V100" i="37"/>
  <c r="N28" i="37"/>
  <c r="R77" i="37"/>
  <c r="Q10" i="37"/>
  <c r="G12" i="37"/>
  <c r="F32" i="37"/>
  <c r="G91" i="37"/>
  <c r="C22" i="37"/>
  <c r="R67" i="37"/>
  <c r="E83" i="37"/>
  <c r="K74" i="37"/>
  <c r="M151" i="37"/>
  <c r="M145" i="37"/>
  <c r="H135" i="37"/>
  <c r="N93" i="37"/>
  <c r="N143" i="37"/>
  <c r="G149" i="37"/>
  <c r="S37" i="37"/>
  <c r="E119" i="37"/>
  <c r="F13" i="37"/>
  <c r="P82" i="37"/>
  <c r="S110" i="37"/>
  <c r="M94" i="37"/>
  <c r="L118" i="37"/>
  <c r="L151" i="37"/>
  <c r="I51" i="37"/>
  <c r="T112" i="37"/>
  <c r="R81" i="37"/>
  <c r="I92" i="37"/>
  <c r="P77" i="37"/>
  <c r="G152" i="37"/>
  <c r="M101" i="37"/>
  <c r="O97" i="37"/>
  <c r="K106" i="37"/>
  <c r="F85" i="37"/>
  <c r="L89" i="37"/>
  <c r="F101" i="37"/>
  <c r="C138" i="37"/>
  <c r="M27" i="37"/>
  <c r="T128" i="37"/>
  <c r="R104" i="37"/>
  <c r="V132" i="37"/>
  <c r="Q95" i="37"/>
  <c r="R61" i="37"/>
  <c r="F92" i="37"/>
  <c r="N150" i="37"/>
  <c r="O53" i="37"/>
  <c r="E82" i="37"/>
  <c r="K126" i="37"/>
  <c r="I110" i="37"/>
  <c r="V78" i="37"/>
  <c r="O103" i="37"/>
  <c r="F89" i="37"/>
  <c r="O89" i="37"/>
  <c r="R136" i="37"/>
  <c r="V148" i="37"/>
  <c r="H126" i="37"/>
  <c r="S66" i="37"/>
  <c r="N137" i="37"/>
  <c r="O68" i="37"/>
  <c r="P147" i="37"/>
  <c r="N127" i="37"/>
  <c r="T98" i="37"/>
  <c r="N134" i="37"/>
  <c r="P53" i="37"/>
  <c r="T74" i="37"/>
  <c r="O153" i="72"/>
  <c r="Q49" i="37"/>
  <c r="K102" i="37"/>
  <c r="L144" i="37"/>
  <c r="J91" i="37"/>
  <c r="J153" i="72"/>
  <c r="O83" i="37"/>
  <c r="L154" i="37"/>
  <c r="S15" i="37"/>
  <c r="G87" i="37"/>
  <c r="J24" i="37"/>
  <c r="T133" i="37"/>
  <c r="C118" i="37"/>
  <c r="T50" i="37"/>
  <c r="C45" i="37"/>
  <c r="K84" i="37"/>
  <c r="P37" i="37"/>
  <c r="E79" i="37"/>
  <c r="K147" i="37"/>
  <c r="V153" i="37"/>
  <c r="T24" i="37"/>
  <c r="N56" i="37"/>
  <c r="N132" i="37"/>
  <c r="D51" i="37"/>
  <c r="I153" i="72"/>
  <c r="D36" i="39"/>
  <c r="N84" i="37"/>
  <c r="M45" i="37"/>
  <c r="M115" i="37"/>
  <c r="V54" i="37"/>
  <c r="L117" i="37"/>
  <c r="E32" i="37"/>
  <c r="J144" i="37"/>
  <c r="L150" i="37"/>
  <c r="U86" i="37"/>
  <c r="F19" i="37"/>
  <c r="G102" i="37"/>
  <c r="K49" i="37"/>
  <c r="T87" i="37"/>
  <c r="C23" i="39"/>
  <c r="R146" i="37"/>
  <c r="J26" i="37"/>
  <c r="H150" i="37"/>
  <c r="D53" i="39"/>
  <c r="M89" i="37"/>
  <c r="D153" i="72"/>
  <c r="S154" i="37"/>
  <c r="E92" i="37"/>
  <c r="E64" i="37"/>
  <c r="O54" i="37"/>
  <c r="G51" i="37"/>
  <c r="U57" i="37"/>
  <c r="T113" i="37"/>
  <c r="S130" i="37"/>
  <c r="P136" i="37"/>
  <c r="E57" i="37"/>
  <c r="R153" i="37"/>
  <c r="N139" i="37"/>
  <c r="V51" i="37"/>
  <c r="I24" i="37"/>
  <c r="J78" i="37"/>
  <c r="T22" i="37"/>
  <c r="D57" i="37"/>
  <c r="L149" i="37"/>
  <c r="K99" i="37"/>
  <c r="S85" i="37"/>
  <c r="P35" i="37"/>
  <c r="T82" i="37"/>
  <c r="G40" i="37"/>
  <c r="L133" i="37"/>
  <c r="M155" i="37"/>
  <c r="J142" i="37"/>
  <c r="D137" i="37"/>
  <c r="I98" i="37"/>
  <c r="K72" i="37"/>
  <c r="I86" i="37"/>
  <c r="D20" i="37"/>
  <c r="P23" i="37"/>
  <c r="T10" i="37"/>
  <c r="R78" i="37"/>
  <c r="D13" i="37"/>
  <c r="O131" i="37"/>
  <c r="E21" i="37"/>
  <c r="C130" i="37"/>
  <c r="R144" i="37"/>
  <c r="I65" i="37"/>
  <c r="D36" i="37"/>
  <c r="V53" i="37"/>
  <c r="V45" i="37"/>
  <c r="K122" i="37"/>
  <c r="K152" i="37"/>
  <c r="Q81" i="37"/>
  <c r="L126" i="37"/>
  <c r="R98" i="37"/>
  <c r="O34" i="37"/>
  <c r="M149" i="37"/>
  <c r="P102" i="37"/>
  <c r="J154" i="37"/>
  <c r="G144" i="37"/>
  <c r="U122" i="37"/>
  <c r="L104" i="37"/>
  <c r="D153" i="37"/>
  <c r="I118" i="37"/>
  <c r="J96" i="37"/>
  <c r="N57" i="37"/>
  <c r="F82" i="37"/>
  <c r="C147" i="37"/>
  <c r="T37" i="37"/>
  <c r="P83" i="37"/>
  <c r="U118" i="37"/>
  <c r="I145" i="37"/>
  <c r="K130" i="37"/>
  <c r="J53" i="37"/>
  <c r="F122" i="37"/>
  <c r="K104" i="37"/>
  <c r="P133" i="37"/>
  <c r="D129" i="37"/>
  <c r="T32" i="37"/>
  <c r="G131" i="37"/>
  <c r="V133" i="37"/>
  <c r="D69" i="37"/>
  <c r="E115" i="37"/>
  <c r="K139" i="37"/>
  <c r="H139" i="37"/>
  <c r="U137" i="37"/>
  <c r="C83" i="37"/>
  <c r="T15" i="37"/>
  <c r="G64" i="37"/>
  <c r="K19" i="37"/>
  <c r="N15" i="37"/>
  <c r="Q133" i="37"/>
  <c r="D35" i="39"/>
  <c r="Q123" i="37"/>
  <c r="N69" i="37"/>
  <c r="F154" i="37"/>
  <c r="G56" i="37"/>
  <c r="Q63" i="37"/>
  <c r="T150" i="37"/>
  <c r="E107" i="37"/>
  <c r="N74" i="37"/>
  <c r="D87" i="37"/>
  <c r="D90" i="37"/>
  <c r="D136" i="37"/>
  <c r="V74" i="37"/>
  <c r="H117" i="37"/>
  <c r="U52" i="37"/>
  <c r="O147" i="37"/>
  <c r="U143" i="37"/>
  <c r="U23" i="37"/>
  <c r="E155" i="37"/>
  <c r="R66" i="37"/>
  <c r="R57" i="37"/>
  <c r="G97" i="37"/>
  <c r="U77" i="37"/>
  <c r="H26" i="37"/>
  <c r="I54" i="37"/>
  <c r="N95" i="37"/>
  <c r="C90" i="37"/>
  <c r="H89" i="37"/>
  <c r="C61" i="37"/>
  <c r="I14" i="37"/>
  <c r="C145" i="37"/>
  <c r="K57" i="37"/>
  <c r="G53" i="37"/>
  <c r="C46" i="39"/>
  <c r="U72" i="37"/>
  <c r="J13" i="39"/>
  <c r="V138" i="37"/>
  <c r="L131" i="37"/>
  <c r="M68" i="37"/>
  <c r="D42" i="39"/>
  <c r="C54" i="37"/>
  <c r="H153" i="72"/>
  <c r="V12" i="37"/>
  <c r="F157" i="37"/>
  <c r="H77" i="37"/>
  <c r="E39" i="37"/>
  <c r="C65" i="37"/>
  <c r="Q28" i="37"/>
  <c r="H22" i="37"/>
  <c r="R68" i="37"/>
  <c r="G15" i="37"/>
  <c r="J133" i="37"/>
  <c r="O124" i="37"/>
  <c r="P72" i="37"/>
  <c r="R127" i="37"/>
  <c r="D139" i="37"/>
  <c r="R110" i="37"/>
  <c r="C86" i="37"/>
  <c r="H51" i="37"/>
  <c r="T153" i="72"/>
  <c r="N155" i="37"/>
  <c r="I153" i="37"/>
  <c r="G94" i="37"/>
  <c r="E126" i="37"/>
  <c r="Q148" i="37"/>
  <c r="G126" i="37"/>
  <c r="E148" i="37"/>
  <c r="E11" i="37"/>
  <c r="H143" i="37"/>
  <c r="D89" i="37"/>
  <c r="O74" i="37"/>
  <c r="E130" i="37"/>
  <c r="N92" i="37"/>
  <c r="S28" i="37"/>
  <c r="U131" i="37"/>
  <c r="U24" i="37"/>
  <c r="V151" i="37"/>
  <c r="S129" i="37"/>
  <c r="R134" i="37"/>
  <c r="H12" i="37"/>
  <c r="K154" i="37"/>
  <c r="D97" i="37"/>
  <c r="K89" i="37"/>
  <c r="I156" i="37"/>
  <c r="M77" i="37"/>
  <c r="C26" i="37"/>
  <c r="U89" i="37"/>
  <c r="S150" i="37"/>
  <c r="G120" i="37"/>
  <c r="F134" i="37"/>
  <c r="M38" i="37"/>
  <c r="M49" i="37"/>
  <c r="H56" i="37"/>
  <c r="S118" i="37"/>
  <c r="O52" i="37"/>
  <c r="G67" i="37"/>
  <c r="C154" i="37"/>
  <c r="G48" i="37"/>
  <c r="H131" i="37"/>
  <c r="G83" i="37"/>
  <c r="L74" i="37"/>
  <c r="H96" i="37"/>
  <c r="T126" i="37"/>
  <c r="R126" i="37"/>
  <c r="R120" i="37"/>
  <c r="C56" i="37"/>
  <c r="E68" i="37"/>
  <c r="M99" i="37"/>
  <c r="U42" i="37"/>
  <c r="S113" i="37"/>
  <c r="D85" i="37"/>
  <c r="O96" i="37"/>
  <c r="V121" i="37"/>
  <c r="O39" i="37"/>
  <c r="C84" i="37"/>
  <c r="H81" i="37"/>
  <c r="U32" i="37"/>
  <c r="D42" i="37"/>
  <c r="S131" i="37"/>
  <c r="T123" i="37"/>
  <c r="P50" i="37"/>
  <c r="S84" i="37"/>
  <c r="C131" i="37"/>
  <c r="M93" i="37"/>
  <c r="S10" i="37"/>
  <c r="R128" i="37"/>
  <c r="N64" i="37"/>
  <c r="F35" i="37"/>
  <c r="G112" i="37"/>
  <c r="O98" i="37"/>
  <c r="L86" i="37"/>
  <c r="M34" i="37"/>
  <c r="I139" i="37"/>
  <c r="L69" i="37"/>
  <c r="R131" i="37"/>
  <c r="U29" i="37"/>
  <c r="I93" i="37"/>
  <c r="P157" i="37"/>
  <c r="Q79" i="37"/>
  <c r="H36" i="37"/>
  <c r="D50" i="37"/>
  <c r="D131" i="37"/>
  <c r="E133" i="37"/>
  <c r="L55" i="37"/>
  <c r="S128" i="37"/>
  <c r="C157" i="37"/>
  <c r="R142" i="37"/>
  <c r="S137" i="37"/>
  <c r="F145" i="37"/>
  <c r="O149" i="37"/>
  <c r="J136" i="37"/>
  <c r="I142" i="37"/>
  <c r="M104" i="37"/>
  <c r="E14" i="37"/>
  <c r="Q82" i="37"/>
  <c r="S48" i="37"/>
  <c r="N128" i="37"/>
  <c r="G85" i="37"/>
  <c r="G116" i="37"/>
  <c r="D101" i="37"/>
  <c r="T26" i="37"/>
  <c r="S149" i="37"/>
  <c r="D41" i="37"/>
  <c r="L78" i="37"/>
  <c r="E53" i="37"/>
  <c r="N88" i="37"/>
  <c r="C94" i="37"/>
  <c r="P126" i="37"/>
  <c r="C79" i="37"/>
  <c r="L72" i="37"/>
  <c r="V139" i="37"/>
  <c r="O95" i="37"/>
  <c r="R38" i="37"/>
  <c r="N50" i="37"/>
  <c r="H153" i="37"/>
  <c r="G129" i="37"/>
  <c r="H138" i="37"/>
  <c r="L127" i="37"/>
  <c r="P93" i="37"/>
  <c r="G133" i="37"/>
  <c r="I154" i="37"/>
  <c r="R92" i="37"/>
  <c r="P124" i="37"/>
  <c r="D39" i="39"/>
  <c r="U78" i="37"/>
  <c r="L75" i="37"/>
  <c r="C107" i="37"/>
  <c r="F40" i="37"/>
  <c r="N14" i="37"/>
  <c r="H100" i="37"/>
  <c r="D49" i="39"/>
  <c r="F65" i="37"/>
  <c r="U132" i="37"/>
  <c r="E49" i="37"/>
  <c r="V64" i="37"/>
  <c r="I88" i="37"/>
  <c r="G72" i="37"/>
  <c r="U95" i="37"/>
  <c r="E146" i="37"/>
  <c r="K137" i="37"/>
  <c r="J15" i="39"/>
  <c r="P104" i="37"/>
  <c r="V97" i="37"/>
  <c r="T72" i="37"/>
  <c r="Q53" i="37"/>
  <c r="J56" i="37"/>
  <c r="S55" i="37"/>
  <c r="N102" i="37"/>
  <c r="C25" i="39"/>
  <c r="B154" i="72"/>
  <c r="E131" i="37"/>
  <c r="V143" i="37"/>
  <c r="L50" i="37"/>
  <c r="G11" i="37"/>
  <c r="D52" i="39"/>
  <c r="M84" i="37"/>
  <c r="M147" i="37"/>
  <c r="O106" i="37"/>
  <c r="H57" i="37"/>
  <c r="F91" i="37"/>
  <c r="Q96" i="37"/>
  <c r="J107" i="37"/>
  <c r="M85" i="37"/>
  <c r="E95" i="37"/>
  <c r="J131" i="37"/>
  <c r="R155" i="37"/>
  <c r="S45" i="37"/>
  <c r="H53" i="37"/>
  <c r="E44" i="37"/>
  <c r="F124" i="37"/>
  <c r="G42" i="37"/>
  <c r="M83" i="37"/>
  <c r="H27" i="37"/>
  <c r="N36" i="37"/>
  <c r="F77" i="37"/>
  <c r="M62" i="37"/>
  <c r="K10" i="39"/>
  <c r="T125" i="37"/>
  <c r="L19" i="37"/>
  <c r="L105" i="37"/>
  <c r="O33" i="37"/>
  <c r="R113" i="37"/>
  <c r="D9" i="39"/>
  <c r="L23" i="37"/>
  <c r="R27" i="37"/>
  <c r="P42" i="37"/>
  <c r="E58" i="37"/>
  <c r="I19" i="37"/>
  <c r="Q37" i="37"/>
  <c r="H18" i="37"/>
  <c r="F42" i="37"/>
  <c r="T115" i="37"/>
  <c r="C154" i="72"/>
  <c r="H15" i="37"/>
  <c r="M44" i="37"/>
  <c r="O43" i="37"/>
  <c r="O146" i="37"/>
  <c r="M55" i="37"/>
  <c r="F62" i="37"/>
  <c r="J25" i="39"/>
  <c r="V145" i="37"/>
  <c r="I62" i="37"/>
  <c r="I135" i="37"/>
  <c r="Q113" i="37"/>
  <c r="J137" i="37"/>
  <c r="J21" i="37"/>
  <c r="J94" i="37"/>
  <c r="D43" i="39"/>
  <c r="J61" i="37"/>
  <c r="D27" i="37"/>
  <c r="Q32" i="37"/>
  <c r="K14" i="37"/>
  <c r="P48" i="37"/>
  <c r="R139" i="37"/>
  <c r="C18" i="39"/>
  <c r="O37" i="37"/>
  <c r="S12" i="37"/>
  <c r="J148" i="37"/>
  <c r="J8" i="39"/>
  <c r="I35" i="37"/>
  <c r="L22" i="37"/>
  <c r="P123" i="37"/>
  <c r="J12" i="39"/>
  <c r="H93" i="37"/>
  <c r="P67" i="37"/>
  <c r="I78" i="37"/>
  <c r="D155" i="72"/>
  <c r="H41" i="37"/>
  <c r="S21" i="37"/>
  <c r="G50" i="37"/>
  <c r="T48" i="37"/>
  <c r="L63" i="37"/>
  <c r="K51" i="37"/>
  <c r="H127" i="37"/>
  <c r="E139" i="37"/>
  <c r="U147" i="37"/>
  <c r="P132" i="37"/>
  <c r="K107" i="37"/>
  <c r="F74" i="37"/>
  <c r="R90" i="37"/>
  <c r="M137" i="37"/>
  <c r="F53" i="37"/>
  <c r="J150" i="37"/>
  <c r="E153" i="37"/>
  <c r="N94" i="37"/>
  <c r="P149" i="37"/>
  <c r="D156" i="37"/>
  <c r="D148" i="37"/>
  <c r="F51" i="37"/>
  <c r="D103" i="37"/>
  <c r="U103" i="37"/>
  <c r="P150" i="37"/>
  <c r="Q150" i="37"/>
  <c r="C122" i="37"/>
  <c r="P98" i="37"/>
  <c r="Q54" i="37"/>
  <c r="K65" i="37"/>
  <c r="N100" i="37"/>
  <c r="Q134" i="37"/>
  <c r="D132" i="37"/>
  <c r="V120" i="37"/>
  <c r="O75" i="37"/>
  <c r="K94" i="37"/>
  <c r="S35" i="37"/>
  <c r="E78" i="37"/>
  <c r="E12" i="37"/>
  <c r="Q55" i="37"/>
  <c r="P55" i="37"/>
  <c r="R156" i="37"/>
  <c r="M43" i="37"/>
  <c r="U74" i="37"/>
  <c r="R51" i="37"/>
  <c r="H90" i="37"/>
  <c r="N107" i="37"/>
  <c r="S54" i="37"/>
  <c r="C36" i="37"/>
  <c r="P111" i="37"/>
  <c r="B157" i="72"/>
  <c r="G148" i="37"/>
  <c r="O73" i="37"/>
  <c r="O14" i="37"/>
  <c r="F68" i="37"/>
  <c r="C98" i="37"/>
  <c r="O134" i="37"/>
  <c r="M64" i="37"/>
  <c r="D105" i="37"/>
  <c r="E116" i="37"/>
  <c r="F135" i="37"/>
  <c r="V68" i="37"/>
  <c r="E69" i="37"/>
  <c r="L84" i="37"/>
  <c r="R107" i="37"/>
  <c r="P12" i="37"/>
  <c r="C80" i="37"/>
  <c r="O29" i="37"/>
  <c r="U138" i="37"/>
  <c r="M29" i="37"/>
  <c r="G21" i="37"/>
  <c r="I27" i="37"/>
  <c r="I91" i="37"/>
  <c r="M113" i="37"/>
  <c r="I32" i="37"/>
  <c r="U148" i="37"/>
  <c r="C49" i="37"/>
  <c r="L125" i="37"/>
  <c r="C52" i="39"/>
  <c r="L41" i="37"/>
  <c r="T119" i="37"/>
  <c r="R25" i="37"/>
  <c r="H155" i="72"/>
  <c r="F26" i="37"/>
  <c r="H119" i="37"/>
  <c r="V63" i="37"/>
  <c r="E26" i="37"/>
  <c r="N79" i="37"/>
  <c r="L97" i="37"/>
  <c r="F11" i="37"/>
  <c r="S69" i="37"/>
  <c r="O63" i="37"/>
  <c r="I157" i="37"/>
  <c r="S27" i="37"/>
  <c r="G23" i="39"/>
  <c r="P119" i="37"/>
  <c r="H21" i="37"/>
  <c r="V14" i="37"/>
  <c r="H55" i="37"/>
  <c r="F9" i="39"/>
  <c r="G73" i="37"/>
  <c r="P45" i="37"/>
  <c r="N54" i="37"/>
  <c r="M42" i="37"/>
  <c r="Q153" i="37"/>
  <c r="Q147" i="37"/>
  <c r="M139" i="37"/>
  <c r="J17" i="39"/>
  <c r="C125" i="37"/>
  <c r="G20" i="39"/>
  <c r="C8" i="39"/>
  <c r="U90" i="37"/>
  <c r="K13" i="37"/>
  <c r="M40" i="37"/>
  <c r="N97" i="37"/>
  <c r="M75" i="37"/>
  <c r="U37" i="37"/>
  <c r="R79" i="37"/>
  <c r="J58" i="37"/>
  <c r="K131" i="37"/>
  <c r="D22" i="37"/>
  <c r="V48" i="37"/>
  <c r="U26" i="37"/>
  <c r="U155" i="72"/>
  <c r="B153" i="72"/>
  <c r="C15" i="37"/>
  <c r="C54" i="39"/>
  <c r="M111" i="37"/>
  <c r="K111" i="37"/>
  <c r="U33" i="37"/>
  <c r="C48" i="37"/>
  <c r="P14" i="37"/>
  <c r="T148" i="37"/>
  <c r="O79" i="37"/>
  <c r="S74" i="37"/>
  <c r="L15" i="37"/>
  <c r="G157" i="72"/>
  <c r="O113" i="37"/>
  <c r="O22" i="37"/>
  <c r="E20" i="39"/>
  <c r="I63" i="37"/>
  <c r="M76" i="37"/>
  <c r="R117" i="37"/>
  <c r="S111" i="37"/>
  <c r="V118" i="37"/>
  <c r="G26" i="37"/>
  <c r="T122" i="37"/>
  <c r="I15" i="37"/>
  <c r="P120" i="37"/>
  <c r="L57" i="37"/>
  <c r="S13" i="37"/>
  <c r="D151" i="37"/>
  <c r="F15" i="39"/>
  <c r="P122" i="37"/>
  <c r="G107" i="37"/>
  <c r="I114" i="37"/>
  <c r="T99" i="37"/>
  <c r="P155" i="37"/>
  <c r="P134" i="37"/>
  <c r="O36" i="37"/>
  <c r="Q153" i="72"/>
  <c r="U120" i="37"/>
  <c r="I40" i="37"/>
  <c r="H157" i="37"/>
  <c r="N145" i="37"/>
  <c r="K40" i="37"/>
  <c r="H99" i="37"/>
  <c r="P127" i="37"/>
  <c r="O35" i="37"/>
  <c r="K148" i="37"/>
  <c r="F151" i="37"/>
  <c r="R52" i="37"/>
  <c r="L88" i="37"/>
  <c r="H49" i="37"/>
  <c r="N154" i="37"/>
  <c r="E157" i="37"/>
  <c r="I124" i="37"/>
  <c r="N156" i="72"/>
  <c r="I107" i="37"/>
  <c r="J151" i="37"/>
  <c r="G45" i="37"/>
  <c r="D10" i="39"/>
  <c r="H121" i="37"/>
  <c r="G127" i="37"/>
  <c r="O28" i="37"/>
  <c r="P15" i="37"/>
  <c r="I111" i="37"/>
  <c r="R149" i="37"/>
  <c r="C28" i="37"/>
  <c r="D50" i="39"/>
  <c r="C18" i="37"/>
  <c r="M10" i="37"/>
  <c r="J26" i="39"/>
  <c r="T151" i="37"/>
  <c r="T107" i="37"/>
  <c r="J45" i="37"/>
  <c r="G74" i="37"/>
  <c r="K87" i="37"/>
  <c r="M133" i="37"/>
  <c r="N135" i="37"/>
  <c r="K75" i="37"/>
  <c r="Q40" i="37"/>
  <c r="M124" i="37"/>
  <c r="S56" i="37"/>
  <c r="R99" i="37"/>
  <c r="G68" i="37"/>
  <c r="D44" i="39"/>
  <c r="L11" i="37"/>
  <c r="I131" i="37"/>
  <c r="E24" i="37"/>
  <c r="P80" i="37"/>
  <c r="H97" i="37"/>
  <c r="C144" i="37"/>
  <c r="D38" i="37"/>
  <c r="D122" i="37"/>
  <c r="G111" i="37"/>
  <c r="M69" i="37"/>
  <c r="D44" i="37"/>
  <c r="J64" i="37"/>
  <c r="Q132" i="37"/>
  <c r="C12" i="39"/>
  <c r="J35" i="37"/>
  <c r="Q86" i="37"/>
  <c r="G35" i="37"/>
  <c r="E102" i="37"/>
  <c r="O99" i="37"/>
  <c r="E34" i="37"/>
  <c r="V69" i="37"/>
  <c r="U36" i="37"/>
  <c r="S157" i="72"/>
  <c r="D20" i="39"/>
  <c r="F19" i="39"/>
  <c r="I23" i="37"/>
  <c r="O84" i="37"/>
  <c r="N45" i="37"/>
  <c r="E80" i="37"/>
  <c r="T83" i="37"/>
  <c r="C78" i="37"/>
  <c r="D144" i="37"/>
  <c r="U62" i="37"/>
  <c r="N110" i="37"/>
  <c r="T154" i="72"/>
  <c r="E153" i="72"/>
  <c r="I61" i="37"/>
  <c r="P58" i="37"/>
  <c r="D115" i="37"/>
  <c r="H137" i="37"/>
  <c r="Q117" i="37"/>
  <c r="V20" i="37"/>
  <c r="C117" i="37"/>
  <c r="L18" i="37"/>
  <c r="R15" i="37"/>
  <c r="E36" i="37"/>
  <c r="C91" i="37"/>
  <c r="Q48" i="37"/>
  <c r="K132" i="37"/>
  <c r="F98" i="37"/>
  <c r="T51" i="37"/>
  <c r="G41" i="37"/>
  <c r="R24" i="37"/>
  <c r="F18" i="39"/>
  <c r="Q115" i="37"/>
  <c r="J12" i="37"/>
  <c r="D58" i="37"/>
  <c r="T129" i="37"/>
  <c r="H128" i="37"/>
  <c r="U102" i="37"/>
  <c r="C135" i="37"/>
  <c r="F18" i="37"/>
  <c r="R11" i="37"/>
  <c r="C51" i="39"/>
  <c r="O15" i="37"/>
  <c r="M92" i="37"/>
  <c r="F125" i="37"/>
  <c r="M22" i="37"/>
  <c r="O67" i="37"/>
  <c r="D125" i="37"/>
  <c r="F27" i="37"/>
  <c r="F154" i="72"/>
  <c r="I99" i="37"/>
  <c r="D56" i="37"/>
  <c r="L48" i="37"/>
  <c r="N153" i="37"/>
  <c r="G118" i="37"/>
  <c r="F150" i="37"/>
  <c r="V102" i="37"/>
  <c r="N58" i="37"/>
  <c r="M143" i="37"/>
  <c r="S145" i="37"/>
  <c r="J149" i="37"/>
  <c r="N91" i="37"/>
  <c r="T88" i="37"/>
  <c r="H78" i="37"/>
  <c r="J156" i="37"/>
  <c r="C126" i="37"/>
  <c r="J41" i="37"/>
  <c r="V76" i="37"/>
  <c r="L82" i="37"/>
  <c r="D77" i="37"/>
  <c r="N80" i="37"/>
  <c r="N157" i="37"/>
  <c r="H64" i="37"/>
  <c r="D64" i="37"/>
  <c r="K153" i="72"/>
  <c r="E10" i="37"/>
  <c r="O105" i="37"/>
  <c r="K34" i="37"/>
  <c r="Q76" i="37"/>
  <c r="O110" i="37"/>
  <c r="F52" i="37"/>
  <c r="K11" i="37"/>
  <c r="S61" i="37"/>
  <c r="V136" i="37"/>
  <c r="Q68" i="37"/>
  <c r="G49" i="37"/>
  <c r="N90" i="37"/>
  <c r="U107" i="37"/>
  <c r="E132" i="37"/>
  <c r="G101" i="37"/>
  <c r="K15" i="37"/>
  <c r="L43" i="37"/>
  <c r="L68" i="37"/>
  <c r="J130" i="37"/>
  <c r="V92" i="37"/>
  <c r="K66" i="37"/>
  <c r="C53" i="37"/>
  <c r="E62" i="37"/>
  <c r="D39" i="37"/>
  <c r="S157" i="37"/>
  <c r="F127" i="37"/>
  <c r="V131" i="37"/>
  <c r="F29" i="37"/>
  <c r="Q66" i="37"/>
  <c r="L24" i="37"/>
  <c r="J93" i="37"/>
  <c r="L143" i="37"/>
  <c r="T79" i="37"/>
  <c r="I103" i="37"/>
  <c r="G92" i="37"/>
  <c r="F63" i="37"/>
  <c r="C21" i="37"/>
  <c r="I82" i="37"/>
  <c r="P137" i="37"/>
  <c r="C14" i="39"/>
  <c r="K63" i="37"/>
  <c r="C100" i="37"/>
  <c r="V23" i="37"/>
  <c r="H122" i="37"/>
  <c r="U125" i="37"/>
  <c r="F24" i="37"/>
  <c r="D38" i="39"/>
  <c r="I156" i="72"/>
  <c r="I53" i="37"/>
  <c r="T40" i="37"/>
  <c r="G24" i="39"/>
  <c r="C69" i="37"/>
  <c r="M79" i="37"/>
  <c r="G10" i="39"/>
  <c r="R64" i="37"/>
  <c r="M48" i="37"/>
  <c r="G139" i="37"/>
  <c r="K26" i="37"/>
  <c r="H83" i="37"/>
  <c r="J20" i="37"/>
  <c r="T144" i="37"/>
  <c r="I36" i="37"/>
  <c r="M21" i="37"/>
  <c r="O112" i="37"/>
  <c r="U88" i="37"/>
  <c r="F15" i="37"/>
  <c r="T57" i="37"/>
  <c r="Q155" i="72"/>
  <c r="E35" i="37"/>
  <c r="L142" i="37"/>
  <c r="Q58" i="37"/>
  <c r="L64" i="37"/>
  <c r="J49" i="37"/>
  <c r="C17" i="39"/>
  <c r="J74" i="37"/>
  <c r="G106" i="37"/>
  <c r="F38" i="37"/>
  <c r="C19" i="39"/>
  <c r="O132" i="37"/>
  <c r="E43" i="39"/>
  <c r="Q24" i="37"/>
  <c r="P29" i="37"/>
  <c r="M129" i="37"/>
  <c r="H118" i="37"/>
  <c r="K43" i="37"/>
  <c r="O61" i="37"/>
  <c r="K28" i="37"/>
  <c r="N154" i="72"/>
  <c r="C37" i="37"/>
  <c r="N32" i="37"/>
  <c r="D49" i="37"/>
  <c r="R105" i="37"/>
  <c r="P130" i="37"/>
  <c r="J20" i="39"/>
  <c r="D33" i="37"/>
  <c r="J54" i="37"/>
  <c r="D13" i="39"/>
  <c r="U119" i="37"/>
  <c r="C44" i="37"/>
  <c r="F155" i="72"/>
  <c r="O107" i="37"/>
  <c r="U92" i="37"/>
  <c r="K156" i="37"/>
  <c r="I66" i="37"/>
  <c r="D135" i="37"/>
  <c r="C153" i="37"/>
  <c r="G155" i="37"/>
  <c r="T89" i="37"/>
  <c r="N149" i="37"/>
  <c r="D150" i="37"/>
  <c r="F147" i="37"/>
  <c r="U135" i="37"/>
  <c r="C148" i="37"/>
  <c r="K83" i="37"/>
  <c r="Q114" i="37"/>
  <c r="N99" i="37"/>
  <c r="M114" i="37"/>
  <c r="E112" i="37"/>
  <c r="T80" i="37"/>
  <c r="M135" i="37"/>
  <c r="U40" i="37"/>
  <c r="I38" i="37"/>
  <c r="I130" i="37"/>
  <c r="D24" i="37"/>
  <c r="L34" i="37"/>
  <c r="S82" i="37"/>
  <c r="F25" i="37"/>
  <c r="S146" i="37"/>
  <c r="K24" i="37"/>
  <c r="E103" i="37"/>
  <c r="K76" i="37"/>
  <c r="L153" i="72"/>
  <c r="J146" i="37"/>
  <c r="D154" i="72"/>
  <c r="K80" i="37"/>
  <c r="T147" i="37"/>
  <c r="J44" i="37"/>
  <c r="N96" i="37"/>
  <c r="H144" i="37"/>
  <c r="S22" i="37"/>
  <c r="Q129" i="37"/>
  <c r="E39" i="39"/>
  <c r="S81" i="37"/>
  <c r="R96" i="37"/>
  <c r="H48" i="37"/>
  <c r="I34" i="37"/>
  <c r="J38" i="37"/>
  <c r="D156" i="72"/>
  <c r="C121" i="37"/>
  <c r="H91" i="37"/>
  <c r="I127" i="37"/>
  <c r="D65" i="37"/>
  <c r="H82" i="37"/>
  <c r="T131" i="37"/>
  <c r="H154" i="72"/>
  <c r="S86" i="37"/>
  <c r="T121" i="37"/>
  <c r="G98" i="37"/>
  <c r="N83" i="37"/>
  <c r="L134" i="37"/>
  <c r="M107" i="37"/>
  <c r="L111" i="37"/>
  <c r="M73" i="37"/>
  <c r="P43" i="37"/>
  <c r="I117" i="37"/>
  <c r="E13" i="39"/>
  <c r="Q44" i="37"/>
  <c r="R69" i="37"/>
  <c r="P152" i="37"/>
  <c r="D15" i="37"/>
  <c r="R82" i="37"/>
  <c r="R135" i="37"/>
  <c r="L156" i="72"/>
  <c r="C32" i="37"/>
  <c r="V113" i="37"/>
  <c r="V111" i="37"/>
  <c r="V26" i="37"/>
  <c r="K157" i="72"/>
  <c r="G22" i="37"/>
  <c r="C97" i="37"/>
  <c r="D14" i="37"/>
  <c r="L32" i="37"/>
  <c r="S136" i="37"/>
  <c r="V11" i="37"/>
  <c r="D11" i="37"/>
  <c r="O104" i="37"/>
  <c r="O65" i="37"/>
  <c r="T97" i="37"/>
  <c r="C37" i="39"/>
  <c r="F24" i="39"/>
  <c r="V106" i="37"/>
  <c r="J63" i="37"/>
  <c r="G13" i="39"/>
  <c r="U21" i="37"/>
  <c r="S29" i="37"/>
  <c r="F84" i="37"/>
  <c r="H40" i="37"/>
  <c r="S154" i="72"/>
  <c r="M65" i="37"/>
  <c r="U130" i="37"/>
  <c r="Q124" i="37"/>
  <c r="U75" i="37"/>
  <c r="E29" i="37"/>
  <c r="E16" i="39"/>
  <c r="U15" i="37"/>
  <c r="H115" i="37"/>
  <c r="E136" i="37"/>
  <c r="L80" i="37"/>
  <c r="R157" i="72"/>
  <c r="T63" i="37"/>
  <c r="I10" i="37"/>
  <c r="D145" i="37"/>
  <c r="R85" i="37"/>
  <c r="M61" i="37"/>
  <c r="P56" i="37"/>
  <c r="E157" i="72"/>
  <c r="C14" i="37"/>
  <c r="U101" i="37"/>
  <c r="D82" i="37"/>
  <c r="T157" i="72"/>
  <c r="D67" i="37"/>
  <c r="N130" i="37"/>
  <c r="K121" i="37"/>
  <c r="G122" i="37"/>
  <c r="Q105" i="37"/>
  <c r="R55" i="37"/>
  <c r="M123" i="37"/>
  <c r="E61" i="37"/>
  <c r="V149" i="37"/>
  <c r="G23" i="37"/>
  <c r="K155" i="37"/>
  <c r="G61" i="37"/>
  <c r="V86" i="37"/>
  <c r="H132" i="37"/>
  <c r="D98" i="37"/>
  <c r="K128" i="37"/>
  <c r="M136" i="37"/>
  <c r="L91" i="37"/>
  <c r="P131" i="37"/>
  <c r="T75" i="37"/>
  <c r="U112" i="37"/>
  <c r="Q25" i="37"/>
  <c r="H151" i="37"/>
  <c r="T127" i="37"/>
  <c r="F126" i="37"/>
  <c r="T149" i="37"/>
  <c r="U96" i="37"/>
  <c r="O150" i="37"/>
  <c r="V80" i="37"/>
  <c r="F41" i="37"/>
  <c r="E89" i="37"/>
  <c r="M150" i="37"/>
  <c r="O154" i="37"/>
  <c r="G95" i="37"/>
  <c r="L138" i="37"/>
  <c r="U69" i="37"/>
  <c r="U128" i="37"/>
  <c r="U27" i="37"/>
  <c r="L93" i="37"/>
  <c r="M54" i="37"/>
  <c r="H106" i="37"/>
  <c r="T105" i="37"/>
  <c r="D48" i="39"/>
  <c r="R111" i="37"/>
  <c r="G79" i="37"/>
  <c r="O148" i="37"/>
  <c r="D23" i="39"/>
  <c r="S144" i="37"/>
  <c r="J143" i="37"/>
  <c r="M50" i="37"/>
  <c r="C75" i="37"/>
  <c r="C133" i="37"/>
  <c r="G62" i="37"/>
  <c r="Q56" i="37"/>
  <c r="K25" i="37"/>
  <c r="F90" i="37"/>
  <c r="M132" i="37"/>
  <c r="H101" i="37"/>
  <c r="H29" i="37"/>
  <c r="N76" i="37"/>
  <c r="G151" i="37"/>
  <c r="N49" i="37"/>
  <c r="T134" i="37"/>
  <c r="E27" i="37"/>
  <c r="E47" i="39"/>
  <c r="K149" i="37"/>
  <c r="E15" i="37"/>
  <c r="S103" i="37"/>
  <c r="N66" i="37"/>
  <c r="H25" i="37"/>
  <c r="H61" i="37"/>
  <c r="T44" i="37"/>
  <c r="P113" i="37"/>
  <c r="I55" i="37"/>
  <c r="V82" i="37"/>
  <c r="J128" i="37"/>
  <c r="C50" i="39"/>
  <c r="I12" i="37"/>
  <c r="G24" i="37"/>
  <c r="G36" i="37"/>
  <c r="E26" i="39"/>
  <c r="M36" i="37"/>
  <c r="P63" i="37"/>
  <c r="U20" i="37"/>
  <c r="R114" i="37"/>
  <c r="S99" i="37"/>
  <c r="G38" i="37"/>
  <c r="P38" i="37"/>
  <c r="R26" i="37"/>
  <c r="P68" i="37"/>
  <c r="H9" i="39"/>
  <c r="N25" i="37"/>
  <c r="P89" i="37"/>
  <c r="N68" i="37"/>
  <c r="U18" i="37"/>
  <c r="V10" i="37"/>
  <c r="S89" i="37"/>
  <c r="M20" i="37"/>
  <c r="L81" i="37"/>
  <c r="T39" i="37"/>
  <c r="E135" i="37"/>
  <c r="K42" i="37"/>
  <c r="V142" i="37"/>
  <c r="S97" i="37"/>
  <c r="R132" i="37"/>
  <c r="V21" i="37"/>
  <c r="O20" i="37"/>
  <c r="C105" i="37"/>
  <c r="K41" i="37"/>
  <c r="H22" i="39"/>
  <c r="M156" i="72"/>
  <c r="E81" i="37"/>
  <c r="L96" i="37"/>
  <c r="L136" i="37"/>
  <c r="C26" i="39"/>
  <c r="L148" i="37"/>
  <c r="H125" i="37"/>
  <c r="T13" i="37"/>
  <c r="R124" i="37"/>
  <c r="C43" i="39"/>
  <c r="F121" i="37"/>
  <c r="Q72" i="37"/>
  <c r="F8" i="39"/>
  <c r="Q22" i="37"/>
  <c r="N104" i="37"/>
  <c r="F11" i="39"/>
  <c r="L114" i="37"/>
  <c r="T28" i="37"/>
  <c r="T152" i="37"/>
  <c r="V65" i="37"/>
  <c r="S153" i="37"/>
  <c r="U134" i="37"/>
  <c r="J129" i="37"/>
  <c r="I57" i="37"/>
  <c r="C74" i="37"/>
  <c r="M78" i="37"/>
  <c r="P85" i="37"/>
  <c r="N11" i="37"/>
  <c r="U84" i="37"/>
  <c r="L36" i="37"/>
  <c r="I85" i="37"/>
  <c r="I102" i="37"/>
  <c r="R122" i="37"/>
  <c r="Q67" i="37"/>
  <c r="N33" i="37"/>
  <c r="J92" i="37"/>
  <c r="S132" i="37"/>
  <c r="S156" i="37"/>
  <c r="G14" i="37"/>
  <c r="L44" i="37"/>
  <c r="J69" i="37"/>
  <c r="K29" i="37"/>
  <c r="S77" i="37"/>
  <c r="T143" i="37"/>
  <c r="U28" i="37"/>
  <c r="F36" i="37"/>
  <c r="F33" i="37"/>
  <c r="C156" i="37"/>
  <c r="K150" i="37"/>
  <c r="C77" i="37"/>
  <c r="F56" i="37"/>
  <c r="K143" i="37"/>
  <c r="U136" i="37"/>
  <c r="T38" i="37"/>
  <c r="C35" i="37"/>
  <c r="E121" i="37"/>
  <c r="S53" i="37"/>
  <c r="D34" i="37"/>
  <c r="R155" i="72"/>
  <c r="E129" i="37"/>
  <c r="E100" i="37"/>
  <c r="Q51" i="37"/>
  <c r="T137" i="37"/>
  <c r="C155" i="72"/>
  <c r="O49" i="37"/>
  <c r="K18" i="37"/>
  <c r="F17" i="39"/>
  <c r="F61" i="37"/>
  <c r="J101" i="37"/>
  <c r="I94" i="37"/>
  <c r="C41" i="37"/>
  <c r="F123" i="37"/>
  <c r="G63" i="37"/>
  <c r="O45" i="37"/>
  <c r="K33" i="37"/>
  <c r="M134" i="37"/>
  <c r="U106" i="37"/>
  <c r="E145" i="37"/>
  <c r="O26" i="37"/>
  <c r="N27" i="37"/>
  <c r="I116" i="37"/>
  <c r="H156" i="72"/>
  <c r="U73" i="37"/>
  <c r="K82" i="37"/>
  <c r="M86" i="37"/>
  <c r="J16" i="39"/>
  <c r="L145" i="37"/>
  <c r="G115" i="37"/>
  <c r="P51" i="37"/>
  <c r="D15" i="39"/>
  <c r="J42" i="37"/>
  <c r="F22" i="37"/>
  <c r="I45" i="37"/>
  <c r="I157" i="72"/>
  <c r="S91" i="37"/>
  <c r="L37" i="37"/>
  <c r="N37" i="37"/>
  <c r="K95" i="37"/>
  <c r="D157" i="72"/>
  <c r="H44" i="37"/>
  <c r="L123" i="37"/>
  <c r="D46" i="39"/>
  <c r="P62" i="37"/>
  <c r="N125" i="37"/>
  <c r="H28" i="37"/>
  <c r="D19" i="37"/>
  <c r="E18" i="39"/>
  <c r="Q11" i="37"/>
  <c r="Q18" i="37"/>
  <c r="D26" i="37"/>
  <c r="S112" i="37"/>
  <c r="F130" i="37"/>
  <c r="U99" i="37"/>
  <c r="G88" i="37"/>
  <c r="M56" i="37"/>
  <c r="U154" i="37"/>
  <c r="D19" i="39"/>
  <c r="C49" i="39"/>
  <c r="P99" i="37"/>
  <c r="T18" i="37"/>
  <c r="T45" i="37"/>
  <c r="F133" i="37"/>
  <c r="U79" i="37"/>
  <c r="D51" i="39"/>
  <c r="J68" i="37"/>
  <c r="I21" i="37"/>
  <c r="S120" i="37"/>
  <c r="H148" i="37"/>
  <c r="M144" i="37"/>
  <c r="U123" i="37"/>
  <c r="H32" i="37"/>
  <c r="H14" i="37"/>
  <c r="F13" i="39"/>
  <c r="R12" i="37"/>
  <c r="K73" i="37"/>
  <c r="P100" i="37"/>
  <c r="K123" i="37"/>
  <c r="Q39" i="37"/>
  <c r="Q43" i="37"/>
  <c r="K67" i="37"/>
  <c r="D17" i="39"/>
  <c r="M33" i="37"/>
  <c r="P13" i="37"/>
  <c r="C42" i="37"/>
  <c r="U156" i="72"/>
  <c r="G153" i="72"/>
  <c r="G18" i="39"/>
  <c r="P144" i="37"/>
  <c r="S62" i="37"/>
  <c r="I137" i="37"/>
  <c r="J124" i="37"/>
  <c r="I138" i="37"/>
  <c r="S122" i="37"/>
  <c r="G66" i="37"/>
  <c r="M35" i="37"/>
  <c r="O143" i="37"/>
  <c r="T95" i="37"/>
  <c r="R100" i="37"/>
  <c r="P73" i="37"/>
  <c r="N22" i="37"/>
  <c r="J14" i="37"/>
  <c r="M118" i="37"/>
  <c r="F20" i="37"/>
  <c r="C40" i="39"/>
  <c r="N20" i="37"/>
  <c r="V13" i="37"/>
  <c r="R28" i="37"/>
  <c r="L35" i="37"/>
  <c r="U87" i="37"/>
  <c r="P110" i="37"/>
  <c r="D66" i="37"/>
  <c r="E144" i="37"/>
  <c r="E50" i="37"/>
  <c r="K116" i="37"/>
  <c r="P19" i="37"/>
  <c r="T86" i="37"/>
  <c r="S68" i="37"/>
  <c r="V94" i="37"/>
  <c r="U124" i="37"/>
  <c r="Q65" i="37"/>
  <c r="Q145" i="37"/>
  <c r="T49" i="37"/>
  <c r="K62" i="37"/>
  <c r="J117" i="37"/>
  <c r="D47" i="39"/>
  <c r="F157" i="72"/>
  <c r="O115" i="37"/>
  <c r="D41" i="39"/>
  <c r="V58" i="37"/>
  <c r="O101" i="37"/>
  <c r="I56" i="37"/>
  <c r="I25" i="37"/>
  <c r="E147" i="37"/>
  <c r="V128" i="37"/>
  <c r="F26" i="39"/>
  <c r="O77" i="37"/>
  <c r="V107" i="37"/>
  <c r="S124" i="37"/>
  <c r="Q57" i="37"/>
  <c r="P40" i="37"/>
  <c r="D84" i="37"/>
  <c r="J156" i="72"/>
  <c r="T62" i="37"/>
  <c r="V42" i="37"/>
  <c r="U113" i="37"/>
  <c r="O66" i="37"/>
  <c r="R42" i="37"/>
  <c r="F16" i="39"/>
  <c r="E77" i="37"/>
  <c r="U94" i="37"/>
  <c r="Q74" i="37"/>
  <c r="U105" i="37"/>
  <c r="L53" i="37"/>
  <c r="O27" i="37"/>
  <c r="K48" i="37"/>
  <c r="J22" i="37"/>
  <c r="I72" i="37"/>
  <c r="V57" i="37"/>
  <c r="F96" i="37"/>
  <c r="J89" i="37"/>
  <c r="L14" i="37"/>
  <c r="J15" i="37"/>
  <c r="K97" i="37"/>
  <c r="L56" i="37"/>
  <c r="N152" i="37"/>
  <c r="Q64" i="37"/>
  <c r="M91" i="37"/>
  <c r="C52" i="37"/>
  <c r="G27" i="37"/>
  <c r="C119" i="37"/>
  <c r="E20" i="37"/>
  <c r="O58" i="37"/>
  <c r="U22" i="37"/>
  <c r="H107" i="37"/>
  <c r="N82" i="37"/>
  <c r="J50" i="37"/>
  <c r="F72" i="37"/>
  <c r="U35" i="37"/>
  <c r="Q15" i="37"/>
  <c r="H72" i="37"/>
  <c r="S153" i="72"/>
  <c r="K127" i="37"/>
  <c r="I123" i="37"/>
  <c r="D113" i="37"/>
  <c r="M126" i="37"/>
  <c r="G135" i="37"/>
  <c r="N41" i="37"/>
  <c r="J120" i="37"/>
  <c r="G8" i="39"/>
  <c r="P11" i="37"/>
  <c r="R63" i="37"/>
  <c r="E48" i="39"/>
  <c r="M19" i="37"/>
  <c r="J83" i="37"/>
  <c r="N72" i="37"/>
  <c r="Q154" i="37"/>
  <c r="F105" i="37"/>
  <c r="R102" i="37"/>
  <c r="R125" i="37"/>
  <c r="I113" i="37"/>
  <c r="F153" i="72"/>
  <c r="L130" i="37"/>
  <c r="R36" i="37"/>
  <c r="D45" i="39"/>
  <c r="C152" i="37"/>
  <c r="K110" i="37"/>
  <c r="L92" i="37"/>
  <c r="V25" i="37"/>
  <c r="D52" i="37"/>
  <c r="E142" i="37"/>
  <c r="G93" i="37"/>
  <c r="J121" i="37"/>
  <c r="T110" i="37"/>
  <c r="T66" i="37"/>
  <c r="O88" i="37"/>
  <c r="O144" i="37"/>
  <c r="I69" i="37"/>
  <c r="Q138" i="37"/>
  <c r="K86" i="37"/>
  <c r="O62" i="37"/>
  <c r="E97" i="37"/>
  <c r="G153" i="37"/>
  <c r="L156" i="37"/>
  <c r="D119" i="37"/>
  <c r="T136" i="37"/>
  <c r="M15" i="37"/>
  <c r="O114" i="37"/>
  <c r="E45" i="39"/>
  <c r="K153" i="37"/>
  <c r="M13" i="37"/>
  <c r="V44" i="37"/>
  <c r="M157" i="72"/>
  <c r="O90" i="37"/>
  <c r="E113" i="37"/>
  <c r="O32" i="37"/>
  <c r="N77" i="37"/>
  <c r="Q93" i="37"/>
  <c r="H43" i="37"/>
  <c r="Q45" i="37"/>
  <c r="J125" i="37"/>
  <c r="N38" i="37"/>
  <c r="T102" i="37"/>
  <c r="F10" i="39"/>
  <c r="O19" i="37"/>
  <c r="L12" i="37"/>
  <c r="S133" i="37"/>
  <c r="F10" i="37"/>
  <c r="S151" i="37"/>
  <c r="J37" i="37"/>
  <c r="M148" i="37"/>
  <c r="U93" i="37"/>
  <c r="P103" i="37"/>
  <c r="D107" i="37"/>
  <c r="P54" i="37"/>
  <c r="J18" i="39"/>
  <c r="V22" i="37"/>
  <c r="S152" i="37"/>
  <c r="E104" i="37"/>
  <c r="R21" i="37"/>
  <c r="V19" i="37"/>
  <c r="H39" i="37"/>
  <c r="H113" i="37"/>
  <c r="I41" i="37"/>
  <c r="E54" i="39"/>
  <c r="V123" i="37"/>
  <c r="B156" i="72"/>
  <c r="O127" i="37"/>
  <c r="O123" i="37"/>
  <c r="I43" i="37"/>
  <c r="F104" i="37"/>
  <c r="S33" i="37"/>
  <c r="K24" i="39"/>
  <c r="G16" i="39"/>
  <c r="G76" i="37"/>
  <c r="R88" i="37"/>
  <c r="L20" i="37"/>
  <c r="L115" i="37"/>
  <c r="C113" i="37"/>
  <c r="G17" i="39"/>
  <c r="G157" i="37"/>
  <c r="O155" i="72"/>
  <c r="R19" i="37"/>
  <c r="Q119" i="37"/>
  <c r="U115" i="37"/>
  <c r="J157" i="72"/>
  <c r="M20" i="39"/>
  <c r="D117" i="37"/>
  <c r="J19" i="39"/>
  <c r="N23" i="37"/>
  <c r="S94" i="37"/>
  <c r="E46" i="39"/>
  <c r="G125" i="37"/>
  <c r="G19" i="39"/>
  <c r="D25" i="37"/>
  <c r="C35" i="39"/>
  <c r="E25" i="39"/>
  <c r="U48" i="37"/>
  <c r="P117" i="37"/>
  <c r="S116" i="37"/>
  <c r="H26" i="39"/>
  <c r="K20" i="39"/>
  <c r="Q52" i="37"/>
  <c r="U146" i="37"/>
  <c r="I115" i="37"/>
  <c r="V147" i="37"/>
  <c r="E66" i="37"/>
  <c r="J14" i="39"/>
  <c r="K15" i="39"/>
  <c r="K32" i="37"/>
  <c r="U117" i="37"/>
  <c r="I79" i="37"/>
  <c r="Q36" i="37"/>
  <c r="T94" i="37"/>
  <c r="R39" i="37"/>
  <c r="G156" i="72"/>
  <c r="F21" i="37"/>
  <c r="S115" i="37"/>
  <c r="C23" i="37"/>
  <c r="E9" i="39"/>
  <c r="F25" i="39"/>
  <c r="L14" i="39"/>
  <c r="G35" i="39"/>
  <c r="F42" i="39"/>
  <c r="G49" i="39"/>
  <c r="M11" i="39"/>
  <c r="F36" i="39"/>
  <c r="G44" i="39"/>
  <c r="K26" i="39"/>
  <c r="H51" i="39"/>
  <c r="T135" i="37"/>
  <c r="P78" i="37"/>
  <c r="C143" i="37"/>
  <c r="H95" i="37"/>
  <c r="E63" i="37"/>
  <c r="K105" i="37"/>
  <c r="D35" i="37"/>
  <c r="C45" i="39"/>
  <c r="Q69" i="37"/>
  <c r="C129" i="37"/>
  <c r="I76" i="37"/>
  <c r="L106" i="37"/>
  <c r="E50" i="39"/>
  <c r="E155" i="72"/>
  <c r="L110" i="37"/>
  <c r="I128" i="37"/>
  <c r="F117" i="37"/>
  <c r="K36" i="37"/>
  <c r="S73" i="37"/>
  <c r="D23" i="37"/>
  <c r="P64" i="37"/>
  <c r="K45" i="37"/>
  <c r="G12" i="39"/>
  <c r="N117" i="37"/>
  <c r="U153" i="37"/>
  <c r="T27" i="37"/>
  <c r="Q84" i="37"/>
  <c r="M22" i="39"/>
  <c r="D80" i="37"/>
  <c r="N85" i="37"/>
  <c r="E38" i="39"/>
  <c r="L67" i="37"/>
  <c r="V88" i="37"/>
  <c r="N157" i="72"/>
  <c r="S63" i="37"/>
  <c r="H13" i="37"/>
  <c r="F153" i="37"/>
  <c r="R87" i="37"/>
  <c r="I97" i="37"/>
  <c r="H76" i="37"/>
  <c r="G14" i="39"/>
  <c r="G43" i="39"/>
  <c r="G38" i="39"/>
  <c r="K25" i="39"/>
  <c r="Q41" i="37"/>
  <c r="V18" i="37"/>
  <c r="S40" i="37"/>
  <c r="G20" i="37"/>
  <c r="G55" i="37"/>
  <c r="L24" i="39"/>
  <c r="V50" i="37"/>
  <c r="P81" i="37"/>
  <c r="T67" i="37"/>
  <c r="L100" i="37"/>
  <c r="Q88" i="37"/>
  <c r="T146" i="37"/>
  <c r="K125" i="37"/>
  <c r="T155" i="37"/>
  <c r="F20" i="39"/>
  <c r="H123" i="37"/>
  <c r="H46" i="39"/>
  <c r="F44" i="39"/>
  <c r="V66" i="37"/>
  <c r="M142" i="37"/>
  <c r="Q91" i="37"/>
  <c r="S42" i="37"/>
  <c r="P18" i="37"/>
  <c r="H42" i="37"/>
  <c r="J76" i="37"/>
  <c r="L27" i="37"/>
  <c r="S51" i="37"/>
  <c r="C111" i="37"/>
  <c r="F48" i="37"/>
  <c r="U111" i="37"/>
  <c r="U82" i="37"/>
  <c r="P155" i="72"/>
  <c r="O117" i="37"/>
  <c r="N21" i="37"/>
  <c r="D18" i="37"/>
  <c r="M155" i="72"/>
  <c r="C38" i="37"/>
  <c r="D102" i="37"/>
  <c r="G100" i="37"/>
  <c r="P153" i="72"/>
  <c r="D76" i="37"/>
  <c r="H20" i="39"/>
  <c r="H33" i="37"/>
  <c r="I23" i="39"/>
  <c r="C27" i="39"/>
  <c r="M24" i="37"/>
  <c r="Q85" i="37"/>
  <c r="K115" i="37"/>
  <c r="H19" i="39"/>
  <c r="Q121" i="37"/>
  <c r="C73" i="37"/>
  <c r="E23" i="39"/>
  <c r="L29" i="37"/>
  <c r="H14" i="39"/>
  <c r="R43" i="37"/>
  <c r="O25" i="37"/>
  <c r="F23" i="39"/>
  <c r="O130" i="37"/>
  <c r="H27" i="39"/>
  <c r="H35" i="39"/>
  <c r="K22" i="39"/>
  <c r="V93" i="37"/>
  <c r="G105" i="37"/>
  <c r="G128" i="37"/>
  <c r="T90" i="37"/>
  <c r="M74" i="37"/>
  <c r="L66" i="37"/>
  <c r="L77" i="37"/>
  <c r="I146" i="37"/>
  <c r="C47" i="39"/>
  <c r="U34" i="37"/>
  <c r="M127" i="37"/>
  <c r="Q112" i="37"/>
  <c r="U80" i="37"/>
  <c r="T41" i="37"/>
  <c r="T43" i="37"/>
  <c r="J72" i="37"/>
  <c r="I105" i="37"/>
  <c r="F57" i="37"/>
  <c r="C48" i="39"/>
  <c r="T64" i="37"/>
  <c r="I39" i="37"/>
  <c r="H23" i="39"/>
  <c r="S24" i="37"/>
  <c r="E42" i="39"/>
  <c r="J10" i="37"/>
  <c r="F43" i="37"/>
  <c r="Q122" i="37"/>
  <c r="P148" i="37"/>
  <c r="P118" i="37"/>
  <c r="S155" i="37"/>
  <c r="L13" i="37"/>
  <c r="Q120" i="37"/>
  <c r="G75" i="37"/>
  <c r="S44" i="37"/>
  <c r="Q92" i="37"/>
  <c r="E67" i="37"/>
  <c r="H38" i="37"/>
  <c r="P28" i="37"/>
  <c r="M138" i="37"/>
  <c r="J87" i="37"/>
  <c r="J11" i="37"/>
  <c r="S38" i="37"/>
  <c r="U83" i="37"/>
  <c r="S39" i="37"/>
  <c r="R48" i="37"/>
  <c r="Q20" i="37"/>
  <c r="C34" i="37"/>
  <c r="C139" i="37"/>
  <c r="C99" i="37"/>
  <c r="D68" i="37"/>
  <c r="G54" i="37"/>
  <c r="T93" i="37"/>
  <c r="J103" i="37"/>
  <c r="U14" i="37"/>
  <c r="R75" i="37"/>
  <c r="M119" i="37"/>
  <c r="D55" i="37"/>
  <c r="S93" i="37"/>
  <c r="J33" i="37"/>
  <c r="N155" i="72"/>
  <c r="R83" i="37"/>
  <c r="S90" i="37"/>
  <c r="T65" i="37"/>
  <c r="Q157" i="72"/>
  <c r="P49" i="37"/>
  <c r="G113" i="37"/>
  <c r="N121" i="37"/>
  <c r="Q137" i="37"/>
  <c r="O10" i="37"/>
  <c r="N51" i="37"/>
  <c r="I155" i="72"/>
  <c r="G69" i="37"/>
  <c r="L25" i="37"/>
  <c r="R95" i="37"/>
  <c r="E125" i="37"/>
  <c r="E49" i="39"/>
  <c r="C95" i="37"/>
  <c r="I119" i="37"/>
  <c r="D86" i="37"/>
  <c r="T21" i="37"/>
  <c r="T155" i="72"/>
  <c r="R10" i="37"/>
  <c r="E123" i="37"/>
  <c r="F12" i="39"/>
  <c r="E24" i="39"/>
  <c r="K64" i="37"/>
  <c r="J18" i="37"/>
  <c r="R115" i="37"/>
  <c r="Q21" i="37"/>
  <c r="P32" i="37"/>
  <c r="T101" i="37"/>
  <c r="F27" i="39"/>
  <c r="H10" i="39"/>
  <c r="P61" i="37"/>
  <c r="R41" i="37"/>
  <c r="O69" i="37"/>
  <c r="P74" i="37"/>
  <c r="O135" i="37"/>
  <c r="K10" i="37"/>
  <c r="G22" i="39"/>
  <c r="I134" i="37"/>
  <c r="U68" i="37"/>
  <c r="E87" i="37"/>
  <c r="P121" i="37"/>
  <c r="N39" i="37"/>
  <c r="I96" i="37"/>
  <c r="K8" i="39"/>
  <c r="D92" i="37"/>
  <c r="S25" i="37"/>
  <c r="J10" i="39"/>
  <c r="C64" i="37"/>
  <c r="D126" i="37"/>
  <c r="E37" i="37"/>
  <c r="G26" i="39"/>
  <c r="D143" i="37"/>
  <c r="P86" i="37"/>
  <c r="C62" i="37"/>
  <c r="K155" i="72"/>
  <c r="J23" i="39"/>
  <c r="N103" i="37"/>
  <c r="I11" i="39"/>
  <c r="M24" i="39"/>
  <c r="I28" i="37"/>
  <c r="K44" i="37"/>
  <c r="L26" i="37"/>
  <c r="K103" i="37"/>
  <c r="I58" i="37"/>
  <c r="E37" i="39"/>
  <c r="I19" i="39"/>
  <c r="L113" i="37"/>
  <c r="I74" i="37"/>
  <c r="I106" i="37"/>
  <c r="R54" i="37"/>
  <c r="C24" i="37"/>
  <c r="M8" i="39"/>
  <c r="V112" i="37"/>
  <c r="U13" i="37"/>
  <c r="N115" i="37"/>
  <c r="G19" i="37"/>
  <c r="J36" i="37"/>
  <c r="H23" i="37"/>
  <c r="M12" i="39"/>
  <c r="L25" i="39"/>
  <c r="H39" i="39"/>
  <c r="H12" i="39"/>
  <c r="L26" i="39"/>
  <c r="M26" i="39"/>
  <c r="M10" i="39"/>
  <c r="G41" i="39"/>
  <c r="F52" i="39"/>
  <c r="R34" i="37"/>
  <c r="C72" i="37"/>
  <c r="S32" i="37"/>
  <c r="S26" i="37"/>
  <c r="N61" i="37"/>
  <c r="E23" i="37"/>
  <c r="F58" i="37"/>
  <c r="L116" i="37"/>
  <c r="Q27" i="37"/>
  <c r="V122" i="37"/>
  <c r="T118" i="37"/>
  <c r="E35" i="39"/>
  <c r="H133" i="37"/>
  <c r="H73" i="37"/>
  <c r="L58" i="37"/>
  <c r="K38" i="37"/>
  <c r="L76" i="37"/>
  <c r="E15" i="39"/>
  <c r="C40" i="37"/>
  <c r="O85" i="37"/>
  <c r="H136" i="37"/>
  <c r="H103" i="37"/>
  <c r="K119" i="37"/>
  <c r="Q125" i="37"/>
  <c r="J25" i="37"/>
  <c r="T34" i="37"/>
  <c r="F107" i="37"/>
  <c r="G33" i="37"/>
  <c r="J99" i="37"/>
  <c r="T106" i="37"/>
  <c r="I26" i="39"/>
  <c r="R121" i="37"/>
  <c r="E17" i="39"/>
  <c r="H17" i="39"/>
  <c r="D12" i="37"/>
  <c r="S155" i="72"/>
  <c r="D157" i="37"/>
  <c r="G58" i="37"/>
  <c r="U129" i="37"/>
  <c r="J9" i="39"/>
  <c r="I20" i="39"/>
  <c r="L10" i="39"/>
  <c r="F38" i="39"/>
  <c r="G21" i="39"/>
  <c r="U19" i="37"/>
  <c r="K98" i="37"/>
  <c r="D149" i="37"/>
  <c r="H16" i="39"/>
  <c r="N55" i="37"/>
  <c r="L11" i="39"/>
  <c r="G123" i="37"/>
  <c r="F28" i="37"/>
  <c r="H24" i="39"/>
  <c r="C157" i="72"/>
  <c r="D25" i="39"/>
  <c r="F112" i="37"/>
  <c r="M13" i="39"/>
  <c r="G52" i="37"/>
  <c r="R20" i="37"/>
  <c r="C136" i="37"/>
  <c r="M25" i="39"/>
  <c r="I27" i="39"/>
  <c r="K19" i="39"/>
  <c r="M146" i="37"/>
  <c r="U116" i="37"/>
  <c r="T116" i="37"/>
  <c r="P41" i="37"/>
  <c r="K69" i="37"/>
  <c r="Q136" i="37"/>
  <c r="P75" i="37"/>
  <c r="N10" i="37"/>
  <c r="K92" i="37"/>
  <c r="Q157" i="37"/>
  <c r="T156" i="72"/>
  <c r="E44" i="39"/>
  <c r="R50" i="37"/>
  <c r="F119" i="37"/>
  <c r="J48" i="37"/>
  <c r="I22" i="37"/>
  <c r="Q111" i="37"/>
  <c r="I37" i="37"/>
  <c r="L10" i="37"/>
  <c r="H152" i="37"/>
  <c r="U157" i="72"/>
  <c r="K113" i="37"/>
  <c r="S57" i="37"/>
  <c r="U121" i="37"/>
  <c r="E40" i="39"/>
  <c r="L65" i="37"/>
  <c r="D29" i="37"/>
  <c r="H157" i="72"/>
  <c r="C13" i="37"/>
  <c r="T76" i="37"/>
  <c r="I24" i="39"/>
  <c r="H67" i="37"/>
  <c r="L17" i="39"/>
  <c r="G37" i="37"/>
  <c r="P33" i="37"/>
  <c r="P115" i="37"/>
  <c r="P106" i="37"/>
  <c r="E52" i="39"/>
  <c r="S102" i="37"/>
  <c r="F69" i="37"/>
  <c r="L27" i="39"/>
  <c r="F47" i="39"/>
  <c r="M18" i="39"/>
  <c r="C50" i="37"/>
  <c r="O122" i="37"/>
  <c r="E22" i="37"/>
  <c r="V155" i="37"/>
  <c r="E106" i="37"/>
  <c r="T104" i="37"/>
  <c r="C101" i="37"/>
  <c r="P65" i="37"/>
  <c r="G57" i="37"/>
  <c r="H20" i="37"/>
  <c r="R154" i="72"/>
  <c r="N146" i="37"/>
  <c r="C115" i="37"/>
  <c r="H129" i="37"/>
  <c r="G10" i="37"/>
  <c r="O111" i="37"/>
  <c r="V137" i="37"/>
  <c r="S126" i="37"/>
  <c r="S19" i="37"/>
  <c r="S156" i="72"/>
  <c r="Q12" i="37"/>
  <c r="D74" i="37"/>
  <c r="V56" i="37"/>
  <c r="U97" i="37"/>
  <c r="E36" i="39"/>
  <c r="T124" i="37"/>
  <c r="S72" i="37"/>
  <c r="P20" i="37"/>
  <c r="L135" i="37"/>
  <c r="V101" i="37"/>
  <c r="I112" i="37"/>
  <c r="S78" i="37"/>
  <c r="H154" i="37"/>
  <c r="C128" i="37"/>
  <c r="F139" i="37"/>
  <c r="M157" i="37"/>
  <c r="D37" i="37"/>
  <c r="P52" i="37"/>
  <c r="D127" i="37"/>
  <c r="T138" i="37"/>
  <c r="O81" i="37"/>
  <c r="O116" i="37"/>
  <c r="G65" i="37"/>
  <c r="C29" i="37"/>
  <c r="V39" i="37"/>
  <c r="V62" i="37"/>
  <c r="K136" i="37"/>
  <c r="O119" i="37"/>
  <c r="C116" i="37"/>
  <c r="G86" i="37"/>
  <c r="U153" i="72"/>
  <c r="R18" i="37"/>
  <c r="Q23" i="37"/>
  <c r="R89" i="37"/>
  <c r="D24" i="39"/>
  <c r="C38" i="39"/>
  <c r="E122" i="37"/>
  <c r="G39" i="37"/>
  <c r="D146" i="37"/>
  <c r="V40" i="37"/>
  <c r="L154" i="72"/>
  <c r="M95" i="37"/>
  <c r="E156" i="37"/>
  <c r="D154" i="37"/>
  <c r="K22" i="37"/>
  <c r="R129" i="37"/>
  <c r="F67" i="37"/>
  <c r="L119" i="37"/>
  <c r="S34" i="37"/>
  <c r="N113" i="37"/>
  <c r="M103" i="37"/>
  <c r="T77" i="37"/>
  <c r="L28" i="37"/>
  <c r="M39" i="37"/>
  <c r="M117" i="37"/>
  <c r="C9" i="39"/>
  <c r="J90" i="37"/>
  <c r="O154" i="72"/>
  <c r="J65" i="37"/>
  <c r="T91" i="37"/>
  <c r="V75" i="37"/>
  <c r="T85" i="37"/>
  <c r="M52" i="37"/>
  <c r="V27" i="37"/>
  <c r="V28" i="37"/>
  <c r="U44" i="37"/>
  <c r="N131" i="37"/>
  <c r="O18" i="37"/>
  <c r="V43" i="37"/>
  <c r="R148" i="37"/>
  <c r="I16" i="39"/>
  <c r="L22" i="39"/>
  <c r="R35" i="37"/>
  <c r="P24" i="37"/>
  <c r="I64" i="37"/>
  <c r="S117" i="37"/>
  <c r="S88" i="37"/>
  <c r="J19" i="37"/>
  <c r="F50" i="39"/>
  <c r="F55" i="37"/>
  <c r="F12" i="37"/>
  <c r="U10" i="37"/>
  <c r="N53" i="37"/>
  <c r="L38" i="37"/>
  <c r="F113" i="37"/>
  <c r="F21" i="39"/>
  <c r="M18" i="37"/>
  <c r="S123" i="37"/>
  <c r="J135" i="37"/>
  <c r="J155" i="72"/>
  <c r="J52" i="37"/>
  <c r="Q19" i="37"/>
  <c r="K11" i="39"/>
  <c r="E8" i="39"/>
  <c r="K101" i="37"/>
  <c r="D54" i="37"/>
  <c r="S98" i="37"/>
  <c r="M154" i="72"/>
  <c r="D43" i="37"/>
  <c r="G27" i="39"/>
  <c r="L15" i="39"/>
  <c r="V119" i="37"/>
  <c r="M121" i="37"/>
  <c r="Q13" i="37"/>
  <c r="T19" i="37"/>
  <c r="F88" i="37"/>
  <c r="M23" i="39"/>
  <c r="I13" i="39"/>
  <c r="J119" i="37"/>
  <c r="H94" i="37"/>
  <c r="P36" i="37"/>
  <c r="G119" i="37"/>
  <c r="O87" i="37"/>
  <c r="E12" i="39"/>
  <c r="S76" i="37"/>
  <c r="Q62" i="37"/>
  <c r="D123" i="37"/>
  <c r="R13" i="37"/>
  <c r="O100" i="37"/>
  <c r="D37" i="39"/>
  <c r="I10" i="39"/>
  <c r="K21" i="39"/>
  <c r="F43" i="39"/>
  <c r="M15" i="39"/>
  <c r="K27" i="39"/>
  <c r="K18" i="39"/>
  <c r="G42" i="39"/>
  <c r="K12" i="39"/>
  <c r="L20" i="39"/>
  <c r="E154" i="37"/>
  <c r="S127" i="37"/>
  <c r="J75" i="37"/>
  <c r="T20" i="37"/>
  <c r="V156" i="37"/>
  <c r="S96" i="37"/>
  <c r="Q142" i="37"/>
  <c r="G103" i="37"/>
  <c r="L157" i="72"/>
  <c r="M26" i="37"/>
  <c r="R23" i="37"/>
  <c r="V15" i="37"/>
  <c r="D78" i="37"/>
  <c r="G15" i="39"/>
  <c r="E33" i="37"/>
  <c r="R14" i="37"/>
  <c r="O38" i="37"/>
  <c r="M153" i="72"/>
  <c r="S119" i="37"/>
  <c r="O48" i="37"/>
  <c r="M102" i="37"/>
  <c r="I9" i="39"/>
  <c r="I42" i="37"/>
  <c r="L8" i="39"/>
  <c r="F14" i="39"/>
  <c r="J102" i="37"/>
  <c r="E19" i="39"/>
  <c r="D10" i="37"/>
  <c r="D27" i="39"/>
  <c r="U98" i="37"/>
  <c r="M17" i="39"/>
  <c r="V115" i="37"/>
  <c r="E27" i="39"/>
  <c r="J111" i="37"/>
  <c r="M27" i="39"/>
  <c r="M14" i="39"/>
  <c r="U63" i="37"/>
  <c r="O125" i="37"/>
  <c r="O40" i="37"/>
  <c r="U65" i="37"/>
  <c r="G34" i="37"/>
  <c r="P39" i="37"/>
  <c r="J57" i="37"/>
  <c r="J39" i="37"/>
  <c r="H13" i="39"/>
  <c r="P157" i="72"/>
  <c r="E21" i="39"/>
  <c r="E14" i="39"/>
  <c r="L42" i="37"/>
  <c r="J84" i="37"/>
  <c r="S87" i="37"/>
  <c r="N111" i="37"/>
  <c r="H18" i="39"/>
  <c r="M9" i="39"/>
  <c r="G45" i="39"/>
  <c r="C146" i="37"/>
  <c r="S83" i="37"/>
  <c r="F34" i="37"/>
  <c r="G11" i="39"/>
  <c r="M152" i="37"/>
  <c r="T117" i="37"/>
  <c r="D83" i="37"/>
  <c r="N153" i="72"/>
  <c r="O129" i="37"/>
  <c r="C22" i="39"/>
  <c r="S75" i="37"/>
  <c r="E52" i="37"/>
  <c r="N78" i="37"/>
  <c r="S50" i="37"/>
  <c r="H134" i="37"/>
  <c r="S125" i="37"/>
  <c r="C153" i="72"/>
  <c r="E74" i="37"/>
  <c r="E134" i="37"/>
  <c r="I33" i="37"/>
  <c r="D100" i="37"/>
  <c r="Q38" i="37"/>
  <c r="N101" i="37"/>
  <c r="R62" i="37"/>
  <c r="O102" i="37"/>
  <c r="E41" i="39"/>
  <c r="F23" i="37"/>
  <c r="K37" i="37"/>
  <c r="N24" i="37"/>
  <c r="S105" i="37"/>
  <c r="I49" i="37"/>
  <c r="D111" i="37"/>
  <c r="T14" i="37"/>
  <c r="G143" i="37"/>
  <c r="C41" i="39"/>
  <c r="J88" i="37"/>
  <c r="M66" i="37"/>
  <c r="I89" i="37"/>
  <c r="I50" i="37"/>
  <c r="Q29" i="37"/>
  <c r="N123" i="37"/>
  <c r="U154" i="72"/>
  <c r="T58" i="37"/>
  <c r="G43" i="37"/>
  <c r="S135" i="37"/>
  <c r="R29" i="37"/>
  <c r="K154" i="72"/>
  <c r="F115" i="37"/>
  <c r="Q103" i="37"/>
  <c r="M28" i="37"/>
  <c r="J86" i="37"/>
  <c r="C85" i="37"/>
  <c r="K77" i="37"/>
  <c r="V95" i="37"/>
  <c r="D40" i="39"/>
  <c r="E65" i="37"/>
  <c r="J21" i="39"/>
  <c r="N40" i="37"/>
  <c r="E86" i="37"/>
  <c r="J157" i="37"/>
  <c r="L83" i="37"/>
  <c r="D61" i="37"/>
  <c r="V29" i="37"/>
  <c r="R157" i="37"/>
  <c r="S36" i="37"/>
  <c r="L33" i="37"/>
  <c r="E38" i="37"/>
  <c r="D16" i="39"/>
  <c r="K90" i="37"/>
  <c r="J55" i="37"/>
  <c r="P25" i="37"/>
  <c r="K16" i="39"/>
  <c r="K17" i="39"/>
  <c r="D40" i="37"/>
  <c r="J62" i="37"/>
  <c r="T36" i="37"/>
  <c r="F66" i="37"/>
  <c r="E117" i="37"/>
  <c r="H25" i="39"/>
  <c r="I14" i="39"/>
  <c r="U58" i="37"/>
  <c r="V117" i="37"/>
  <c r="P156" i="37"/>
  <c r="G28" i="37"/>
  <c r="G134" i="37"/>
  <c r="J27" i="39"/>
  <c r="L9" i="39"/>
  <c r="O156" i="72"/>
  <c r="D72" i="37"/>
  <c r="P125" i="37"/>
  <c r="F80" i="37"/>
  <c r="D73" i="37"/>
  <c r="L16" i="39"/>
  <c r="K9" i="39"/>
  <c r="O152" i="37"/>
  <c r="T42" i="37"/>
  <c r="N119" i="37"/>
  <c r="M37" i="37"/>
  <c r="H24" i="37"/>
  <c r="M11" i="37"/>
  <c r="I25" i="39"/>
  <c r="M57" i="37"/>
  <c r="D79" i="37"/>
  <c r="D26" i="39"/>
  <c r="D121" i="37"/>
  <c r="C81" i="37"/>
  <c r="J116" i="37"/>
  <c r="I22" i="39"/>
  <c r="R37" i="37"/>
  <c r="E13" i="37"/>
  <c r="F129" i="37"/>
  <c r="F111" i="37"/>
  <c r="V49" i="37"/>
  <c r="E154" i="72"/>
  <c r="K13" i="39"/>
  <c r="D8" i="39"/>
  <c r="S23" i="37"/>
  <c r="T69" i="37"/>
  <c r="M116" i="37"/>
  <c r="L103" i="37"/>
  <c r="I18" i="39"/>
  <c r="L19" i="39"/>
  <c r="M16" i="39"/>
  <c r="H47" i="39"/>
  <c r="H45" i="39"/>
  <c r="H49" i="39"/>
  <c r="H50" i="39"/>
  <c r="H40" i="39"/>
  <c r="G36" i="39"/>
  <c r="P154" i="37"/>
  <c r="J13" i="37"/>
  <c r="U145" i="37"/>
  <c r="K124" i="37"/>
  <c r="F144" i="37"/>
  <c r="J132" i="37"/>
  <c r="T25" i="37"/>
  <c r="E111" i="37"/>
  <c r="G104" i="37"/>
  <c r="T81" i="37"/>
  <c r="H66" i="37"/>
  <c r="Q77" i="37"/>
  <c r="U142" i="37"/>
  <c r="G96" i="37"/>
  <c r="C92" i="37"/>
  <c r="S43" i="37"/>
  <c r="T142" i="37"/>
  <c r="N147" i="37"/>
  <c r="I11" i="37"/>
  <c r="L146" i="37"/>
  <c r="C11" i="39"/>
  <c r="E51" i="39"/>
  <c r="V125" i="37"/>
  <c r="P22" i="37"/>
  <c r="N29" i="37"/>
  <c r="B155" i="72"/>
  <c r="M23" i="37"/>
  <c r="D54" i="39"/>
  <c r="J147" i="37"/>
  <c r="J40" i="37"/>
  <c r="Q33" i="37"/>
  <c r="N65" i="37"/>
  <c r="U64" i="37"/>
  <c r="K21" i="37"/>
  <c r="T154" i="37"/>
  <c r="P154" i="72"/>
  <c r="G29" i="37"/>
  <c r="F22" i="39"/>
  <c r="T120" i="37"/>
  <c r="V81" i="37"/>
  <c r="H111" i="37"/>
  <c r="H75" i="37"/>
  <c r="E11" i="39"/>
  <c r="C137" i="37"/>
  <c r="N43" i="37"/>
  <c r="S14" i="37"/>
  <c r="E19" i="37"/>
  <c r="G154" i="72"/>
  <c r="N98" i="37"/>
  <c r="I121" i="37"/>
  <c r="R32" i="37"/>
  <c r="R58" i="37"/>
  <c r="D142" i="37"/>
  <c r="G18" i="37"/>
  <c r="H92" i="37"/>
  <c r="S121" i="37"/>
  <c r="D120" i="37"/>
  <c r="J115" i="37"/>
  <c r="M130" i="37"/>
  <c r="C102" i="37"/>
  <c r="T96" i="37"/>
  <c r="K117" i="37"/>
  <c r="Q42" i="37"/>
  <c r="R33" i="37"/>
  <c r="C53" i="39"/>
  <c r="S41" i="37"/>
  <c r="L13" i="39"/>
  <c r="E93" i="37"/>
  <c r="D110" i="37"/>
  <c r="M98" i="37"/>
  <c r="I154" i="72"/>
  <c r="D18" i="39"/>
  <c r="M63" i="37"/>
  <c r="G99" i="37"/>
  <c r="F156" i="72"/>
  <c r="Q90" i="37"/>
  <c r="K52" i="37"/>
  <c r="K96" i="37"/>
  <c r="Q154" i="72"/>
  <c r="D81" i="37"/>
  <c r="N89" i="37"/>
  <c r="I8" i="39"/>
  <c r="V61" i="37"/>
  <c r="J32" i="37"/>
  <c r="V103" i="37"/>
  <c r="J106" i="37"/>
  <c r="U11" i="37"/>
  <c r="F138" i="37"/>
  <c r="I15" i="39"/>
  <c r="L45" i="37"/>
  <c r="D11" i="39"/>
  <c r="J113" i="37"/>
  <c r="E10" i="39"/>
  <c r="P10" i="37"/>
  <c r="L18" i="39"/>
  <c r="G51" i="39"/>
  <c r="M19" i="39"/>
  <c r="R123" i="37"/>
  <c r="O64" i="37"/>
  <c r="L121" i="37"/>
  <c r="E18" i="37"/>
  <c r="U133" i="37"/>
  <c r="K114" i="37"/>
  <c r="C43" i="37"/>
  <c r="P88" i="37"/>
  <c r="F64" i="37"/>
  <c r="R103" i="37"/>
  <c r="G44" i="37"/>
  <c r="T33" i="37"/>
  <c r="J138" i="37"/>
  <c r="O133" i="37"/>
  <c r="E53" i="39"/>
  <c r="G9" i="39"/>
  <c r="H44" i="39"/>
  <c r="C36" i="39"/>
  <c r="P95" i="37"/>
  <c r="V55" i="37"/>
  <c r="H15" i="39"/>
  <c r="I17" i="39"/>
  <c r="F40" i="39"/>
  <c r="D22" i="39"/>
  <c r="K23" i="39"/>
  <c r="U39" i="37"/>
  <c r="L54" i="37"/>
  <c r="L155" i="72"/>
  <c r="G155" i="72"/>
  <c r="L23" i="39"/>
  <c r="U12" i="37"/>
  <c r="O121" i="37"/>
  <c r="I21" i="39"/>
  <c r="N42" i="37"/>
  <c r="T53" i="37"/>
  <c r="F35" i="39"/>
  <c r="D14" i="39"/>
  <c r="L61" i="37"/>
  <c r="M125" i="37"/>
  <c r="C51" i="37"/>
  <c r="C42" i="39"/>
  <c r="G13" i="37"/>
  <c r="T11" i="37"/>
  <c r="F51" i="39"/>
  <c r="C21" i="39"/>
  <c r="D62" i="37"/>
  <c r="I12" i="39"/>
  <c r="H8" i="39"/>
  <c r="P34" i="37"/>
  <c r="J24" i="39"/>
  <c r="Q100" i="37"/>
  <c r="H11" i="39"/>
  <c r="T29" i="37"/>
  <c r="G25" i="39"/>
  <c r="U61" i="37"/>
  <c r="K14" i="39"/>
  <c r="O72" i="37"/>
  <c r="C123" i="37"/>
  <c r="O21" i="37"/>
  <c r="D32" i="37"/>
  <c r="Q35" i="37"/>
  <c r="H21" i="39"/>
  <c r="K100" i="37"/>
  <c r="H35" i="37"/>
  <c r="O157" i="72"/>
  <c r="G50" i="39"/>
  <c r="C39" i="39"/>
  <c r="E22" i="39"/>
  <c r="D21" i="39"/>
  <c r="K157" i="37"/>
  <c r="H34" i="37"/>
  <c r="H116" i="37"/>
  <c r="D12" i="39"/>
  <c r="G37" i="39"/>
  <c r="H36" i="39"/>
  <c r="M21" i="39"/>
  <c r="F45" i="39"/>
  <c r="F49" i="39"/>
  <c r="F53" i="39"/>
  <c r="H41" i="39"/>
  <c r="L21" i="39"/>
  <c r="G47" i="39"/>
  <c r="F39" i="39"/>
  <c r="H52" i="39"/>
  <c r="G53" i="39"/>
  <c r="F48" i="39"/>
  <c r="F46" i="39"/>
  <c r="F54" i="39"/>
  <c r="H37" i="39"/>
  <c r="G52" i="39"/>
  <c r="G40" i="39"/>
  <c r="F41" i="39"/>
  <c r="L12" i="39"/>
  <c r="H53" i="39"/>
  <c r="G46" i="39"/>
  <c r="H42" i="39"/>
  <c r="H54" i="39"/>
  <c r="G54" i="39"/>
  <c r="H43" i="39"/>
  <c r="H38" i="39"/>
  <c r="J50" i="39" l="1"/>
  <c r="K44" i="39"/>
  <c r="J51" i="39"/>
  <c r="J36" i="39"/>
  <c r="K40" i="39"/>
  <c r="K50" i="39"/>
  <c r="K49" i="39"/>
  <c r="K45" i="39"/>
  <c r="K47" i="39"/>
  <c r="J45" i="39"/>
  <c r="J42" i="39"/>
  <c r="J41" i="39"/>
  <c r="K39" i="39"/>
  <c r="K46" i="39"/>
  <c r="J38" i="39"/>
  <c r="J43" i="39"/>
  <c r="K51" i="39"/>
  <c r="J44" i="39"/>
  <c r="J49" i="39"/>
  <c r="K37" i="39"/>
  <c r="J37" i="39"/>
  <c r="J955" i="20"/>
  <c r="J40" i="39"/>
  <c r="J52" i="39"/>
  <c r="J53" i="39"/>
  <c r="K42" i="39"/>
  <c r="K38" i="39"/>
  <c r="J46" i="39"/>
  <c r="K52" i="39"/>
  <c r="K36" i="39"/>
  <c r="K43" i="39"/>
  <c r="J47" i="39"/>
  <c r="K41" i="39"/>
  <c r="K53" i="39"/>
  <c r="J54" i="39"/>
  <c r="K54" i="39"/>
  <c r="I44" i="39"/>
  <c r="I48" i="39"/>
  <c r="I45" i="39"/>
  <c r="I39" i="39"/>
  <c r="I43" i="39"/>
  <c r="I47" i="39"/>
  <c r="I51" i="39"/>
  <c r="I53" i="39"/>
  <c r="I50" i="39"/>
  <c r="I38" i="39"/>
  <c r="I42" i="39"/>
  <c r="I54" i="39"/>
  <c r="I52" i="39"/>
  <c r="I49" i="39"/>
  <c r="I37" i="39"/>
  <c r="I41" i="39"/>
  <c r="I46" i="39"/>
  <c r="I36" i="39"/>
  <c r="I40" i="39"/>
  <c r="J955" i="30"/>
  <c r="J949" i="30"/>
  <c r="H7" i="37"/>
  <c r="D7" i="37"/>
  <c r="R7" i="37"/>
  <c r="U7" i="37"/>
  <c r="N7" i="37"/>
  <c r="M7" i="37"/>
  <c r="F7" i="37"/>
  <c r="I7" i="37"/>
  <c r="P7" i="37"/>
  <c r="J7" i="37"/>
  <c r="C7" i="37"/>
  <c r="G39" i="39"/>
  <c r="S7" i="37"/>
  <c r="L7" i="37"/>
  <c r="O7" i="37"/>
  <c r="Q7" i="37"/>
  <c r="G48" i="39"/>
  <c r="K7" i="37"/>
  <c r="H48" i="39"/>
  <c r="V7" i="37"/>
  <c r="E7" i="37"/>
  <c r="T7" i="37"/>
  <c r="G7" i="37"/>
  <c r="J39" i="39" l="1"/>
  <c r="H38" i="38" s="1"/>
  <c r="K48" i="39"/>
  <c r="H67" i="38" s="1"/>
  <c r="J48" i="39"/>
  <c r="H47" i="38" s="1"/>
  <c r="H78" i="38"/>
  <c r="H53" i="38"/>
  <c r="H72" i="38"/>
  <c r="H52" i="38"/>
  <c r="H68" i="38"/>
  <c r="H51" i="38"/>
  <c r="H71" i="38"/>
  <c r="H50" i="38"/>
  <c r="H62" i="38"/>
  <c r="H49" i="38"/>
  <c r="H77" i="38"/>
  <c r="H48" i="38"/>
  <c r="H44" i="38"/>
  <c r="H40" i="38"/>
  <c r="H54" i="38"/>
  <c r="H43" i="38"/>
  <c r="H39" i="38"/>
  <c r="H35" i="38"/>
  <c r="H46" i="38"/>
  <c r="H42" i="38"/>
  <c r="J35" i="39"/>
  <c r="H36" i="38" s="1"/>
  <c r="H45" i="38"/>
  <c r="H41" i="38"/>
  <c r="H37" i="38"/>
  <c r="I35" i="39"/>
  <c r="H23" i="38" s="1"/>
  <c r="H16" i="38"/>
  <c r="H14" i="38"/>
  <c r="H9" i="38"/>
  <c r="H12" i="38"/>
  <c r="H15" i="38"/>
  <c r="H10" i="38"/>
  <c r="H19" i="38"/>
  <c r="H28" i="38"/>
  <c r="H22" i="38"/>
  <c r="H24" i="38"/>
  <c r="H20" i="38"/>
  <c r="H11" i="38"/>
  <c r="H26" i="38"/>
  <c r="H27" i="38"/>
  <c r="H21" i="38"/>
  <c r="H25" i="38"/>
  <c r="H17" i="38"/>
  <c r="H18" i="38"/>
  <c r="H13" i="38"/>
  <c r="H76" i="38"/>
  <c r="H66" i="38"/>
  <c r="H65" i="38"/>
  <c r="H64" i="38"/>
  <c r="H80" i="38"/>
  <c r="H75" i="38"/>
  <c r="H79" i="38"/>
  <c r="H61" i="38"/>
  <c r="H63" i="38"/>
  <c r="H74" i="38"/>
  <c r="H69" i="38"/>
  <c r="H70" i="38"/>
  <c r="K35" i="39"/>
  <c r="H73" i="38" s="1"/>
</calcChain>
</file>

<file path=xl/sharedStrings.xml><?xml version="1.0" encoding="utf-8"?>
<sst xmlns="http://schemas.openxmlformats.org/spreadsheetml/2006/main" count="20095" uniqueCount="1209">
  <si>
    <t>Step 1. Baseline Data</t>
  </si>
  <si>
    <t>Baseline Public Health Preparedness Capability Status</t>
  </si>
  <si>
    <t>Step 2. Hazard Data</t>
  </si>
  <si>
    <t>Coastal Storm</t>
  </si>
  <si>
    <t>Flood</t>
  </si>
  <si>
    <t>Winter Storm</t>
  </si>
  <si>
    <t>Temperature Extremes</t>
  </si>
  <si>
    <t>Tornado</t>
  </si>
  <si>
    <t>Localized Infectious Disease</t>
  </si>
  <si>
    <t>Pandemic</t>
  </si>
  <si>
    <t>Drought</t>
  </si>
  <si>
    <t>Earthquake</t>
  </si>
  <si>
    <t>Fire</t>
  </si>
  <si>
    <t>Utility Interruption</t>
  </si>
  <si>
    <t>Nuclear Facility Accident</t>
  </si>
  <si>
    <t>Civil Disturbance</t>
  </si>
  <si>
    <t>Active Shooter</t>
  </si>
  <si>
    <t>Biological Terrorism</t>
  </si>
  <si>
    <t>Chemical Terrorism</t>
  </si>
  <si>
    <t>Conventional Explosive</t>
  </si>
  <si>
    <t>Radiation Dispersal Device</t>
  </si>
  <si>
    <t>Hazardous Materials Release</t>
  </si>
  <si>
    <t>Community Characteristics</t>
  </si>
  <si>
    <t>Step 3. Analysis</t>
  </si>
  <si>
    <t>Summary of Impacts</t>
  </si>
  <si>
    <t>Individual Hazard Analyses</t>
  </si>
  <si>
    <t>Baseline Health, Services, and Infrastructure</t>
  </si>
  <si>
    <t>Human Impact</t>
  </si>
  <si>
    <t>Healthcare Service Impact</t>
  </si>
  <si>
    <t>Public Health Service Impact</t>
  </si>
  <si>
    <t>Hearing Disability</t>
  </si>
  <si>
    <t>Data Source:</t>
  </si>
  <si>
    <t>Vision Disability</t>
  </si>
  <si>
    <t>Ambulatory Disability</t>
  </si>
  <si>
    <t>Cognitive Disability</t>
  </si>
  <si>
    <t>Limited English Proficiency</t>
  </si>
  <si>
    <t>Poverty</t>
  </si>
  <si>
    <t>Chronic Diseases (Diabetes)</t>
  </si>
  <si>
    <t>Children 18 and under</t>
  </si>
  <si>
    <t>Elderly 65 and older</t>
  </si>
  <si>
    <t>Total Population in Jurisdiction:</t>
  </si>
  <si>
    <t>Total Deaths Per Day:</t>
  </si>
  <si>
    <t>Data source:</t>
  </si>
  <si>
    <t>Deaths per 100,000 Per Day:</t>
  </si>
  <si>
    <t>Total Transports Per Day:</t>
  </si>
  <si>
    <t>Transports per 100,000 Per Day:</t>
  </si>
  <si>
    <t>EMS Transports</t>
  </si>
  <si>
    <t>Total ED Visits Per Day:</t>
  </si>
  <si>
    <t>ED Visits per 100,000 Per Day:</t>
  </si>
  <si>
    <t>ED Visits</t>
  </si>
  <si>
    <t>Total Office Visits Per Day:</t>
  </si>
  <si>
    <t>Office Visits per 100,000 Per Day:</t>
  </si>
  <si>
    <t>Primary Care Office Visits</t>
  </si>
  <si>
    <t>Total Trauma Center Injuries Per Day:</t>
  </si>
  <si>
    <t>Trauma Ctr Injuries per 100,000 Per Day:</t>
  </si>
  <si>
    <t>Trauma Center Injuries</t>
  </si>
  <si>
    <t>Mortality</t>
  </si>
  <si>
    <t>Total PCPs:</t>
  </si>
  <si>
    <t>PCPs per 100,000:</t>
  </si>
  <si>
    <t>Total ED Beds:</t>
  </si>
  <si>
    <t>ED Beds per 100,000:</t>
  </si>
  <si>
    <t>Total Hospital Beds:</t>
  </si>
  <si>
    <t>Hospital Beds per 100,000:</t>
  </si>
  <si>
    <t>Total Pharmacists:</t>
  </si>
  <si>
    <t>Pharmacists per 100,000:</t>
  </si>
  <si>
    <t>Total Mental Health Providers:</t>
  </si>
  <si>
    <t>Mental Health Providers per 100,000:</t>
  </si>
  <si>
    <t>Outpatient Services</t>
  </si>
  <si>
    <t>Emergency Department Services</t>
  </si>
  <si>
    <t>Hospital Beds</t>
  </si>
  <si>
    <t>Ancillary Services</t>
  </si>
  <si>
    <t>Trauma Units</t>
  </si>
  <si>
    <t>Mental Health Services</t>
  </si>
  <si>
    <t>Total Hospital-Employed FTE RNs:</t>
  </si>
  <si>
    <t>RNs per Shift:</t>
  </si>
  <si>
    <t>Hospital Personnel</t>
  </si>
  <si>
    <t>Total Patient Days of Care Per Year:</t>
  </si>
  <si>
    <t>Patients Per Day:</t>
  </si>
  <si>
    <t>Patient-to-Nurse Ratio:</t>
  </si>
  <si>
    <t>Smallest Number of Hours of Back-Up Generator Fuel On Hand in Facility:</t>
  </si>
  <si>
    <t>Smallest Number of Days of Linens On Hand in Facility:</t>
  </si>
  <si>
    <t>Total Public Health Staff:</t>
  </si>
  <si>
    <t>Public Health Staff per 100,000:</t>
  </si>
  <si>
    <t>Public Health Personnel</t>
  </si>
  <si>
    <t>Surveillance</t>
  </si>
  <si>
    <t>Number of Case Reports per Day to Health Department (requiring investigation, monitoring, tracking, or other public health action):</t>
  </si>
  <si>
    <t>No. of Specimens Processed per Day:</t>
  </si>
  <si>
    <t>Laboratory Services</t>
  </si>
  <si>
    <t>Health Communications and Public Information</t>
  </si>
  <si>
    <t>Number of Personnel Hours per Week Needed to Generate Health Communications to External Partners or the General Public):</t>
  </si>
  <si>
    <t>Total Morgue Capacity:</t>
  </si>
  <si>
    <t>Morgue Capacity per 100,000:</t>
  </si>
  <si>
    <t>Fatality Management</t>
  </si>
  <si>
    <t>Population Size Score:</t>
  </si>
  <si>
    <t>Percent of Population with a Hearing Disability:</t>
  </si>
  <si>
    <t>Community Preparedness</t>
  </si>
  <si>
    <t xml:space="preserve"> Full ability/capacity</t>
  </si>
  <si>
    <t>Community Preparedness Score</t>
  </si>
  <si>
    <t>Community Recovery</t>
  </si>
  <si>
    <t>Some ability/capacity</t>
  </si>
  <si>
    <t>Significant ability/capacity</t>
  </si>
  <si>
    <t>Community Recovery Score</t>
  </si>
  <si>
    <t>Emergency Operations Coordination</t>
  </si>
  <si>
    <t>Emergency Operations Coordination Score</t>
  </si>
  <si>
    <t>Emergency Public Info and Warning</t>
  </si>
  <si>
    <t>Emergency Public Info and Warning Score</t>
  </si>
  <si>
    <t>Fatality Management Score</t>
  </si>
  <si>
    <t>Information Sharing</t>
  </si>
  <si>
    <t>Limited ability/capacity</t>
  </si>
  <si>
    <t>Information Sharing Score</t>
  </si>
  <si>
    <t>Mass Care</t>
  </si>
  <si>
    <t>Mass Care Score</t>
  </si>
  <si>
    <t>Medical Countermeasure Dispens.</t>
  </si>
  <si>
    <t>Medical Countermeasure Dispensing Score</t>
  </si>
  <si>
    <t>Medical Materiel Mngmnt &amp; Distr.</t>
  </si>
  <si>
    <t>Medical Materiel Management &amp; Distribution Score</t>
  </si>
  <si>
    <t>Medical Surge</t>
  </si>
  <si>
    <t>Medical Surge Score</t>
  </si>
  <si>
    <t>Non-Pharmaceutical Interventions</t>
  </si>
  <si>
    <t>Non-Pharmaceutical Interventions Score</t>
  </si>
  <si>
    <t>Public Health Laboratory Testing</t>
  </si>
  <si>
    <t>Public Health Laboratory Testing Score</t>
  </si>
  <si>
    <t>Public Health Surveillance and Epi.</t>
  </si>
  <si>
    <t>Public Health Surveillance and Epi. Score</t>
  </si>
  <si>
    <t>Responder Safety and Health</t>
  </si>
  <si>
    <t>Responder Safety and Health Score</t>
  </si>
  <si>
    <t>Volunteer Management</t>
  </si>
  <si>
    <t>Volunteer Management Score</t>
  </si>
  <si>
    <t>Community Preparedness, Current Status</t>
  </si>
  <si>
    <t>No ability/capacity</t>
  </si>
  <si>
    <t>Current Status:</t>
  </si>
  <si>
    <t>Status Score:</t>
  </si>
  <si>
    <r>
      <rPr>
        <u/>
        <sz val="11"/>
        <color theme="1"/>
        <rFont val="Calibri"/>
        <family val="2"/>
        <scheme val="minor"/>
      </rPr>
      <t>Function 1</t>
    </r>
    <r>
      <rPr>
        <sz val="11"/>
        <color theme="1"/>
        <rFont val="Calibri"/>
        <family val="2"/>
        <scheme val="minor"/>
      </rPr>
      <t>: Determine risks to the health of the jurisdiction. Identify the potential hazards, vulnerabilities, and risks in the community that relate to the jurisdiction’s public health, medical, and mental/behavioral health systems, the relationship of those risks to human impact, interruption of public health, medical, and mental/behavioral health services, and the impact of those risks on the jurisdiction’s public health, medical, and mental/ behavioral health infrastructure.</t>
    </r>
  </si>
  <si>
    <r>
      <rPr>
        <u/>
        <sz val="11"/>
        <color theme="1"/>
        <rFont val="Calibri"/>
        <family val="2"/>
        <scheme val="minor"/>
      </rPr>
      <t>Function 2</t>
    </r>
    <r>
      <rPr>
        <sz val="11"/>
        <color theme="1"/>
        <rFont val="Calibri"/>
        <family val="2"/>
        <scheme val="minor"/>
      </rPr>
      <t>: Build community partnerships to support health preparedness. Identify and engage with public and private community partners who can do the following:
• Assist with the mitigation of identified health risks
• Be integrated into the jurisdiction’s all-hazards emergency plans with defined community roles and responsibilities related to the provision of public health, medical, and mental/behavioral health as directed under the Emergency Support Function #8 definition at the state or local level.</t>
    </r>
  </si>
  <si>
    <r>
      <rPr>
        <u/>
        <sz val="11"/>
        <color theme="1"/>
        <rFont val="Calibri"/>
        <family val="2"/>
        <scheme val="minor"/>
      </rPr>
      <t>Function 3</t>
    </r>
    <r>
      <rPr>
        <sz val="11"/>
        <color theme="1"/>
        <rFont val="Calibri"/>
        <family val="2"/>
        <scheme val="minor"/>
      </rPr>
      <t>: Engage with community organizations to foster public health, medical, and mental/behavioral health social networks. Engage with community organizations to foster social connections22 that assure public health, medical and mental/behavioral health services in a community before, during, and after an incident.</t>
    </r>
  </si>
  <si>
    <r>
      <rPr>
        <u/>
        <sz val="11"/>
        <color theme="1"/>
        <rFont val="Calibri"/>
        <family val="2"/>
        <scheme val="minor"/>
      </rPr>
      <t>Function 4</t>
    </r>
    <r>
      <rPr>
        <sz val="11"/>
        <color theme="1"/>
        <rFont val="Calibri"/>
        <family val="2"/>
        <scheme val="minor"/>
      </rPr>
      <t>: Coordinate training or guidance to ensure community engagement in preparedness efforts Coordinate with emergency management, community organizations, businesses, and other partners to provide public health preparedness and response training or guidance to community partners for the specific risks identified in the jurisdictional risk assessment.</t>
    </r>
  </si>
  <si>
    <r>
      <rPr>
        <u/>
        <sz val="11"/>
        <color theme="1"/>
        <rFont val="Calibri"/>
        <family val="2"/>
        <scheme val="minor"/>
      </rPr>
      <t>Function 1</t>
    </r>
    <r>
      <rPr>
        <sz val="11"/>
        <color theme="1"/>
        <rFont val="Calibri"/>
        <family val="2"/>
        <scheme val="minor"/>
      </rPr>
      <t xml:space="preserve">: Identify and monitor public health, medical, and mental/behavioral health system recovery needs.  Assess the impact of an incident on the public health system31 in collaboration with the jurisdictional government and community and faith-based partners, in order to determine and prioritize the public health, medical, or mental/behavioral health system recovery needs. This function addresses the intent of National Health Security Strategy Outcome 8 that there should be a collaborative effort within a jurisdiction that results in the identification of public health, medical, and mental/behavioral assets, facilities, and other resources which either need to be rebuilt after an incident or which can be used to guide post-incident reconstitution activities. </t>
    </r>
  </si>
  <si>
    <r>
      <rPr>
        <u/>
        <sz val="11"/>
        <color theme="1"/>
        <rFont val="Calibri"/>
        <family val="2"/>
        <scheme val="minor"/>
      </rPr>
      <t>Function 2</t>
    </r>
    <r>
      <rPr>
        <sz val="11"/>
        <color theme="1"/>
        <rFont val="Calibri"/>
        <family val="2"/>
        <scheme val="minor"/>
      </rPr>
      <t>: Coordinate community public health, medical, and mental/behavioral health system recovery operations.  Facilitate interaction among community and faith-based organizations (e.g., businesses and non-governmental organizations) to build a network of support services which will minimize any negative public health effects of the incident. This function addresses the National Health Security Strategy Objective 8 outcome recommendation that jurisdictions should have an integrated plan as to how post-incident public health, medical, and mental/behavioral services can be coordinated with organizations responsible for community restoration.</t>
    </r>
  </si>
  <si>
    <r>
      <rPr>
        <u/>
        <sz val="11"/>
        <color theme="1"/>
        <rFont val="Calibri"/>
        <family val="2"/>
        <scheme val="minor"/>
      </rPr>
      <t>Function 3</t>
    </r>
    <r>
      <rPr>
        <sz val="11"/>
        <color theme="1"/>
        <rFont val="Calibri"/>
        <family val="2"/>
        <scheme val="minor"/>
      </rPr>
      <t>: Implement corrective actions to mitigate damages from future incidents.  Incorporate observations from the current incident to describe actions needed to return to a level of public health, medical, and mental/behavioral health system function at least comparable to pre-incident levels or improved levels where appropriate. Document these items in a written after action report and improvement plan, and implement those corrective actions that are within the purview of public health.  This function addresses the intent of the National Health Security Strategy Outcome 8 recommendation that jurisdictions should have a monitoring and evaluation plan for recovery efforts.</t>
    </r>
  </si>
  <si>
    <r>
      <rPr>
        <u/>
        <sz val="11"/>
        <color theme="1"/>
        <rFont val="Calibri"/>
        <family val="2"/>
        <scheme val="minor"/>
      </rPr>
      <t>Function 1</t>
    </r>
    <r>
      <rPr>
        <sz val="11"/>
        <color theme="1"/>
        <rFont val="Calibri"/>
        <family val="2"/>
        <scheme val="minor"/>
      </rPr>
      <t>: Identify responder safety and health risks.  Assist in the identification of the medical and mental/behavioral health318 risks (routine and incident-specific) to responders and communicate this information prior to, during, and after an incident.</t>
    </r>
  </si>
  <si>
    <r>
      <rPr>
        <u/>
        <sz val="11"/>
        <color theme="1"/>
        <rFont val="Calibri"/>
        <family val="2"/>
        <scheme val="minor"/>
      </rPr>
      <t>Function 2</t>
    </r>
    <r>
      <rPr>
        <sz val="11"/>
        <color theme="1"/>
        <rFont val="Calibri"/>
        <family val="2"/>
        <scheme val="minor"/>
      </rPr>
      <t>: Identify safety and personal protective needs.  Coordinate with occupational health and safety and other subject matter experts, based on incident-specific conditions, to determine the necessary personal protective equipment, medical countermeasures, mental/behavioral health support services and other items and services, and distribute these, as applicable, to protect the health of public health responders.</t>
    </r>
  </si>
  <si>
    <r>
      <rPr>
        <u/>
        <sz val="11"/>
        <color theme="1"/>
        <rFont val="Calibri"/>
        <family val="2"/>
        <scheme val="minor"/>
      </rPr>
      <t>Function 3</t>
    </r>
    <r>
      <rPr>
        <sz val="11"/>
        <color theme="1"/>
        <rFont val="Calibri"/>
        <family val="2"/>
        <scheme val="minor"/>
      </rPr>
      <t>: Coordinate with partners to facilitate risk-specific safety and health training.  In conjunction with partner agencies, facilitate the inclusion of risk-specific physical safety, mental/behavioral health, and personal protective equipment topics (based on jurisdictional risk assessment) into public health responder training to prepare responders for the incident.</t>
    </r>
  </si>
  <si>
    <r>
      <rPr>
        <u/>
        <sz val="11"/>
        <color theme="1"/>
        <rFont val="Calibri"/>
        <family val="2"/>
        <scheme val="minor"/>
      </rPr>
      <t>Function 4</t>
    </r>
    <r>
      <rPr>
        <sz val="11"/>
        <color theme="1"/>
        <rFont val="Calibri"/>
        <family val="2"/>
        <scheme val="minor"/>
      </rPr>
      <t>: Monitor responder safety and health actions.  Conduct or participate in monitoring and surveillance activities to identify any potential adverse health effects of public health responders.</t>
    </r>
  </si>
  <si>
    <r>
      <rPr>
        <u/>
        <sz val="11"/>
        <color theme="1"/>
        <rFont val="Calibri"/>
        <family val="2"/>
        <scheme val="minor"/>
      </rPr>
      <t>Function 4</t>
    </r>
    <r>
      <rPr>
        <sz val="11"/>
        <color theme="1"/>
        <rFont val="Calibri"/>
        <family val="2"/>
        <scheme val="minor"/>
      </rPr>
      <t>: Demobilize volunteers.  Release volunteers based on evolving incident requirements or incident-action plan and coordinate with partner agencies to assure provision of any medical and mental/behavioral health support needed for volunteers to return to pre-incident status.</t>
    </r>
  </si>
  <si>
    <r>
      <rPr>
        <u/>
        <sz val="11"/>
        <color theme="1"/>
        <rFont val="Calibri"/>
        <family val="2"/>
        <scheme val="minor"/>
      </rPr>
      <t>Function 3</t>
    </r>
    <r>
      <rPr>
        <sz val="11"/>
        <color theme="1"/>
        <rFont val="Calibri"/>
        <family val="2"/>
        <scheme val="minor"/>
      </rPr>
      <t>: Organize, assemble, and dispatch volunteers.  Coordinate the assignment of public health agency volunteers to public health, medical, mental/behavioral health,330 and non-specialized tasks as directed by the incident, including the integration of inter-jurisdictional (e.g., cross-border or federal) volunteer response teams into the jurisdictional public health agency’s response efforts.</t>
    </r>
  </si>
  <si>
    <r>
      <rPr>
        <u/>
        <sz val="11"/>
        <color theme="1"/>
        <rFont val="Calibri"/>
        <family val="2"/>
        <scheme val="minor"/>
      </rPr>
      <t>Function 2</t>
    </r>
    <r>
      <rPr>
        <sz val="11"/>
        <color theme="1"/>
        <rFont val="Calibri"/>
        <family val="2"/>
        <scheme val="minor"/>
      </rPr>
      <t>: Notify volunteers.  At the time of an incident, utilize redundant communication systems where available (e.g., reverse 911 or text messaging) to request that prospective volunteers participate in the public health agency’s response.</t>
    </r>
  </si>
  <si>
    <r>
      <rPr>
        <u/>
        <sz val="11"/>
        <color theme="1"/>
        <rFont val="Calibri"/>
        <family val="2"/>
        <scheme val="minor"/>
      </rPr>
      <t>Function 1</t>
    </r>
    <r>
      <rPr>
        <sz val="11"/>
        <color theme="1"/>
        <rFont val="Calibri"/>
        <family val="2"/>
        <scheme val="minor"/>
      </rPr>
      <t>: Coordinate volunteers.  Recruit, identify, and train volunteers who can support the public health agency’s response to an incident. Volunteers identified prior to an incident must be registered with the Emergency System for Advance Registration of Volunteer Health Professionals (ESAR-VHP), Medical Reserve Corps, or other pre-identified partner groups (e.g., Red Cross or Community Emergency Response Teams).</t>
    </r>
  </si>
  <si>
    <r>
      <rPr>
        <u/>
        <sz val="11"/>
        <color theme="1"/>
        <rFont val="Calibri"/>
        <family val="2"/>
        <scheme val="minor"/>
      </rPr>
      <t>Function 4</t>
    </r>
    <r>
      <rPr>
        <sz val="11"/>
        <color theme="1"/>
        <rFont val="Calibri"/>
        <family val="2"/>
        <scheme val="minor"/>
      </rPr>
      <t>: Improve public health surveillance and epidemiological investigation systems.  Assess internal agency surveillance and epidemiologic investigation both during and after an incident and implement quality improvement measures that are within jurisdictional public health agency control.</t>
    </r>
  </si>
  <si>
    <r>
      <rPr>
        <u/>
        <sz val="11"/>
        <color theme="1"/>
        <rFont val="Calibri"/>
        <family val="2"/>
        <scheme val="minor"/>
      </rPr>
      <t>Function 3</t>
    </r>
    <r>
      <rPr>
        <sz val="11"/>
        <color theme="1"/>
        <rFont val="Calibri"/>
        <family val="2"/>
        <scheme val="minor"/>
      </rPr>
      <t>: Recommend, monitor, and analyze mitigation actions.  Recommend, implement, or support public health interventions that contribute to the mitigation of a threat or incident as well as monitor the effectiveness of the interventions.</t>
    </r>
  </si>
  <si>
    <r>
      <rPr>
        <u/>
        <sz val="11"/>
        <color theme="1"/>
        <rFont val="Calibri"/>
        <family val="2"/>
        <scheme val="minor"/>
      </rPr>
      <t>Function 2</t>
    </r>
    <r>
      <rPr>
        <sz val="11"/>
        <color theme="1"/>
        <rFont val="Calibri"/>
        <family val="2"/>
        <scheme val="minor"/>
      </rPr>
      <t>: Conduct public health and epidemiological investigations.  Identify the source of a case or outbreak of disease, injury, or exposure and its determinants in a population (e.g., time, place, person, disability status, living status, or other indices) to coordinate and report the summary results of the analysis to jurisdictional and federal partners, as appropriate.</t>
    </r>
  </si>
  <si>
    <r>
      <rPr>
        <u/>
        <sz val="11"/>
        <color theme="1"/>
        <rFont val="Calibri"/>
        <family val="2"/>
        <scheme val="minor"/>
      </rPr>
      <t>Function 1</t>
    </r>
    <r>
      <rPr>
        <sz val="11"/>
        <color theme="1"/>
        <rFont val="Calibri"/>
        <family val="2"/>
        <scheme val="minor"/>
      </rPr>
      <t>: Conduct public health surveillance and detection.  Conduct ongoing systematic collection, analysis, interpretation, and management of public health-related data to verify a threat or incident of public health concern, and to characterize and manage it effectively through all phases of the incident.</t>
    </r>
  </si>
  <si>
    <r>
      <rPr>
        <u/>
        <sz val="11"/>
        <color theme="1"/>
        <rFont val="Calibri"/>
        <family val="2"/>
        <scheme val="minor"/>
      </rPr>
      <t>Function 5</t>
    </r>
    <r>
      <rPr>
        <sz val="11"/>
        <color theme="1"/>
        <rFont val="Calibri"/>
        <family val="2"/>
        <scheme val="minor"/>
      </rPr>
      <t>: Report results.  Provide notification of laboratory results and send laboratory data to public health officials, healthcare providers, and other
institutions, agencies, or persons as permitted by all applicable laws, rules, and regulations.</t>
    </r>
  </si>
  <si>
    <r>
      <rPr>
        <u/>
        <sz val="11"/>
        <color theme="1"/>
        <rFont val="Calibri"/>
        <family val="2"/>
        <scheme val="minor"/>
      </rPr>
      <t>Function 4</t>
    </r>
    <r>
      <rPr>
        <sz val="11"/>
        <color theme="1"/>
        <rFont val="Calibri"/>
        <family val="2"/>
        <scheme val="minor"/>
      </rPr>
      <t>: Support public health investigations.  Provide analytical and investigative support to epidemiologists, healthcare providers, law enforcement, environmental health, food safety, and poison control efforts to help determine cause and origin of, and definitively characterize, a public health incident.</t>
    </r>
  </si>
  <si>
    <r>
      <rPr>
        <u/>
        <sz val="11"/>
        <color theme="1"/>
        <rFont val="Calibri"/>
        <family val="2"/>
        <scheme val="minor"/>
      </rPr>
      <t>Function 3</t>
    </r>
    <r>
      <rPr>
        <sz val="11"/>
        <color theme="1"/>
        <rFont val="Calibri"/>
        <family val="2"/>
        <scheme val="minor"/>
      </rPr>
      <t>: Conduct testing and analysis for routine and surge capacity.  Perform, or coordinate with the applicable lead agency, testing of chemical, biological, radiological, nuclear, and explosive samples, utilizing CDC-established protocols and procedures (e.g., LRN), where available and applicable, to provide detection, characterization and confirmatory testing to identify public health incidents. This testing may include clinical, food, and environmental samples.</t>
    </r>
  </si>
  <si>
    <r>
      <rPr>
        <u/>
        <sz val="11"/>
        <color theme="1"/>
        <rFont val="Calibri"/>
        <family val="2"/>
        <scheme val="minor"/>
      </rPr>
      <t>Function 2</t>
    </r>
    <r>
      <rPr>
        <sz val="11"/>
        <color theme="1"/>
        <rFont val="Calibri"/>
        <family val="2"/>
        <scheme val="minor"/>
      </rPr>
      <t>: Perform sample management.  Implement LRN-established protocols and procedures where available and applicable [and other mandatory protocols such as those for the International Air Transport Association (IATA) and the U.S. Department of Transportation (DOT)] for sample collection, handling, packaging, processing, transport, receipt, storage, retrieval, and disposal.</t>
    </r>
  </si>
  <si>
    <r>
      <rPr>
        <u/>
        <sz val="11"/>
        <color theme="1"/>
        <rFont val="Calibri"/>
        <family val="2"/>
        <scheme val="minor"/>
      </rPr>
      <t>Function 1</t>
    </r>
    <r>
      <rPr>
        <sz val="11"/>
        <color theme="1"/>
        <rFont val="Calibri"/>
        <family val="2"/>
        <scheme val="minor"/>
      </rPr>
      <t>: Manage laboratory activities.  Manage and coordinate communications and resource sharing with the jurisdiction’s network of human, food, veterinary, and environmental testing laboratory efforts in order to respond to chemical, biological, radiological, nuclear, explosive, and other public health threats.</t>
    </r>
  </si>
  <si>
    <r>
      <rPr>
        <u/>
        <sz val="11"/>
        <color theme="1"/>
        <rFont val="Calibri"/>
        <family val="2"/>
        <scheme val="minor"/>
      </rPr>
      <t>Function 4</t>
    </r>
    <r>
      <rPr>
        <sz val="11"/>
        <color theme="1"/>
        <rFont val="Calibri"/>
        <family val="2"/>
        <scheme val="minor"/>
      </rPr>
      <t>: Monitor non-pharmaceutical interventions.  Monitor the implementation and effectiveness of interventions, adjust intervention methods and scope as the incident evolves, and determine the level or point at which interventions are no longer needed.</t>
    </r>
  </si>
  <si>
    <r>
      <rPr>
        <u/>
        <sz val="11"/>
        <color theme="1"/>
        <rFont val="Calibri"/>
        <family val="2"/>
        <scheme val="minor"/>
      </rPr>
      <t>Function 3</t>
    </r>
    <r>
      <rPr>
        <sz val="11"/>
        <color theme="1"/>
        <rFont val="Calibri"/>
        <family val="2"/>
        <scheme val="minor"/>
      </rPr>
      <t>: Implement non-pharmaceutical interventions.  Coordinate with health partners, government agencies, community sectors (e.g., education, social services, faith-based, and business), and jurisdictional authorities (e.g., law enforcement, jurisdictional officials, and transportation) to make operational, and
if necessary, enforce, the recommended non-pharmaceutical intervention(s).</t>
    </r>
  </si>
  <si>
    <r>
      <rPr>
        <u/>
        <sz val="11"/>
        <color theme="1"/>
        <rFont val="Calibri"/>
        <family val="2"/>
        <scheme val="minor"/>
      </rPr>
      <t>Function 2</t>
    </r>
    <r>
      <rPr>
        <sz val="11"/>
        <color theme="1"/>
        <rFont val="Calibri"/>
        <family val="2"/>
        <scheme val="minor"/>
      </rPr>
      <t>: Determine non-pharmaceutical interventions.  Work with subject matter experts (e.g., epidemiology, laboratory, surveillance, medical, chemical, biological, radiological, social service, emergency management, and legal) to recommend the non-pharmaceutical intervention(s) to be implemented.</t>
    </r>
  </si>
  <si>
    <r>
      <rPr>
        <u/>
        <sz val="11"/>
        <color theme="1"/>
        <rFont val="Calibri"/>
        <family val="2"/>
        <scheme val="minor"/>
      </rPr>
      <t>Function 1</t>
    </r>
    <r>
      <rPr>
        <sz val="11"/>
        <color theme="1"/>
        <rFont val="Calibri"/>
        <family val="2"/>
        <scheme val="minor"/>
      </rPr>
      <t>: Engage partners and identify factors that impact non-pharmaceutical interventions.  Identify and engage with health partners, government agencies, and community sectors (e.g., education, social services, faith based, and business/industry) to identify the community factors that affect the ability to recommend and implement non-pharmaceutical interventions.</t>
    </r>
  </si>
  <si>
    <r>
      <rPr>
        <u/>
        <sz val="11"/>
        <color theme="1"/>
        <rFont val="Calibri"/>
        <family val="2"/>
        <scheme val="minor"/>
      </rPr>
      <t>Function 4</t>
    </r>
    <r>
      <rPr>
        <sz val="11"/>
        <color theme="1"/>
        <rFont val="Calibri"/>
        <family val="2"/>
        <scheme val="minor"/>
      </rPr>
      <t>: Support demobilization of medical surge operations.  In conjunction with other jurisdictional partners, return healthcare system to pre-incident operations by incrementally decreasing surge staffing, equipment needs, alternate care facilities, and other systems, and transition patients from acute care services into their pre-incident medical environment or other applicable medical setting.</t>
    </r>
  </si>
  <si>
    <r>
      <rPr>
        <u/>
        <sz val="11"/>
        <color theme="1"/>
        <rFont val="Calibri"/>
        <family val="2"/>
        <scheme val="minor"/>
      </rPr>
      <t>Function 3</t>
    </r>
    <r>
      <rPr>
        <sz val="11"/>
        <color theme="1"/>
        <rFont val="Calibri"/>
        <family val="2"/>
        <scheme val="minor"/>
      </rPr>
      <t>: Support jurisdictional medical surge operations.  In conjunction with health care coalitions and response partners, coordinate healthcare resources in conjunction with response partners, including access to care and medical service, and the tracking of patients, medical staff, equipment and supplies (from intra or interstate and federal partners, if necessary) in quantities necessary to support medical response operations.</t>
    </r>
  </si>
  <si>
    <r>
      <rPr>
        <u/>
        <sz val="11"/>
        <color theme="1"/>
        <rFont val="Calibri"/>
        <family val="2"/>
        <scheme val="minor"/>
      </rPr>
      <t>Function 2</t>
    </r>
    <r>
      <rPr>
        <sz val="11"/>
        <color theme="1"/>
        <rFont val="Calibri"/>
        <family val="2"/>
        <scheme val="minor"/>
      </rPr>
      <t>: Support activation of medical surge.  Support healthcare coalitions and response partners in the expansion of the jurisdiction’s healthcare system (includes additional staff, beds and equipment) to provide access to additional healthcare services (e.g., call centers, alternate care systems, emergency medical services, emergency department services, and inpatient services) in response to the incident.</t>
    </r>
  </si>
  <si>
    <r>
      <rPr>
        <u/>
        <sz val="11"/>
        <color theme="1"/>
        <rFont val="Calibri"/>
        <family val="2"/>
        <scheme val="minor"/>
      </rPr>
      <t>Function 1</t>
    </r>
    <r>
      <rPr>
        <sz val="11"/>
        <color theme="1"/>
        <rFont val="Calibri"/>
        <family val="2"/>
        <scheme val="minor"/>
      </rPr>
      <t>: Assess the nature and scope of the incident.  In conjunction with jurisdictional partners, coordinate with the jurisdiction’s healthcare response through the collection and analysis of health data (e.g., from emergency medical services, fire service, law enforcement, public health, medical, public works, utilization of incident command system, mutual aid agreements, and activation of Emergency Management Assistance Compact agreements) to define the needs of the incident and the available healthcare staffing and resources.</t>
    </r>
  </si>
  <si>
    <r>
      <rPr>
        <u/>
        <sz val="11"/>
        <color theme="1"/>
        <rFont val="Calibri"/>
        <family val="2"/>
        <scheme val="minor"/>
      </rPr>
      <t>Function 6</t>
    </r>
    <r>
      <rPr>
        <sz val="11"/>
        <color theme="1"/>
        <rFont val="Calibri"/>
        <family val="2"/>
        <scheme val="minor"/>
      </rPr>
      <t>: Recover medical materiel and demobilize distribution operations.  Recover remaining medical materiel in accordance with jurisdictional policies and federal regulations and demobilize distribution operations as required by incident needs.</t>
    </r>
  </si>
  <si>
    <r>
      <rPr>
        <u/>
        <sz val="11"/>
        <color theme="1"/>
        <rFont val="Calibri"/>
        <family val="2"/>
        <scheme val="minor"/>
      </rPr>
      <t>Function 5</t>
    </r>
    <r>
      <rPr>
        <sz val="11"/>
        <color theme="1"/>
        <rFont val="Calibri"/>
        <family val="2"/>
        <scheme val="minor"/>
      </rPr>
      <t>: Distribute medical materiel.  Distribute medical materiel to modalities (e.g., dispensing sites, treatment locations, intermediary distribution sites, and/or closed sites).</t>
    </r>
  </si>
  <si>
    <r>
      <rPr>
        <u/>
        <sz val="11"/>
        <color theme="1"/>
        <rFont val="Calibri"/>
        <family val="2"/>
        <scheme val="minor"/>
      </rPr>
      <t>Function 4</t>
    </r>
    <r>
      <rPr>
        <sz val="11"/>
        <color theme="1"/>
        <rFont val="Calibri"/>
        <family val="2"/>
        <scheme val="minor"/>
      </rPr>
      <t>: Establish and maintain security.  In coordination with emergency management and jurisdictional law enforcement, secure personnel and medical materiel during all phases of transport and ensure security for receiving site and distribution personnel.</t>
    </r>
  </si>
  <si>
    <r>
      <rPr>
        <u/>
        <sz val="11"/>
        <color theme="1"/>
        <rFont val="Calibri"/>
        <family val="2"/>
        <scheme val="minor"/>
      </rPr>
      <t>Function 3</t>
    </r>
    <r>
      <rPr>
        <sz val="11"/>
        <color theme="1"/>
        <rFont val="Calibri"/>
        <family val="2"/>
        <scheme val="minor"/>
      </rPr>
      <t>: Maintain updated inventory management and reporting system.  Maintain inventory system for the jurisdiction’s medical materiel for the life of the materiel, including acquisition, receipt, storage, transport, recovery, disposal, and return or loss.</t>
    </r>
  </si>
  <si>
    <r>
      <rPr>
        <u/>
        <sz val="11"/>
        <color theme="1"/>
        <rFont val="Calibri"/>
        <family val="2"/>
        <scheme val="minor"/>
      </rPr>
      <t>Function 2</t>
    </r>
    <r>
      <rPr>
        <sz val="11"/>
        <color theme="1"/>
        <rFont val="Calibri"/>
        <family val="2"/>
        <scheme val="minor"/>
      </rPr>
      <t>: Acquire medical materiel.  Obtain medical materiel from jurisdictional caches and request materiel from jurisdictional, private, regional, or federal partners, as necessary.</t>
    </r>
  </si>
  <si>
    <r>
      <rPr>
        <u/>
        <sz val="11"/>
        <color theme="1"/>
        <rFont val="Calibri"/>
        <family val="2"/>
        <scheme val="minor"/>
      </rPr>
      <t>Function 1</t>
    </r>
    <r>
      <rPr>
        <sz val="11"/>
        <color theme="1"/>
        <rFont val="Calibri"/>
        <family val="2"/>
        <scheme val="minor"/>
      </rPr>
      <t>: Direct and activate medical materiel management and distribution.  Coordinate logistical operations and medical materiel requests when an incident exceeds the capacity of the jurisdiction’s normal supply chain, including the support and activation of staging operations to receive and/or transport additional medical materiel. This should be accomplished at the request of the incident commander and in coordination with jurisdictional emergency management.</t>
    </r>
  </si>
  <si>
    <r>
      <rPr>
        <u/>
        <sz val="11"/>
        <color theme="1"/>
        <rFont val="Calibri"/>
        <family val="2"/>
        <scheme val="minor"/>
      </rPr>
      <t>Function 5</t>
    </r>
    <r>
      <rPr>
        <sz val="11"/>
        <color theme="1"/>
        <rFont val="Calibri"/>
        <family val="2"/>
        <scheme val="minor"/>
      </rPr>
      <t>: Report adverse events.  Report adverse event notifications (e.g., negative medical countermeasure side effects) received from an individual, healthcare provider, or other source.</t>
    </r>
  </si>
  <si>
    <r>
      <rPr>
        <u/>
        <sz val="11"/>
        <color theme="1"/>
        <rFont val="Calibri"/>
        <family val="2"/>
        <scheme val="minor"/>
      </rPr>
      <t>Function 4</t>
    </r>
    <r>
      <rPr>
        <sz val="11"/>
        <color theme="1"/>
        <rFont val="Calibri"/>
        <family val="2"/>
        <scheme val="minor"/>
      </rPr>
      <t>: Dispense medical countermeasures to identified population. Provide medical countermeasures to individuals in the target population, in accordance with public health guidelines and/or recommendations for the suspected or identified agent or exposure.</t>
    </r>
  </si>
  <si>
    <r>
      <rPr>
        <u/>
        <sz val="11"/>
        <color theme="1"/>
        <rFont val="Calibri"/>
        <family val="2"/>
        <scheme val="minor"/>
      </rPr>
      <t>Function 3</t>
    </r>
    <r>
      <rPr>
        <sz val="11"/>
        <color theme="1"/>
        <rFont val="Calibri"/>
        <family val="2"/>
        <scheme val="minor"/>
      </rPr>
      <t>: Activate dispensing modalities.  Ensure resources (e.g., human, technical, and space) are activated to initiate dispensing modalities that support a response requiring the use of medical countermeasures for prophylaxis and/or treatment.</t>
    </r>
  </si>
  <si>
    <r>
      <rPr>
        <u/>
        <sz val="11"/>
        <color theme="1"/>
        <rFont val="Calibri"/>
        <family val="2"/>
        <scheme val="minor"/>
      </rPr>
      <t>Function 2</t>
    </r>
    <r>
      <rPr>
        <sz val="11"/>
        <color theme="1"/>
        <rFont val="Calibri"/>
        <family val="2"/>
        <scheme val="minor"/>
      </rPr>
      <t>: Receive medical countermeasures.  Identify dispensing sites and/or intermediary distribution sites and prepare these modalities to receive medical countermeasures in a time frame applicable to the agent or exposure.</t>
    </r>
  </si>
  <si>
    <r>
      <rPr>
        <u/>
        <sz val="11"/>
        <color theme="1"/>
        <rFont val="Calibri"/>
        <family val="2"/>
        <scheme val="minor"/>
      </rPr>
      <t>Function 1</t>
    </r>
    <r>
      <rPr>
        <sz val="11"/>
        <color theme="1"/>
        <rFont val="Calibri"/>
        <family val="2"/>
        <scheme val="minor"/>
      </rPr>
      <t>: Identify and initiate medical countermeasure dispensing strategies.  Notify and coordinate with partners to identify roles and responsibilities consistent with the identified agent or exposure and within a time frame appropriate to the incident.</t>
    </r>
  </si>
  <si>
    <r>
      <rPr>
        <u/>
        <sz val="11"/>
        <color theme="1"/>
        <rFont val="Calibri"/>
        <family val="2"/>
        <scheme val="minor"/>
      </rPr>
      <t>Function 4</t>
    </r>
    <r>
      <rPr>
        <sz val="11"/>
        <color theme="1"/>
        <rFont val="Calibri"/>
        <family val="2"/>
        <scheme val="minor"/>
      </rPr>
      <t>: Monitor mass care population health.  Monitor ongoing health-related mass care support, and ensure health needs continue to be met as the incident response evolves.</t>
    </r>
  </si>
  <si>
    <r>
      <rPr>
        <u/>
        <sz val="11"/>
        <color theme="1"/>
        <rFont val="Calibri"/>
        <family val="2"/>
        <scheme val="minor"/>
      </rPr>
      <t>Function 3</t>
    </r>
    <r>
      <rPr>
        <sz val="11"/>
        <color theme="1"/>
        <rFont val="Calibri"/>
        <family val="2"/>
        <scheme val="minor"/>
      </rPr>
      <t>: Coordinate public health, medical, and mental/behavioral health services.  Coordinate with partner agencies to provide access to health services, medication and consumable medical supplies (e.g., hearing aid batteries and incontinence supplies), and durable medical equipment for the impacted population.</t>
    </r>
  </si>
  <si>
    <r>
      <rPr>
        <u/>
        <sz val="11"/>
        <color theme="1"/>
        <rFont val="Calibri"/>
        <family val="2"/>
        <scheme val="minor"/>
      </rPr>
      <t>Function 2</t>
    </r>
    <r>
      <rPr>
        <sz val="11"/>
        <color theme="1"/>
        <rFont val="Calibri"/>
        <family val="2"/>
        <scheme val="minor"/>
      </rPr>
      <t>: Determine mass care needs of the impacted population.  In conjunction with Emergency Support Function #6, #8, and #11 partners, emergency management and other partner agencies, determine the public health, medical, mental/behavioral health needs of those impacted by the incident.</t>
    </r>
  </si>
  <si>
    <r>
      <rPr>
        <u/>
        <sz val="11"/>
        <color theme="1"/>
        <rFont val="Calibri"/>
        <family val="2"/>
        <scheme val="minor"/>
      </rPr>
      <t>Function 1</t>
    </r>
    <r>
      <rPr>
        <sz val="11"/>
        <color theme="1"/>
        <rFont val="Calibri"/>
        <family val="2"/>
        <scheme val="minor"/>
      </rPr>
      <t>: Determine public health role in mass care operations.  In conjunction with Emergency Support Function #6, #8, and #11 partners, emergency management, and other partner agencies, determine the jurisdictional public health roles and responsibilities in providing medical care, health services, and shelter services during a mass care incident.</t>
    </r>
  </si>
  <si>
    <r>
      <rPr>
        <u/>
        <sz val="11"/>
        <color theme="1"/>
        <rFont val="Calibri"/>
        <family val="2"/>
        <scheme val="minor"/>
      </rPr>
      <t>Function 1</t>
    </r>
    <r>
      <rPr>
        <sz val="11"/>
        <color theme="1"/>
        <rFont val="Calibri"/>
        <family val="2"/>
        <scheme val="minor"/>
      </rPr>
      <t xml:space="preserve">: Identify stakeholders to be incorporated into information flow.  Identify stakeholders within the jurisdiction across public health, medical, law enforcement, and other disciplines that should be included in information exchange, and identify inter-jurisdictional public health stakeholders that should be included in information exchange. Determine the levels of security clearance needed for information access across and between these stakeholders. </t>
    </r>
  </si>
  <si>
    <r>
      <rPr>
        <u/>
        <sz val="11"/>
        <color theme="1"/>
        <rFont val="Calibri"/>
        <family val="2"/>
        <scheme val="minor"/>
      </rPr>
      <t>Function 2</t>
    </r>
    <r>
      <rPr>
        <sz val="11"/>
        <color theme="1"/>
        <rFont val="Calibri"/>
        <family val="2"/>
        <scheme val="minor"/>
      </rPr>
      <t xml:space="preserve">: Identify and develop rules and data elements for sharing.  Define minimum requirements for information sharing for the purpose of developing and maintaining situational awareness. Minimum requirements include the following elements: 
• When data should be shared 
• Who is authorized to receive data 
• Who is authorized to share data 
• What types of data can be shared 
• Data use and re-release parameters 
• What data protections are sufficient 
• Legal, statutory, privacy, and intellectual property considerations </t>
    </r>
  </si>
  <si>
    <r>
      <rPr>
        <u/>
        <sz val="11"/>
        <color theme="1"/>
        <rFont val="Calibri"/>
        <family val="2"/>
        <scheme val="minor"/>
      </rPr>
      <t>Function 3</t>
    </r>
    <r>
      <rPr>
        <sz val="11"/>
        <color theme="1"/>
        <rFont val="Calibri"/>
        <family val="2"/>
        <scheme val="minor"/>
      </rPr>
      <t>: Exchange information to determine a common operating picture. Share information (both send and receive) within the public health agency, with other identified intra-jurisdictional stakeholders, and with identified inter-jurisdictional stakeholders, following available national standards84 for data vocabulary, storage, transport, security, and accessibility.</t>
    </r>
  </si>
  <si>
    <r>
      <rPr>
        <u/>
        <sz val="11"/>
        <color theme="1"/>
        <rFont val="Calibri"/>
        <family val="2"/>
        <scheme val="minor"/>
      </rPr>
      <t>Function 1</t>
    </r>
    <r>
      <rPr>
        <sz val="11"/>
        <color theme="1"/>
        <rFont val="Calibri"/>
        <family val="2"/>
        <scheme val="minor"/>
      </rPr>
      <t>: Conduct preliminary assessment to determine need for public activation.  Define the public health impact of an event or incident and gather subject matter experts to make recommendations on the need for, and scale of, incident command operations.</t>
    </r>
  </si>
  <si>
    <r>
      <rPr>
        <u/>
        <sz val="11"/>
        <color theme="1"/>
        <rFont val="Calibri"/>
        <family val="2"/>
        <scheme val="minor"/>
      </rPr>
      <t>Function 2</t>
    </r>
    <r>
      <rPr>
        <sz val="11"/>
        <color theme="1"/>
        <rFont val="Calibri"/>
        <family val="2"/>
        <scheme val="minor"/>
      </rPr>
      <t>: Activate public health emergency operations In preparation for an event, or in response to an incident of public health significance, engage resources (e.g., human, technical, physical space, and physical assets) to address the incident or event in accordance with the National Incident Management System and consistent with jurisdictional standards and practices.</t>
    </r>
  </si>
  <si>
    <r>
      <rPr>
        <u/>
        <sz val="11"/>
        <color theme="1"/>
        <rFont val="Calibri"/>
        <family val="2"/>
        <scheme val="minor"/>
      </rPr>
      <t>Function 3</t>
    </r>
    <r>
      <rPr>
        <sz val="11"/>
        <color theme="1"/>
        <rFont val="Calibri"/>
        <family val="2"/>
        <scheme val="minor"/>
      </rPr>
      <t>: Develop incident response strategy.  Produce or provide input to an Incident Commander or Unified Command approved, written Incident Action Plan, as dictated by the incident, containing objectives reflecting the response strategy for managing Type 1, Type 2, and Type 3 events or incidents, as described in the National Incident Management System, during one or more operational periods.</t>
    </r>
  </si>
  <si>
    <r>
      <rPr>
        <u/>
        <sz val="11"/>
        <color theme="1"/>
        <rFont val="Calibri"/>
        <family val="2"/>
        <scheme val="minor"/>
      </rPr>
      <t>Function 4</t>
    </r>
    <r>
      <rPr>
        <sz val="11"/>
        <color theme="1"/>
        <rFont val="Calibri"/>
        <family val="2"/>
        <scheme val="minor"/>
      </rPr>
      <t>: Manage and sustain the public health response. Direct ongoing public health emergency operations to sustain the public health and medical response for the duration of the response, including multiple operational periods and multiple concurrent responses.</t>
    </r>
  </si>
  <si>
    <r>
      <rPr>
        <u/>
        <sz val="11"/>
        <color theme="1"/>
        <rFont val="Calibri"/>
        <family val="2"/>
        <scheme val="minor"/>
      </rPr>
      <t>Function 5</t>
    </r>
    <r>
      <rPr>
        <sz val="11"/>
        <color theme="1"/>
        <rFont val="Calibri"/>
        <family val="2"/>
        <scheme val="minor"/>
      </rPr>
      <t>: Demobilize and evaluate public health emergency operations. Release and return resources that are no longer required by the event or incident to their pre-ready state and conduct an assessment of the efforts, resources, actions, leadership, coordination, and communication utilized during the incident for the
purpose of identifying and implementing continuous improvement activities.</t>
    </r>
  </si>
  <si>
    <r>
      <rPr>
        <u/>
        <sz val="11"/>
        <color theme="1"/>
        <rFont val="Calibri"/>
        <family val="2"/>
        <scheme val="minor"/>
      </rPr>
      <t>Function 1</t>
    </r>
    <r>
      <rPr>
        <sz val="11"/>
        <color theme="1"/>
        <rFont val="Calibri"/>
        <family val="2"/>
        <scheme val="minor"/>
      </rPr>
      <t xml:space="preserve">: Activate the emergency public information system. Notify and assemble key public information personnel and potential spokespersons, which were identified prior to an incident, to provide information to the public during an incident. </t>
    </r>
  </si>
  <si>
    <r>
      <rPr>
        <u/>
        <sz val="11"/>
        <color theme="1"/>
        <rFont val="Calibri"/>
        <family val="2"/>
        <scheme val="minor"/>
      </rPr>
      <t>Function 2</t>
    </r>
    <r>
      <rPr>
        <sz val="11"/>
        <color theme="1"/>
        <rFont val="Calibri"/>
        <family val="2"/>
        <scheme val="minor"/>
      </rPr>
      <t>: Determine the need for a joint public information system. Determine the need for, and scale of, a joint public information system, including if appropriate, activation of a Joint Information Center within the public health agency. Participate with other jurisdictional Joint Information Centers in order to combine information sharing abilities and coordinate messages.</t>
    </r>
  </si>
  <si>
    <r>
      <rPr>
        <u/>
        <sz val="11"/>
        <color theme="1"/>
        <rFont val="Calibri"/>
        <family val="2"/>
        <scheme val="minor"/>
      </rPr>
      <t>Function 3</t>
    </r>
    <r>
      <rPr>
        <sz val="11"/>
        <color theme="1"/>
        <rFont val="Calibri"/>
        <family val="2"/>
        <scheme val="minor"/>
      </rPr>
      <t>: Establish and participate in information system operations. Monitor jurisdictional media, conduct press briefings, and provide rumor control for media outlets, utilizing a National Incident Management System compliant framework for coordinating incident-related communications.</t>
    </r>
  </si>
  <si>
    <r>
      <rPr>
        <u/>
        <sz val="11"/>
        <color theme="1"/>
        <rFont val="Calibri"/>
        <family val="2"/>
        <scheme val="minor"/>
      </rPr>
      <t>Function 4</t>
    </r>
    <r>
      <rPr>
        <sz val="11"/>
        <color theme="1"/>
        <rFont val="Calibri"/>
        <family val="2"/>
        <scheme val="minor"/>
      </rPr>
      <t>: Establish avenues for public interaction and information exchange.  Provide methods for the public to contact the health department with questions and concerns through call centers, help desks, hotlines, social media, web chat or other communication platforms.</t>
    </r>
  </si>
  <si>
    <r>
      <rPr>
        <u/>
        <sz val="11"/>
        <color theme="1"/>
        <rFont val="Calibri"/>
        <family val="2"/>
        <scheme val="minor"/>
      </rPr>
      <t>Function 5</t>
    </r>
    <r>
      <rPr>
        <sz val="11"/>
        <color theme="1"/>
        <rFont val="Calibri"/>
        <family val="2"/>
        <scheme val="minor"/>
      </rPr>
      <t>: Issue public information, alerts, warnings, and notifications.  Utilizing crisis and emergency risk communication principles, disseminate critical health and safety information to alert the media, public, and other stakeholders to potential health risks and reduce the risk of exposure to ongoing and potential hazards.</t>
    </r>
  </si>
  <si>
    <r>
      <rPr>
        <u/>
        <sz val="11"/>
        <color theme="1"/>
        <rFont val="Calibri"/>
        <family val="2"/>
        <scheme val="minor"/>
      </rPr>
      <t>Function 5</t>
    </r>
    <r>
      <rPr>
        <sz val="11"/>
        <color theme="1"/>
        <rFont val="Calibri"/>
        <family val="2"/>
        <scheme val="minor"/>
      </rPr>
      <t xml:space="preserve">: Participate in fatality processing and storage operations.  Assist the lead jurisdictional authority and partners in ensuring that human remains and associated personal effects are safely recovered, processed, transported, tracked, stored, and disposed of or released to authorized person(s), if requested. </t>
    </r>
  </si>
  <si>
    <r>
      <rPr>
        <u/>
        <sz val="11"/>
        <color theme="1"/>
        <rFont val="Calibri"/>
        <family val="2"/>
        <scheme val="minor"/>
      </rPr>
      <t>Function 4</t>
    </r>
    <r>
      <rPr>
        <sz val="11"/>
        <color theme="1"/>
        <rFont val="Calibri"/>
        <family val="2"/>
        <scheme val="minor"/>
      </rPr>
      <t>: Participate in survivor mental/behavioral health services.  Coordinate with the lead jurisdictional authority and jurisdictional and regional partners to support the provision of non-intrusive, culturally sensitive mental/behavioral health support services to family members of the deceased, incident survivors, and responders, if requested.</t>
    </r>
  </si>
  <si>
    <r>
      <rPr>
        <u/>
        <sz val="11"/>
        <color theme="1"/>
        <rFont val="Calibri"/>
        <family val="2"/>
        <scheme val="minor"/>
      </rPr>
      <t>Function 3</t>
    </r>
    <r>
      <rPr>
        <sz val="11"/>
        <color theme="1"/>
        <rFont val="Calibri"/>
        <family val="2"/>
        <scheme val="minor"/>
      </rPr>
      <t xml:space="preserve">: Assist in the collection and dissemination of ante mortem data.  Assist, if requested, the lead jurisdictional authority and jurisdictional and regional partners to gather and disseminate ante mortem data through a Family Assistance Center Model or other mechanism. </t>
    </r>
  </si>
  <si>
    <r>
      <rPr>
        <u/>
        <sz val="11"/>
        <color theme="1"/>
        <rFont val="Calibri"/>
        <family val="2"/>
        <scheme val="minor"/>
      </rPr>
      <t>Function 2</t>
    </r>
    <r>
      <rPr>
        <sz val="11"/>
        <color theme="1"/>
        <rFont val="Calibri"/>
        <family val="2"/>
        <scheme val="minor"/>
      </rPr>
      <t xml:space="preserve">: Activate public health fatality management operations.  Facilitate access to resources (e.g., human, record keeping, and physical space) to address the fatalities from an incident in accordance with public health jurisdictional standards and practices and as requested by lead jurisdictional authority. </t>
    </r>
  </si>
  <si>
    <r>
      <rPr>
        <u/>
        <sz val="11"/>
        <color theme="1"/>
        <rFont val="Calibri"/>
        <family val="2"/>
        <scheme val="minor"/>
      </rPr>
      <t>Function 1</t>
    </r>
    <r>
      <rPr>
        <sz val="11"/>
        <color theme="1"/>
        <rFont val="Calibri"/>
        <family val="2"/>
        <scheme val="minor"/>
      </rPr>
      <t xml:space="preserve">: Determine role for public health in fatality management. Coordinate with the lead jurisdictional authority (e.g., coroner, medical examiner, sheriff, or other agent) to identify the roles and responsibilities of jurisdictional public health entities in fatality management activities. </t>
    </r>
  </si>
  <si>
    <t>Does any part of the region fall within a 50-mile radius of a nuclear reactor?</t>
  </si>
  <si>
    <t>Yes</t>
  </si>
  <si>
    <t>Are there major transportation routes in the region within 10 miles of a nuclear reactor?</t>
  </si>
  <si>
    <t>Total Population:</t>
  </si>
  <si>
    <t>Total Housing Units:</t>
  </si>
  <si>
    <t>Percent Using Well Water:</t>
  </si>
  <si>
    <t>Percent Under Age 40:</t>
  </si>
  <si>
    <t>Largest City or Population Center:</t>
  </si>
  <si>
    <t>Population of Largest City or Population Center:</t>
  </si>
  <si>
    <t>Population Density of Largest City (per sq mile):</t>
  </si>
  <si>
    <t>Largest Hospital:</t>
  </si>
  <si>
    <t>ED Beds at Largest Hospital:</t>
  </si>
  <si>
    <t>If Hospital 2 is a Trauma Center, Number of ORs (otherwise, 0):</t>
  </si>
  <si>
    <t>Total Beds at Largest Hospital:</t>
  </si>
  <si>
    <t>If Largest Hospital is a Trauma Center, Number of ORs (otherwise, 0):</t>
  </si>
  <si>
    <t>Another Hospital (Hospital 2):</t>
  </si>
  <si>
    <t>ED Beds at Hospital 2:</t>
  </si>
  <si>
    <t>Total Beds at Hospital 2:</t>
  </si>
  <si>
    <t>No</t>
  </si>
  <si>
    <t>Population within 10 Miles of a Nuclear Reactor:</t>
  </si>
  <si>
    <t>Hospital(s) Within 10 Miles of a Nuclear Reactor:</t>
  </si>
  <si>
    <t>Total ED Beds at Hospital(s) Within 10 Miles of a Nuclear Reactor:</t>
  </si>
  <si>
    <t>Total Beds at Hospital(s) Within 10 Miles of a Nuclear Reactor:</t>
  </si>
  <si>
    <t>FTE Nurses Employed at Hospital(s) Within 10 Miles of a Nuclear Reactor:</t>
  </si>
  <si>
    <t>If Hospital(s) Within 10 Miles of a Nuclear Reactor is a Trauma Center, Number of ORs (otherwise, 0):</t>
  </si>
  <si>
    <t>PCPs Within 10 Miles of a Nuclear Reactor:</t>
  </si>
  <si>
    <t>PCPs per 100,000 Within 10 Miles of a Nuclear Reactor:</t>
  </si>
  <si>
    <t>Pharmacists Within 10 Miles of a Nuclear Reactor:</t>
  </si>
  <si>
    <t>Pharmacists per 100,000 Within 10 Miles of a Nuclear Reactor:</t>
  </si>
  <si>
    <t>Mental Health Professionals Within 10 Miles of a Nuclear Reactor:</t>
  </si>
  <si>
    <t>Mental Health Professionals per 100,000 Within 10 Miles of a Nuclear Reactor:</t>
  </si>
  <si>
    <t>Morgue Units located Within 10 Miles of a Nuclear Reactor:</t>
  </si>
  <si>
    <t>Large College Campus:</t>
  </si>
  <si>
    <t>Population Living on Large College Campus:</t>
  </si>
  <si>
    <t>ED Beds per 100,000 Within 10 Miles of a Nuclear Reactor:</t>
  </si>
  <si>
    <t>Beds per 100,000 Within 10 Miles of a Nuclear Reactor:</t>
  </si>
  <si>
    <t>estimate the impacts of various hazards on the jurisdiction.</t>
  </si>
  <si>
    <t xml:space="preserve">The following information will be used to develop hazard scenarios and </t>
  </si>
  <si>
    <t>Percent of Population with na Ambulatory Disability:</t>
  </si>
  <si>
    <t>Percent of Population with a Vision Disability:</t>
  </si>
  <si>
    <t>Percent of Population with a Cognitive Disability:</t>
  </si>
  <si>
    <t>Percent of Population with Limited English Proficiency:</t>
  </si>
  <si>
    <t>Percent of Population in Povery:</t>
  </si>
  <si>
    <t>Percent of Population with Diabetes:</t>
  </si>
  <si>
    <t>Percent of Population Under Age 18:</t>
  </si>
  <si>
    <t>Percent of Population Age 65 and Older:</t>
  </si>
  <si>
    <t>Children Under 18</t>
  </si>
  <si>
    <t>Elderly 65 and Older</t>
  </si>
  <si>
    <t>Probability</t>
  </si>
  <si>
    <t>The hazard is likely to occur several times in the system lifecycle (100 years).</t>
  </si>
  <si>
    <t>Probability Score</t>
  </si>
  <si>
    <t>Population displays distress with 25% - 49% psychopathology.</t>
  </si>
  <si>
    <t>Community Impact</t>
  </si>
  <si>
    <t>Risk</t>
  </si>
  <si>
    <t>At-Risk Populations</t>
  </si>
  <si>
    <t>Adjusted Risk</t>
  </si>
  <si>
    <t>Critical</t>
  </si>
  <si>
    <t>Important</t>
  </si>
  <si>
    <t>Not relevant</t>
  </si>
  <si>
    <t>Limited importance</t>
  </si>
  <si>
    <t>Highly Important</t>
  </si>
  <si>
    <t>Planning Priority</t>
  </si>
  <si>
    <t>The probability of the occurrence of the hazard is zero.</t>
  </si>
  <si>
    <t>The hazard is not likely to occur in the system lifecycle (100 years), but it is possible.</t>
  </si>
  <si>
    <t>The hazard is likely to occur at least once in the system lifecycle (100 years).</t>
  </si>
  <si>
    <t>The hazard is likely to occur cyclically or annually in the system lifecycle (100 years).</t>
  </si>
  <si>
    <t>Severity - Mental Health Impact</t>
  </si>
  <si>
    <t>Minimal change in population behavior and negligible effects on social functioning.</t>
  </si>
  <si>
    <t>Effects weak or highly transient; occasional or minor loss of nonessential social functions in a circumscribed geographical area.</t>
  </si>
  <si>
    <t xml:space="preserve">Population displays distress with &lt;25% psychopathology. </t>
  </si>
  <si>
    <t>Population displays distress with ≥50% psychopathology.</t>
  </si>
  <si>
    <t>Community Preparedness, Relevance</t>
  </si>
  <si>
    <t>Improbable</t>
  </si>
  <si>
    <t>Remote</t>
  </si>
  <si>
    <t>Occasional</t>
  </si>
  <si>
    <t>Probable</t>
  </si>
  <si>
    <t>Frequent</t>
  </si>
  <si>
    <t>Probability:</t>
  </si>
  <si>
    <t>Probability Score:</t>
  </si>
  <si>
    <t>Duration of Impact:</t>
  </si>
  <si>
    <t>Mortality Score:</t>
  </si>
  <si>
    <t>Duration Scale 1</t>
  </si>
  <si>
    <t>Magnitude Score:</t>
  </si>
  <si>
    <t>Duration Score:</t>
  </si>
  <si>
    <t>Mental Health Impact</t>
  </si>
  <si>
    <t>EMS Transports Score:</t>
  </si>
  <si>
    <t>ED Visits Score:</t>
  </si>
  <si>
    <t>Primary Care Office Visits Score:</t>
  </si>
  <si>
    <t>Trauma Center Injuries Score:</t>
  </si>
  <si>
    <t>Mental Health Score:</t>
  </si>
  <si>
    <t>Mental Health Impact (Percent of population developing psychopathology and behavioral changes after the incident, including PTST, depression, anxiety, alcohol and substance abuse, domestic violence, and loss of social functions):</t>
  </si>
  <si>
    <t>Human Impact Score:</t>
  </si>
  <si>
    <t>Hazard-Related Loss of PCPs:</t>
  </si>
  <si>
    <t>Outpatient Services Score:</t>
  </si>
  <si>
    <t>Healthcare Service Impact Score:</t>
  </si>
  <si>
    <t>ED Services</t>
  </si>
  <si>
    <t>ED Services Score:</t>
  </si>
  <si>
    <t>Hospital Beds Score:</t>
  </si>
  <si>
    <t>Ancillary Services Score:</t>
  </si>
  <si>
    <t>Trauma Units Score:</t>
  </si>
  <si>
    <t>Mental Health Services Services</t>
  </si>
  <si>
    <t>Mental Health Services Score:</t>
  </si>
  <si>
    <t>Hazard-Related Loss of ED Beds:</t>
  </si>
  <si>
    <t>Hazard-Related Loss of Hospital Beds:</t>
  </si>
  <si>
    <t>Hazard-Related Loss of Pharmacists:</t>
  </si>
  <si>
    <t>Baseline Hospital-Employed RNs per Shift:</t>
  </si>
  <si>
    <t>Hazard-Related Loss of RNs per Shift:</t>
  </si>
  <si>
    <t>Baseline Patients Per Day:</t>
  </si>
  <si>
    <t>Hazard-Related Increase in Patients Per Day:</t>
  </si>
  <si>
    <t>Hazard-Related Increase in Transports per Day:</t>
  </si>
  <si>
    <t>Hazard-Related Increase in Mortality per Day:</t>
  </si>
  <si>
    <t>Hazard-Related Increase in ED Visits per Day:</t>
  </si>
  <si>
    <t>Hazard-Related Increase in Office Visits per Day:</t>
  </si>
  <si>
    <t>Hazard-Related Increase in Trauma Injuries per Day:</t>
  </si>
  <si>
    <t>Baseline Patient-to-Nurse Ratio:</t>
  </si>
  <si>
    <t>Hazard-Related Patient-to-Nurse Ratio:</t>
  </si>
  <si>
    <t>Duration Scale 2</t>
  </si>
  <si>
    <t>Hospital Personnel Score:</t>
  </si>
  <si>
    <t>Hours of Electricity Loss:</t>
  </si>
  <si>
    <t>Days of Interruption of Linen Services:</t>
  </si>
  <si>
    <t>Number of Patients Requiring Decontamination at Hospitals:</t>
  </si>
  <si>
    <t>Water Supply</t>
  </si>
  <si>
    <t>Percent of Population Affected by Boil Water Order or Water Outage:</t>
  </si>
  <si>
    <t>Water Supply Score:</t>
  </si>
  <si>
    <t>Community Impact Score:</t>
  </si>
  <si>
    <t>Sewage/Sanitation System</t>
  </si>
  <si>
    <t>Sewage/Sanitation System Score:</t>
  </si>
  <si>
    <t>Percent of Population Affected by Disruption of Sanitation or Sewage Systems:</t>
  </si>
  <si>
    <t>Public Utilities</t>
  </si>
  <si>
    <t>Public Utilities Score:</t>
  </si>
  <si>
    <t>Transportation</t>
  </si>
  <si>
    <t>Transportation Score:</t>
  </si>
  <si>
    <t>Duration (in Days) That at Least One Major Transportation Corrider or Transit Line is Interrupted:</t>
  </si>
  <si>
    <t>Business Continuity</t>
  </si>
  <si>
    <t>Percent of Region's Businesses Closed:</t>
  </si>
  <si>
    <t>Duration of Business Closure:</t>
  </si>
  <si>
    <t>Population Displacement</t>
  </si>
  <si>
    <t>Duration of Population Displacement:</t>
  </si>
  <si>
    <t>Number of Persons Evacuated From or To the Jurisdiction:</t>
  </si>
  <si>
    <t>Environmental Contamination</t>
  </si>
  <si>
    <t>Radius (in Miles) of Area Requiring Environmental Safety Assessment, Remediation, or Decontamination:</t>
  </si>
  <si>
    <t>Environmental Contamination Score:</t>
  </si>
  <si>
    <t>Population Displacement Score:</t>
  </si>
  <si>
    <t>Business Continuity Score:</t>
  </si>
  <si>
    <t>Hazard-Related Loss of Public Health Staff:</t>
  </si>
  <si>
    <t>Public Health Personnel Score:</t>
  </si>
  <si>
    <t>Surveillance Score:</t>
  </si>
  <si>
    <t>Mass Care Score:</t>
  </si>
  <si>
    <t>Medical Countermeasures</t>
  </si>
  <si>
    <t>Medical Countermeasures Score:</t>
  </si>
  <si>
    <t>Laboratory Services Score:</t>
  </si>
  <si>
    <t>Health Communications</t>
  </si>
  <si>
    <t>Health Communications Score:</t>
  </si>
  <si>
    <t>Fatality Management Score:</t>
  </si>
  <si>
    <t>Public Health Service Impact Score:</t>
  </si>
  <si>
    <t>Baseline Number of Case Reports per Day to Health Department (Requiring Investigation, Monitoring, Tracking, or Other Public Health Action):</t>
  </si>
  <si>
    <t>Hazard-Related Increase in Number of Case Reports per Day to Health Department (Requiring Investigation, Monitoring, Tracking, or Other Public Health Action):</t>
  </si>
  <si>
    <t>Number of Persons Requiring Mass Care, Sheltering, Monitoring:</t>
  </si>
  <si>
    <t>Percent of Population Requiring Medication or Prophylaxis:</t>
  </si>
  <si>
    <t>Baseline Number of Specimens Processed per Day:</t>
  </si>
  <si>
    <t>Hazard-Related Increase in Number of Specimens to be Processed per Day:</t>
  </si>
  <si>
    <t>Baseline Number of Personnel Hours per Week Needed to Generate Health Communications to External Partners or the General Public:</t>
  </si>
  <si>
    <t>Hazard-Related Increase in Number of Personnel Hours per Week Needed to Generate Health Communications to External Partners or the General Public:</t>
  </si>
  <si>
    <t>Hazard-Related Loss of Morgue Capacity:</t>
  </si>
  <si>
    <t>(Increase = Hazard-Related Increase in Mortality per 100,000 per Day)</t>
  </si>
  <si>
    <t>(Human, Healthcare Service, Healthcare Infrastructure, Community, Public Health)</t>
  </si>
  <si>
    <t>(Human, Healthcare Service, Community, Public Health)</t>
  </si>
  <si>
    <t>(Human, Healthcare Service, Healthcare Infrastructure)</t>
  </si>
  <si>
    <t>Severity</t>
  </si>
  <si>
    <t>Total Trauma Center Functioning ORs:</t>
  </si>
  <si>
    <t>Trauma ORs per 100,000:</t>
  </si>
  <si>
    <t>In the VA Tech Massacre of 2007,17 were transported by EMS (Armstrong &amp; Frykberg, 2007).</t>
  </si>
  <si>
    <t>In the VA Tech Massacre of 2007, 27 are known to have been treated at local emergency departments (Virginia Tech Review Panel, 2007).</t>
  </si>
  <si>
    <t>In the VA Tech Massacre of 2007, 10 were taken to surgery at Level III trauma centers, and 2 at a Level I trauma center (Armstrong &amp; Frykberg, 2007).</t>
  </si>
  <si>
    <t>(PCP Demand = Increase in Office Visits / 20)</t>
  </si>
  <si>
    <t>After the VA Tech Massacre of 2007, 15.4% of VA Tech students screened showed high levels of posttraumatic stress symptoms (Hughes et al., 2011).  In addition to PTSD, behavioral changes, anxiety, depression, and other behavioral health consequences are likely to occur.</t>
  </si>
  <si>
    <t>(ED Bed Demand per Day = Increase in ED Visits / 4.5)</t>
  </si>
  <si>
    <t>Hazard-Related Increase in  Demand for Hospital Beds:</t>
  </si>
  <si>
    <t>Hazard-Related Increase in  Demand for Pharmacists:</t>
  </si>
  <si>
    <t>Baseline Trauma Center Functioning ORs:</t>
  </si>
  <si>
    <t>Hazard-Related Loss of Trauma Center Functioning ORs:</t>
  </si>
  <si>
    <t>Hazard-Related Loss of Mental Health Providers:</t>
  </si>
  <si>
    <t>Demand = (Total Students living on the county’s largest college campus / 250 × 40.  In general, 40 providers are needed per 250 disaster victims (Landesman, 2005).   It is assumed that the shooting will occur at the county’s largest college campus, and the total number of students living on that campus is the number of disaster victims.</t>
  </si>
  <si>
    <t>Hazard-Related Increase in Demand for Mental Health Providers:</t>
  </si>
  <si>
    <t>The total number of students living on county’s largest college campus will be displaced.  During and after the VA Tech Massacre of 2007, more than 100 buildings on campus were evacuated in response to bomb threats and reports of a second shooter (Horwitz, 2007).</t>
  </si>
  <si>
    <t xml:space="preserve"> Information regarding access to mental health services will be disseminated.</t>
  </si>
  <si>
    <t>Public Information</t>
  </si>
  <si>
    <t>Does an appropriate response to this hazard require special plans and procedures to be in place relevant to emergency communication and public information (both delivery mechanisms and content messaging) for the following at-risk populations?</t>
  </si>
  <si>
    <t>Does an appropriate response to this hazard require special plans and procedures to be in place relevant to sheltering and mass care in shelters for the following at-risk populations?</t>
  </si>
  <si>
    <t>Evacuation</t>
  </si>
  <si>
    <t>Does an appropriate response to this hazard require special plans and procedures to be in place relevant to evacuation or evacuation-related transportation for the following at-risk populations?</t>
  </si>
  <si>
    <t>Medical Management</t>
  </si>
  <si>
    <t>Does an appropriate response to this hazard require special plans and procedures to be in place relevant to human services and medical management for the following at-risk populations?</t>
  </si>
  <si>
    <t>Populations Size Score:</t>
  </si>
  <si>
    <t>Access Planning Score:</t>
  </si>
  <si>
    <t>Population Impact Score:</t>
  </si>
  <si>
    <t>At-Risk Populations Score:</t>
  </si>
  <si>
    <r>
      <t>Overall Adjsuted Risk = Overall Risk × ((At-Risk Populations Score / 4) + 1</t>
    </r>
    <r>
      <rPr>
        <sz val="9.35"/>
        <color theme="1"/>
        <rFont val="Calibri"/>
        <family val="2"/>
      </rPr>
      <t>)</t>
    </r>
  </si>
  <si>
    <r>
      <t>Public Health Adjsuted Risk = Public Health Risk × ((At-Risk Populations Score / 4) + 1</t>
    </r>
    <r>
      <rPr>
        <sz val="9.35"/>
        <color theme="1"/>
        <rFont val="Calibri"/>
        <family val="2"/>
      </rPr>
      <t>)</t>
    </r>
  </si>
  <si>
    <r>
      <t>Healthcare Adjsuted Risk = Healthcare Risk × ((At-Risk Populations Score / 4) + 1</t>
    </r>
    <r>
      <rPr>
        <sz val="9.35"/>
        <color theme="1"/>
        <rFont val="Calibri"/>
        <family val="2"/>
      </rPr>
      <t>)</t>
    </r>
  </si>
  <si>
    <r>
      <t xml:space="preserve">Overall Risk = 100 × (Probability </t>
    </r>
    <r>
      <rPr>
        <sz val="11"/>
        <color theme="1"/>
        <rFont val="Calibri"/>
        <family val="2"/>
        <scheme val="minor"/>
      </rPr>
      <t>× Overall Severity) / 16</t>
    </r>
  </si>
  <si>
    <r>
      <t xml:space="preserve">Public Health Risk = 100 × (Probability </t>
    </r>
    <r>
      <rPr>
        <sz val="11"/>
        <color theme="1"/>
        <rFont val="Calibri"/>
        <family val="2"/>
        <scheme val="minor"/>
      </rPr>
      <t>× Public Health Severity) / 16</t>
    </r>
  </si>
  <si>
    <r>
      <t xml:space="preserve">Healthcare Risk = 100 × (Probability </t>
    </r>
    <r>
      <rPr>
        <sz val="11"/>
        <color theme="1"/>
        <rFont val="Calibri"/>
        <family val="2"/>
        <scheme val="minor"/>
      </rPr>
      <t>× Healthcare Severity) / 16</t>
    </r>
  </si>
  <si>
    <t>Relevance:</t>
  </si>
  <si>
    <t>At-Risk Populations Score</t>
  </si>
  <si>
    <t>Cyber Terrorism</t>
  </si>
  <si>
    <t>Click on the hazard to see to see an analysis of the associated public health risks.</t>
  </si>
  <si>
    <t>Planning Priority Scores</t>
  </si>
  <si>
    <t>Summary of Scores</t>
  </si>
  <si>
    <t>Probability vs. Severity</t>
  </si>
  <si>
    <t>Hazard</t>
  </si>
  <si>
    <t>Severity Score</t>
  </si>
  <si>
    <t>Overall</t>
  </si>
  <si>
    <t>Risk Score</t>
  </si>
  <si>
    <t>Adjusted Risk Score</t>
  </si>
  <si>
    <t>Planning Priority Score</t>
  </si>
  <si>
    <t>Planning Priority Indicator</t>
  </si>
  <si>
    <t>Preparedness Score</t>
  </si>
  <si>
    <t>Hazard:</t>
  </si>
  <si>
    <t>Planning Priority Score:</t>
  </si>
  <si>
    <t>Adjusted Risk vs. Preparedness</t>
  </si>
  <si>
    <t>Active Shooter: Analysis</t>
  </si>
  <si>
    <t>Biological Terrorism: Analysis</t>
  </si>
  <si>
    <t>Chemical Terrorism: Analysis</t>
  </si>
  <si>
    <t>Civil Disturbance: Analysis</t>
  </si>
  <si>
    <t>Coastal Storm: Analysis</t>
  </si>
  <si>
    <t>Conventional Explosive: Analysis</t>
  </si>
  <si>
    <t>Cyber Terrorism: Analysis</t>
  </si>
  <si>
    <t>Drought: Analysis</t>
  </si>
  <si>
    <t>Earthquake: Analysis</t>
  </si>
  <si>
    <t>Fire: Analysis</t>
  </si>
  <si>
    <t>Flood: Analysis</t>
  </si>
  <si>
    <t>Hazardous Materials Release: Analysis</t>
  </si>
  <si>
    <t>Localized Infectious Disease: Analysis</t>
  </si>
  <si>
    <t>Nuclear Facility Accident: Analysis</t>
  </si>
  <si>
    <t>Pandemic: Analysis</t>
  </si>
  <si>
    <t>Radiation Dispersal Device: Analysis</t>
  </si>
  <si>
    <t>Temperature Extremes: Analysis</t>
  </si>
  <si>
    <t>Tornado: Analysis</t>
  </si>
  <si>
    <t>Utility Interruption: Analysis</t>
  </si>
  <si>
    <t>Winter Storm: Analysis</t>
  </si>
  <si>
    <t>Overview</t>
  </si>
  <si>
    <t>Mental health Impact</t>
  </si>
  <si>
    <t>PCP Office Visits</t>
  </si>
  <si>
    <t>Sewage/Sanitation</t>
  </si>
  <si>
    <t>Chronic Diseases</t>
  </si>
  <si>
    <t xml:space="preserve"> In the National Planning Scenario, 13, 208 untreated fatalities are predicted (Department of Homeland Security, 2006).  The incubation period has a range of about 30 days (Meselson et al., 1994).</t>
  </si>
  <si>
    <t>In the National Planning Scenario, it is predicted that 328,484 people will be exposed (Department of Homeland Security, 2006).  "Thousands" will seek care at hospitals.  It is assumed that about 1% of those exposed will seek care (3,000),  and that 30% of those will be transported by EMS.  The incubation period has a range of about 30 days (Meselson et al., 1994)</t>
  </si>
  <si>
    <t xml:space="preserve"> In the National Planning Scenario, it is predicted that 328,484 people will be exposed (Department of Homeland Security, 2006).  "Thousands" will seek care at hospitals.  It is assumed that about 1% of those exposed will seek care (3,000).  The incubation period has a range of about 30 days (Meselson et al., 1994)</t>
  </si>
  <si>
    <t>In the National Planning Scenario, it is predicted that 328,484 people will be exposed (Department of Homeland Security, 2006).  It is assumed that about double that number – including many worried well – will want to meet with a PCP for prophylactic antibiotics or follow-up care over 1 month.</t>
  </si>
  <si>
    <t>It is assumed that 2% of providers are unable to report to work due to illness, based upon the attack rate in Sverdlovsk after an accidental weaponized anthrax release (Meselson et al., 1994).</t>
  </si>
  <si>
    <t xml:space="preserve"> It is assumed that the number of staffed beds is reduced because 2% of providers are unable to report to work due to illness, based upon the attack rate in Sverdlovsk after the 1979 accidental weaponized anthrax release (Meselson et al., 1994).  In the National Planning Scenario, “many” are predicted to require advanced critical care due to inhalational anthrax (Department of Homeland Security, 2006).  In Sverldlovsk, 66 patients who died and eleven survivors were hospitalized, for an average of two days and three weeks, respectively (Meselson et al., 1994).  It is assumed that the same ratio of fatalities to survivors is expected, so 13,208 fatalities are expected to require hospitalization for 2 days (Department of Homeland Security, 2006), and 2,201 survivors are expected to require  hospitalization for 3 weeks.  The incubation period has a range of about 30 days (Meselson et al., 1994)</t>
  </si>
  <si>
    <t xml:space="preserve"> It is assumed that the number of staffed beds is reduced because 2% of providers are unable to report to work due to illness, based upon the attack rate in Sverdlovsk after the 1979 accidental weaponized anthrax release (Meselson et al., 1994). </t>
  </si>
  <si>
    <t>It is assumed that the number of staffed beds is reduced because 2% of providers are unable to report to work due to illness, based upon the attack rate in Sverdlovsk after the 1979 accidental weaponized anthrax release (Meselson et al., 1994).   Pharmacies may be required to dispense countermeasures directly.  It is assumed that 1 pharmacist can fill 480 drug orders per day (3 minutes each), and that 328,484 drug orders will be required, based on the number exposed (Department of Homeland Security, 2006).  The incubation period has a range of about 30 days (Meselson et al., 1994)</t>
  </si>
  <si>
    <t>It is assumed that the number of  providers is reduced  by 2% due to illness, based upon the attack rate in Sverdlovsk after the 1979 accidental weaponized anthrax release (Meselson et al., 1994).   In general, 40 providers are needed per 250 disaster victims (Landesman, 2005).   There are predicted to be 328,484 disaster victims / people exposed (Department of Homeland Security, 2006).</t>
  </si>
  <si>
    <t>It is assumed that 2% of providers are unable to report to work due to illness, based upon the attack rate in Sverdlovsk after an accidental weaponized anthrax release (Meselson et al., 1994).   In the National Planning Scenario, “many” are predicted to require advanced critical care due to inhalational anthrax (Department of Homeland Security, 2006).  In Sverldlovsk, 66 patients who died and eleven survivors were hospitalized, for an average of two days and three weeks, respectively (Meselson et al., 1994).  It is assumed that the same ratio of fatalities to survivors is expected, so 13,208 fatalities are expected to require hospitalization for 2 days (Department of Homeland Security, 2006), and 2,201 survivors are expected to require  hospitalization for 3 weeks.  The incubation period has a range of about 30 days (Meselson et al., 1994)</t>
  </si>
  <si>
    <t>In the National Planning Scenario, it is predicted that 328,484 people will be exposed (Department of Homeland Security, 2006).  "Thousands" will seek care at hospitals.  It is assumed that about 1% of those exposed will seek care (3,000).  It is assumed that 70% will self-transport the the hospital and possibly require decontamination.</t>
  </si>
  <si>
    <t>Road closures and public transit closures are predicted.</t>
  </si>
  <si>
    <t>In the National Planning Scenario, a specially fitted flat-bed truck on a busy street in late rush hour traffic turns on a concealed improvised spraying device with a conventional nozzle that rapidly aerosolizes approximately 100 liters of wet-fill Bacillus anthracis (anthrax) slurry (Department of Homeland Security, 2006).   The line source is 1000 meters (1.64 miles).  In Sverdlovsk, people were affected as far as 4.2 km downwind of the release (2.61 miles).  This 1.64 x 2.61 mile area is equivalent to a circle with a radius of about 1.17 miles.</t>
  </si>
  <si>
    <t>In the National Planning Scenario, clinicians will report cases to health departments of severe respiratory symptoms associated with blood cultures positive for gram positive rods.   15,409 patients are expected to develop severe respiratory symptoms (Department of Homeland Security, 2006), over 34 days.  The incubation period will range from 9 to 43 days (Meselson et al., 1994).</t>
  </si>
  <si>
    <t xml:space="preserve">According to the National Planning Scenario, public health laboratory analyses will be required in order to determine the implicated anthrax strain (Department of Homeland Security, 2006).  </t>
  </si>
  <si>
    <t>In the National Planning Scenario, 1,000 will seek shelter and require decontamination (Department of Homeland Security, 2006).</t>
  </si>
  <si>
    <t>The response plan for  an anthrax release is to provide prophylaxis tor the entire population.</t>
  </si>
  <si>
    <t>In Sverdlovsk, newspaper articles and posters were generated to warn of the risk of anthrax from consumption of uninspected meat and contact with sick animals (Meselson et al., 1994).  Information will be disseminated regarding appropriate use of antibiotic prophylaxis, sheltering in place, worrisome symptoms, decontamination, etc.  It is estimated that two full-time employees will be dedicated to health communication.</t>
  </si>
  <si>
    <t>It is estimated that PCP visits will increase significantly due to behavioral health impacts, the worried well, and patients with psychosomatic symptoms.</t>
  </si>
  <si>
    <t>It is estimated that demand for pharmaceuticals will increase due to the high rate of anxiety and post-traumatic stress in the population.</t>
  </si>
  <si>
    <t xml:space="preserve">In general, 40 providers are needed per 250 disaster victims (Landesman, 2005).   It is predicted that 60% of the population will be affected (Ohbu et al., 1997). </t>
  </si>
  <si>
    <t>In the National Planning Scenario, victims will be decontaminated before being transported to hospitals.</t>
  </si>
  <si>
    <t>Road closures or subway / public transit closures are predicted.</t>
  </si>
  <si>
    <t>It is estimated that the number of personnel necessary would be at least as great as in a hazardous materials release.  In a 2005 South Carolina chlorine spill, 70 additional personnel were brought in to maintain 24-hour surveillance for 17 days (Cladwell, 2005)</t>
  </si>
  <si>
    <t>Hazard-Related Increase in  Demand for Public Health Staff:</t>
  </si>
  <si>
    <t>It is assumed that the number of  providers is reduced  by 2% due to illness, based upon the attack rate in Sverdlovsk after the 1979 accidental weaponized anthrax release (Meselson et al., 1994).   It is assumed that the demand for public health personnel will increase by a factor of 2, based upon the need for public health services, including disease surveillance, epidemiological investigation, environmental assessment, medical countermeasure dispensing, etc.</t>
  </si>
  <si>
    <t>Clinical laboratory samples will be analyzed to identify the chemical agent.  Environmental samples will be analyzed to assess contamination.  Additionally, forensic laboratory services will be necessary to track and apprehend suspects.</t>
  </si>
  <si>
    <t>It is estimated that two full-time employees will be required to disseminate information regarding signs &amp; symptoms, protection, treatment, and mental health services.</t>
  </si>
  <si>
    <t>After the LA Riots, high level of psychological stress was reported by community women (Brown, Melchior, Reback, &amp; Huba, 1994), and stress symptomology was seen in 17% of police officers (HarveyLintz &amp; Tidwell, 1997).</t>
  </si>
  <si>
    <t>During the LA Riots, 15 county health centers closed, and 38 private medical and dental offices were destroyed or damaged (Evans, 1993).  Out of approximately 1200 offices, this is about 4.4% closed.   After the riots, only 2 physicians reopened in proximity to former offices.</t>
  </si>
  <si>
    <t>During the LA Riots,  45 pharmacies were damaged or destoyed (Evans, 1993).  Out of approximately 500 pharmacies, this is 9%.</t>
  </si>
  <si>
    <t>During the LA Riots, county and private hospitals remained open (Evans, 1993).</t>
  </si>
  <si>
    <t>After the LA Riots, a  sample of women surveyed mentioned lack of social supports from counselors available in affected areas after riot (Brown et al., 1994).  20 drug program and alcohol recovery sites were damaged or burned (Evans, 1993).   In general, 40 providers are needed per 250 disaster victims (Landesman, 2005).   The 2,325 injuries represents 25.8 victims per 100,000.  25.8 × 40 / 250 = 4.13 additional providers needed per 100,000.</t>
  </si>
  <si>
    <t>(Increase = Increase in Hospital Bed Demand)</t>
  </si>
  <si>
    <t>County and private hospitals remained open during the LA Riots.</t>
  </si>
  <si>
    <t>During the LA Riot, bus service and metro rail service were temporarily suspended after employees were attacked and vehicles damaged.  Freeway off-ramps were closed and road blocks set up to limit traffic passing through areas of major unrest (Evans, 1993).</t>
  </si>
  <si>
    <t>During the LA Riots, damaged power lines and transformers left 45,500 customers without electricity (Evans, 1993).  Based upon LA's population of about 9 million in 1992, this was 0.5% of LA County.</t>
  </si>
  <si>
    <t>During the LA Riots, more than 600 buildings were completely destroyed by fire (Evans, 1993).  This represents 0.246% of the 244,000 businesses in Los Angeles County.</t>
  </si>
  <si>
    <t>After the LA Riots, environmental health inspection was required for 2,827 burned and damaged sites for hazardous waste and asbestos.  At 9% of inspected sites, waste required special disposal.  More than 1,000 food facilities suffered damage and required inspection before reopening.  More than 50 million gallons of water used by firefighters surged through storm drain system and emptied into Santa Monica Bay, causing beaches to be closed due to polluted discharge (Evans, 1993).</t>
  </si>
  <si>
    <t>For several days after the LA Riots, transportation routes were disrupted and certain areas were subjected to sporadic gunfire.  After three weeks, some public health staff members had yet to return to their workplace as a result of psychological trauma (Evans, 1993).  Demand for personnel is expected to increase due the excess demand for environmental assessment.</t>
  </si>
  <si>
    <t>After the LA Riots, the CDC sent team to assess violence from epidemiologic perspective.  Additionally, the threat of mosquito-borne encephalitis was assessed due to stagnant pools of water used by firefighters (Evans, 1993).</t>
  </si>
  <si>
    <t xml:space="preserve"> The health department may provide information regarding mental health services or health, hygiene, and safety for protestors/rioters.  It is predicted that 8 hours will be required.</t>
  </si>
  <si>
    <t>Baseline Mortality per Day:</t>
  </si>
  <si>
    <t>Baseline Transports per Day:</t>
  </si>
  <si>
    <t>Baseline ED Visits per Day:</t>
  </si>
  <si>
    <t>Baseline Office Visits per Day:</t>
  </si>
  <si>
    <t>Baseline Trauma Injuries per Day:</t>
  </si>
  <si>
    <t>Hazard-Related Increase in Demand for PCPs per Day:</t>
  </si>
  <si>
    <t>Baseline PCPs:</t>
  </si>
  <si>
    <t>Baseline ED Beds:</t>
  </si>
  <si>
    <t>Hazard-Related Increase in Demand for ED Beds per Day:</t>
  </si>
  <si>
    <t>Baseline Hospital Beds:</t>
  </si>
  <si>
    <t>Baseline Pharmacists:</t>
  </si>
  <si>
    <t>Hazard-Related Increase in  Demand for Trauma ORs:</t>
  </si>
  <si>
    <t>(Demand = Increase in Trauma Injuries per Day)</t>
  </si>
  <si>
    <t>Baseline Mental Health Providers:</t>
  </si>
  <si>
    <t>Baseline Public Health Staff:</t>
  </si>
  <si>
    <t>Morgue Capacity:</t>
  </si>
  <si>
    <t>Hazard-Related Increase in  Demand for Morgue Capacity per Day:</t>
  </si>
  <si>
    <t>Evidence suggests that 30-40% of people affected by a terrorist action are likely to develop PTSD (Whalley &amp; Brewin, 2007).  In addition to PTSD, behavioral changes, anxiety, depression, and other behavioral health consequences are likely to occur.</t>
  </si>
  <si>
    <t>Business closures are predicted during decontamination, while residents are instructed to shelter in place (Department of Homeland Security, 2006).</t>
  </si>
  <si>
    <t>In the National Planning Scenario, over 100,000 people are expected to self-evacuate (Department of Homeland Security, 2006).</t>
  </si>
  <si>
    <t>After the Tokyo Sarin attack, almost 60% of victims suffered from PTSD (Ohbu et al., 1997).</t>
  </si>
  <si>
    <t>During Hurricane Ike in Franklin County, Ohio, calls for emergency assistance increased by a factor of 2.52 for one day (Schmidlin, 2010).</t>
  </si>
  <si>
    <t>During Hurricane Ike in Franklin County, Ohio, ED visits increased by 33% for two days (Schmidlin, 2011) .</t>
  </si>
  <si>
    <t>An increase in trauma is expected due to injuries related to debris and clean-up efforts, resulting in puncture wounds, lacerations, blunt force trauma, electrocutions, and animal bites.</t>
  </si>
  <si>
    <t>Staff shortages and practice closures are expected due to transportation route closures.</t>
  </si>
  <si>
    <t xml:space="preserve">Some staff shortages are expected, but hospitals likely will compensate.  There may be some increased demand due to the inability to discharge patients during the storm, but this is likely counterbalanced by non-emergent patients being discharged in preparation for the storm. </t>
  </si>
  <si>
    <t>Staff shortages and pharmacy closures are expected due to transportation route closures.</t>
  </si>
  <si>
    <t>Staff shortages are expected due to transportation route closures.  Demand is expected to decrease because non-emergent cases will postpone their appointments.</t>
  </si>
  <si>
    <t>Personnel shortages are expected due to transportation route closures.</t>
  </si>
  <si>
    <t>Magnitude = Percent of Residents with well water.  After Irene and Lee, residents were told to boil well water until it could be shock chlorinated, and then to wait several days to have water tested (Campbell, 2011).</t>
  </si>
  <si>
    <t>Hazard = 0.  No hospitals in SE Pennsylvania lost power in Hurrican Irene or Tropical Storm Lee.</t>
  </si>
  <si>
    <t>One day of supply chain disruption is expected due to transportation route closures.</t>
  </si>
  <si>
    <t xml:space="preserve">After Hurricane Irene and Tropical Storm Lee, 14 Sewage treatment plants were shut down across PA (Masterson, 2011).  Water can be pumped from facilities only after flood waters subside. </t>
  </si>
  <si>
    <t>Some homes are expected to flood.</t>
  </si>
  <si>
    <t>Recreational water and wells throughout county will have to be assessed.</t>
  </si>
  <si>
    <t>Demand is expected to increase due to the need for environmental assessment, public information, and surveillance.</t>
  </si>
  <si>
    <t>There is expected to be an increase in case reports of vector-borne diseases related to sitting flood water, foodborne diseases due to lack of refrigeration from power outages, respiratory illnesses due to mold, etc.</t>
  </si>
  <si>
    <t>Laboratory specimens are expected to increase due to lab testing of wells.</t>
  </si>
  <si>
    <t>After Irene and lee, the Montgomery County Health Department issued a number of alerts regarding water safety and mold removal.  It is estimated that one full-time employee is necessary to generate this information.</t>
  </si>
  <si>
    <t>During Hurrincane Irene and Tropical Storm Lee, there was one fatality in Montgomery County (The Delaware County Daily Times, 2011).</t>
  </si>
  <si>
    <t xml:space="preserve">Some interruption is predicted because transportation route closures will prevent personnel from getting to work.  An increased demand for personnel is expected due to the need to conduct environmental assessment and surveillance. </t>
  </si>
  <si>
    <t>A small increase in surveillance is expected due to the monitoring of blast victims for long-term outcomes</t>
  </si>
  <si>
    <t>Public information regarding mental health services, environmental hazards, and dust inhalational hazards will be released.  Communications with hospitals will also be vital.  This is predicted to require 12 hours.</t>
  </si>
  <si>
    <t>Concerns about privacy, security, and an impending physical attack are likely to be related to a mental health impact.</t>
  </si>
  <si>
    <t>After a Seattle hospital botnet attack, the aftermath lasted for weeks. As computers stopped working, extra workers were brought in to help carry out tasks by hand. Lab results, for instance, were run from the lab to the hospital floor to the patient's bedside. To save time, elective procedures were postponed (Gage, 2007).  The number of staffed beds is expected to decline due to the additional demands on staff.</t>
  </si>
  <si>
    <t>After a Seattle hospital botnet attack, the aftermath lasted for weeks. As computers stopped working, extra workers were brought in to help carry out tasks by hand. Lab results, for instance, were run from the lab to the hospital floor to the patient's bedside. To save time, elective procedures were postponed (Gage, 2007).  The number of pharmacists needed is expected to increase due to the additional demands on staff.</t>
  </si>
  <si>
    <t>Additional mental health providers are expected to be required due to the mental health impact of the attack.</t>
  </si>
  <si>
    <t xml:space="preserve"> After a Seattle hospital botnet attack, the aftermath lasted for weeks (Gage, 2007).  It is assumed that the attack occurs at the region's largest hospital.</t>
  </si>
  <si>
    <t>Communication with the public will be necessary regarding the status of the hospital &amp; the attack, security, privacy, etc.</t>
  </si>
  <si>
    <t xml:space="preserve">Higher water temperatures usually accompanying drought and resultant low flow conditions can affect the susceptibility and spread of disease (bacterial, fungal, parasitic) in fish and shellfish (Centers for Disease Control and Prevention et al., 2010).  Other drought-related factors affect air quality, including the presence of airborne toxins originating from freshwater blooms of cyanobacteria. These aerosolized toxins have been associated with lung irritation, which can lead to adverse health effects in certain populations. The dry, dusty conditions associated with drought also can lead to infectious disease, such as coccidioidomycosis (valley fever).   People who engage in water-related recreational activities during drought may be at increased risk for waterborne disease caused by bacteria, protozoa, and other contaminants (e.g., chemicals and heavy metals) (Centers for Disease Control and Prevention et al., 2010). </t>
  </si>
  <si>
    <t xml:space="preserve"> The financial implications of drought have been shown to have an adverse effect on persons who rely on rainfall and water for their economic survival, including farmers and other agriculture-related professionals, ranchers, landscapers, horticulturalists, nursery and garden supply owners and employees, and recreational facility operators. Financial-related stress and worry can cause depression, anxiety, and a host of other mental and behavioral health conditions and disorders.  During the 1980s, male farmers and ranchers in the states of Wisconsin, Minnesota, North Dakota, South Dakota, and Montana demonstrated rates of suicide that were twice the national rate. It is believed that drought was a major contributor to this outcome (Centers for Disease Control and Prevention et al., 2010). </t>
  </si>
  <si>
    <t>The demand for mental health services is expected to increase due to the adverse psychological consequences of drought.</t>
  </si>
  <si>
    <t xml:space="preserve">Runoff from drought-related wildfires can carry extra sediment, ash, charcoal, and woody debris to surface waters, killing fish and other aquatic life by decreasing oxygen levels in the water. During the 1996 Buffalo Creek fire in Colorado, municipal water supplies were forced to shut off, one of Denver’s water treatment plant closed, a water-supply reservoir required extensive cleaning, and a local beverage manufacturer was forced to haul in water for use during production activities (Centers for Disease Control and Prevention, U.S. Environmental Protection Agency, National Oceanic and Atmospheric Agency, &amp; American Water Works Association, 2010). </t>
  </si>
  <si>
    <t>Lack of water, along with the changes in water temperature that often accompany drought, can compromise production capacity within power plants. Lower production capacity causes shortages in available electricity (Centers for Disease Control and Prevention et al., 2010).</t>
  </si>
  <si>
    <t>During the 1996 Buffalo Creek fire in Colorado, a water-supply reservoir required extensive cleaning (Centers for Disease Control and Prevention, U.S. Environmental Protection Agency, National Oceanic and Atmospheric Agency, &amp; American Water Works Association, 2010).  Well-water would require testing.</t>
  </si>
  <si>
    <t>During the early stages of drought, public health professionals should inform the public about a wide range of drought-related issues, such as water conservation practices and the hazards posed by recreational water(Centers for Disease Control and Prevention et al., 2010).  Public Health information must be released regarding the quantity and quality of potable water, food and nutrition, energy, air quality, recreation, mental and behavioral health, infectious diseases, and certain chronic diseases (respiratory conditions and immune disorders).</t>
  </si>
  <si>
    <t>No mortality occurred as a result of the Pymatuning Earthquake, the strongest recorded in PA.</t>
  </si>
  <si>
    <t>In the Pymatuning Earthquake of 1998, one person was injured by being thrown to the ground (Dewey &amp; Hopper, 1998)</t>
  </si>
  <si>
    <t>After the Pymatuning Earthquake of 1998, nearby residents found that water levels declined, water color changed to brown or black, and water smelled like sulfur. Water level declines were documented in 121 wells, and at least 90 wells dried up and had not returned to previous levels as of 2006.  These wells had to be re-drilled at the owner’s expense (Gorokhvovich &amp; Fleeger, 2007).</t>
  </si>
  <si>
    <t>Health alerts regarding water safety would be released.  It is estimated that one full-time employee is necessary to generate this information.</t>
  </si>
  <si>
    <t>Well water and recreational quality must be assessed, and environmental remediation efforts must be undertaken to remove debris and ash and evaluate burnt structures for asbestos and other hazardous materials.</t>
  </si>
  <si>
    <t>Health officials will likely release bulletins regarding smoke inhalation, heat, water quality, food spoilage  secondary to power outages, shelter for evacuees, and safety in shelters.   It is predicted that two full-time employees would be necessary for communication.</t>
  </si>
  <si>
    <t>Closures are expected due to flooded roadways.</t>
  </si>
  <si>
    <t>Some people displaced from homes due to flooding will require shelter.</t>
  </si>
  <si>
    <t>The 2005 SC train derailment/chlorine spill caused 9 deaths (CDC, 2005).</t>
  </si>
  <si>
    <t>After the 2005 SC train derailment/chlorine spill, 511 were examined in EDs (CDC, 2005); it is assumed that half were transported by EMS.</t>
  </si>
  <si>
    <t>After the 2005 SC train derailment/chlorine spill, 511 were examined in EDs (CDC, 2005).</t>
  </si>
  <si>
    <t>After the 2005 SC train derailment/chlorine spill, 18 were treated at area physician offices (CDC, 2005).</t>
  </si>
  <si>
    <t>After the 2005 SC train derailment/chlorine spill, 44 out of 94 community respondents to a questionnaire screened positive for PTSD (Duncan et al., 2011).  In addition to PTSD, behavioral changes, anxiety, depression, and other behavioral health consequences are likely to occur.</t>
  </si>
  <si>
    <t>After the 2005 SC train derailment/chlorine spill, 69 were hospitalized in 7 area hospitals (CDC, 2005).</t>
  </si>
  <si>
    <t>Demand = (Population of largest city or population center) × 40 / 250.   In general, 40 providers are needed per 250 disaster victims (Landesman, 2005). It is assumed that the hazardous materials release will occur in the most densely populated city or geographic area.</t>
  </si>
  <si>
    <t>After the 2005 SC train derailment/chlorine spill, 511 were examined in EDs (CDC, 2005); it is assumed that half were transported by EMS.  The other half will self-transport and require decontamination at hospitals.</t>
  </si>
  <si>
    <t>After the 2005 SC chlorine spill, the train tracks themselves and roads adjacent were heavily damaged.  SCDOT had to remove and completely reconstruct them (Dunning &amp; Oswalt, 2007).  Major routes within the plume were closed temporarily.</t>
  </si>
  <si>
    <t>After the 2005 SC chlorine spill, area schools and businesses remained closed for about 14 days(CDC, 2005).</t>
  </si>
  <si>
    <t xml:space="preserve">3.14159 × population density of most densely populated city or geographic area in county, for more than 14 days.  After the 2005 SC chlorine spill, residents within a one-mile radius were evacuated for several weeks (CDC, 2005).  </t>
  </si>
  <si>
    <t>After the SC chlorine spill, homes within a 500-yard radius were monitored and evaluated (EPA, 2005).</t>
  </si>
  <si>
    <t>After the SC chlorine spill, 70 additional personnel were brought in to maintain 24-hour surveillance for 17 days (Cladwell, 2005).</t>
  </si>
  <si>
    <t>After the SC chlorine spill, all those with symptoms were assessed via interview and monitored for long-term complications (CDC, 2005).</t>
  </si>
  <si>
    <t>3.14159 × population density of most densely populated city or geographic area in county, for less than 14 days.  After the 2005 SC shelters were set up for residents within a one-mile radius (CDC, 2005).  Shelters were closed on Day 5; those who could not return to their homes found other accommodations.</t>
  </si>
  <si>
    <t>Environmental samples will be analyzed to assess contamination.</t>
  </si>
  <si>
    <t xml:space="preserve"> It is estimated that one full-time employee will be required to disseminate information regarding signs &amp; symptoms, protection, treatment, evacuation, shelter facilities, and mental health services.</t>
  </si>
  <si>
    <t>During the Hepatits A outbreak of 2003 in Beaver County, 3 patients died (Wheeler et al., 2005).  Based on the 170,567 people in Beaver County, this is 0.00176%.</t>
  </si>
  <si>
    <t>During the LA Riots, 53 people were killed over 6 days (Crogan, 2002).  Based upon LA's population of about 9 million in 1992, this was 0.00059% of the population over 6 days.</t>
  </si>
  <si>
    <t>During the LA Riots, there were 2,325 injuries, and 34% were transported via ambulance.  Police cars transported 11%, 13% arrived by foot, and between 30% and 70% transported themselves or were taken by friends (O'Leary, 2004).  This is 131 transports per day or, based upon LA's population of about 9 million in 1992, 0.00146% of the population per day.</t>
  </si>
  <si>
    <t>During the LA Riots, there were 2,325 injuries in 6 days (Evans, 1993).  This is 387.5 per day or, based upon LA's population of about 9 million in 1992, 0.0043% of the population.</t>
  </si>
  <si>
    <t>On the first day of the LA Riots, 28 GSWs were treated at a county level I trauma center, which was not significantly higher than pre-riot norms (Ordog, Shoemaker, Wasserberger, &amp; Bishop, 1995).   Based upon LA's population of about 9 million in 1992, this is 0.000311% of the population per day.</t>
  </si>
  <si>
    <t>County and private hospitals remained open during the LA Riots.  248 people were admitted to hospitals as a result of the LA Riots (Evans, 1993).  Based upon LA's population of about 9 million in 1992, this was 0.00276% of the population.</t>
  </si>
  <si>
    <t xml:space="preserve">During the Hepatitis A outbreak of 2003 in Beaver County, 26% of those ill were hospitalized.   At the peak of the outbreak, this was 14 visits, or based on the 170,567 people in Beaver County, .0082% of the population (Wheeler et al., 2005).
</t>
  </si>
  <si>
    <t>At the peak of the Hepatitis A outbreak of 2003 in Beaver County, 52 people were sick.  It is assumed that half of these sought outpatient care, which amounts to 26 visits per day or, based  upon the 170,567 people in Beaver County, .015% of the population.</t>
  </si>
  <si>
    <t>During the Hepatitis A outbreak of 2003 in Beaver County, 26% of those ill were hospitalized.   At the peak of the outbreak, this was 14 visits, or based on the 170,567 people in Beaver County, .0082% of the population (Wheeler et al., 2005).</t>
  </si>
  <si>
    <t>During the listeriosis outbreak of July-October 2002, 50 scientists, regional epidemiologists, consumer safety officers, compliance officers, and personnel were involved in the investigation (FSIS, 2002).</t>
  </si>
  <si>
    <t xml:space="preserve"> During the Hepatits A outbreak of 2003 in Beaver County, 601 patients with hepatitis A were identified.  At the peak of the outbreak, this was 52 patients in one day, or based on the 170,567 people in Beaver County, .030% of the population (Wheeler et al., 2005).</t>
  </si>
  <si>
    <t xml:space="preserve">During the Hepatitis A outbreak of 2003 in Beaver County, a clinic was set up at Beaver County Community Clinic to provide immune globulin to everyone who had eaten at Chi Chi's in October 2003.  More than 9,000 people received immune globulin (Flynn, 2009).  This is 19%, based on the population of Beaver County. </t>
  </si>
  <si>
    <t>During the Hepatits A outbreak of 2003 in Beaver County, 601 patients with hepatitis A were identified.  At the peak of the outbreak, this was 52 patients in one day, or based on the 170,567 people in Beaver County, 0.03% of the population (Wheeler et al., 2005).</t>
  </si>
  <si>
    <t>Public information would be distributed regarding signs and symptoms, food safety, treatment, etc.  It is predicted that one full-time employee would be necessary for communication.</t>
  </si>
  <si>
    <t>During the Fukushima Daiichi disaster there was no mortality.</t>
  </si>
  <si>
    <t>ome increase in EMS transports is expected due to panic and evacuation, including heart attacks, anxiety, trip and fall accidents, etc.</t>
  </si>
  <si>
    <t>In 1987, in Goiania, Brazil, 250 people were contaminated with radiation, and approximately 130,000 people descended upon the local emergency room (10% of Goiania's 1.3 million population).  It is assumed that 10% of the region's population will seek emergency care/assessment.</t>
  </si>
  <si>
    <t>PCP visits are expected to increase due to a surge of patients seeking assessment and advice regarding the appropriate use of KI and other protective measures.  After the radiation exposure in Goiânia, many patients presented to PCPs with psychosomatic symptoms.  In Fukushima,  all children will have thyroid checks every two years until the age of 20 (Tedder, 2011).</t>
  </si>
  <si>
    <t xml:space="preserve">All PCPs within a 10-mile radius of the  nuclear reactor would be evacuated. </t>
  </si>
  <si>
    <t xml:space="preserve">All EDs within 10-mile radius of nuclear reactor would be closed/evacuated.  </t>
  </si>
  <si>
    <t xml:space="preserve">All hosptials within a 10-mile radius of the nuclear reactor would be closed/evacuated.  </t>
  </si>
  <si>
    <t xml:space="preserve"> All pharmacies within a 10-mile radius of the nuclear reactor would be closed/evacuated.  Some increased demand for pharmacists is expected due to the surge of patients wanting to fill prescriptions before or after evacuation.</t>
  </si>
  <si>
    <t>Demand = (Population within 10-mile radius of a nuclear reactor) × 40 / 250.  All mental health providers within a 10-mile radius of the nuclear reactor will be evacuated.   In general, 40 providers are needed per 250 disaster victims (Landesman, 2005).</t>
  </si>
  <si>
    <t xml:space="preserve"> All nurses within a 10-mile radius of the nuclear reactor will be evacuated.</t>
  </si>
  <si>
    <t>Other power plants on the same grid may not be able to compensate for the loss of the nuclear reactor's generating capacity.  The area will most likely experience rolling brown-outs.</t>
  </si>
  <si>
    <t>After Fukushima, water as far as Tokyo was unsafe for infants (McCurry, 2011).</t>
  </si>
  <si>
    <t>Percent of region's businesses located within 10 miles of a nuclear reactor?</t>
  </si>
  <si>
    <t>IF any major transportation routes in the region fall within the 10-mile exclusion zone around a nuclear reactor.  Roads within a 10-mile evacuation zone will be closed.</t>
  </si>
  <si>
    <t>Businesses that fall within the 10-mile exclusion zone around a nuclear reactor will be closed/evacuated.</t>
  </si>
  <si>
    <t xml:space="preserve"> Agricultural products within a 50-mile radius will have to be assessed and monitored periodically.</t>
  </si>
  <si>
    <t>An increased demand for public health staff is expected in order to dispense KI, assess radiation exposure, staff shelters for evacuees, distribute public information, conduct environmental assessments, and monitor health impacts.</t>
  </si>
  <si>
    <t>In Fukushima, 160,000 people in the general population were screened in March 2011 for radiation exposure (Nuclear and Industrial Safety Agency, 2011).  100,000 were evacuated.  The ratio of screenings per evacuees is used to determine the number of screenings predicted given the number of people in the county who live within a 10-mile radius of a nuclear reactor.</t>
  </si>
  <si>
    <t xml:space="preserve"> People within 10 miles of the reactor will be evacuated to shelters and require monitoring for signs of contamination.</t>
  </si>
  <si>
    <t>Percent = Percent of county under age 40, IF part of the county falls within a 50-mile radius of a nuclear reactor.  All children and adults under 40 should receive KI.</t>
  </si>
  <si>
    <t>Bioassays would be needed to examine victims for signs of radioactive contamination, and air, soil, water, milk, and agricultural products would be regularly tested for radiological contaminants for years.</t>
  </si>
  <si>
    <t>Public information would be distributed regarding mental health services, signs and symptoms of radiation exposure, food and water contamination, appropriate use of KI, evacuation, shelters, etc.  It is predicted that four full-time employees would be necessary for communication.</t>
  </si>
  <si>
    <t>Morgue units with the 10-mile exclusion zone of a nuclear reactor would be unusable.</t>
  </si>
  <si>
    <t>The National Planning Scenario predicts 121 deaths per 100,000 during the peak week, or about .017% of the population per day (Department of Homeland Security, 2006).</t>
  </si>
  <si>
    <t>HHS estimates that 15% of the population will seek outpatient care over 8 weeks, or 0.268% per day (Department of Homeland Security, 2006).</t>
  </si>
  <si>
    <t>According to the National Planning Scenario, "Family members are distraught and outraged when loved ones die within a matter of a few days. Public anxiety heightens mistrust of government, diminishing compliance with public health advisories."</t>
  </si>
  <si>
    <t>OSHA predicts 40% workplace absenteeism during the peak week of a pandemic (OSHA, 2007).</t>
  </si>
  <si>
    <t>OSHA predicts 40% workplace absenteeism during the peak week of a pandemic (OSHA, 2007).   Additionally, medical equipment supply may be disrupted due to illness in truck drivers (Department of Homeland Security, 2006).</t>
  </si>
  <si>
    <t>OSHA predicts 40% workplace absenteeism during the peak week of a pandemic (OSHA, 2007).   Additionally, medical equipment supply may be disrupted due to illness in truck drivers (Department of Homeland Security, 2006).   The National Planning Scenario predicts 0.57% of the population to be hospitalized during the peak week (Department of Homeland Security, 2006).</t>
  </si>
  <si>
    <t>OSHA predicts 40% workplace absenteeism during the peak week of a pandemic (OSHA, 2007).  Additionally, medical equipment supply may be disrupted due to illness in truck drivers (Department of Homeland Security, 2006).  The National Planning Scenario predicts that 30% of the population will be ill over 8 weeks (Department of Homeland Security, 2006).   It is assumed that one pharmacist can fill 480 drug orders per day (3 minutes each); therefore, (population x 30%) / 480 = pharmacists needed.</t>
  </si>
  <si>
    <t>OSHA predicts 40% workplace absenteeism during the peak week of a pandemic (OSHA, 2007).  Additionally, medical equipment supply may be disrupted due to illness in truck drivers (Department of Homeland Security, 2006).</t>
  </si>
  <si>
    <t xml:space="preserve">OSHA predicts 40% workplace absenteeism during the peak week of a pandemic (OSHA, 2007).  During the SARS incident in Toronto, 16% of the population experienced traumatic stress (Ursano et al., 2006).  It is assumed that a pandemic will cause a similar number rate of traumatic stress.  In general, 40 providers are needed per 250 disaster victims (Landesman, 2005), so (16% of the population) / 250 × 40 additional providers are required. </t>
  </si>
  <si>
    <t>"In a severe pandemic, absenteeism will increase from illness, the need to care for ill family members, and the fear of infection. This is predicted to reach up to 40% during the peak weeks of an outbreak. This absenteeism can affect drinking water and wastewater system operators and their capability to operate and maintain their systems adequately, thereby increasing the risks to public health. Absenteeism would also affect workers from other essential and interdependent sectors such as the transportation, power, and chemical sectors. It can have an adverse impact on services such as delivery of chemicals and other essential materials and supplies." (EPA, 2009).</t>
  </si>
  <si>
    <t>Medical equipment supply may be disrupted due to illness in truck drivers (Department of Homeland Security, 2006).</t>
  </si>
  <si>
    <t xml:space="preserve"> "In a severe pandemic, absenteeism will increase from illness, the need to care for ill family members, and the fear of infection. This is predicted to reach up to 40% during the peak weeks of an outbreak. This absenteeism can affect drinking water and wastewater system operators and their capability to operate and maintain their systems adequately, thereby increasing the risks to public health. Absenteeism would also affect workers from other essential and interdependent sectors such as the transportation, power, and chemical sectors. It can have an adverse impact on services such as delivery of chemicals and other essential materials and supplies." (EPA, 2009).</t>
  </si>
  <si>
    <t>The HHS Pandemic Influenza Plan includes plans to curtain interstate modes of transportation and close mass transit systems (HHS, 2005).</t>
  </si>
  <si>
    <t xml:space="preserve"> "In communities, during the peak weeks of influenza outbreaks 6-8 weeks in length, about a quarter of workers are absent because of illness, the need to care for ill relatives, and fear of becoming infected in public or workplace settings... Supplies of food, fuel, and medical supplies are disrupted as truck drivers become ill or stay home from work. In some areas, grocery store shelves are empty, and social unrest occurs" (Department of Homeland Security, 2006).</t>
  </si>
  <si>
    <t>"Evacuations will have no meaningful effect on the spread of disease and may be counter-productive by spreading infection to as yet unaffected areas and by overburdening services in a site that soon is likely to experience an outbreak of disease. Isolating ill persons at home, if hospital care is not needed, can decrease the transmission of infection but requires that health care and other services can be delivered, as needed. Quarantine of exposed persons is not likely to affect the spread of influenza because of the short incubation" (Department of Homeland Security, 2006)</t>
  </si>
  <si>
    <t>OSHA predicts 40% workplace absenteeism during the peak week of a pandemic (OSHA, 2007).  The demand for public health personnel is expected to increase due to the need to track and monitor illness, distribute public information, and dispense vaccinations and medication.</t>
  </si>
  <si>
    <t>During H1N1, a laboratory in New York City reported a 7.5× increase in laboratory specimens (Crawford et al., 2010).</t>
  </si>
  <si>
    <t>Immunization and/or antivirals will be distributed to 100% of the population.</t>
  </si>
  <si>
    <t>Public information would be distributed regarding signs and symptoms of illness, precautions against exposure, vaccinations, medication, mental health services, etc.  It is predicted that two full-time employees would be necessary for communication.</t>
  </si>
  <si>
    <t>The National Planning Scenario predicts  50,000 "worried well" will visit EDs (Department of Homeland Security, 2006).</t>
  </si>
  <si>
    <t>Research suggests that 26% of providers will be unable or unwilling to report to work after a radiation dispersal device (Redlener, Garrett, Levine, &amp; Mener).</t>
  </si>
  <si>
    <t>After the Goiânia accident, 35.8% of the population experienced psychopathology (Hall et al., 2006).  In general, 40 providers are needed per 250 disaster victims (Landesman, 2005).  (35.8% of population) / 250 × 40 additional providers are necessary.</t>
  </si>
  <si>
    <t>Even if individuals with blast injuries are decontaminated before transport, the presence of radioactive shrapnel in wounds may require additional decontamination at hospitals.</t>
  </si>
  <si>
    <t>Transportation corridors adjacent to the blast site will be closed during decontamination and clean-up.</t>
  </si>
  <si>
    <t>Businesses in the area of the blast site will be closed during decontamination and clean-up.</t>
  </si>
  <si>
    <t>A 3-mile radius will require assessment/decontamination (Department of Homeland Security, 2006; EPA, 2010).</t>
  </si>
  <si>
    <t>The demand for public health personnel is expected to increase  due to the need to assess radiation exposure, staff shelters for evacuees, distribute public information, conduct environmental assessments, and monitor health impacts.</t>
  </si>
  <si>
    <t>Laboratories will have to conduct bioassays to determine internal contamination as well as assessmensts of environmental contamination.</t>
  </si>
  <si>
    <t>Public information would be distributed regarding mental health services, signs and symptoms of radiation exposure, evacuation, shelters, protection, etc.  It is predicted that two full-time employees would be necessary for communication.</t>
  </si>
  <si>
    <t>During the Chicago Heat Wave of July 13-21, 1995, a total of 1177 deaths occurred in Chicago.  This is an 85% increase over the same period in 1994 (637 deaths) (CDC, 1995).</t>
  </si>
  <si>
    <t>During the Chicago Heat Wave of July 13-21, 1995, Chicago experienced a 67% increase in 911 calls (Kaplan, 1995).</t>
  </si>
  <si>
    <t>During the Chicago Heat Wave of July 13-21, 1995, Chicago experienced 3,300 excess ED visits (Kaplan, 1995).  Based on Chicago's 2.7 million population, this is 0.122% of the population.</t>
  </si>
  <si>
    <t xml:space="preserve"> During and after the Chicago Heat Wave, hospital admissions in Chicago increased 3.4% for one month.</t>
  </si>
  <si>
    <t>During the Chicago Heat Wave, some communities lost water pressure due to open fire hydrants around the city (Klinenberg, 2002).</t>
  </si>
  <si>
    <t>During the Chicago Heat Wave, 40,000 people lost power overnight due to strain on the power grid (Changnon, 1996).  Based on Chicago’s 2.7 million people, this represents 1.5% of the population.</t>
  </si>
  <si>
    <t>During the Chicago Heat Wave, commuter and freight delays were experienced due to buckling roads and warped railroad tracks from the heat (Changnon, 1996).</t>
  </si>
  <si>
    <t>During the Chicago Heat Wave, several business were closed due to power loss (Changnon, 1996).</t>
  </si>
  <si>
    <t>Some increased surveillance is expected for diarrheal illness associated with spoiled food, due to power outages.  Public Health officials will also monitoring heat-related illness.</t>
  </si>
  <si>
    <t>It is expected that information will be disseminated about heat exhaustion/stroke, keeping cool, drinking water, using cooling centers, etc.  It is expected that 12 hours will be necessary to generate and disseminate this information.</t>
  </si>
  <si>
    <t>There were four fatalities from the 2011 Massachuseets F3 tornado (Goodnough, 2011).</t>
  </si>
  <si>
    <t>During the 2011 Massachusetts F3 tornado, AMR received 3-times its normal call volume (AMR, 2012).</t>
  </si>
  <si>
    <t>After the 2011 Massachuseets F3 tornado, 200 people sought medical treatment (CBS, 2011).</t>
  </si>
  <si>
    <t>After the 2011 Massachuseets F3 tornado, five injuries required surgery (VINNews, 2011).</t>
  </si>
  <si>
    <t>After the 2011 tornado in Joplin, Missouri, 800 children were in need of therapy (Morris, 2011), 40 adults treated for severe depression, and 3 suicides took place (MU, 2011).  Joplin is a city of 50,000.</t>
  </si>
  <si>
    <t>In Springfield, Massachusetts, 40 people were admitted to hospitals after the 2011 F3 tornado (Associated Press, 2011).</t>
  </si>
  <si>
    <t xml:space="preserve">In general, 40 providers are needed per 250 disaster victims (Landesman, 2005). It is assumed that the tornado will occur in the most densely populated city or geographic area. </t>
  </si>
  <si>
    <t>Due to power outage, residents reliant on well water will lose the ability to pump water until power is restored.</t>
  </si>
  <si>
    <t>Some sewage treatment centers use electricity to move sewage through system; will become backed up after extended power outage.  Power outage is not expected to have long enough duration to impact sewage.</t>
  </si>
  <si>
    <t>After the 2011 Massachuseets F3 tornado, downed trees and power lines closed roads for several days.</t>
  </si>
  <si>
    <t xml:space="preserve">After the 2011 Massachusetts F3, over 600 families (approximately 1600 people) were displaced (HAPHousing, 2011).  Most were relocated within 4 weeks. </t>
  </si>
  <si>
    <t>After the 2011 Massachusetts F3, debris and damaged homes/buildings had to be assessed for asbestos and other contaminants.  The tornado track was 39 miles long × 0.5 miles wide, which is equivalent to an area with about a 2.5 mile radius) (NewsMappers, 2011).</t>
  </si>
  <si>
    <t>Additional personnel are expected to be required to conduct environmental health assessment and surveillance, provide public information, provide immunizations, staff shelters with medical needs, etc.</t>
  </si>
  <si>
    <t>Surveillance will be required to monitor casualty counts, hospitalizations, mental health sequelae, skin and soft tissue infections, fractures, etc.</t>
  </si>
  <si>
    <t xml:space="preserve">The demand for laboratory services is expected to increase due to testing of clinical specimens and environmental specimens. </t>
  </si>
  <si>
    <t>Public information will be disseminated related to fungal and bacterial infections, shelters, safety, food and water safety related to the power outage, the need for immunizations and medical treatment for infections, etc.  It is estimated that three full-time employees will be necessary to generate and disseminate this information.</t>
  </si>
  <si>
    <t xml:space="preserve">After the 2011 Massachusetts F3, disaster shelters in Springfield and West Springfield housed over 400 displaced people (HAPHousing, 2011).  Most were relocated within 4 weeks. </t>
  </si>
  <si>
    <t>During the Northeast Blackout of 2003, two deaths in NYC were linked to the use of flame for candlelight (Prezant et al., 2005)</t>
  </si>
  <si>
    <t>During the Northeast Blackout of 2003, 911 calls in NYC increased 9% (Prezant et al., 2005).</t>
  </si>
  <si>
    <t>During the Northeast Blackout of 2003, one ED in NYC reported a 4× increase in volume (Pérez-Peña, 2003), and another reported only a 6% increase (Prezant et al., 2005).  A 2× increase is assumed.</t>
  </si>
  <si>
    <t>During the Northeast Blackout of 2003, New York Presbyterian in NYC did not experience an increase in volume (Eachempati, Mick, &amp; Barie, 2004).</t>
  </si>
  <si>
    <t xml:space="preserve">During the Northeast Blackout of 2003 in NYC, many residents feared the blackout was the result of a terrorist attack and experienced panic.  Vulnerable pops, people stuck in elevators and on subway trains, etc. would be disproportionately impacted. </t>
  </si>
  <si>
    <t xml:space="preserve">Many private offices do not have back-up generators.  It is assumed that all PCP offices will be closed. </t>
  </si>
  <si>
    <t>During the Northeast Blackout of 2003, four hospitals in NYC experienced back-up generator failure for approximately 2 hours (Beatty et al., 2006).  It is assumed that backup generator failures occur at 2 region hospitals, including the region's largest hospital.</t>
  </si>
  <si>
    <t>Many pharmacies do not have back-up generators.  It is assumed that all pharmacies will be closed.</t>
  </si>
  <si>
    <t>Many private offices do not have back-up generators.  It is assumed that half of mental health provider offices will be closed.</t>
  </si>
  <si>
    <t xml:space="preserve">Sewage treatment facilities will begin to discharge raw sewage within a day.  It is assumed that power will be out for 3 days. </t>
  </si>
  <si>
    <t>Amtrack and Regional Rail Lines will be closed.</t>
  </si>
  <si>
    <t>After the Northeast Blackout of of 2003, back-up generators at two sewage treatment plants failed and emptied 500 million gallons of untreated waste into the surrounding waterways (Beatty et al., 2006).</t>
  </si>
  <si>
    <t>Interruption is estimated due to personnel being unable to report to work due to school closings, public transportation closure, etc.  During the Northeast Blackout of 2003, no additional personnel were needed in NYC, but 12-hour shifts were established (Beatty et al., 2006), which represents a 1.5× increase.  Restaurants will have to be inspected, and loss of electronic surveillance will result in additional work for personnel.</t>
  </si>
  <si>
    <t xml:space="preserve">During the Northeast Blackout of 2003, syndromic surveillance was used in NYC to monitor for a terror attack.  Heat stroke and carbon monoxide poisoning were monitored.  Syndromic surveillance detected diarrheal illness due to spoiled food.  Electronic reporting was inoperable so staff were discharged to hospitals to manually collect data (Beatty et al., 2006). </t>
  </si>
  <si>
    <t>During the Northeast Blackout of 2003 in NYC, cooling centers with backup generators were opened for the elderly, mentally impaired, and other vulnerable populations (Beatty et al., 2006).  It is assumed that  0.1% of the population will utilize these shelters.</t>
  </si>
  <si>
    <t>During the Northeast Blackout of 2003, demand increased due to 50 sets of beach water specimens tested for fecal coliform after sewage release (Beatty et al., 2006).</t>
  </si>
  <si>
    <t xml:space="preserve"> During the Northeast Blackout of 2003 in NYC, public health officials developed health alerts for newspapers and radio to inform public of contamination of recreational waterways and to alert the public to discard spoiled food (Beatty et al., 2006).  It is estimated that one full-time employee is necessary to generate this information.</t>
  </si>
  <si>
    <t>During the February 2010 blizzards, there were 8 storm-related deaths in New Castle County, DE, which is about 0.002% of the population (Kane, 2010).</t>
  </si>
  <si>
    <t>Hospitals typically experience a 60% decline in visits during winter storms (CDC, 1982).</t>
  </si>
  <si>
    <t>Hospitals typically experience a 60% decline in visits during winter storms (CDC, 1982); it is extrapolated that PCPs will experience a similar decline.</t>
  </si>
  <si>
    <t>It is estimated that traumas will increase due to transportation accidents, injuries from snow removal equipment, falling objects, etc.</t>
  </si>
  <si>
    <t>60% of PCP offices are expected to close.</t>
  </si>
  <si>
    <t>It is assumed that EDs will experience a 5% interruption due to reduced staff.</t>
  </si>
  <si>
    <t>It is assumed that hospitals will experience a 5% interruption due to reduced staff.  Hospitals typically experience a 60% decline in visits during winter storms (CDC, 1982).</t>
  </si>
  <si>
    <t>Some increased demand is expected pre-incident as patients prepare for the storm.</t>
  </si>
  <si>
    <t>It is assumed that 60% of mental health providers will be closed, and that there will be a 60% reduction in demand due to many non-critical patients canceling appointments.</t>
  </si>
  <si>
    <t xml:space="preserve">It is assumed that hospitals will experience a 5% interruption of personnel due to weather conditions. </t>
  </si>
  <si>
    <t>During the February  2010 blizzards, no hospitals lost electricity.</t>
  </si>
  <si>
    <t>Supply chains may be disrupted for up to three days due to weather conditions and road closures.</t>
  </si>
  <si>
    <t>Due to power outage, some residents reliant on well water will lose the ability to pump water until power is restored.</t>
  </si>
  <si>
    <t>During the February  2010 blizzards, there were 106,000 power outages in the 5-county SE PA region, which took up to five days to restore (Electric Light &amp; Power, 2010).  Out of 1,657,226 total households in the 5 counties, 106,000 is 6.4%.</t>
  </si>
  <si>
    <t>During the February 2010 blizzards, most trains and buses were stopped Friday evening and closed most of Saturday (McFadden, 2010).</t>
  </si>
  <si>
    <t>During the February 2010 blizzards, most non-essential businesses in Philadelphia were closed on Wednesday, Feb. 10 (Van Allen, 2010).</t>
  </si>
  <si>
    <t>Staff shortages are predicted due to road closures and school closings.</t>
  </si>
  <si>
    <t>No additional surveillance is expected (CDC, 1982).</t>
  </si>
  <si>
    <t xml:space="preserve"> Health officials will likely release bulletins regarding CO poisoning, food spoilage, hypothermia, etc.  It is assumed that half of one full-time employee’s time will be necessary to generate and disseminate this information.</t>
  </si>
  <si>
    <t>Bio Terrorism</t>
  </si>
  <si>
    <t>Chem Terrorism</t>
  </si>
  <si>
    <t>Conv Explosive</t>
  </si>
  <si>
    <t>HazMat Release</t>
  </si>
  <si>
    <t>Localized ID</t>
  </si>
  <si>
    <t>Nuclear Facility</t>
  </si>
  <si>
    <t>RDD</t>
  </si>
  <si>
    <t>Temp Extremes</t>
  </si>
  <si>
    <t>Utility Interr</t>
  </si>
  <si>
    <t>Mental Health Impact (Percent of population developing psychopathology and behavioral changes after the incident, including PTST, depression, anxiety, alcohol and substance abuse, domestic violence, and loss of social functions)</t>
  </si>
  <si>
    <t>Interruption</t>
  </si>
  <si>
    <t>Demand</t>
  </si>
  <si>
    <t>Transportation (Duration in days that at least one major transportation corridor or transit line is interrupted)</t>
  </si>
  <si>
    <t>Population Displacement (Number of persons evacuated from or to the jurisdiction)</t>
  </si>
  <si>
    <t>Personnel (Number public health staff)</t>
  </si>
  <si>
    <t>Mass Care (Number of persons requiring mass care, sheltering, monitoring)</t>
  </si>
  <si>
    <t>Medical Countermeasures (Percentage of population requiring medication or vaccine prophylaxis)</t>
  </si>
  <si>
    <t>Fatality Management (Morgue capacity)</t>
  </si>
  <si>
    <t>Communication and Public Info</t>
  </si>
  <si>
    <t>Sheltering and Mass Care</t>
  </si>
  <si>
    <t>Evacuation and Transportation</t>
  </si>
  <si>
    <t>Human Services and Medical Mgmt</t>
  </si>
  <si>
    <t>Relevance</t>
  </si>
  <si>
    <t>Status</t>
  </si>
  <si>
    <t>Outpatient services (PCPs)</t>
  </si>
  <si>
    <t>Emergency Department Services (ED beds)</t>
  </si>
  <si>
    <t>Ancillary Services (Pharmacists)</t>
  </si>
  <si>
    <t>Trauma Units (Functioning ORs)</t>
  </si>
  <si>
    <t>Mental Health Services (Mental Health Providers)</t>
  </si>
  <si>
    <t>Mortality (Increase in Deaths per day)</t>
  </si>
  <si>
    <t>EMS Transports (Increase in Transports per day)</t>
  </si>
  <si>
    <t>Hospital Beds (Beds set up and staffed)</t>
  </si>
  <si>
    <t>Duration of Impact</t>
  </si>
  <si>
    <t>Hours of Electricity Loss</t>
  </si>
  <si>
    <t>Duration of Interruption</t>
  </si>
  <si>
    <t>Days of Interruption</t>
  </si>
  <si>
    <t xml:space="preserve">ED Visits (Increase in ED visits per day) </t>
  </si>
  <si>
    <t xml:space="preserve">Primary Care Office Visits (Increase in office visits per day) </t>
  </si>
  <si>
    <t>Trauma Center Injuries (Increase in Trauma Center Injuries per day)</t>
  </si>
  <si>
    <t>Environmental Contamination (Radius in miles of area requiring environmental safety assessment, remediation, or decontamination)</t>
  </si>
  <si>
    <t>Percent Affected</t>
  </si>
  <si>
    <t xml:space="preserve"> In the VA Tech Massacre of 2007,  33 died at the scene, including the shooter (Armstrong &amp; Frykberg, 2007).</t>
  </si>
  <si>
    <t>In the Pymatuning Earthquake of 1998, one person was injured by being thrown to the ground (Dewey &amp; Hopper, 1998).</t>
  </si>
  <si>
    <t>Emerg Ops Coord</t>
  </si>
  <si>
    <t>Emerg Public Info</t>
  </si>
  <si>
    <t>Info Sharing</t>
  </si>
  <si>
    <t>Fatality Mgmt</t>
  </si>
  <si>
    <t>MCM Dispens</t>
  </si>
  <si>
    <t>PH Lab Testing</t>
  </si>
  <si>
    <t>PH Surv &amp; Epi</t>
  </si>
  <si>
    <t>Responder Safety</t>
  </si>
  <si>
    <t>Volunteer Mgmt</t>
  </si>
  <si>
    <t>Community Prep</t>
  </si>
  <si>
    <t>Community Recov</t>
  </si>
  <si>
    <t>Med Materiel Mgmt</t>
  </si>
  <si>
    <t>Non-Pharm Interv</t>
  </si>
  <si>
    <t>Baseline At-Risk Populations</t>
  </si>
  <si>
    <t>=</t>
  </si>
  <si>
    <t>Step 1: Baseline Data</t>
  </si>
  <si>
    <t>Step 2: Hazard Data</t>
  </si>
  <si>
    <t>¡</t>
  </si>
  <si>
    <t>Step 3: Analysis</t>
  </si>
  <si>
    <t>Complete the At-Risk Populations section of each worksheet by selecting whether or not special plans and procedures must be in place for each of the listed at-risk populations as part of a complete public health response to the given hazard.</t>
  </si>
  <si>
    <r>
      <t xml:space="preserve">The tool calculates severity by comparing hazard-specific values to baseline values in a number of metrics.  In order to do this, baseline information must be entered in the “Baseline Health, Services, and Infrastructure” worksheet.  Navigate to this sheet using the </t>
    </r>
    <r>
      <rPr>
        <sz val="11"/>
        <color theme="7"/>
        <rFont val="Calibri"/>
        <family val="2"/>
        <scheme val="minor"/>
      </rPr>
      <t>purple</t>
    </r>
    <r>
      <rPr>
        <sz val="11"/>
        <color theme="1"/>
        <rFont val="Calibri"/>
        <family val="2"/>
        <scheme val="minor"/>
      </rPr>
      <t xml:space="preserve"> button in the “Step 1. Baseline Data” box in the Main Menu.</t>
    </r>
  </si>
  <si>
    <r>
      <t xml:space="preserve">The tool assesses the need for plans addressing at-risk populations by examining both the special needs of at-risk populations (addressed later), and the size of these populations in your jurisdiction.  Enter this population size data in the “Baseline At-Risk Populations” worksheet.  Navigate to this sheet using the </t>
    </r>
    <r>
      <rPr>
        <sz val="11"/>
        <color theme="4"/>
        <rFont val="Calibri"/>
        <family val="2"/>
        <scheme val="minor"/>
      </rPr>
      <t>blue</t>
    </r>
    <r>
      <rPr>
        <sz val="11"/>
        <color theme="1"/>
        <rFont val="Calibri"/>
        <family val="2"/>
        <scheme val="minor"/>
      </rPr>
      <t xml:space="preserve"> button in the “Step 1. Baseline Data” box in the Main Menu.</t>
    </r>
  </si>
  <si>
    <r>
      <t xml:space="preserve">Finally, the PHRAT uses certain community characteristics to estimate the impact of specific hazard scenarios.  If you would like to change the hazard-specific estimates pre-entered into the hazard worksheets in the PHRAT, this worksheet does NOT need to be completed.  You may leave it blank.  However, if you would like to accept the impact estimates developed by the CPHRC in the many individual hazard worksheets, data must be entered into the “Community Characteristics” worksheet.  Navigate to this sheet using the </t>
    </r>
    <r>
      <rPr>
        <sz val="11"/>
        <color rgb="FFFF66FF"/>
        <rFont val="Calibri"/>
        <family val="2"/>
        <scheme val="minor"/>
      </rPr>
      <t>pink</t>
    </r>
    <r>
      <rPr>
        <sz val="11"/>
        <color theme="1"/>
        <rFont val="Calibri"/>
        <family val="2"/>
        <scheme val="minor"/>
      </rPr>
      <t xml:space="preserve"> button in the “Step 1. Baseline Data” box in the Main Menu.</t>
    </r>
  </si>
  <si>
    <r>
      <t xml:space="preserve">Individual worksheets for entering the specific impacts of each hazard are located in the "Step 2. Hazard Data" box in the Main Menu.  These sheets are </t>
    </r>
    <r>
      <rPr>
        <u/>
        <sz val="11"/>
        <color theme="1"/>
        <rFont val="Calibri"/>
        <family val="2"/>
        <scheme val="minor"/>
      </rPr>
      <t>pre-filled</t>
    </r>
    <r>
      <rPr>
        <sz val="11"/>
        <color theme="1"/>
        <rFont val="Calibri"/>
        <family val="2"/>
        <scheme val="minor"/>
      </rPr>
      <t xml:space="preserve"> with data entered by the CPHRC.  The tool’s authors made a number of assumptions about the likely impacts of hazards, based on local data from historic incidents, published literature from similar incidents in other regions, and information about local infrastructure and vulnerabilities.  </t>
    </r>
    <r>
      <rPr>
        <u/>
        <sz val="11"/>
        <color theme="1"/>
        <rFont val="Calibri"/>
        <family val="2"/>
        <scheme val="minor"/>
      </rPr>
      <t>These assumptions apply to the Philadelphia Metropolitan Statistical Area</t>
    </r>
    <r>
      <rPr>
        <sz val="11"/>
        <color theme="1"/>
        <rFont val="Calibri"/>
        <family val="2"/>
        <scheme val="minor"/>
      </rPr>
      <t xml:space="preserve"> (MSA), and should not be applied to geographically distinct regions.  For example, the impact of a coastal storm or tornado would likely be much more severe along the Gulf Coast or in the Great Plains, respectively.  </t>
    </r>
  </si>
  <si>
    <r>
      <t xml:space="preserve">If you would like to reject the assumptions made by the CPHRC and </t>
    </r>
    <r>
      <rPr>
        <u/>
        <sz val="11"/>
        <color theme="1"/>
        <rFont val="Calibri"/>
        <family val="2"/>
        <scheme val="minor"/>
      </rPr>
      <t>enter hazard-specific data that is more relevant to your unique jurisdiction</t>
    </r>
    <r>
      <rPr>
        <sz val="11"/>
        <color theme="1"/>
        <rFont val="Calibri"/>
        <family val="2"/>
        <scheme val="minor"/>
      </rPr>
      <t>, you can enter data directly into the hazard worksheets.  If you would like, space is provided to enter an explanation/justification for your estimate, or the source of your data.</t>
    </r>
  </si>
  <si>
    <t>The “At-Risk Populations” sheet displays a graph of the At-Risk Populations Scores of all hazards.  All of the individual Hazard worksheets must have been completed for this sheet to display correctly.</t>
  </si>
  <si>
    <t>The “Probability vs. Severity” sheet displays graphs of the probability and severity for all hazards.  All of the individual Hazard worksheets must have been completed for this sheet to display correctly.  The graphs are automatically generated, and label positions may have to be changed in order for the figures to be easily readable.  To do this, right-click on the label and select “Format Data Labels…”</t>
  </si>
  <si>
    <t>The “Summary of Scores” worksheet displays the “Probability Score,” “Severity Score,” “Risk Score,” “At-Risk Populations Score,””Adjusted Risk Score,” “Preparedness Score,” and “Planning Priority Score” for each of the hazards analyzed.  The cells in this worksheet are color-coded, so the most severe values are shown in red and the least severe are displayed in green.  All of the individual Hazard worksheets must have been completed for this sheet to display correctly.</t>
  </si>
  <si>
    <t>The “Planning Priority Scores” sheet is a simple rank-order list of the hazards in order from highest to lowest Planning Priority.  All of the individual Hazard worksheets must have been completed for this sheet to display correctly, and macros MUST be enabled.</t>
  </si>
  <si>
    <r>
      <t xml:space="preserve">If you would like to accept the assumptions made by the CPHRC, the "Community Characteristics" worksheet must be completed.  Navigate to this sheet using the </t>
    </r>
    <r>
      <rPr>
        <sz val="11"/>
        <color rgb="FFFF66FF"/>
        <rFont val="Calibri"/>
        <family val="2"/>
        <scheme val="minor"/>
      </rPr>
      <t>pink</t>
    </r>
    <r>
      <rPr>
        <sz val="11"/>
        <color theme="1"/>
        <rFont val="Calibri"/>
        <family val="2"/>
        <scheme val="minor"/>
      </rPr>
      <t xml:space="preserve"> button in the “Step 1. Baseline Data” box in the Main Menu.</t>
    </r>
  </si>
  <si>
    <t>Qualitative Magnitude Score:</t>
  </si>
  <si>
    <t>Use Quantititive Value</t>
  </si>
  <si>
    <t>OR, Estimate the Magnitude Qualitatively:</t>
  </si>
  <si>
    <t>An active shooter is an individual actively engaged in killing or attempting to kill people in a confined and other populated area. In most cases, active shooters use firearms and there is no pattern or method to their selection of victims. Active shooter situations are unpredictable and evolve quickly (FEMA, 2011).  The shooter in an active shooter scenario may be a sniper.  A sniper is a concealed, usually skilled shooter who fires at exposed persons, typically using powerful high-energy, military-style assault rifles.  Assault rifles are becoming more available to the public (Ciottone, 2006).</t>
  </si>
  <si>
    <t>The following hazard impacts have been estimated using historical data, predictive models, estimations where necessary, and the information entered in the "Baseline Data" worksheets.  The information below can be altered as needed to more accurately reflect hazard impacts in your jurisdiction.  The impacts should reflect the worst-case reasonable scenario.</t>
  </si>
  <si>
    <t>The proxy scenario used to predict the impacts of an active shooter incident in Southeastern Pennsylvania is the Virginia Tech Massacre of 2007.  On April 16, 2007, student Seung Hui Cho murdered 32 and injured 17 students and faculty in two related incidents on the campus of Virginia Polytechnic Institute.</t>
  </si>
  <si>
    <t>Briefly describe the worst-case reasonable scenario of this hazard (the scenario to which the following impacts apply) here:</t>
  </si>
  <si>
    <t>Chemical terrorism is the use of chemical agents to inflict mass casualties.  There are four groups of such agents: inhalants, cyanide gases, vesicants, and nerve agents.  Vesicants and nerve agents have the most potential to cause mass destruction.  Mustard is an example of a vesicant; its sulfur and nitrogen analogues are aerosolized liquids that linger on victims, incapacitating through their effects on the skin, eye, and respiratory tract.  Mortality is low, but morbidity is substantial and mass casualties strain health care resources.  Nerve agents produce much higher mortality.   Tabun, Sarin, Soman, and VX are nerve agents that can be fatal without timely administration of antidotes (Goozner, Lutwick, &amp; Bourke, 2002).</t>
  </si>
  <si>
    <t>Civil disturbance refers to a spectrum of activities progressively disruptive to public order and tranquility.  Examples of civil disturbance include labor strikes, large demonstrations, and riots.  Riots are violent disruptions of the public order that threaten public safety (Ciottone, 2006).</t>
  </si>
  <si>
    <t>Coastal Storms, or cyclones, include tropical depressions, tropical storms, and hurricanes.  Coastal storms in the Atlantic typically begin as waves of warm air from the Sahara.  As the air moves over the ocean, it derives moisture and energy from the warm water.  Rapid cooling of the atmosphere as the storm moves creates thunderstorms and liberates enough heat from the ocean to allow a cyclone to develop.  In the Northern Hemisphere, a tropical cyclone consists of a closed circulation storm with an average diameter of 10-30 miles around a low-pressure center.  Tropical depressions generate sustained wind speeds of less than 39 mph.  Tropical storms generate winds that range from 39-73 mph.  The Saffir-Simpson Hurricane scale rates hurricanes on a scale of 1-5, with category 1 hurricanes generating winds of 74-95 mph, and category 5 hurricanes generating winds of at least 156 mph (Ciottone, 2006). 
The majority of hurricanes and tropical storms form in the Atlantic Ocean, Caribbean Sea, and Gulf of Mexico during the official Atlantic hurricane season (June through November) (FEMA, 1997).  The high-level sustained winds and heavy precipitation associated with coastal storms can have devastating consequences for coastal regions (Ciottone, 2006).</t>
  </si>
  <si>
    <t>Conventional explosives, such as trinitrotoluene (TNT) or other nitrate compounds, detonate very rapidly and release large amounts of energy capable of causing blast injuries as well as severe structural damage.  Powerful explosions have the potential to inflict many different types of traumatic injuries on humans, but such injuries can vary depending on the type and amount of explosive agent, the location of the victims (inside or outside), and whether the blast occurs on air or water (Ciottone, 2006).  Terrorists have used conventional explosives to damage and destroy financial, political, social, and religious institutions. Attacks often occur in public places such as busy city streets or public transportation.</t>
  </si>
  <si>
    <t>Floods are the most common natural disaster, accounting for approximately 40% of natural disasters worldwide.  They cause greater mortality than any other natural disaster.  Floods may be caused by an abundance of rainfall, melting snow, dam or levee failure, the sudden release of water from an ice or debris jam, or the expanding development of wetlands, which reduces absorption of rainfall.  Areas at greatest risk are those located in low-lying areas, nearby water, or downstream from a dam (Ciottone, 2006).</t>
  </si>
  <si>
    <t>The proxy scenarios used to predict the impacts of flooding in Southeastern Pennsylvania are Hurricane Irene and Tropical Storm Lee of August/September 2011.</t>
  </si>
  <si>
    <t>A hazardous materials release can occur at a fixed facility or as hazardous materials are in transit.  This can include toxic chemicals, infectious substances, biohazardous waste, or any materials that are explosive, corrosive, flammable, or radioactive (PL 1990-165, § 207(e)).</t>
  </si>
  <si>
    <t xml:space="preserve">The proxy scenario used to predict the impacts of a hazardous materials release in Southeastern Pennsylvania is the train derailment and subsequent chlorine spill in Graniteville, SC, on January 6, 2005.  After a worker forgot to toggle the switch that disconnects the spur from the main line, Freight Train 192 was mistakenly diverted from the main line onto the spur at 47 mph and collided with a parked train at 2:39 a.m.  Three engines and 18 cars were derailed.  Roughly 60 tons of liquefied chlorine gas spilled out of the ninth freight car. The liquefied gas rapidly vaporized, with volumetric expansion of 450:1 (Dunning &amp; Oswalt, 2007).  The leaking tank car was patched with a temporary repair four days later (CDC, 2005).  The economic impact for the small community of Granitevill was over $1 billion, and according to Detter-Hoskin: "Had this occurred in Atlanta or another large city, you will have had hundreds of thousands of people hurt and killed within a 10-minute period. The financial impact will be immense, as well. Metal equipment and electrical wiring will be destroyed, and computer data will be lost" (GRTI, 2007).  </t>
  </si>
  <si>
    <t>An outbreak is a sudden rise in the occurrence of a disease. Some outbreaks are expected each year, like influenza, hand-foot-and-mouth disease, and bronchiolitis (Aronson, Shope, &amp; Cotler, 2008).  Small infectious disease outbreaks can be foodborne, waterborne, vector-borne, environmental, or transmitted person-to-person.</t>
  </si>
  <si>
    <t xml:space="preserve">Nuclear incidents involve the release of significant levels of radioactivity or exposure of workers or the general public to radiation (FEMA, 1997).  There are three categories of nuclear accidents/incidents: 
• Critical accidents that involve loss of control of nuclear assemblies or power reactors
• Loss-of-coolant accidents that occur when a reactor coolant system experiences a break or opening large enough that the coolant inventory in the system cannot be maintained by the normally operating back-up system
• Loss-of-containment accidents that involve the release of radioactivity. 
The primary concern following such an incident or accident is the extent of radiation, inhalation, and ingestion of radioactive isotopes that cause acute health effects (FEMA, 1997).
</t>
  </si>
  <si>
    <t>The proxy scenario used to predict the impacts of a nuclear facility accident in Southeastern Pennsylvania is the Fukushima Daiichi nuclear disaster of 2011.</t>
  </si>
  <si>
    <t>A pandemic is an epidemic that occurs over a wide geographic area, often global.  A pandemic results when a new microorganism (or disease condition) emerges that is pathogenic for humans but to which humans have no immunity or prior protection.  Thus, an epidemic occurs and the number of cases substantially exceeds the number of expected cases over a given period of time.  Pandemics generally refer to infectious disease that spread efficiently from person to person across the globe, although the tem may be used to describe medical condition with other risk factors, such as chronic illnesses like cardiovascular diseases. (Martin &amp; Martin-Granel, 2006).</t>
  </si>
  <si>
    <t>The proxy scenario used to predict the impacts of a pandemic in Southeastern Pennsylvania is the National Planning Scenario: "Biological Disease Outbreak - Pandemic Influenza."  The scenario entails a 1918-like Category 5 influenza pandemic.  Additional predictions for a similar scenario from the department of Health and Human Services and other government agencies are used where necessary.</t>
  </si>
  <si>
    <t>The proxy scenario used to predict the impacts of a bioterrorism incident is the National Planning Scenario: "Biological Attack - Aerosol Anthrax."  In the scenario, a single aerosol anthrax attack is delivered by a truck using a concealed improvised spraying device in a densely populated urban city with a significant commuter workforce (Department of Homeland Security, 2006).  Anthrax spores delivered by aerosol delivery result in inhalation anthrax, which develops when the bacterial organism, Bacillus anthracis, is inhaled into the lungs. A progressive infection follows.</t>
  </si>
  <si>
    <t>A radiation dispersal device, or “dirty bomb,” is a device that combines radioactive materials with conventional explosives.  Global terrorist organizations are believed to be interested in and capable of constructing dirty bombs and launching attacks with them.  There are only two documented cases of terrorist use of dirty bombs in the world today.  Both incidents occurred in Russia.  Dirty bombs are attractive to terrorists because they are relatively easy to acquire and have the potential to cause casualties, contamination of widespread areas, adverse psychological effects, and economic disruption.  A dirty bomb threat potentially poses a medical and public health disaster (Ciottone, 2006).</t>
  </si>
  <si>
    <t>Extreme temperatures include both high temperatures and low temperatures.  Extreme low temperatures drop well below the normal temperature for an area during the winter months, and often accompany winter storms.  Combined with high winds, these conditions can be life threatening to those with extended exposure, particularly homeless populations.  Extreme high temperatures climb at least 10°F or more above the region’s average high temperature during the summer months  (Lawrence, 2004).  The term “heat wave” is used to describe a prolonged period of heat and humidity (Ciottone).  Extreme heat is responsible for more annual deaths in Pennsylvania than all other natural disasters combined (Lawrence, 2004).</t>
  </si>
  <si>
    <t>A tornado is a violently rotating column of air with a tremendous potential for destruction.  The strongest tornados can reach wind speeds of 250 mph or more and leave behind damage paths at least 1 mile wide and 50 miles long (Ciottone).</t>
  </si>
  <si>
    <t>Electric power outages can be caused by lighting, high winds, ice storms, hurricanes, floods, overuse (as in heat waves), solar flares, accidents, or deliberate sabotage or attack of the power system.  In some cases, power failures can be massive and prolonged, compounding the impact of an ongoing disaster.  They can also occur outside the context of another incident, and in and of themselves constitute a disaster (Ciottone, 2006).</t>
  </si>
  <si>
    <t xml:space="preserve">The proxy scenario used to predict the impacts of a widespread utility interruption in Southeastern Pennsylvania is the The Northeast Blackout of 2003, which began on Thursday, August 14, 2003, at 4:15 p.m.   A cascading electrical power failure occured throughout parts of the Northeastern and Midwestern United States and Ontario, Canada, resulting in the second most widespread power failure in history (Beatty 2006).  
</t>
  </si>
  <si>
    <t>Winter storms consist of snow, high winds, and freezing rain.  They include blizzards, heavy snow, sleet, and ice storms.  A blizzard is defined as a snow storm with sustained wind speeds of at least 35 miles per hour and visibility of less than a quarter mile.  Heavy snow is defined as 6 or more inches of falling snow in less than 12 hours.  Sleet consists of frozen rain-drops that bounce when they hit the ground, and ice storms are defined by rain that hits the ground and then freezes (Ciottone).</t>
  </si>
  <si>
    <t xml:space="preserve">The proxy scenario used to predict the impacts of a tornado in Southeastern Pennsylvania is the June 1, 2011, F3 tornado in western Massachusetts.  The Massachusetts tornado left a track of destruction that was 39 miles long and half a mile wide (Earthsky, 2011).  </t>
  </si>
  <si>
    <t>The proxy scenario used to predict the impacts of a localized infectious disease outbreak in Southeastern Pennsylvania is the 2002 Hepatitis A outbreak in Beaver County, PA.  Contaminated green onions at a Chi Chi’s Restaurant led to 610 cases of Hepatitis A and three fatalities (Wheeler et al., 2005).  Thousands of exposed persons received immune globulin within a 2-week timeframe, the recommended measure to prevent disease at that time.</t>
  </si>
  <si>
    <t>An earthquake is the motion or trembling of the ground produced by sudden displacement of rock usually within the upper 10-20 miles of the Earth's crust.  Earthquakes result from crustal strain, volcanism, landslides, or the collapse of underground caverns. Earthquakes can affect hundreds of thousands of square miles, cause damage to property measured in the tens of billions of dollars, result in loss of life and injury to hundreds of thousands of persons, and disrupt the social and economic functioning of the affected area. Most property damage and earthquake-related deaths are caused by the failure and collapse of structures due to ground shaking which is dependent upon amplitude and duration of the earthquake. (FEMA, 1997).</t>
  </si>
  <si>
    <t xml:space="preserve">Cyber-attacks involve the use of technology to disable operational systems, including those with information, communication, and security functions. By remotely infiltrating a network, hackers can install viruses or other malware to infect computers, resulting in system malfunction. Additionally, hackers can redirect or change operational functions, including safety procedures. In terms of public health and health care, cyber-attacks have the potential to disrupt care delivery through a cascading effect of disabling emergency communication systems, electronic medical records, and computer supply systems. </t>
  </si>
  <si>
    <t xml:space="preserve">Hospital Personnel </t>
  </si>
  <si>
    <t>Loss of RNs per Shift</t>
  </si>
  <si>
    <t>Change in Nurse-Pt Ratio</t>
  </si>
  <si>
    <t>n</t>
  </si>
  <si>
    <t>This space is available for any additional notes, references, etc.:</t>
  </si>
  <si>
    <t>Armstrong, J. H., &amp; Frykberg, E. R. (2007). Lessons from the Response to the Virginia Tech Shootings. Disaster Medicine and Public Health Preparedness, 1, S7-S8. doi: Doi 10.1097/Dmp.0b013e3181514969</t>
  </si>
  <si>
    <t>Virginia Tech Review Panel. (2007). Report of the Virginia Tech Review Panel. In C. o. Virginia (Ed.), (pp. 260).</t>
  </si>
  <si>
    <t>Hughes, M., Brymer, M., Chiu, W. T., Fairbank, J. A., Jones, R. T., Pynoos, R. S., . . . Kessler, R. C. (2011). Posttraumatic Stress Among Students After the Shootings at Virginia Tech. Psychological Trauma-Theory Research Practice and Policy, 3(4), 403-411. doi: Doi 10.1037/A0024565</t>
  </si>
  <si>
    <t>Landesman, L. Y. (2005). Public health management of disasters : the practice guide (2nd ed.). Washington, DC: American Public Health Association.</t>
  </si>
  <si>
    <t xml:space="preserve">Horwitz, S. (2007). 8 Minutes After 911 Call, A Rescue From Madness. The Wahington Post. </t>
  </si>
  <si>
    <t>FEMA. (2011). IS-907 - Active Shooter:  What You Can Do. Independent Study Program  Retrieved March 30, 2012, from http://training.fema.gov/EMIWeb/IS/is907.asp</t>
  </si>
  <si>
    <t>Ciottone, G. R. (2006). Disaster medicine (1st ed.). Philadelphia, PA: Mosby Elsevier.</t>
  </si>
  <si>
    <t>Aronson, S. S., Shope, T. R., &amp; Cotler, J. (2008). Managing infectious diseases in child care and schools : a quick reference guide (2nd ed.). Elk Grove Village, IL: American Acadmey of Pediatrics.</t>
  </si>
  <si>
    <t>Biological terrorism is the intentional release of a biological agent to cause illness. The biological agent involved in bioterrorism may be a living germ or a poison, such as anthrax, ricin, or botulism toxin (Aronson et al., 2008).</t>
  </si>
  <si>
    <t>Department of Homeland Security. (2006). National Planning Scenarios Version 21.3 (pp. 161).</t>
  </si>
  <si>
    <t xml:space="preserve">Meselson, M., Guillemin, J., Hughjones, M., Langmuir, A., Popova, I., Shelokov, A., &amp; Yampolskaya, O. (1994). The Sverdlovsk Anthrax Outbreak of 1979. Science, 266(5188), 1202-1208. </t>
  </si>
  <si>
    <t>Whalley, M. G., &amp; Brewin, C. R. (2007). Mental health following terrorist attacks. British Journal of Psychiatry, 190, 94-96. doi: DOI 10.1192/bjp.bp.106.026427</t>
  </si>
  <si>
    <t xml:space="preserve">Goozner, B., Lutwick, L. I., &amp; Bourke, E. (2002). Chemical terrorism: a primer for 2002. [Historical Article]. J Assoc Acad Minor Phys, 13(1), 14-18. </t>
  </si>
  <si>
    <t xml:space="preserve">Ohbu, S., Yamashina, A., Takasu, N., Yamaguchi, T., Murai, T., Nakano, K., . . . Hinohara, S. (1997). Sarin poisoning on Tokyo subway. Southern Medical Journal, 90(6), 587-593. </t>
  </si>
  <si>
    <t>Cladwell, R. (2005). Train Derailment and Chlorine Release. In S. D. o. H. a. E. Control (Ed.).</t>
  </si>
  <si>
    <t xml:space="preserve">Evans, C. A. (1993). Public-Health Impact of the 1992 Los-Angeles Civil Unrest. Public Health Reports, 108(3), 265-272. </t>
  </si>
  <si>
    <t>Crogan, J. (2002). The L.A. 53. LA Weekly.  Retrieved from http://www.laweekly.com/2002-05-02/news/the-l-a-53/</t>
  </si>
  <si>
    <t>O'Leary, M. (2004). The First 72 Hours: A Community Approach to Disaster Preparedness. Lincoln, Nebraska: iUniverse Publishing.</t>
  </si>
  <si>
    <t xml:space="preserve">Ordog, G. J., Shoemaker, W., Wasserberger, J., &amp; Bishop, M. (1995). Gunshot Wounds Seen at a County Hospital before and after a Riot and Gang Truce .2. Journal of Trauma-Injury Infection and Critical Care, 38(3), 417-419. </t>
  </si>
  <si>
    <t xml:space="preserve">Brown, V. B., Melchior, L. A., Reback, C., &amp; Huba, G. J. (1994). Psychological Functioning and Substance-Abuse before and after the 1992 Los-Angeles Riot in a Community Sample of Women. Journal of Psychoactive Drugs, 26(4), 431-437. </t>
  </si>
  <si>
    <t xml:space="preserve">HarveyLintz, T., &amp; Tidwell, R. (1997). Effects of the 1992 Los Angeles Civil Unrest: Post traumatic stress disorder symptomatology among law enforcement officers. Social Science Journal, 34(2), 171-183. </t>
  </si>
  <si>
    <t>FEMA. (1997). Multi-Hazard Identification and Risk Assessment: A Cornerstone of the National Mitigation Strategy.  Washington, D.C.</t>
  </si>
  <si>
    <t>Schmidlin, T. W. (2011). Public health consequences of the 2008 Hurricane Ike windstorm in Ohio, USA. Natural Hazards, 58(1), 235-249. doi: DOI 10.1007/s11069-010-9663-x</t>
  </si>
  <si>
    <t>Campbell, E. (2011). County Warnings: Boil Well Water, Avoid Swimming or Fishing in Creeks Ardmore-Merion-Wynnewood Patch  Retrieved June 14, 2012, from http://ardmore.patch.com/articles/county-warnings-boil-well-water-avoid-swimming-or-fishing-in-creeks</t>
  </si>
  <si>
    <t>Masterson, T. (2011, September 9). Water in the Streets Is Toxic, Full of Sewage: Corbett. News  Retrieved June 14, 2012, from http://www.nbcphiladelphia.com/news/local/Water-in-the-Streets-Is-Toxic-Full-of-Sewage-Corbett-129538833.html</t>
  </si>
  <si>
    <t>The Delaware County Daily Times. (2011). 28 deaths blamed on Hurricane Irene; 5 in Pa.</t>
  </si>
  <si>
    <t>Gage, D. (2007). Security Case: How To Survive a Bot Attack, Baseline. Retrieved from http://www.baselinemag.com/c/a/Projects-Security/Security-Case-How-To-Survive-a-Bot-Attack/</t>
  </si>
  <si>
    <t xml:space="preserve">The proxy scenario used to predict the impacts of a cyber terrorism incident in Southeastern Pennsylvania is the January 2005 botnet attack at Seattle's Northwest Hospital.  Christopher Maxwell, 20, created a botnet that increased computer traffic as it scanned the system and interrupted normal hospital computer communications. Among other things, doors to the operating rooms did not open, pagers did not work and computers in the intensive care unit shut down (Gage, 2007). </t>
  </si>
  <si>
    <t>GRTI. (2007). Chlorine's Casualties and Counsel: GTRI Scientists and Engineers Assist in Aftermath of Chlorine Spill Case Study  Retrieved April 3, 2012, from http://www.gtri.gatech.edu/casestudy/chlorines-casualties-and-counsel</t>
  </si>
  <si>
    <t xml:space="preserve">CDC. (2005). Public Health Consequences from Hazardous Substances Acutely Released During Rail Transit --- South Carolina, 2005; Selected States, 1999--2004. MMWR, 54(03), 4. </t>
  </si>
  <si>
    <t>Duncan, M. A., Drociuk, D., Belflower-Thomas, A., Van Sickle, D., Gibson, J. J., Youngblood, C., &amp; Daley, W. R. (2011). Follow-up assessment of health consequences after a chlorine release from a train derailment--Graniteville, SC, 2005. J Med Toxicol, 7(1), 85-91. doi: 10.1007/s13181-010-0130-6</t>
  </si>
  <si>
    <t xml:space="preserve">Dunning, A. E., &amp; Oswalt, J. L. (2007). Train Wreck and Chlorine Spill in Graniteville, South Carolina: Transportation Effects and Lessons in Small-Town Capacity for No-Notice Evacuation. Transportation Research Record: Journal of the Transportation Research Board, 6. </t>
  </si>
  <si>
    <t>EPA. (2005). Southern Graniteville Derailment Final Pollution Report #2.: Environmental Protection Agency Region IV Norfolk.</t>
  </si>
  <si>
    <t xml:space="preserve">Wheeler, C., Vogt, T. M., Armstrong, G. L., Vaughan, G., Weltman, A., Nainan, O. V., . . . Bell, B. P. (2005). An outbreak of hepatitis A associated with green onions. New England Journal of Medicine, 353(9), 890-897. </t>
  </si>
  <si>
    <t>CDC. (2012). Press Release: Update: Listeriosis Outbreak Investigation: CDC Media Relations.</t>
  </si>
  <si>
    <t xml:space="preserve">During the listeriosis outbreak of July-October 2002, four turkey processing plants were examined and assessed.  Listeria was found in turkey and environmental samples from two plants  (CDC, 2012). </t>
  </si>
  <si>
    <t>FSIS. (2002). Pennsylvania Firm Expands Recall Of Turkey And Chicken Products For Possible Listeria Contamination. Washington, D.C.: Food Safety and Inspectiou Service, United States Department of Agriculture.</t>
  </si>
  <si>
    <t>Flynn, D. (2009). Chi-Chi's Hepatitis A Outbreak. Food Safety News  Retrieved June 14, 2012, from http://www.foodsafetynews.com/2009/09/meaningful-outbreak-6-chi-chis-hepatitis-a-outbreak/</t>
  </si>
  <si>
    <t>Tedder, J. (2011, October 18). Fukushima Children Tested for Thyroid Cancer Risk, Voice of America. Retrieved from http://www.voanews.com/learningenglish/home/health/Fukushima-Children-Tested-for-Thyroid-Cancer-Risk-132088473.html</t>
  </si>
  <si>
    <t>McCurry, J. (2011, March 23). Tokyo water unsafe for infants after high radiation levels detected, The Guardian. Retrieved from http://www.guardian.co.uk/world/2011/mar/23/tokyo-water-unsafe-infants</t>
  </si>
  <si>
    <t>Nuclear and Industrial Safety Agency. (2011). Seismic Damage Information (pp. 50): Ministry of Economy, Trade, and Industry.</t>
  </si>
  <si>
    <t>OSHA. (2007). Guidance on Preparing Workplaces for an Influenza Pandemic. We Can Help  Retrieved July 2, 2012, from http://www.osha.gov/Publications/influenza_pandemic.html#affect_workplaces</t>
  </si>
  <si>
    <t>Ursano, R., Hamaoka, D., Benedek, D., Vineburgh, N., Fullerton, C., Holloway, H., &amp; Reissman, D. (2006). Mental Health and Behavioral Guidelines for Response to a Pandemic Flu Outbreak. In U. S. U. o. t. H. S. Center for the Study of Traumatic Stress (Ed.).</t>
  </si>
  <si>
    <t>EPA. (2009). Pandemic Influenza Fact Sheet for the Water Sector.</t>
  </si>
  <si>
    <t xml:space="preserve">
</t>
  </si>
  <si>
    <t xml:space="preserve">Martin, P. M., &amp; Martin-Granel, E. (2006). 2,500-year evolution of the term epidemic. [Historical Article
Review]. Emerging Infectious Diseases, 12(6), 976-980. </t>
  </si>
  <si>
    <t>EPA. (2010). Liberty RadEx Exercise NARRATIVE: The Fictional History of the Liberty RadEx Incident Draft Liberty RadEx Narrative v.4.5.</t>
  </si>
  <si>
    <t>Hall, R. C. W., Hall, R. C. W., &amp; Chapman, M. J. (2006). Medical and psychiatric casualties caused by conventional and radiological (dirty) bombs (vol 28, pg 242, 2006). General Hospital Psychiatry, 28(6), 546-546. doi: DOI 10.1016/j.genhosppsych.2006.08.003</t>
  </si>
  <si>
    <t>Redlener, I., Garrett, A. L., Levine, K. L., &amp; Mener, A. (2010). Regional Health and Public Health Preparedness for Nuclear Terrorism: Optimizing Survival in a Low Probability/High Consequence Disaster. New York: National Center for Disaster Preparedness, Columbia University Mailman School of Public Health.</t>
  </si>
  <si>
    <t>Lawrence. ( 2004). Lawrence County Hazard Mitigation Plan.  New Castle: Lawrence County, PA.</t>
  </si>
  <si>
    <t>NOAA. (2010, September 2). A Meteorological Diagnosis of the Chicago Killer Heat Event of July 13, 1995, from http://www.crh.noaa.gov/lot/science/jul1395/jul1395.php</t>
  </si>
  <si>
    <t xml:space="preserve">CDC. (1995). Heat-Related Mortality -- Chicago, July 1995 Morbidity and Mortality Weekly Report, 44(31), 3. </t>
  </si>
  <si>
    <t>Kaplan, J. S., Sharman. (1995). City Deaths In Heat Wave Triple Normal, Chicago Tribune. Retrieved from http://articles.chicagotribune.com/1995-07-20/news/9507200228_1_heat-related-deaths-heat-wave-death-certificates</t>
  </si>
  <si>
    <t>Klinenberg, E. (Producer). (2002, March 13, 2012). Dying Alone: An interview with Eric Klinenberg. Retrieved from http://www.press.uchicago.edu/Misc/Chicago/443213in.html</t>
  </si>
  <si>
    <t xml:space="preserve">Changnon, S. A. K., K. E.; Reinke, B. C. . (1996). Impacts and Responses to the 1995 Heat Wave: A Call to Action. Bulletin of the American Meteorological Society, 77(7), 1497-1506. </t>
  </si>
  <si>
    <t>Earthsky. (2011, June 7). Massachusetts tornado left a track visible from space  Retrieved June 8, 2012, from http://earthsky.org/earth/massachusetts-tornado-left-a-track-visible-from-space</t>
  </si>
  <si>
    <t>Goodnough, A. (2011). At Least 4 Are Killed in Massachusetts Tornadoes. The New York Times, from http://www.nytimes.com/2011/06/02/us/02tornado.html</t>
  </si>
  <si>
    <t>AMR. (2012). AMR Responds to Mass. Tornado  Retrieved June 14, 2012, from http://www.amr.net/About-AMR/Mission-Vision/Living-Our-Mission/Caregiver-Inspired/AMR-Responds-to-Mass--Tornado.aspx</t>
  </si>
  <si>
    <t>CBS. (2011, June 2). Springfield, Mass., battered by deadly tornado. CBS News  Retrieved June 14, 2012, from http://www.cbsnews.com/2100-201_162-20068192.html</t>
  </si>
  <si>
    <t>VINNews. (2011, June 1). Springfield, MA - UPDATE: 4 Reported Dead, Dozens Injured After Tornadoes In Mass. VINNews.com  Retrieved June 14, 2012, from http://www.vosizneias.com/84844/2011/06/01/springfield-ma-update-4-reported-dead-dozens-injured-after-tornadoes-in-mass-photos/</t>
  </si>
  <si>
    <t>MU. (2011). Tornado Survivors Receive New Mental Health Services from MU. MU School of Medicine News, from http://medicine.missouri.edu/news/0136.php</t>
  </si>
  <si>
    <t>Soens, D. (2011, June 2). At least 3 Mass. Tornadoes confirmed. FoxProvidence.  Retrieved June 14, 2012, from http://www.foxprovidence.com/dpps/news/massachusetts/springfield-3-tornadoes-in-mass_3835416</t>
  </si>
  <si>
    <t>After the 2011 Massachuseets F3 tornado, 30% of businesses sustained damage or lost power, so it is estimated that 30% of doctor’s offices were closed (Soens, 2011).</t>
  </si>
  <si>
    <t>After the 2011 Massachuseets F3 tornado, 30% of businesses sustained damage or lost power, so it is estimated that 30% of pharmacies were closed (Soens, 2011).  Excess demand for pharmaceuticals is estimated due to prescribed antibiotics and pain killers.  People are expected to lose medications during the tornado, and will need to have prescriptions refilled.</t>
  </si>
  <si>
    <t>After the 2011 Massachuseets F3 tornado, 57,000 homes were without power Wednesday night (Soens, 2011).  Some did not have power restored for several days.  Based on the 192,175 housing units in Hampden County, 57,000 homes is 30% of Hampden County .</t>
  </si>
  <si>
    <t>After the 2011 Massachusetts F3 tornado, 30% of businesses lost power (Soens, 2009).  For most, power was restored the next day.</t>
  </si>
  <si>
    <t>Associated Press. (2011). Deadly Tornadoes Hit Massachusetts, Killing 4. Fox News  Retrieved June 14, 2012, from http://www.foxnews.com/us/2011/06/01/tornado-damage-reported-springfield-mass/</t>
  </si>
  <si>
    <t>HAPHousing. (2011). Tornado Re-Building and Re-Housing Update. HAPHousing  Retrieved June 14, 2012, from http://www.haphousing.org/default/index.cfm/news/tornado-update/</t>
  </si>
  <si>
    <t>NewsMappers. (2011). Path of the Springfield / Monson Tornado. Tripline  Retrieved June 14, 2012, from http://www.tripline.net/trip/Path_of_the_Springfield_/_Monson_Tornado-67260334774010039838AE02C8A41537</t>
  </si>
  <si>
    <t>Morris, F. (2011). For Joplin's Children, Tornado's Effects Persist, NPR. Retrieved from http://www.npr.org/2011/09/15/140476898/for-joplins-children-tornados-effects-persist</t>
  </si>
  <si>
    <t xml:space="preserve">Beatty, M. E., Phelps, S., Rohner, C., &amp; Weisfuse, I. (2006). Blackout of 2003: Public health effects and emergency response. Public Health Reports, 121(1), 36-44. </t>
  </si>
  <si>
    <t xml:space="preserve">Prezant, D. J., Clair, J., Belyaev, S., Alleyne, D., Banauch, G. I., Davitt, M., . . . Kalkut, G. (2005). Effects of the August 2003 blackout on the New York City healthcare delivery system: a lesson for disaster preparedness. Crit Care Med, 33(1 Suppl), S96-101. </t>
  </si>
  <si>
    <t>Pérez-Peña, R. (2003, August 15). THE BLACKOUT OF 2003: HEALTH CARE; Early Panic Leads to a Rush on Emergency Rooms, The New York Times. Retrieved from http://www.nytimes.com/2003/08/15/nyregion/15HOSP.html?ref=newyorkcityblackoutof2003</t>
  </si>
  <si>
    <t>Eachempati, S. R., Mick, S., &amp; Barie, P. S. (2004). The impact of the 2003 blackout on a level 1 trauma center: Lessons learned and implications for injury prevention. Journal of Trauma-Injury Infection and Critical Care, 57(5), 1127-1131. doi: Doi 10.1097/01.Ta.0000141891.51102.28</t>
  </si>
  <si>
    <t>Kane, K. (2010, February 8). Two dead, dozens sickened trying to keep warm, Pittsburgh Post-Gazette. Retrieved from http://old.post-gazette.com/pg/10039/1034340-114.stm</t>
  </si>
  <si>
    <t xml:space="preserve">CDC. (1982). Public Health Impact of a Snow Disaster. Morbidity and Mortality Weekly Report, 31(51), 2. </t>
  </si>
  <si>
    <t>Electric Light &amp; Power. (2010, February 11). Blizzard severely damages PECO electric system</t>
  </si>
  <si>
    <t>McFadden, R. D. (2010, February 6). A Storm Part Crippling and Part Enchanting, The New York Times. Retrieved from http://www.nytimes.com/2010/02/07/us/07storm.html?_r=1</t>
  </si>
  <si>
    <t>Van Allen, P. (2010, February 10). Philadelphia Snow closes nonessential offices, not coffee sellers, Philadelphia Business Journal. Retrieved from http://www.bizjournals.com/philadelphia/stories/2010/02/08/daily21.html?page=all</t>
  </si>
  <si>
    <t>NOAA. (2010). NAA US Historical Tornadoes  Retrieved June 28, 2012, from http://nationalatlas.gov</t>
  </si>
  <si>
    <t>Drought is a natural climatic condition which occurs in virtually all climates, the consequence of a natural reduction in the amount of precipitation experienced over a long period of time, usually a season or more in length. High temperatures, prolonged winds, and low relative humidity can exacerbate the severity of drought. This hazard is of particular concern in Pennsylvania due to the presence of farms as well as water-dependent industries and recreation areas across the Commonwealth. A prolonged drought could severely impact these sectors of the local economy, as well as residents who depend on wells for drinking water and other personal uses. (Baker, 2010).</t>
  </si>
  <si>
    <t>The worst drought event on record in Pennsylvania occurred in 1963, when precipitation statewide averaged below normal for ten of twelve months. Drought emergency status led to widespread water use restrictions, and reservoirs dipped to record low levels. Corn, hay, and other agricultural products shriveled in parched field, causing economic losses. Governor William Scranton sought drought aid for Pennsylvania in the face of mounting agricultural losses, and the event became a presidentially declared disaster in September 1963 (Baker, 2010).</t>
  </si>
  <si>
    <t>Baker, M. (2010). Commonwealth of Pennsylvania 2010 Standard All-Hazard Mitigation Plan.</t>
  </si>
  <si>
    <t>Centers for Disease Control and Prevention, U.S. Environmental Protection Agency, National Oceanic and Atmospheric Agency, &amp; American Water Works Association. (2010). When every drop counts: protecting public health during drought conditions—a guide for public health professionals.  Atlanta: U.S. Department of Health and Human Services.</t>
  </si>
  <si>
    <t>The proxy scenario used to predict the impacts of an earthquake in Southeastern Pennsylvania is The 1998 Pymatuning earthquake, which occurred in Pennsylvania on September 25, 1998.  With a magnitude of 5.2, it was the greatest recorded earthquake in Pennsylvania's history  (Baker, 2010).</t>
  </si>
  <si>
    <t>Dewey, J. W., &amp; Hopper, M. G. (1998, December 14). Intensity Distribution and Isoseismal Maps for the Pymatuning (Northwestern Pennsylvania) Earthquake of 25 September, 1998  Retrieved September 17, 2012, from http://earthquake.usgs.gov/neis/intensity/pym/</t>
  </si>
  <si>
    <t xml:space="preserve">Gorokhvovich, Y., &amp; Fleeger, G. (2007). Pymatuning earthquake in Pennsylvania and Late Minoan Crisis on Crete. Water Science &amp; Technology: Water Supply, 7(1), 245-251. </t>
  </si>
  <si>
    <t>A fire can be a wildfire or an urban fire.  A wildfire is a raging, uncontrolled fire that spreads rapidly through vegetative fuels, exposing and possibly consuming structures. Wildfires often begin unnoticed and can spread quickly, creating dense smoke that can be seen for miles. Wildfires can occur at any time of the year, but mostly occur during long, dry hot spells. Any small fire in a wooded area, if not quickly detected and suppressed, can get out of control. Most wildfires are caused by human carelessness, negligence, and ignorance. However, some are precipitated by lightning strikes and in rare instances, spontaneous combustion. Wildfires in Pennsylvania can occur in fields, grass, brush, and forests. 98% of wildfires in Pennsylvania are a direct result of people, often caused by debris burns (Baker, 2010).
An urban fire involves a structure or property within an urban or developed area. For hazard mitigation purposes, major urban fires involving large buildings and/or multiple properties are of primary concern. The effects of a major urban fire include minor to significant property damage, loss of life, and residential or business displacement (Baker, 2010).</t>
  </si>
  <si>
    <t>Henshaw, S., &amp; Kahl, J. (2012). Wildfire burns up to 500 acres, Reading Eagle. Retrieved from http://readingeagle.com/article.aspx?id=379027</t>
  </si>
  <si>
    <t>The proxy scenario used to predict the impacts of fire in Southeastern Pennsylvania is the April 2012 French Creek State Park fire, in which 741 acres were burned (Devlin, 2012).</t>
  </si>
  <si>
    <t xml:space="preserve">Devlin, R. (2012). Hopewell Fire out, but still a threat Reading Eagle. Retrieved from http://readingeagle.com/article.aspx?id=380394 </t>
  </si>
  <si>
    <t>In the French Creek area fire of 2012, 3 firefighters were injured (Henshaw &amp; Kahl, 2012).</t>
  </si>
  <si>
    <t>In the French Creek Area Fire of 2012, there were only minor injuries (Henshaw &amp; Kahl, 2012).</t>
  </si>
  <si>
    <t>In the French Creek area fire of 2012, residents were evacuated from homes along four roads near the fire (The Associated Press, 2012)</t>
  </si>
  <si>
    <t>The Associated Press. (2012). Forest fire in eastern Pennsylvania prompts evacuations, The Patriot-News. Retrieved from http://www.pennlive.com/midstate/index.ssf/2012/04/forest_fire_in_eastern_pennsyl.html</t>
  </si>
  <si>
    <t>No buildings were damaged by the French Creek area fire of 2012 (Henshaw &amp; Kahl, 2012).</t>
  </si>
  <si>
    <t>In order for this workbook to operate correctly, macros must be enabled.  Please enable content and macros when prompted.</t>
  </si>
  <si>
    <t>Baseline Healthcare Preparedness Capability Status</t>
  </si>
  <si>
    <t>Healthcare System Preparedness</t>
  </si>
  <si>
    <t>Healthcare System Recovery</t>
  </si>
  <si>
    <t>Healthcare System Preparedness Score</t>
  </si>
  <si>
    <t>Healthcare System Recovery Score</t>
  </si>
  <si>
    <r>
      <rPr>
        <u/>
        <sz val="11"/>
        <color theme="1"/>
        <rFont val="Calibri"/>
        <family val="2"/>
        <scheme val="minor"/>
      </rPr>
      <t>Function 1</t>
    </r>
    <r>
      <rPr>
        <sz val="11"/>
        <color theme="1"/>
        <rFont val="Calibri"/>
        <family val="2"/>
        <scheme val="minor"/>
      </rPr>
      <t>: Develop, refine, or sustain Healthcare Coalitions consisting of a collaborative network of healthcare organizations and their respective public and private sector response partners within a defined region. Healthcare Coalitions serve as a multi-agency coordinating group that assists Emergency Management and Emergency Support Function (ESF) #8 with preparedness, response, recovery, and mitigation activities related to healthcare organization disaster operations. The primary function of the Healthcare Coalition includes sub-state regional, healthcare system emergency preparedness activities involving the member organizations. Healthcare Coalitions also may provide multiagency coordination to interface with the appropriate level of emergency operations in order to assist with the provision of situational awareness and the coordination of resources for healthcare organizations during a response.</t>
    </r>
  </si>
  <si>
    <r>
      <rPr>
        <u/>
        <sz val="11"/>
        <color theme="1"/>
        <rFont val="Calibri"/>
        <family val="2"/>
        <scheme val="minor"/>
      </rPr>
      <t>Function 2</t>
    </r>
    <r>
      <rPr>
        <sz val="11"/>
        <color theme="1"/>
        <rFont val="Calibri"/>
        <family val="2"/>
        <scheme val="minor"/>
      </rPr>
      <t>: Coordinate with emergency management to develop local and state emergency operations plans that address the concerns and unique needs of healthcare organizations. Plans should encompass the ability to deliver essential healthcare services during a response. This includes the assessment phases of planning to determine needs and priorities of healthcare organizations and the development of operational courses of action used during responses.</t>
    </r>
  </si>
  <si>
    <r>
      <rPr>
        <u/>
        <sz val="11"/>
        <color theme="1"/>
        <rFont val="Calibri"/>
        <family val="2"/>
        <scheme val="minor"/>
      </rPr>
      <t>Function 3</t>
    </r>
    <r>
      <rPr>
        <sz val="11"/>
        <color theme="1"/>
        <rFont val="Calibri"/>
        <family val="2"/>
        <scheme val="minor"/>
      </rPr>
      <t>: Identify and prioritize healthcare assets and essential services within a healthcare delivery area or region (Healthcare Coalition area). Coordinate planning to protect and enhance priority healthcare assets and essential services in order to ensure continued healthcare delivery to the community during a disaster.</t>
    </r>
  </si>
  <si>
    <r>
      <rPr>
        <u/>
        <sz val="11"/>
        <color theme="1"/>
        <rFont val="Calibri"/>
        <family val="2"/>
        <scheme val="minor"/>
      </rPr>
      <t>Function 4</t>
    </r>
    <r>
      <rPr>
        <sz val="11"/>
        <color theme="1"/>
        <rFont val="Calibri"/>
        <family val="2"/>
        <scheme val="minor"/>
      </rPr>
      <t>: Perform resource assessments and develop plans to assist healthcare organizations address gaps associated with planning, training, staffing, and equipping that improve resource availability during response and recovery. This is an ongoing process in the preparedness cycle guided by healthcare organization resource needs. These needs are based on the outcome of gap analysis, the evaluation of training, exercises, and actual incidents or events, and subsequent corrective actions.</t>
    </r>
  </si>
  <si>
    <r>
      <rPr>
        <u/>
        <sz val="11"/>
        <color theme="1"/>
        <rFont val="Calibri"/>
        <family val="2"/>
        <scheme val="minor"/>
      </rPr>
      <t>Function 5</t>
    </r>
    <r>
      <rPr>
        <sz val="11"/>
        <color theme="1"/>
        <rFont val="Calibri"/>
        <family val="2"/>
        <scheme val="minor"/>
      </rPr>
      <t>: Coordinate training for healthcare responders and supporting agencies in order to provide the required knowledge, skills, and abilities needed to prepare and respond to a disaster. Training curriculums are based on assessments, strategies, improvement plans, and ongoing evaluation efforts. Training is coordinated with ongoing training initiatives from healthcare and response partners. Training should include appropriate National Incident Management System (NIMS) or equivalent training.</t>
    </r>
  </si>
  <si>
    <r>
      <rPr>
        <u/>
        <sz val="11"/>
        <color theme="1"/>
        <rFont val="Calibri"/>
        <family val="2"/>
        <scheme val="minor"/>
      </rPr>
      <t>Function 6</t>
    </r>
    <r>
      <rPr>
        <sz val="11"/>
        <color theme="1"/>
        <rFont val="Calibri"/>
        <family val="2"/>
        <scheme val="minor"/>
      </rPr>
      <t>: Coordinate an exercise, evaluation, and corrective action program to continuously improve healthcare preparedness, response, and recovery. Exercises should assess and validate the effectiveness and efficiency of capabilities and the adequacy of policies, plans, procedures, and protocols. Exercises should be coordinated vertically and horizontally with healthcare and emergency response partners. Evaluation and improvement planning should track corrective actions associated with identified healthcare capability deficiencies observed during exercises and incidents. Corrective actions provide the means to improve medical operational preparedness to perform critical healthcare response tasks. Corrective actions also contribute to the continuous preparedness cycle by ensuring updated strategies and plans are incorporated into new preparedness-building activities.</t>
    </r>
  </si>
  <si>
    <r>
      <rPr>
        <u/>
        <sz val="11"/>
        <color theme="1"/>
        <rFont val="Calibri"/>
        <family val="2"/>
        <scheme val="minor"/>
      </rPr>
      <t>Function 7</t>
    </r>
    <r>
      <rPr>
        <sz val="11"/>
        <color theme="1"/>
        <rFont val="Calibri"/>
        <family val="2"/>
        <scheme val="minor"/>
      </rPr>
      <t>: Participate with planning to address at-risk individuals and those with special medical needs whose care can only occur at healthcare facilities. This includes coordination with public health and ESF#6 mass care planning to determine the transfer and transport options for individuals with special medical needs to and from shelters/healthcare facilities. It also includes continued involvement with public health planning initiatives for at-risk individuals with functional needs so that assistance or guidance can be provided to healthcare organizations regarding activity that may affect healthcare.</t>
    </r>
  </si>
  <si>
    <r>
      <rPr>
        <u/>
        <sz val="11"/>
        <color theme="1"/>
        <rFont val="Calibri"/>
        <family val="2"/>
        <scheme val="minor"/>
      </rPr>
      <t>Function 1</t>
    </r>
    <r>
      <rPr>
        <sz val="11"/>
        <color theme="1"/>
        <rFont val="Calibri"/>
        <family val="2"/>
        <scheme val="minor"/>
      </rPr>
      <t>: Identify healthcare organization recovery needs and develop priority recovery processes to support a return to normalcy of operations or a
new standard of normalcy for the provision of healthcare delivery to the community.</t>
    </r>
  </si>
  <si>
    <r>
      <rPr>
        <u/>
        <sz val="11"/>
        <color theme="1"/>
        <rFont val="Calibri"/>
        <family val="2"/>
        <scheme val="minor"/>
      </rPr>
      <t>Function 2</t>
    </r>
    <r>
      <rPr>
        <sz val="11"/>
        <color theme="1"/>
        <rFont val="Calibri"/>
        <family val="2"/>
        <scheme val="minor"/>
      </rPr>
      <t>: Maintain continuity of the healthcare delivery by coordinating recovery across functional healthcare organizations and encouraging business continuity planning. COOP guides how key resources from governmental, non-governmental, and private sector agencies can be used to support the sustainment and reestablishment of essential services for healthcare organizations. This coordination assists healthcare organizations to maintain their functional capabilities during, and after an all hazards incident and enables a rapid and more effective recovery.</t>
    </r>
  </si>
  <si>
    <r>
      <rPr>
        <u/>
        <sz val="11"/>
        <color theme="1"/>
        <rFont val="Calibri"/>
        <family val="2"/>
        <scheme val="minor"/>
      </rPr>
      <t>Function 1</t>
    </r>
    <r>
      <rPr>
        <sz val="11"/>
        <color theme="1"/>
        <rFont val="Calibri"/>
        <family val="2"/>
        <scheme val="minor"/>
      </rPr>
      <t>: Coordinate the protocols and criteria for the multi-agency representation of healthcare organizations into local and state emergency operations during an incident response.</t>
    </r>
  </si>
  <si>
    <r>
      <rPr>
        <u/>
        <sz val="11"/>
        <color theme="1"/>
        <rFont val="Calibri"/>
        <family val="2"/>
        <scheme val="minor"/>
      </rPr>
      <t>Function 2</t>
    </r>
    <r>
      <rPr>
        <sz val="11"/>
        <color theme="1"/>
        <rFont val="Calibri"/>
        <family val="2"/>
        <scheme val="minor"/>
      </rPr>
      <t>: Assess the incident’s impact on healthcare delivery in order to determine immediate healthcare organization resource needs and the status of healthcare delivery during an incident response. This includes assisting with the creation of the incident common operating picture and developing the processes for notification and information exchange between relevant response partners, stakeholders, and healthcare organizations.</t>
    </r>
  </si>
  <si>
    <r>
      <rPr>
        <u/>
        <sz val="11"/>
        <color theme="1"/>
        <rFont val="Calibri"/>
        <family val="2"/>
        <scheme val="minor"/>
      </rPr>
      <t>Function 3</t>
    </r>
    <r>
      <rPr>
        <sz val="11"/>
        <color theme="1"/>
        <rFont val="Calibri"/>
        <family val="2"/>
        <scheme val="minor"/>
      </rPr>
      <t>: Coordinate resource allocation for healthcare organizations by assisting incident management with decisions regarding resource availability and needs. This process should continue throughout incident response and recovery; including ongoing coordination to track resources for decision-making and optimal resource allocation.</t>
    </r>
  </si>
  <si>
    <r>
      <rPr>
        <u/>
        <sz val="11"/>
        <color theme="1"/>
        <rFont val="Calibri"/>
        <family val="2"/>
        <scheme val="minor"/>
      </rPr>
      <t>Function 4</t>
    </r>
    <r>
      <rPr>
        <sz val="11"/>
        <color theme="1"/>
        <rFont val="Calibri"/>
        <family val="2"/>
        <scheme val="minor"/>
      </rPr>
      <t>: The processes that assists healthcare organizations with the return of resources that are no longer required to support the incident. This includes the return of shared resources through incident management processes or directly to the providing healthcare organization. Following the return of assets, incorporate best practices and lessons learned into the continuous improvement process (after action reports/improvement plans/corrective actions).</t>
    </r>
  </si>
  <si>
    <r>
      <rPr>
        <u/>
        <sz val="11"/>
        <color theme="1"/>
        <rFont val="Calibri"/>
        <family val="2"/>
        <scheme val="minor"/>
      </rPr>
      <t>Function 1</t>
    </r>
    <r>
      <rPr>
        <sz val="11"/>
        <color theme="1"/>
        <rFont val="Calibri"/>
        <family val="2"/>
        <scheme val="minor"/>
      </rPr>
      <t>: Coordinate with agencies responsible for fatality management (e.g., medical examiner, coroner’s office, emergency management) to assist with the temporary storage of human remains during periods of death surges at healthcare organizations when morgue space is exceeded or unavailable.</t>
    </r>
  </si>
  <si>
    <r>
      <rPr>
        <u/>
        <sz val="11"/>
        <color theme="1"/>
        <rFont val="Calibri"/>
        <family val="2"/>
        <scheme val="minor"/>
      </rPr>
      <t>Function 2</t>
    </r>
    <r>
      <rPr>
        <sz val="11"/>
        <color theme="1"/>
        <rFont val="Calibri"/>
        <family val="2"/>
        <scheme val="minor"/>
      </rPr>
      <t>: Coordination with the agency responsible to provide assistance to the community regarding ante-mortem data to provide assistance to healthcare organizations for the processes to direct family and community members seeking information about missing family members to the right locations that are available in the community.</t>
    </r>
  </si>
  <si>
    <r>
      <rPr>
        <u/>
        <sz val="11"/>
        <color theme="1"/>
        <rFont val="Calibri"/>
        <family val="2"/>
        <scheme val="minor"/>
      </rPr>
      <t>Function 3</t>
    </r>
    <r>
      <rPr>
        <sz val="11"/>
        <color theme="1"/>
        <rFont val="Calibri"/>
        <family val="2"/>
        <scheme val="minor"/>
      </rPr>
      <t>: Coordinate with the lead jurisdictional authority and jurisdictional and regional mental/behavioral health partners to assist healthcare organizations with the processes to solicit support for the provision of non-intrusive, culturally sensitive mental/behavioral health support services to family members of the deceased, incident survivors, and responders, if requested.</t>
    </r>
  </si>
  <si>
    <r>
      <rPr>
        <u/>
        <sz val="11"/>
        <color theme="1"/>
        <rFont val="Calibri"/>
        <family val="2"/>
        <scheme val="minor"/>
      </rPr>
      <t>Function 1</t>
    </r>
    <r>
      <rPr>
        <sz val="11"/>
        <color theme="1"/>
        <rFont val="Calibri"/>
        <family val="2"/>
        <scheme val="minor"/>
      </rPr>
      <t>: Provide situational awareness regarding the status of healthcare delivery into the ongoing flow of information to assist with the creation of an incident common operating picture. This includes providing information to the full spectrum of healthcare partners. This encompasses the real time sharing of actionable information between healthcare organizations and incident management to assist decision makers with resource allocation and provide healthcare organizations with incident specific information.</t>
    </r>
  </si>
  <si>
    <r>
      <rPr>
        <u/>
        <sz val="11"/>
        <color theme="1"/>
        <rFont val="Calibri"/>
        <family val="2"/>
        <scheme val="minor"/>
      </rPr>
      <t>Function 2</t>
    </r>
    <r>
      <rPr>
        <sz val="11"/>
        <color theme="1"/>
        <rFont val="Calibri"/>
        <family val="2"/>
        <scheme val="minor"/>
      </rPr>
      <t>: Communications interoperability enables healthcare organization emergency communication systems to communicate with existing incident management emergency communications systems. With these systems in place, healthcare organizations can communicate with multiple agencies, relevant response partners, stakeholders, and other healthcare systems through radio and/or associated communications systems permitting an exchange of information in real time, when needed, and when authorized.</t>
    </r>
  </si>
  <si>
    <r>
      <rPr>
        <u/>
        <sz val="11"/>
        <color theme="1"/>
        <rFont val="Calibri"/>
        <family val="2"/>
        <scheme val="minor"/>
      </rPr>
      <t>Function 1</t>
    </r>
    <r>
      <rPr>
        <sz val="11"/>
        <color theme="1"/>
        <rFont val="Calibri"/>
        <family val="2"/>
        <scheme val="minor"/>
      </rPr>
      <t>: Develop, refine, and sustain processes to ensure incident management decisions during medical surge incidents are coordinated through multi-agency collaboration representative of the community healthcare organizations’ priorities and needs. Coordination is achieved by ensuring that there are plans and protocols in place to guide the decisions made by incident management. It may also be achieved through real time multi-agency coordination by healthcare organizations during a response.</t>
    </r>
  </si>
  <si>
    <r>
      <rPr>
        <u/>
        <sz val="11"/>
        <color theme="1"/>
        <rFont val="Calibri"/>
        <family val="2"/>
        <scheme val="minor"/>
      </rPr>
      <t>Function 2</t>
    </r>
    <r>
      <rPr>
        <sz val="11"/>
        <color theme="1"/>
        <rFont val="Calibri"/>
        <family val="2"/>
        <scheme val="minor"/>
      </rPr>
      <t>: Coordination between the State, healthcare organizations, and Healthcare Coalitions with EMS operations and medical oversight to develop, refine, and sustain protocols for information sharing and communications. These protocols should assist with the coordination of transport decisions and options during a medical surge incident. These protocols also assist healthcare organizations understand the EMS disaster triage, transport, documentation, and CBRNE treatment methodologies during mass casualty incidents resulting in medical surge.</t>
    </r>
  </si>
  <si>
    <r>
      <rPr>
        <u/>
        <sz val="11"/>
        <color theme="1"/>
        <rFont val="Calibri"/>
        <family val="2"/>
        <scheme val="minor"/>
      </rPr>
      <t>Function 3</t>
    </r>
    <r>
      <rPr>
        <sz val="11"/>
        <color theme="1"/>
        <rFont val="Calibri"/>
        <family val="2"/>
        <scheme val="minor"/>
      </rPr>
      <t>: The rapid expansion of the capacity and capability of the healthcare system to provide the appropriate and timely clinical level of care in response to an incident that causes increased numbers (capacity) or special types of patients (capability) that overwhelm the day-to-day acute-care medical resources. This encompasses the appropriate decisions regarding patient care that require multi-agency coordination between healthcare organizations and incident management during medical surge operations.</t>
    </r>
  </si>
  <si>
    <r>
      <rPr>
        <u/>
        <sz val="11"/>
        <color theme="1"/>
        <rFont val="Calibri"/>
        <family val="2"/>
        <scheme val="minor"/>
      </rPr>
      <t>Function 4</t>
    </r>
    <r>
      <rPr>
        <sz val="11"/>
        <color theme="1"/>
        <rFont val="Calibri"/>
        <family val="2"/>
        <scheme val="minor"/>
      </rPr>
      <t>: Provide State guidance and protocols on crisis standards of care in order to enable a substantial change in routine healthcare operations including delivery of the optimal level of patient care for a pervasive (e.g., pandemic influenza) or catastrophic (e.g., earthquake, hurricane) disaster. The need for crisis standards is justified by specific circumstances and may or may not be triggered by the formal declaration of emergency, disaster, or public health emergency (with input from local, Healthcare Coalition, and regional authorities), in recognition that crisis operations will be in effect for a sustained period. If an emergency declaration is made, it changes the legal environment and enables specific legal and regulatory powers and protections for public health and healthcare providers concerning their actions and omissions associated with allocating and utilizing scarce medical resources and implementing crisis standards of care. This guidance provides a delineated continuum of care from normal operations to eventual crisis standards of care. The continuum involves the scarcity of all other resource options until it is no longer feasible to provide normal care, including strategies to reduce demand, optimize
existing resources, and augment existing resources.</t>
    </r>
  </si>
  <si>
    <r>
      <rPr>
        <u/>
        <sz val="11"/>
        <color theme="1"/>
        <rFont val="Calibri"/>
        <family val="2"/>
        <scheme val="minor"/>
      </rPr>
      <t>Function 5</t>
    </r>
    <r>
      <rPr>
        <sz val="11"/>
        <color theme="1"/>
        <rFont val="Calibri"/>
        <family val="2"/>
        <scheme val="minor"/>
      </rPr>
      <t>: Support healthcare organizations during evacuation and shelter in place operations in which no warning or ample warning is received prior to the occurrence. This assists healthcare organizations with the safe and effective care of patients, use of equipment, and utilization of staff during relocation to another facility within a region or outside of the region in response to an incident. This includes the provision of assistance to healthcare organizations that have decided to shelter-in-place during the incident.</t>
    </r>
  </si>
  <si>
    <r>
      <rPr>
        <u/>
        <sz val="11"/>
        <color theme="1"/>
        <rFont val="Calibri"/>
        <family val="2"/>
        <scheme val="minor"/>
      </rPr>
      <t>Function 1</t>
    </r>
    <r>
      <rPr>
        <sz val="11"/>
        <color theme="1"/>
        <rFont val="Calibri"/>
        <family val="2"/>
        <scheme val="minor"/>
      </rPr>
      <t>: Develop, refine, and sustain processes to assist healthcare organizations to provide the timely distribution of critical medication such as prophylaxis or immediate treatment for healthcare workers and their families during an exposure incident (e.g., CBRNE).</t>
    </r>
  </si>
  <si>
    <r>
      <rPr>
        <u/>
        <sz val="11"/>
        <color theme="1"/>
        <rFont val="Calibri"/>
        <family val="2"/>
        <scheme val="minor"/>
      </rPr>
      <t>Function 2</t>
    </r>
    <r>
      <rPr>
        <sz val="11"/>
        <color theme="1"/>
        <rFont val="Calibri"/>
        <family val="2"/>
        <scheme val="minor"/>
      </rPr>
      <t>: Assist healthcare organizations with the ability to access the appropriate types of caches of Personal Protective Equipment (PPE) needed for the safety of healthcare responders based on incident/event-specific conditions.</t>
    </r>
  </si>
  <si>
    <r>
      <rPr>
        <u/>
        <sz val="11"/>
        <color theme="1"/>
        <rFont val="Calibri"/>
        <family val="2"/>
        <scheme val="minor"/>
      </rPr>
      <t>Function 1</t>
    </r>
    <r>
      <rPr>
        <sz val="11"/>
        <color theme="1"/>
        <rFont val="Calibri"/>
        <family val="2"/>
        <scheme val="minor"/>
      </rPr>
      <t>: Participate with volunteer planning to assess the situations in which volunteers may be needed by healthcare organizations to determine the type and quantity of volunteers that may be used by healthcare organizations during a response. The coordinated planning involves medical considerations for the recruitment, identification, and training of volunteers that can support a healthcare organization response.</t>
    </r>
  </si>
  <si>
    <r>
      <rPr>
        <u/>
        <sz val="11"/>
        <color theme="1"/>
        <rFont val="Calibri"/>
        <family val="2"/>
        <scheme val="minor"/>
      </rPr>
      <t>Function 2</t>
    </r>
    <r>
      <rPr>
        <sz val="11"/>
        <color theme="1"/>
        <rFont val="Calibri"/>
        <family val="2"/>
        <scheme val="minor"/>
      </rPr>
      <t>: Initiate the volunteer request process so that prospective volunteers are mobilized in the appropriate health professional role for the healthcare organization’s response.</t>
    </r>
  </si>
  <si>
    <r>
      <rPr>
        <u/>
        <sz val="11"/>
        <color theme="1"/>
        <rFont val="Calibri"/>
        <family val="2"/>
        <scheme val="minor"/>
      </rPr>
      <t>Function 3</t>
    </r>
    <r>
      <rPr>
        <sz val="11"/>
        <color theme="1"/>
        <rFont val="Calibri"/>
        <family val="2"/>
        <scheme val="minor"/>
      </rPr>
      <t>: Identify the process for allocating volunteers that are needed simultaneously across several healthcare organizations. This process should include the placement of volunteers through the appropriate deployment channels and match the assignment of volunteers to the needs of the requesting healthcare organizations (i.e., based on volunteer availability).</t>
    </r>
  </si>
  <si>
    <r>
      <rPr>
        <u/>
        <sz val="11"/>
        <color theme="1"/>
        <rFont val="Calibri"/>
        <family val="2"/>
        <scheme val="minor"/>
      </rPr>
      <t>Function 4</t>
    </r>
    <r>
      <rPr>
        <sz val="11"/>
        <color theme="1"/>
        <rFont val="Calibri"/>
        <family val="2"/>
        <scheme val="minor"/>
      </rPr>
      <t>: Coordinate the release of volunteers based on evolving incident requirements or incident status. This includes coordination with the appropriate partner agencies to ensure provision of medical and mental/behavioral health support needed for the volunteers’ physical and mental well-being.</t>
    </r>
  </si>
  <si>
    <t>Public Health Preparedness</t>
  </si>
  <si>
    <t>Healthcare Preparedness</t>
  </si>
  <si>
    <t>Rate the relevance of each of the following Public Health Preparedness capabilities to the public health response to this hazard.</t>
  </si>
  <si>
    <t>Rate the relevance of each of the following Healthcare Preparedness capabilities to the healthcare response to this hazard.</t>
  </si>
  <si>
    <t>HC System Prep</t>
  </si>
  <si>
    <t>HC System Recov</t>
  </si>
  <si>
    <t>Healthcare Preparedness Score:</t>
  </si>
  <si>
    <t>Public Health Preparedness Score:</t>
  </si>
  <si>
    <t>Overall Preparedness = (Public Health Preparedness + Healthcare Preparedness) / 2</t>
  </si>
  <si>
    <t>Overall Preparedness</t>
  </si>
  <si>
    <t>Overall Planning Priority = Overall Adjusted Risk / Overall Preparedness</t>
  </si>
  <si>
    <t>PH Planning Priority = Public Health Adjusted Risk / Public Health Preparedness</t>
  </si>
  <si>
    <t>Healthcare Planning Priority = Healthcare Adjusted Risk / Healthcare Preparedness</t>
  </si>
  <si>
    <t>Healthcare System  Recovery</t>
  </si>
  <si>
    <t>The “Adjusted Risk vs. Preparedness” sheet displays graphs of the adjusted risk and preparedness for all hazards.  All of the individual Hazard worksheets must have been completed for this sheet to display correctly.  The graphs are automatically generated, and label positions may have to be changed in order for the figures to be easily readable.  To do this, right-click on the label and select “Format Data Labels…”  You may have to adjust the range of the y-axis to properly display the results.  To this this, right-click on the y-axis and select "Format axis..." Set the Axis Options to reflect a narrow range that includes all values.</t>
  </si>
  <si>
    <t>Inpatient Facility Infrastructure</t>
  </si>
  <si>
    <t>Public Health Service Imact</t>
  </si>
  <si>
    <t>The proxy scenario used to predict the impacts of a coastal storm in Southeastern Pennsylvania is Hurricane Sandy, which made landfall close to Atlantic City in New Jersey on October 29, 2012, at about 8:00 pm local time.  The storm had winds of more than 80mph (129km/h) (MCEER, 2012).</t>
  </si>
  <si>
    <t>MCEER. (2012). Post-Tropical Cyclone Sandy 2012: Statistics &amp; News  Retrieved November 12, 2012, from http://mceer.buffalo.edu/infoservice/disasters/Post-Tropical-Cyclone-Sandy-2012.asp</t>
  </si>
  <si>
    <t>During Hurricane Ike in Franklin County, Ohio, ED visits increased by 33% for two days (Schmidlin, 2011) .  Doylestown Hospital in Bucks County reported an increase in emergency department volume during Hurricane Sandy, largely due to local doctor's offices being closed (Adkins, 2012).</t>
  </si>
  <si>
    <t>Adkins, L. (2012). Hospital Emergency Rooms Seeing Higher Traffic Related To Hurricane Sandy, CBS Philly. Retrieved from http://philadelphia.cbslocal.com/2012/11/02/hospital-emergency-rooms-seeing-higher-traffic-related-to-hurricane-sandy/</t>
  </si>
  <si>
    <t>During Hurricane Sandy, most outpatient offices and amubulatory centers in the Philadelphia region were closed Monday and Tuesday ("Hurricane Sandy closings mount," 2012).</t>
  </si>
  <si>
    <t>Hurricane Sandy closings mount. (2012). Philadelphia Business Journal. Retrieved from http://www.bizjournals.com/philadelphia/morning_roundup/2012/10/whats-closed-nearly-everything.html</t>
  </si>
  <si>
    <t>15 people in Pennsylvania died in Sandy-related events (Newman, 2012), including 3 people in Sooutheastern PA: a 64-yr-old woman and a 95-yr-old woman in Bucks County who died when a house caught on fire after power was restored, and a 90-yr-old woman in Upper Merion Township who died from carbon-monoxide poisoning from a portable generator.</t>
  </si>
  <si>
    <t>Newman, A. (2012). Storm’s Death Toll Climbs in New Jersey, The New York Times. Retrieved from http://cityroom.blogs.nytimes.com/2012/11/12/storms-death-toll-climbs-in-new-jersey/</t>
  </si>
  <si>
    <t>After Sandy, PECO reported 850,000 customers without power in southeastern PA (Gammage, 2012).  Power was usually restored within 1 week.</t>
  </si>
  <si>
    <t>Gammage, J. (2012). Philadelphia area edging back to normal after Sandy, The Philadelphia Inquirer. Retrieved from http://articles.philly.com/2012-11-01/news/34838473_1_power-outages-sandy-hurricane-irene</t>
  </si>
  <si>
    <t>The Tuesday evening after Sandy, an estimated 274 people remained in shelters in Philadelphia, Montgomery County, and Bucks County. Delaware County and Chester County shelters had closed (Gammage, 2012).</t>
  </si>
  <si>
    <t>After Sandy, PH messages were released regarding floodwater, mold removal, throwing away spoiled food, checking on neighbors, carbon monoxide poisoning, hypothermia, etc.  It is estimated that one full-time employee is necessary to develop these messages.</t>
  </si>
  <si>
    <t>During Hurricane Sandy, SEPTA suspended service Monday at 12:30 am, and resumed normal operations Wednesday morning.  During the storm, major highways in and out of Philadelphia, as well as four bridges spanning the Delaware River into New Jersey, were shut down to all but emergency vehicles (Action News, 2012).</t>
  </si>
  <si>
    <t xml:space="preserve">Action News. (2012). 3 dead in wake of Sandy's violent tear through Pa. 6abc.com. </t>
  </si>
  <si>
    <t>State office buildings in Philadelphia, city offices and Philadelphia schools were scheduled to be closed Monday (Action News, 2012).  Of a sample of private businesses in Manayunk, 72% were closed on Monday, and 52% were closed on Tuesday (Scavuzzo, 2012).</t>
  </si>
  <si>
    <t>Scavuzzo, S. F. (2012, October 28). Update: Who's Open Tuesday After Hurricane Sandy? Roxborough-Manayunk Patch  Retrieved November 12, 2012, from http://roxborough.patch.com/articles/businesses-closingsmanayunk-open-before-hurricane-sandy</t>
  </si>
  <si>
    <t>Mandatory evacuations were in effect in certain parts of Chester City, Darby, and Bensalem, displacing at least 1200 people ("Hurricane Sandy Mandatory Evacuations," 2012; Reed, 2012; Sullivan, 2012).</t>
  </si>
  <si>
    <t>Hurricane Sandy Mandatory Evacuations. (2012). CBS Philly. Retrieved from http://philadelphia.cbslocal.com/2012/10/28/hurricane-sandy-mandatory-evacuations/</t>
  </si>
  <si>
    <t>Reed, B. (2012). 500-1,000 evacuated in Bensalem, The Philadelphia Inquirer. Retrieved from http://www.philly.com/philly/blogs/bucksinq/176281985.html</t>
  </si>
  <si>
    <t>Sullivan, V. (2012). Darby, Chester enact mandatory evacuations, Delaware County News Network. Retrieved from http://www.delconewsnetwork.com/articles/2012/10/29/news_of_delaware_county/news/doc508e6a4cad7fb950867209.txt</t>
  </si>
  <si>
    <t>Preston, J. (2012). State-by-State Guide to Hurricane Sandy, The New York Times. Retrieved from http://thelede.blogs.nytimes.com/2012/10/29/state-by-state-guide-to-hurricane-sandy/#Pennsylvania</t>
  </si>
  <si>
    <t>Hours of Fuel Required:</t>
  </si>
  <si>
    <t>Hours Required = Hours of Electricity Loss - Hours of Back-Up Generator Fuel On Hand in Facility</t>
  </si>
  <si>
    <t>Fox, S., &amp; Schick, V. (2012, October 31). EHR access lost during Hurricane Sandy. Health IR Law Blog  Retrieved November 12, 2012, from http://www.healthitlawblog.com/tags/emergency-preparedness/</t>
  </si>
  <si>
    <t>Crawford, J. M., Stallone, R., Zhang, F., Gerolimatos, M., Korologos, D. D., Sweetapple, C., . . . Ginocchio, C. C. (2010). Laboratory Surge Response to Pandemic (H1N1) 2009 Outbreak, New York City Metropolitan Area, USA. Emerging Infectious Diseases, 16(1), 8-13. doi: DOI 10.3201/eid1601.091167</t>
  </si>
  <si>
    <t>Hours of Fuel Required</t>
  </si>
  <si>
    <t>During the Northeast Blackout of 2003, four hospitals in NYC experienced back-up generator failure for approximately 2 hours (Beatty et al., 2006).  It is assumed that backup generator failures occur at 2 region hospitals, including the county's largest hospital.  During the Northeast Blackout of 2003, New York Presbyterian in NYC did not experience an increase in volume (Eachempati, Mick, &amp; Barie, 2004).</t>
  </si>
  <si>
    <t>Most data/communication networks are supplied with back-up generator power.  During the Northeast Blackout of 2003, four hospitals in NYC experienced back-up generator failure for approximately 2 hours (Beatty et al., 2006).  It is assumed that backup generator failures occur at 2 region hospitals, including the region's largest hospital.</t>
  </si>
  <si>
    <t xml:space="preserve">Employees of the facility who are injured may require decontamination, though they are likely to receive decontamination on site.  </t>
  </si>
  <si>
    <t>All hospitals were restricted to essential personnel only traveling due to governor's orders, but most hospitals had hundreds of staff sleep over in preparation.</t>
  </si>
  <si>
    <t>Two small long-term care facilities in Pennsylvania evacated due to physical damage.</t>
  </si>
  <si>
    <t>Total Nursing Home Beds:</t>
  </si>
  <si>
    <t>Total Inpatient Beds:</t>
  </si>
  <si>
    <t>Percent of Regional Inpatient Beds Impacted:</t>
  </si>
  <si>
    <t>Number of Regional Inpatient Beds (Hospital and Nursing Home) Impacted by Electricity Loss:</t>
  </si>
  <si>
    <t>Number of Regional Inpatient Beds (Hospital and Nursing Home) Requiring Additional Fuel Delivery for Back-Up Generators:</t>
  </si>
  <si>
    <t>Percent of Regional Inpatient Beds Requiring Fuel:</t>
  </si>
  <si>
    <t>Number of Regional Hospital Beds Impacted by Data/Comm Loss:</t>
  </si>
  <si>
    <t>Percent of Regional Hospital Beds Impacted:</t>
  </si>
  <si>
    <t>Number of Regional Inpatient Beds (Hospital and Nursing Home) Impacted by Interruption of Linen Services:</t>
  </si>
  <si>
    <t>Number of Regional Inpatient Beds (Hospital and Nursing Home) Requiring Evacuation:</t>
  </si>
  <si>
    <t>Percent of Regional Inpatient Beds Requiring Evacuation:</t>
  </si>
  <si>
    <t>Total Beds at Nursing Home(s) Within 10 Miles of a Nuclear Reactor:</t>
  </si>
  <si>
    <t>Nursing Home(s) Within 10 Miles of a Nuclear Reactor:</t>
  </si>
  <si>
    <t>As a result of Hurricane Sandy, over a dozen hospitals in PA relied on backup power for the first 14 hours.  About half of them remained on backup power for several days, including 1  or 2 that went 60-70 hrs.  Lansdale (127 beds), Grandview (202) were among the longest running in SEPA.  There was 4-5 times more nursing homes on generators (estimated 400 beds in SEPA); several went as long as Saturday and others had secondary failures.</t>
  </si>
  <si>
    <t>Allegheny General and Western Pennsylvania hospitals, both in Pittsburgh, and the emergency room at Forbes Regional Hospital, Monroeville, could not access electronic medical records between 8:30 p.m. on Monday and 4 a.m. on Tuesday after the Sandy  damaged a data center in Mountain Lakes, NJ (Fox &amp; Schick, 2012).  Penn (498 beds), CHOP, and several other hospitals were affected by the same server outage.</t>
  </si>
  <si>
    <t>Total Regional Inpatient Beds:</t>
  </si>
  <si>
    <t>Total Regional Hospital Beds:</t>
  </si>
  <si>
    <t>Number of Regional Inpatient Beds (Hospital and Nursing Home) Impacted by Water Loss:</t>
  </si>
  <si>
    <t>Facility Water Supply</t>
  </si>
  <si>
    <t>Facility Electricity</t>
  </si>
  <si>
    <t>Facility Generator Fuel Supply</t>
  </si>
  <si>
    <t>Hospital IT/Communication Systems</t>
  </si>
  <si>
    <t>Facility Evacuation</t>
  </si>
  <si>
    <t>Hospital Patient Decontamination</t>
  </si>
  <si>
    <t>Regional Inpatient Facility Beds</t>
  </si>
  <si>
    <t>Facility Critical Supplies</t>
  </si>
  <si>
    <t>Inpatient Healthcare Facility Infrastructure Impact</t>
  </si>
  <si>
    <t>Overall Health Severity Score:</t>
  </si>
  <si>
    <t>Overall Health Risk Score:</t>
  </si>
  <si>
    <t>Overall Health Adjsuted Risk Score:</t>
  </si>
  <si>
    <t>Overall Health Preparedness Score:</t>
  </si>
  <si>
    <t>Overall Health Planning Priority Indicator</t>
  </si>
  <si>
    <t>No impact (Score = 0)</t>
  </si>
  <si>
    <r>
      <rPr>
        <sz val="11"/>
        <color theme="1"/>
        <rFont val="Calibri"/>
        <family val="2"/>
      </rPr>
      <t>≤</t>
    </r>
    <r>
      <rPr>
        <sz val="11"/>
        <color theme="1"/>
        <rFont val="Calibri"/>
        <family val="2"/>
        <scheme val="minor"/>
      </rPr>
      <t xml:space="preserve"> 1 day (Score  = 1)</t>
    </r>
  </si>
  <si>
    <t>≤ 1 week (Score = 2)</t>
  </si>
  <si>
    <t>≤ 2 weeks (Score = 3)</t>
  </si>
  <si>
    <t>&gt; 2 weeks (Score = 4)</t>
  </si>
  <si>
    <r>
      <rPr>
        <sz val="11"/>
        <color theme="1"/>
        <rFont val="Calibri"/>
        <family val="2"/>
      </rPr>
      <t>≤</t>
    </r>
    <r>
      <rPr>
        <sz val="11"/>
        <color theme="1"/>
        <rFont val="Calibri"/>
        <family val="2"/>
        <scheme val="minor"/>
      </rPr>
      <t xml:space="preserve"> 2 hours (Score = 1)</t>
    </r>
  </si>
  <si>
    <t>≤ 6 hours (Score = 2)</t>
  </si>
  <si>
    <t>≤ 12 hours (Score = 3)</t>
  </si>
  <si>
    <t>&gt; 12 hours (Score = 4)</t>
  </si>
  <si>
    <t>≤ 1 day (Score  = 1)</t>
  </si>
  <si>
    <r>
      <rPr>
        <sz val="11"/>
        <color theme="1"/>
        <rFont val="Calibri"/>
        <family val="2"/>
      </rPr>
      <t>≤</t>
    </r>
    <r>
      <rPr>
        <sz val="11"/>
        <color theme="1"/>
        <rFont val="Calibri"/>
        <family val="2"/>
        <scheme val="minor"/>
      </rPr>
      <t xml:space="preserve"> 1 day (Score = 1)</t>
    </r>
  </si>
  <si>
    <t>Inpatient Healthcare Facility Infrastructure Impact Score:</t>
  </si>
  <si>
    <t>≤ 1 day (Score = 1)</t>
  </si>
  <si>
    <t>≤ 2 hours (Score = 1)</t>
  </si>
  <si>
    <t>Hospital IT/Communication Systmes</t>
  </si>
  <si>
    <t>Facility Water Supply Score:</t>
  </si>
  <si>
    <t>Facility Electricity Score:</t>
  </si>
  <si>
    <t>Facility Generator Fuel Supply Score:</t>
  </si>
  <si>
    <t>Hospital IT/Communication Systems Score:</t>
  </si>
  <si>
    <t>Facility Critical Supplies Score:</t>
  </si>
  <si>
    <t>Facility Evacuation Score:</t>
  </si>
  <si>
    <t>Hospital Patient Decontamination Score:</t>
  </si>
  <si>
    <t>Optional: You may enter a data source or explanation in the below space.</t>
  </si>
  <si>
    <t>Data Source / Explanation (Optional):</t>
  </si>
  <si>
    <t>The proxy scenario used to predict the impacts of a civil disturbance in Southeastern Pennsylvania is the Los Angeles Riots of 1992.  Thousands of people in Los Angeles rioted for six days after a jury acquitted four LAPD officers involved in the videotaped beating of black motorist Rodney King following a high-speed pursuit (Evans, 1993).</t>
  </si>
  <si>
    <t>The proxy scenarios used to predict the impacts of a winter storm in Southeastern Pennsylvania are the The North American Blizzards of February, 2010.  Between February 4th and 6th, 2010, the storm dubbed “Snowmageddon” caused government offices, schools, and airports to close. Some locations in Maryland, Pennsylvania, Virginia, and West Virginia recorded more than 30 inches of snow.  Washington, D.C., received 17.8 inches in two days.  Philadelphia received 28.5 inches (NOAA, 2010).  Another blizzard followed closely behind the first, between February 9th and 11th.  The second storm produced 14 inches in D.C., 24 inches in northern Maryland, 17 inches in New Jersey, more than 27 inches in Pennsylvania.  Several locations broke century-old seasonal snowfall records (NOAA, 2010).</t>
  </si>
  <si>
    <t>No change from baseline (Score = 0)</t>
  </si>
  <si>
    <t>≤ 5% increase (Score = 1)</t>
  </si>
  <si>
    <t>≤ 50% increase (Score = 2)</t>
  </si>
  <si>
    <t>≤ 100% increase (Score = 3)</t>
  </si>
  <si>
    <t>&gt;100% increase (Score = 4)</t>
  </si>
  <si>
    <r>
      <t xml:space="preserve">≤ 5% </t>
    </r>
    <r>
      <rPr>
        <sz val="11"/>
        <color theme="1"/>
        <rFont val="Calibri"/>
        <family val="2"/>
      </rPr>
      <t>↑</t>
    </r>
    <r>
      <rPr>
        <sz val="11"/>
        <color theme="1"/>
        <rFont val="Calibri"/>
        <family val="2"/>
        <scheme val="minor"/>
      </rPr>
      <t xml:space="preserve"> demand or ↓ supply (Score = 1)</t>
    </r>
  </si>
  <si>
    <t>≤ 50% ↑ demand or ↓ supply (Score = 2)</t>
  </si>
  <si>
    <t>≤ 100% ↑ demand or ↓ supply (Score = 3)</t>
  </si>
  <si>
    <t>&gt;100% ↑ demand or ↓ supply (Score  = 4)</t>
  </si>
  <si>
    <t>Ratio = Baseline (Score = 0)</t>
  </si>
  <si>
    <r>
      <t xml:space="preserve">Ratio </t>
    </r>
    <r>
      <rPr>
        <sz val="11"/>
        <color theme="1"/>
        <rFont val="Calibri"/>
        <family val="2"/>
      </rPr>
      <t>↑</t>
    </r>
    <r>
      <rPr>
        <sz val="11"/>
        <color theme="1"/>
        <rFont val="Calibri"/>
        <family val="2"/>
        <scheme val="minor"/>
      </rPr>
      <t xml:space="preserve"> ≤ 10% (Score = 1)</t>
    </r>
  </si>
  <si>
    <r>
      <t xml:space="preserve">Ratio </t>
    </r>
    <r>
      <rPr>
        <sz val="11"/>
        <color theme="1"/>
        <rFont val="Calibri"/>
        <family val="2"/>
      </rPr>
      <t>↑</t>
    </r>
    <r>
      <rPr>
        <sz val="11"/>
        <color theme="1"/>
        <rFont val="Calibri"/>
        <family val="2"/>
        <scheme val="minor"/>
      </rPr>
      <t xml:space="preserve"> ≤ 25% (Score = 2)</t>
    </r>
  </si>
  <si>
    <r>
      <t xml:space="preserve">Ratio </t>
    </r>
    <r>
      <rPr>
        <sz val="11"/>
        <color theme="1"/>
        <rFont val="Calibri"/>
        <family val="2"/>
      </rPr>
      <t>↑</t>
    </r>
    <r>
      <rPr>
        <sz val="11"/>
        <color theme="1"/>
        <rFont val="Calibri"/>
        <family val="2"/>
        <scheme val="minor"/>
      </rPr>
      <t xml:space="preserve"> ≤ 50% (Score = 3)</t>
    </r>
  </si>
  <si>
    <r>
      <t xml:space="preserve">Ratio </t>
    </r>
    <r>
      <rPr>
        <sz val="11"/>
        <color theme="1"/>
        <rFont val="Calibri"/>
        <family val="2"/>
      </rPr>
      <t>↑</t>
    </r>
    <r>
      <rPr>
        <sz val="11"/>
        <color theme="1"/>
        <rFont val="Calibri"/>
        <family val="2"/>
        <scheme val="minor"/>
      </rPr>
      <t xml:space="preserve"> &gt; 50% (Score = 4)</t>
    </r>
  </si>
  <si>
    <r>
      <t xml:space="preserve">≤ 10% </t>
    </r>
    <r>
      <rPr>
        <sz val="11"/>
        <color theme="1"/>
        <rFont val="Calibri"/>
        <family val="2"/>
      </rPr>
      <t>↑</t>
    </r>
    <r>
      <rPr>
        <sz val="11"/>
        <color theme="1"/>
        <rFont val="Calibri"/>
        <family val="2"/>
        <scheme val="minor"/>
      </rPr>
      <t xml:space="preserve"> demand or ↓ supply (Score = 1)</t>
    </r>
  </si>
  <si>
    <t>&gt;100% ↑ demand or ↓ supply (Score = 4)</t>
  </si>
  <si>
    <t xml:space="preserve">Facility Electricity </t>
  </si>
  <si>
    <t>Public Health vs. Healthcare vs. Overall Health</t>
  </si>
  <si>
    <t>Public Health Preparedness Capabilities</t>
  </si>
  <si>
    <t>Healthcare Preparedness Capabilities</t>
  </si>
  <si>
    <t>Health Communications and Public Information (Additional number of personnel hours per week needed to generate health communications to external partners or general public)</t>
  </si>
  <si>
    <t>Surveillance (Additional number of case reports per day to health department in jurisdiction; requiring investigation, monitoring, tracking or other public health action)</t>
  </si>
  <si>
    <t>Laboratory Services (Additional number of specimens processed per day)</t>
  </si>
  <si>
    <t>Public Health System Risk Assessment</t>
  </si>
  <si>
    <t>Healthcare System Risk Assessment</t>
  </si>
  <si>
    <t>Sub-Analyses:</t>
  </si>
  <si>
    <t>No change from baseline</t>
  </si>
  <si>
    <t>≤ 5% increase</t>
  </si>
  <si>
    <t>≤ 50% increase</t>
  </si>
  <si>
    <t>≤ 100% increase</t>
  </si>
  <si>
    <t>&gt;100% increase</t>
  </si>
  <si>
    <t>(Baseline + ↑ demand) / (Baseline - ↓ supply) ≤ 1.05</t>
  </si>
  <si>
    <t>(Baseline + ↑ demand) / (Baseline - ↓ supply) ≤ 1.5</t>
  </si>
  <si>
    <t>(Baseline + ↑ demand) / (Baseline - ↓ supply) ≤ 2</t>
  </si>
  <si>
    <t>(Baseline + ↑ demand) / (Baseline - ↓ supply) &gt; 2</t>
  </si>
  <si>
    <t>Patient-to-Nurse Ratio = Baseline</t>
  </si>
  <si>
    <t>Patient-to-Nurse Ratio ↑ ≤ 10%</t>
  </si>
  <si>
    <t>Patient-to-Nurse Ratio ↑ ≤ 25%</t>
  </si>
  <si>
    <t>Patient-to-Nurse Ratio ↑ ≤ 50%</t>
  </si>
  <si>
    <t>Patient-to-Nurse Ratio ↑ &gt; 50%</t>
  </si>
  <si>
    <t>0% of Regional Beds</t>
  </si>
  <si>
    <t>≤ 5% of Regional Beds</t>
  </si>
  <si>
    <t>≤ 1% of Regional Beds</t>
  </si>
  <si>
    <t>≤ 10% of Regional Beds</t>
  </si>
  <si>
    <t>&gt; 10% of Regional Beds</t>
  </si>
  <si>
    <t>≤ 25% of Regional Beds</t>
  </si>
  <si>
    <t>&gt; 25% of Regional Beds</t>
  </si>
  <si>
    <t>Number of patients = 0% of Regional ED Beds</t>
  </si>
  <si>
    <t>Number of patients ≤ 1% of Regional ED Beds</t>
  </si>
  <si>
    <t>Number of patients ≤ 5% of Regional ED Beds</t>
  </si>
  <si>
    <t>Number of patients ≤ 10% of Regional ED Beds</t>
  </si>
  <si>
    <t>Number of patients &gt; 10% of Regional ED Beds</t>
  </si>
  <si>
    <t>0% of Population</t>
  </si>
  <si>
    <t>≤ 1% of Population</t>
  </si>
  <si>
    <t>≤ 5% of Population</t>
  </si>
  <si>
    <t>≤ 10% of Population</t>
  </si>
  <si>
    <t>&gt; 10% of Population</t>
  </si>
  <si>
    <t>Percent of Population with Electricity Outage:</t>
  </si>
  <si>
    <t>No interruption</t>
  </si>
  <si>
    <t>≤ 1 day</t>
  </si>
  <si>
    <t>≤ 7 days</t>
  </si>
  <si>
    <t>≤ 14 days</t>
  </si>
  <si>
    <t>&gt; 14 days</t>
  </si>
  <si>
    <t>0% of Businesses</t>
  </si>
  <si>
    <t>≤ 1% of Businesses</t>
  </si>
  <si>
    <t>≤ 5% of Businesses</t>
  </si>
  <si>
    <t>≤ 10% of Businesses</t>
  </si>
  <si>
    <t>&gt; 10% of Businesses</t>
  </si>
  <si>
    <t>No displacement</t>
  </si>
  <si>
    <t>≤ 1,000 people</t>
  </si>
  <si>
    <t>≤ 10,000 people</t>
  </si>
  <si>
    <t>≤ 25,000 people</t>
  </si>
  <si>
    <t>&gt; 25,000 people</t>
  </si>
  <si>
    <t>No contamination</t>
  </si>
  <si>
    <t>≤ 1 mile radius</t>
  </si>
  <si>
    <t>≤ 5 mile radius</t>
  </si>
  <si>
    <t>≤ 10 mile radius</t>
  </si>
  <si>
    <t>&gt; 10 mile radius</t>
  </si>
  <si>
    <t>No mass care</t>
  </si>
  <si>
    <t>≤ 5,000 people</t>
  </si>
  <si>
    <t>≤ 25% of Population</t>
  </si>
  <si>
    <t>≤ 50% of Population</t>
  </si>
  <si>
    <t>&gt; 50% of Population</t>
  </si>
  <si>
    <t>PH System</t>
  </si>
  <si>
    <t>HC System</t>
  </si>
  <si>
    <t>Public Health System Planning Priority Scores</t>
  </si>
  <si>
    <t>Healthcare System Planning Priority Scores</t>
  </si>
  <si>
    <t>Number of Regional Beds Impacted by Water Pressure Loss</t>
  </si>
  <si>
    <t>Number of Regional Beds Impacted by Electricity Loss</t>
  </si>
  <si>
    <t>Number of Regional Beds Requiring Fuel</t>
  </si>
  <si>
    <t>Number of Regional Hospital Beds Impacted by Data/Comm Loss</t>
  </si>
  <si>
    <t>Number of Regional Beds Impacted by Interruption of Linen Services</t>
  </si>
  <si>
    <t>Facility Evacuation (Number of Region's Inpatient Beds Requiring Evacuation)</t>
  </si>
  <si>
    <t>Hospital Patient Decontamination (Number of patients who require decontamination at hospitals)</t>
  </si>
  <si>
    <t>Severity Score:</t>
  </si>
  <si>
    <t>Public Health System Severity Score:</t>
  </si>
  <si>
    <t>Healthcare System Severity Score:</t>
  </si>
  <si>
    <t>Risk Score:</t>
  </si>
  <si>
    <t>Public Health System Risk Score:</t>
  </si>
  <si>
    <t>Healthcare System Risk Score:</t>
  </si>
  <si>
    <t>Adjusted Risk Score:</t>
  </si>
  <si>
    <t>Public Health System Adjusted Risk Score:</t>
  </si>
  <si>
    <t>Healthcare System Adjusted Risk Score:</t>
  </si>
  <si>
    <t>Preparedness Score:</t>
  </si>
  <si>
    <t>Public Health System Planning Priority Indicator</t>
  </si>
  <si>
    <t>Healthcare System Planning Priority Indicator</t>
  </si>
  <si>
    <t>It is possible to use the tool without entering baseline data, if you choose to use a qualitative method to estimate the impacts of various hazards.  More information about this option can be found in the "Step 2: Hazard Data" section below.  However, where data is available, it is recommended that you enter baseline data, as the information will help you estimate impacts qualitatively.</t>
  </si>
  <si>
    <r>
      <t xml:space="preserve">In order to assess the level of preparedness in the jurisdiction, the current status of the 15 Public Health Emergency Preparedness Capabilities and the 8 Healthcare System Preparedness Capabilities must be entered.  Choose the appropriate status from the drop-down menu next to each function in the “Baseline Public Health Preparedness Capability Status” and "Baseline Healthcare System Preparedness Capability Status" worksheets.  Navigate to these sheet using the </t>
    </r>
    <r>
      <rPr>
        <sz val="11"/>
        <color theme="9"/>
        <rFont val="Calibri"/>
        <family val="2"/>
        <scheme val="minor"/>
      </rPr>
      <t>orange</t>
    </r>
    <r>
      <rPr>
        <sz val="11"/>
        <color theme="1"/>
        <rFont val="Calibri"/>
        <family val="2"/>
        <scheme val="minor"/>
      </rPr>
      <t xml:space="preserve"> buttons in the “Step 1. Baseline Data” box in the Main Menu.</t>
    </r>
  </si>
  <si>
    <t>If you cannot find any data, you can rely on expert opinions and experience to estimate the impacts of disasters.  It is best if you record that the number is an estimation and what agencies were involved in arriving at that estimate in the "Data Source / Explanation" space provided.</t>
  </si>
  <si>
    <t>If many of the metrics, the tool provides an option for you to enter a data range instead of an actual estimate.  This option works better if you use are using a qualitative method to estimate the impacts of the hazard.  If there is a qualitative option selected, the tool will automatically use it (instead of whatever may be entered in the space for entering quantitative data) to calculate the score for that metric.  To use the quantitative value instead, either select "Use quatitative value" or simply delete the entry in the qualitative cell.</t>
  </si>
  <si>
    <r>
      <t xml:space="preserve">Complete the Preparedness Section of each worksheet by selecting how relevant each of the PHEP capabilities is to the public health response to the given hazard.  For reference, all of the functions that make up each capability is ellaborated in the “Baseline Public Health Preparedness Capability Status” and "Baseline Healthcare System Preparedness Capability Status" worksheets.  You can navigate to these sheets by returning to the Main Menu and selecting the </t>
    </r>
    <r>
      <rPr>
        <sz val="11"/>
        <color theme="9"/>
        <rFont val="Calibri"/>
        <family val="2"/>
        <scheme val="minor"/>
      </rPr>
      <t>orange</t>
    </r>
    <r>
      <rPr>
        <sz val="11"/>
        <color theme="1"/>
        <rFont val="Calibri"/>
        <family val="2"/>
        <scheme val="minor"/>
      </rPr>
      <t xml:space="preserve"> buttons in the "Step 1. Baseline Data" box in the Main Menu.</t>
    </r>
  </si>
  <si>
    <t>The analysis section of the PHRAT generates a number of charts and graphs.  These sections can be viewed by navigating to the “Step 3. Analysis” box in the Main Menu and selecting the various buttons.</t>
  </si>
  <si>
    <t>The “Summary of Impacts” is designed to be printed on legal-sized sheets.  This sheet summarizes all of the data that has been entered for all of the hazards.  The demands and critical service interruptions summarized in this sheet can potentially be used to develop benchmarks and directly guide preparedness planning.</t>
  </si>
  <si>
    <t>1)</t>
  </si>
  <si>
    <t>2)</t>
  </si>
  <si>
    <r>
      <rPr>
        <b/>
        <sz val="11"/>
        <color theme="1"/>
        <rFont val="Calibri"/>
        <family val="2"/>
        <scheme val="minor"/>
      </rPr>
      <t>The Public Health System Risk Assessment</t>
    </r>
    <r>
      <rPr>
        <sz val="11"/>
        <color theme="1"/>
        <rFont val="Calibri"/>
        <family val="2"/>
        <scheme val="minor"/>
      </rPr>
      <t>.  This sub-analysis examines severity in four domains: human impact, healthcare service impact, community impact, and public health service impact.  Preparedness is assessed using only the 15 Public Health Preparedness capabilities.</t>
    </r>
  </si>
  <si>
    <r>
      <rPr>
        <b/>
        <sz val="11"/>
        <color theme="1"/>
        <rFont val="Calibri"/>
        <family val="2"/>
        <scheme val="minor"/>
      </rPr>
      <t>The Healthcare System Risk Assessment</t>
    </r>
    <r>
      <rPr>
        <sz val="11"/>
        <color theme="1"/>
        <rFont val="Calibri"/>
        <family val="2"/>
        <scheme val="minor"/>
      </rPr>
      <t>.  This sub-analysis examines severity in three domains: human impact, healthcare service impact, and inpatient healthcare facility infrastructure impact.  Preparedness is assessed using only the 8 Healthcare System Preparedness capabilities.</t>
    </r>
  </si>
  <si>
    <t>General Acute Care Hospital Beds:</t>
  </si>
  <si>
    <t>Specialty Hospital Beds:</t>
  </si>
  <si>
    <t>The differences between the two sub-analyses is visuallized in the worksheet "Overview of the Tool."  Navigate to this page by clicking the button in the  box labeled "Overview" in the Main Menu.</t>
  </si>
  <si>
    <t>The "Severity" worksheet compares the severity of all hazards in each domain.  By examining these graphs, you can determine which hazards have the greatest impact on each of the five domains.</t>
  </si>
  <si>
    <t>The “Public Health vs. Healthcare” worksheet compares the overall analysis with the two sub-analyses: Public Health System and Healthcare System.  In this worksheet, graphs compare the three analyses for each different score, allowing you to identify hazards that have a greater effect of the healthcare system than the public health system and vice versa.</t>
  </si>
  <si>
    <t>The proxy scenario used to predict the impacts of extreme temperatures in Southeastern Pennsylvania is the 1995 Chicago Heat Wave.  During this 5-day heat wave, the heat index reached a high of 119 °F  at O'Hare airport, and 125 °F at Midway Airport (NOAA, 2010).</t>
  </si>
  <si>
    <t>What is a large public building or space that could be the target for a terrorist attack?</t>
  </si>
  <si>
    <t>How many people occupy this building/space at its busiest time?</t>
  </si>
  <si>
    <t>Residental Population density of surrounding area (per square mile):</t>
  </si>
  <si>
    <t>Daytime Population density of surrounding area (per square mile):</t>
  </si>
  <si>
    <t>The proxy scenario used to predict the impacts of a chemical terrorism incident is based on the National Planning Scenario: "Chemical Attack - Nerve Agent."  In the scenario, a terrorist builds six spray dissemination devices and releases Sarin vapor into the ventilation systems of three large commercial office buildings in a metropolitan area. The agent kills 95% of the people in the buildings, and kills or sickens many of the first responders.  In addition, some of the agent exits through rooftop ventilation stacks, creating a downwind hazard (Department of Homeland Security, 2006).   In the altered scenario, spray dissemination devices are released in the ventilation of a large local building - the building with the largest daytime population in the region.  The morbidity and mortality rates of the NPS are applied to the occupancy of this building.</t>
  </si>
  <si>
    <t xml:space="preserve">In the Sarin National Planning Scenario, mortality is expected in 95% of the building's occupants (Department of Homeland Security, 2006). </t>
  </si>
  <si>
    <t>In the National Planning Scenario, 5% of the building's occupants will be found unconscious, suffering from seizures.  They will be decontaminated and transported to medical facilities (Department of Homeland Security, 2006).</t>
  </si>
  <si>
    <t xml:space="preserve">In the National Planning Scenario, injuries are predicted due to panic on the street, including falling and crushing injuries, as well as motor vehicle accidents on the surrounding roadways (Department of Homeland Security, 2006).  Most of these injuries will be minor; it is assumed that 2 will require trauma centers. </t>
  </si>
  <si>
    <t>In the National Planning Scenario, 5% of the building's occupants are predicted to be hospitalized with prolonged seizures for 4-6 weeks (Department of Homeland Security, 2006).</t>
  </si>
  <si>
    <t>Downwind populations (approximately one fourth of the population density of the surrounding area) will be evacuated (Department of Homeland Security, 2006).</t>
  </si>
  <si>
    <t>The attacked building must be decontaminated.</t>
  </si>
  <si>
    <t>All survivors with symptoms will be assessed via interview and monitored for long-term complications.  The National Planning Scenario predicts 5% of the building's occupants to be survivors (Department of Homeland Security, 2006).</t>
  </si>
  <si>
    <t>According to the National Planning Scenario, approximately 1/4 of the population density of the surrounding outdoor area will require decontamination and temporary shelter (Department of Homeland Security, 2006).</t>
  </si>
  <si>
    <t>According to the National Planning Scenario, chemical antidotes for nerve agent toxicity should be administered to the survivors (5% of the building's occupants) (Department of Homeland Security, 2006).</t>
  </si>
  <si>
    <t>The proxy scenario used to predict the impacts of a conventional explosive incident is the Oklahoma City bombing.  On April 19, 1995, a Ryder truck containing more than 4,800 pounds of ammonium nitrate fertilizer, nitromethane, and diesel fuel mixture detonated in front of the north side of the nine-story Alfred P. Murrah Federal Building in Oklahoma City.  The blast destroyed or damaged 324 buildings within a sixteen-block radius, destroyed or burned 86 cars, and shattered glass in 258 nearby buildings.  To estimate the impacts of a worst-case reasonable scenario in this region, the truck bomb is assumed to be detonated outside of the building with the largest daytime population in the region.  The morbidity and mortality rates from the Alfred P. Murrah Federal Building are applied to the occupancy of that building.</t>
  </si>
  <si>
    <t>The fatality rate inside the Murrah Building was 46% (North et al., 1999).</t>
  </si>
  <si>
    <t>Within the first hour of the explosion, 139 patients (38% of the building's occupancy) were transported to area hospitals (Maningas, Robison, &amp; Mallonee, 1997).  Most victims arrived at local emergency departments by private vehicle; only the most severely injured were transported by ambulance (Teague, 2004).</t>
  </si>
  <si>
    <t>After the Oklahoma City bombing, 18 hospitals in the metropoitan area treated 511 adults and 38 children (151% of the building's occupancy) (McLain, 2001).</t>
  </si>
  <si>
    <t>After the Oklahoma City bombing, 233 persons were treated in physicians’ offices or clinics (64% of the building's occupancy) (McLain, 2001).</t>
  </si>
  <si>
    <t xml:space="preserve">After the Oklahoma City bombing, 83 people (23% of the building's occupants) had serious injuries requiring operative care (Rivara, Nathens, Jurkovich, &amp; Maier, 2006). </t>
  </si>
  <si>
    <t>34% of survivors had PTSD within 4-8months after Oklahoma City Bombing (North et al., 1999).  A total of 9,106 individuals receieved one-on-one counseling or group therapy, and 190,000 individuals received some kind of mental health services (McLain, 2001).</t>
  </si>
  <si>
    <t>After the Oklahoma City bombing, 90 patients (25% of the building's occupants) were admitted to hospitals (Maningas, Robison, &amp; Mallonee, 1997).  The last patient was discharged from the hospital five months after the bombing (McLain, 2001).</t>
  </si>
  <si>
    <t>In general, 40 providers are needed per 250 disaster victims (Landesman, 2005).  34% of survivors had PTSD within 4-8months after Oklahoma City Bombing (North et al., 1999).  A total of 9,106 individuals receieved one-on-one counseling or group therapy, and 190,000 individuals (about 500x the occupancy of the building) received some kind of mental health services (McLain, 2001).</t>
  </si>
  <si>
    <t>Roads surrounding the blast site will likely be closed for approximately one week while the region/crime scene is assessed.</t>
  </si>
  <si>
    <t>In the Oklahoma City bombings, over 300 buildings in a 6-block radius were damaged, and 25 were destroyed (McLain, 2001).  For the first week following the blast, an entire eight-block radius was closed to the general public (Arnold, 2001).</t>
  </si>
  <si>
    <t>Environmental sampling and analysis would be undertaken to assess occupational and public health risk of bomb sites.</t>
  </si>
  <si>
    <t>The proxy scenario used to predict the impacts of a radiation dispersal device detonation is based on the National Planning Scenario: "Radiological Attack - Radiological Disersal Device".  In the scenario, a 3,000-lb truck bomb containing 2,300 curies of 137Cs is detonated in a moderate-to-large city.  The contaminated region covers approximately thirty-six blocks and includes the business district, residential row houses, crowded shopping areas, and a high school (Department of Homeland Security, 2006). Where possible, additional predictions are drawn from the EPA exercise, "Liberty RadEx" (EPA, 2010).  In order to modify the scenario to be appropriate for this region, certain blast casualty estimates are extrapolated from the 4,800-pound truck bomb detonated in Oklahoma City, using the population density and community characteristics of the region.</t>
  </si>
  <si>
    <t>Arnold, R. L. (2001). Special Report OKLAHOMA CITY. Disaster Recovery Journal  Retrieved December 12, 2012, from http://www.drj.com/special/ok.html</t>
  </si>
  <si>
    <t xml:space="preserve">Maningas, P. A., Robison, M., &amp; Mallonee, S. (1997). The EMS response to the Oklahoma City bombing. [Review]. Prehosp Disaster Med, 12(2), 80-85. </t>
  </si>
  <si>
    <t>McLain, S. L. (2001). The Oklahoma City Bombing: Lessons Learned by Hospitals. Available on the American Hospital Association Web site (www. aha. org) under “Disaster Readiness.</t>
  </si>
  <si>
    <t>North, C. S., Nixon, S. J., Shariat, S., Mallonee, S., McMillen, J. C., Spitznagel, E. L., &amp; Smith, E. M. (1999). Psychiatric disorders among survivors of the Oklahoma City bombing. Jama-Journal of the American Medical Association, 282(8), 755-762. doi: DOI 10.1001/jama.282.8.755</t>
  </si>
  <si>
    <t xml:space="preserve">Rivara, F. P., Nathens, A. B., Jurkovich, G. J., &amp; Maier, R. V. (2006). Do Trauma Centers Have the Capacity to Respond to Disasters? The Journal of Trauma Injury, Infection, and Critical Care, 61(4). </t>
  </si>
  <si>
    <t xml:space="preserve">Teague, D. C. (2004). Mass casualties in the Oklahoma City bombing. [Review]. Clin Orthop Relat Res(422), 77-81. </t>
  </si>
  <si>
    <t>The fatalities would result from the initial blast.  After the Oklahoma City bombing, the fatality rate inside the Murrah Building was 46% (North et al., 1999).</t>
  </si>
  <si>
    <t>After the Oklahoma City bombing, within the first hour of the explosion, 139 patients (38% of the building's occupancy) were transported to area hospitals (Maningas, Robison, &amp; Mallonee, 1997).  Most victims arrived at local emergency departments by private vehicle; only the most severely injured were transported by ambulance (Teague, 2004).</t>
  </si>
  <si>
    <t xml:space="preserve">After the Oklahoma City bombing, 233 persons were treated in physicians’ offices or clinics (64% of the building's occupancy) (McLain, 2001).  After an RDD detonation, many additional PCP visits are expected due to radiation exposure or pschosomatic symptoms.  After the radiation exposure in Goiânia, 8% of the population presented to PCPs with psychosomatic symptoms (Hall, Hall, &amp; Chapman, 2006). </t>
  </si>
  <si>
    <t>34% of survivors had PTSD within 4-8 months after Oklahoma City Bombing (North et al., 1999), but additional symptoms are expected due to the radiologic nature of an RDD.  After the Goiânia accident, 35.8% of the population experienced psychopathology (Hall et al., 2006).  Because the radiation exposure from a Radiation Dispersal Device would occur in the context of a terrorist attack, it is expected that the rate of psychopathology would be even higher.</t>
  </si>
  <si>
    <t>In Liberty Rad Ex, the declared relocation area for downwind/potentially contaminated regions is 10.29 sq miles (EPA, 2010).  The population of this region is calculated based on the residential population density of the surrounding area.</t>
  </si>
  <si>
    <t>People in a region 0.5-mile wide and 1-mile long potentially have detectable surface contamination (Department of Homeland Security, 2006) and must be followed and monitored.  The population of this region is calculated for Pike County based on the daytime population density of the surrounding region.</t>
  </si>
  <si>
    <t>Neighboring jurisdictions will likely not permit evacuees to enter due to fear of contamination, so all evacuees will have to be sheltered initially (Department of Homeland Security, 2006).</t>
  </si>
  <si>
    <t>Pennsylvania Public Health Risk Assessment Tool</t>
  </si>
  <si>
    <t>The Pennsylvania Public Health Risk Assessment Tool (PHRAT) was developed by the Center for Public Health Readiness and Communications (CPHRC) at Drexel University’s School of Public Health, in cooperation with the Pennsylvania Department of Health.  This publication was supported by Cooperative Agreement Number 2U90TP316967–11 from the Centers for Disease Control and Prevention (CDC).  Its contents are solely the responsibility of the authors and do not necessarily represent the official views of CDC.  The CPHRC worked with preparedness planners, public health agency representatives, and other stakeholders to complete a comprehensive public health risk assessment of the Philadelphia Metropolitan Statistical Area (MSA).  CPHRC staff built upon existing approaches to this task, using the UCLA Hazard Risk Assessment Instrument and the Kaiser Permanente Hazard and Vulnerability Analysis to develop a tool to analyze hazards with respect to their public health impact.  
The Pennsylvania PHRAT is designed to be used to assess the public health impact of hazards that can affect a jurisdiction.  The tool generates an estimate of hazard-specific risk, based on the probability and impact severity identified for each hazard.  Additionally, the PHRAT generates an “adjusted risk,” which incorporates an assessment of the additional planning required to reduce a hazard’s impact on at-risk populations.  The adjusted risk is calculated by assessing the size of at-risk populations in a jurisdiction and the special planning required to address the needs of these populations in specific disasters.  A Preparedness Score is generated using the jurisdiction’s current capacity in each of the 15 Public Health Preparedness capabilities and the 8 Healthcare System Preparedness as well as the relevance of each capability to specific hazards.   The final output of the tool is a Planning Priority Score, which reflects both adjusted risk and preparedness.  The derivation of the various scores is illustrated in the worksheet "Overview of the Tool."  To navigate to this sheet, return to the Main Menu and click the yellow "Overview of the Tool" button in the "Overview" box.</t>
  </si>
  <si>
    <t>The Pennsylvania PHRAT performs an overall assessment of the public health threats in a region.  Individual healthcare coalitions or local public health departments may find a more specialized assessment more helpful.  For this reason, this tool conducts two sub-analyses in addition to the overall public health risk assessment:</t>
  </si>
  <si>
    <t>This workbook will guide the user through the use of the Pennsylvania PHRAT and produce a customized assessment of the biggest threats to public health in his/her jurisdiction.  The following instructions will allow users to navigate through the workbook.</t>
  </si>
  <si>
    <t>The “Individual Hazard Analyses” sheet is a menu that links to an in-depth analysis of each hazard, based on the information provided in the Hazard worksheets.  These analyses include a graph of the five severity domains, an assessment of the needs and the sizes of at-risk populations, and a graph of the status of each the PHEP and HPP Capabilities and its relevance to the specific hazard.  The graphs on these sheets are automatically generated, and label positions may have to be changed in order for the figures to be easily readable.  To do this, right-click on the label and select “Format Data Labels…”  These worksheets can also be accessed by clicking on the button at the bottom of each Hazard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</si>
</sst>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b/>
      <sz val="11"/>
      <color theme="1"/>
      <name val="Calibri"/>
      <family val="2"/>
      <scheme val="minor"/>
    </font>
    <font>
      <sz val="26"/>
      <color theme="1"/>
      <name val="Cambria"/>
      <family val="1"/>
    </font>
    <font>
      <sz val="16"/>
      <color theme="1"/>
      <name val="Cambria"/>
      <family val="1"/>
      <scheme val="major"/>
    </font>
    <font>
      <u/>
      <sz val="16"/>
      <color theme="1"/>
      <name val="Cambria"/>
      <family val="1"/>
      <scheme val="major"/>
    </font>
    <font>
      <u/>
      <sz val="11"/>
      <color theme="10"/>
      <name val="Calibri"/>
      <family val="2"/>
      <scheme val="minor"/>
    </font>
    <font>
      <sz val="11"/>
      <name val="Calibri"/>
      <family val="2"/>
      <scheme val="minor"/>
    </font>
    <font>
      <sz val="10"/>
      <color theme="1"/>
      <name val="Calibri"/>
      <family val="2"/>
      <scheme val="minor"/>
    </font>
    <font>
      <u/>
      <sz val="12"/>
      <color theme="1"/>
      <name val="Cambria"/>
      <family val="1"/>
      <scheme val="major"/>
    </font>
    <font>
      <u/>
      <sz val="18"/>
      <color theme="1"/>
      <name val="Cambria"/>
      <family val="1"/>
      <scheme val="major"/>
    </font>
    <font>
      <u/>
      <sz val="11"/>
      <color theme="1"/>
      <name val="Calibri"/>
      <family val="2"/>
      <scheme val="minor"/>
    </font>
    <font>
      <sz val="11"/>
      <color theme="10"/>
      <name val="Calibri"/>
      <family val="2"/>
      <scheme val="minor"/>
    </font>
    <font>
      <sz val="11"/>
      <color theme="1"/>
      <name val="Calibri"/>
      <family val="2"/>
    </font>
    <font>
      <b/>
      <sz val="14"/>
      <color theme="1"/>
      <name val="Cambria"/>
      <family val="1"/>
      <scheme val="major"/>
    </font>
    <font>
      <b/>
      <sz val="12"/>
      <color theme="1"/>
      <name val="Cambria"/>
      <family val="1"/>
      <scheme val="major"/>
    </font>
    <font>
      <sz val="9.35"/>
      <color theme="1"/>
      <name val="Calibri"/>
      <family val="2"/>
    </font>
    <font>
      <sz val="12"/>
      <color theme="1"/>
      <name val="Cambria"/>
      <family val="1"/>
      <scheme val="major"/>
    </font>
    <font>
      <sz val="11"/>
      <color rgb="FFFF0000"/>
      <name val="Calibri"/>
      <family val="2"/>
      <scheme val="minor"/>
    </font>
    <font>
      <b/>
      <sz val="12"/>
      <color theme="1"/>
      <name val="Calibri"/>
      <family val="2"/>
      <scheme val="minor"/>
    </font>
    <font>
      <sz val="10.4"/>
      <name val="Times New Roman"/>
      <family val="1"/>
    </font>
    <font>
      <sz val="11"/>
      <color theme="1"/>
      <name val="Webdings"/>
      <family val="1"/>
      <charset val="2"/>
    </font>
    <font>
      <sz val="11"/>
      <color theme="1"/>
      <name val="Wingdings"/>
      <charset val="2"/>
    </font>
    <font>
      <sz val="11"/>
      <color theme="7"/>
      <name val="Calibri"/>
      <family val="2"/>
      <scheme val="minor"/>
    </font>
    <font>
      <sz val="11"/>
      <color theme="4"/>
      <name val="Calibri"/>
      <family val="2"/>
      <scheme val="minor"/>
    </font>
    <font>
      <sz val="11"/>
      <color theme="9"/>
      <name val="Calibri"/>
      <family val="2"/>
      <scheme val="minor"/>
    </font>
    <font>
      <sz val="11"/>
      <color rgb="FFFF66FF"/>
      <name val="Calibri"/>
      <family val="2"/>
      <scheme val="minor"/>
    </font>
    <font>
      <b/>
      <i/>
      <sz val="11"/>
      <color theme="1"/>
      <name val="Calibri"/>
      <family val="2"/>
      <scheme val="minor"/>
    </font>
    <font>
      <sz val="8"/>
      <color theme="1"/>
      <name val="Calibri"/>
      <family val="2"/>
      <scheme val="minor"/>
    </font>
    <font>
      <u/>
      <sz val="14"/>
      <color theme="1"/>
      <name val="Cambria"/>
      <family val="1"/>
      <scheme val="major"/>
    </font>
    <font>
      <b/>
      <u/>
      <sz val="18"/>
      <color theme="1"/>
      <name val="Cambria"/>
      <family val="1"/>
      <scheme val="major"/>
    </font>
    <font>
      <sz val="8"/>
      <color theme="0" tint="-0.249977111117893"/>
      <name val="Calibri"/>
      <family val="2"/>
      <scheme val="minor"/>
    </font>
    <font>
      <sz val="11"/>
      <color theme="0" tint="-4.9989318521683403E-2"/>
      <name val="Calibri"/>
      <family val="2"/>
      <scheme val="minor"/>
    </font>
    <font>
      <b/>
      <sz val="18"/>
      <color theme="1"/>
      <name val="Calibri"/>
      <family val="2"/>
      <scheme val="minor"/>
    </font>
    <font>
      <sz val="24"/>
      <color theme="1"/>
      <name val="Cambria"/>
      <family val="1"/>
    </font>
  </fonts>
  <fills count="14">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rgb="FFFFFFCC"/>
        <bgColor indexed="64"/>
      </patternFill>
    </fill>
    <fill>
      <patternFill patternType="solid">
        <fgColor rgb="FFFFCCFF"/>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s>
  <borders count="96">
    <border>
      <left/>
      <right/>
      <top/>
      <bottom/>
      <diagonal/>
    </border>
    <border>
      <left style="thin">
        <color auto="1"/>
      </left>
      <right style="thin">
        <color auto="1"/>
      </right>
      <top style="thin">
        <color auto="1"/>
      </top>
      <bottom style="thin">
        <color auto="1"/>
      </bottom>
      <diagonal/>
    </border>
    <border>
      <left/>
      <right/>
      <top style="thin">
        <color indexed="64"/>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right/>
      <top style="medium">
        <color theme="7"/>
      </top>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top/>
      <bottom/>
      <diagonal/>
    </border>
    <border>
      <left/>
      <right style="medium">
        <color theme="7"/>
      </right>
      <top/>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theme="9"/>
      </top>
      <bottom style="medium">
        <color theme="9"/>
      </bottom>
      <diagonal/>
    </border>
    <border>
      <left/>
      <right/>
      <top style="medium">
        <color theme="9"/>
      </top>
      <bottom/>
      <diagonal/>
    </border>
    <border>
      <left style="thin">
        <color indexed="64"/>
      </left>
      <right style="thin">
        <color indexed="64"/>
      </right>
      <top style="thin">
        <color indexed="64"/>
      </top>
      <bottom style="thin">
        <color indexed="64"/>
      </bottom>
      <diagonal/>
    </border>
    <border>
      <left style="medium">
        <color theme="9"/>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medium">
        <color rgb="FFEA168F"/>
      </left>
      <right/>
      <top style="medium">
        <color rgb="FFEA168F"/>
      </top>
      <bottom/>
      <diagonal/>
    </border>
    <border>
      <left/>
      <right/>
      <top style="medium">
        <color rgb="FFEA168F"/>
      </top>
      <bottom/>
      <diagonal/>
    </border>
    <border>
      <left/>
      <right style="medium">
        <color rgb="FFEA168F"/>
      </right>
      <top style="medium">
        <color rgb="FFEA168F"/>
      </top>
      <bottom/>
      <diagonal/>
    </border>
    <border>
      <left style="medium">
        <color rgb="FFEA168F"/>
      </left>
      <right/>
      <top/>
      <bottom/>
      <diagonal/>
    </border>
    <border>
      <left/>
      <right style="medium">
        <color rgb="FFEA168F"/>
      </right>
      <top/>
      <bottom/>
      <diagonal/>
    </border>
    <border>
      <left style="medium">
        <color rgb="FFEA168F"/>
      </left>
      <right/>
      <top/>
      <bottom style="medium">
        <color rgb="FFEA168F"/>
      </bottom>
      <diagonal/>
    </border>
    <border>
      <left/>
      <right/>
      <top/>
      <bottom style="medium">
        <color rgb="FFEA168F"/>
      </bottom>
      <diagonal/>
    </border>
    <border>
      <left/>
      <right style="medium">
        <color rgb="FFEA168F"/>
      </right>
      <top/>
      <bottom style="medium">
        <color rgb="FFEA168F"/>
      </bottom>
      <diagonal/>
    </border>
    <border>
      <left style="thin">
        <color indexed="64"/>
      </left>
      <right/>
      <top style="thin">
        <color indexed="64"/>
      </top>
      <bottom/>
      <diagonal/>
    </border>
    <border>
      <left/>
      <right style="thin">
        <color indexed="64"/>
      </right>
      <top style="thin">
        <color indexed="64"/>
      </top>
      <bottom/>
      <diagonal/>
    </border>
    <border>
      <left style="medium">
        <color theme="6"/>
      </left>
      <right/>
      <top style="medium">
        <color theme="6"/>
      </top>
      <bottom/>
      <diagonal/>
    </border>
    <border>
      <left/>
      <right/>
      <top style="medium">
        <color theme="6"/>
      </top>
      <bottom/>
      <diagonal/>
    </border>
    <border>
      <left/>
      <right style="medium">
        <color theme="6"/>
      </right>
      <top style="medium">
        <color theme="6"/>
      </top>
      <bottom/>
      <diagonal/>
    </border>
    <border>
      <left style="medium">
        <color theme="6"/>
      </left>
      <right/>
      <top/>
      <bottom/>
      <diagonal/>
    </border>
    <border>
      <left/>
      <right style="medium">
        <color theme="6"/>
      </right>
      <top/>
      <bottom/>
      <diagonal/>
    </border>
    <border>
      <left style="medium">
        <color theme="6"/>
      </left>
      <right/>
      <top/>
      <bottom style="medium">
        <color theme="6"/>
      </bottom>
      <diagonal/>
    </border>
    <border>
      <left/>
      <right/>
      <top/>
      <bottom style="medium">
        <color theme="6"/>
      </bottom>
      <diagonal/>
    </border>
    <border>
      <left/>
      <right style="medium">
        <color theme="6"/>
      </right>
      <top/>
      <bottom style="medium">
        <color theme="6"/>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style="thin">
        <color indexed="64"/>
      </top>
      <bottom/>
      <diagonal/>
    </border>
    <border>
      <left style="thin">
        <color auto="1"/>
      </left>
      <right style="thin">
        <color auto="1"/>
      </right>
      <top/>
      <bottom style="thin">
        <color indexed="64"/>
      </bottom>
      <diagonal/>
    </border>
    <border>
      <left style="thin">
        <color theme="6"/>
      </left>
      <right style="thin">
        <color theme="6"/>
      </right>
      <top style="thin">
        <color theme="6"/>
      </top>
      <bottom style="thin">
        <color theme="6"/>
      </bottom>
      <diagonal/>
    </border>
    <border>
      <left style="thin">
        <color theme="7"/>
      </left>
      <right style="thin">
        <color theme="7"/>
      </right>
      <top style="thin">
        <color theme="7"/>
      </top>
      <bottom style="thin">
        <color theme="7"/>
      </bottom>
      <diagonal/>
    </border>
    <border>
      <left style="thin">
        <color theme="3"/>
      </left>
      <right style="thin">
        <color theme="3"/>
      </right>
      <top style="thin">
        <color theme="3"/>
      </top>
      <bottom style="thin">
        <color theme="3"/>
      </bottom>
      <diagonal/>
    </border>
    <border>
      <left style="thin">
        <color theme="9"/>
      </left>
      <right style="thin">
        <color theme="9"/>
      </right>
      <top style="thin">
        <color theme="9"/>
      </top>
      <bottom style="thin">
        <color theme="9"/>
      </bottom>
      <diagonal/>
    </border>
    <border>
      <left style="thin">
        <color theme="7" tint="0.59996337778862885"/>
      </left>
      <right style="thin">
        <color theme="7" tint="0.59996337778862885"/>
      </right>
      <top style="thin">
        <color theme="7" tint="0.59996337778862885"/>
      </top>
      <bottom style="thin">
        <color theme="7" tint="0.59996337778862885"/>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s>
  <cellStyleXfs count="2">
    <xf numFmtId="0" fontId="0" fillId="0" borderId="0"/>
    <xf numFmtId="0" fontId="5" fillId="0" borderId="0" applyNumberFormat="0" applyFill="0" applyBorder="0" applyAlignment="0" applyProtection="0"/>
  </cellStyleXfs>
  <cellXfs count="443">
    <xf numFmtId="0" fontId="0" fillId="0" borderId="0" xfId="0"/>
    <xf numFmtId="0" fontId="0" fillId="4" borderId="0" xfId="0" applyFill="1"/>
    <xf numFmtId="0" fontId="0" fillId="5" borderId="32" xfId="0" applyFill="1" applyBorder="1"/>
    <xf numFmtId="0" fontId="0" fillId="5" borderId="33" xfId="0" applyFill="1" applyBorder="1"/>
    <xf numFmtId="0" fontId="0" fillId="5" borderId="33" xfId="0" applyFill="1" applyBorder="1" applyAlignment="1">
      <alignment horizontal="center" vertical="center"/>
    </xf>
    <xf numFmtId="0" fontId="0" fillId="5" borderId="34" xfId="0" applyFill="1" applyBorder="1"/>
    <xf numFmtId="0" fontId="0" fillId="5" borderId="35" xfId="0" applyFill="1" applyBorder="1"/>
    <xf numFmtId="0" fontId="0" fillId="5" borderId="0" xfId="0" applyFill="1"/>
    <xf numFmtId="0" fontId="0" fillId="5" borderId="36" xfId="0" applyFill="1" applyBorder="1"/>
    <xf numFmtId="0" fontId="0" fillId="5" borderId="37" xfId="0" applyFill="1" applyBorder="1"/>
    <xf numFmtId="0" fontId="0" fillId="5" borderId="38" xfId="0" applyFill="1" applyBorder="1"/>
    <xf numFmtId="0" fontId="0" fillId="5" borderId="39" xfId="0" applyFill="1" applyBorder="1"/>
    <xf numFmtId="0" fontId="0" fillId="8" borderId="0" xfId="0" applyFill="1"/>
    <xf numFmtId="0" fontId="8" fillId="4" borderId="0" xfId="0" applyFont="1" applyFill="1"/>
    <xf numFmtId="0" fontId="0" fillId="5" borderId="0" xfId="0" applyFill="1" applyAlignment="1">
      <alignment wrapText="1"/>
    </xf>
    <xf numFmtId="0" fontId="0" fillId="8" borderId="0" xfId="0" applyFill="1" applyAlignment="1">
      <alignment horizontal="right"/>
    </xf>
    <xf numFmtId="0" fontId="0" fillId="8" borderId="0" xfId="0" applyFill="1" applyAlignment="1">
      <alignment horizontal="center" vertical="center" wrapText="1"/>
    </xf>
    <xf numFmtId="0" fontId="2" fillId="8" borderId="0" xfId="0" applyFont="1" applyFill="1" applyAlignment="1">
      <alignment horizontal="center" vertical="center"/>
    </xf>
    <xf numFmtId="0" fontId="0" fillId="0" borderId="3" xfId="0" applyBorder="1"/>
    <xf numFmtId="0" fontId="0" fillId="0" borderId="4" xfId="0" applyBorder="1"/>
    <xf numFmtId="0" fontId="0" fillId="0" borderId="4" xfId="0" applyBorder="1" applyAlignment="1">
      <alignment horizontal="center" vertical="center" wrapText="1"/>
    </xf>
    <xf numFmtId="0" fontId="0" fillId="0" borderId="5" xfId="0" applyBorder="1"/>
    <xf numFmtId="0" fontId="0" fillId="0" borderId="6" xfId="0" applyBorder="1"/>
    <xf numFmtId="0" fontId="4" fillId="0" borderId="0" xfId="0" applyFont="1" applyAlignment="1">
      <alignment vertical="top"/>
    </xf>
    <xf numFmtId="0" fontId="0" fillId="0" borderId="0" xfId="0" applyAlignment="1">
      <alignment horizontal="center" vertical="center" wrapText="1"/>
    </xf>
    <xf numFmtId="0" fontId="0" fillId="0" borderId="7" xfId="0" applyBorder="1"/>
    <xf numFmtId="0" fontId="0" fillId="0" borderId="8" xfId="0" applyBorder="1"/>
    <xf numFmtId="0" fontId="0" fillId="0" borderId="9" xfId="0" applyBorder="1"/>
    <xf numFmtId="0" fontId="0" fillId="0" borderId="9" xfId="0" applyBorder="1" applyAlignment="1">
      <alignment horizontal="center" vertical="center" wrapText="1"/>
    </xf>
    <xf numFmtId="0" fontId="0" fillId="0" borderId="10" xfId="0" applyBorder="1"/>
    <xf numFmtId="0" fontId="0" fillId="8" borderId="0" xfId="0" applyFill="1" applyAlignment="1">
      <alignment horizontal="center" vertical="center"/>
    </xf>
    <xf numFmtId="0" fontId="9" fillId="8" borderId="0" xfId="0" applyFont="1" applyFill="1" applyAlignment="1">
      <alignment horizontal="center"/>
    </xf>
    <xf numFmtId="0" fontId="5" fillId="8" borderId="0" xfId="1" applyFill="1" applyBorder="1" applyAlignment="1">
      <alignment horizontal="center" vertical="center"/>
    </xf>
    <xf numFmtId="0" fontId="8" fillId="8" borderId="0" xfId="0" applyFont="1" applyFill="1" applyAlignment="1">
      <alignment horizontal="center"/>
    </xf>
    <xf numFmtId="0" fontId="0" fillId="2" borderId="12" xfId="0" applyFill="1" applyBorder="1"/>
    <xf numFmtId="0" fontId="0" fillId="2" borderId="11" xfId="0" applyFill="1" applyBorder="1"/>
    <xf numFmtId="0" fontId="8" fillId="2" borderId="11" xfId="0" applyFont="1" applyFill="1" applyBorder="1" applyAlignment="1">
      <alignment horizontal="center"/>
    </xf>
    <xf numFmtId="0" fontId="0" fillId="2" borderId="11" xfId="0" applyFill="1" applyBorder="1" applyAlignment="1">
      <alignment horizontal="center" vertical="center"/>
    </xf>
    <xf numFmtId="0" fontId="0" fillId="2" borderId="13" xfId="0" applyFill="1" applyBorder="1"/>
    <xf numFmtId="0" fontId="0" fillId="2" borderId="14" xfId="0" applyFill="1" applyBorder="1"/>
    <xf numFmtId="0" fontId="8" fillId="2" borderId="0" xfId="0" applyFont="1" applyFill="1" applyAlignment="1">
      <alignment horizontal="left" vertical="center"/>
    </xf>
    <xf numFmtId="0" fontId="0" fillId="2" borderId="0" xfId="0" applyFill="1"/>
    <xf numFmtId="0" fontId="0" fillId="2" borderId="15" xfId="0" applyFill="1" applyBorder="1"/>
    <xf numFmtId="0" fontId="8" fillId="2" borderId="0" xfId="0" applyFont="1" applyFill="1" applyAlignment="1">
      <alignment horizontal="center"/>
    </xf>
    <xf numFmtId="0" fontId="0" fillId="2" borderId="0" xfId="0" applyFill="1" applyAlignment="1">
      <alignment horizontal="center" vertical="center"/>
    </xf>
    <xf numFmtId="0" fontId="4" fillId="2" borderId="0" xfId="0" applyFont="1" applyFill="1" applyAlignment="1">
      <alignment horizontal="center" vertical="center"/>
    </xf>
    <xf numFmtId="0" fontId="8" fillId="2" borderId="0" xfId="0" applyFont="1" applyFill="1"/>
    <xf numFmtId="0" fontId="0" fillId="2" borderId="16" xfId="0" applyFill="1" applyBorder="1"/>
    <xf numFmtId="0" fontId="0" fillId="2" borderId="17" xfId="0" applyFill="1" applyBorder="1"/>
    <xf numFmtId="0" fontId="0" fillId="2" borderId="17" xfId="0" applyFill="1" applyBorder="1" applyAlignment="1">
      <alignment horizontal="center" vertical="center"/>
    </xf>
    <xf numFmtId="0" fontId="0" fillId="2" borderId="18" xfId="0" applyFill="1" applyBorder="1"/>
    <xf numFmtId="0" fontId="3" fillId="2" borderId="0" xfId="0" applyFont="1" applyFill="1" applyAlignment="1">
      <alignment horizontal="center" vertical="center"/>
    </xf>
    <xf numFmtId="0" fontId="0" fillId="8" borderId="0" xfId="0" applyFill="1" applyAlignment="1">
      <alignment vertical="center"/>
    </xf>
    <xf numFmtId="0" fontId="0" fillId="8" borderId="0" xfId="0" applyFill="1" applyAlignment="1">
      <alignment horizontal="left" vertical="center"/>
    </xf>
    <xf numFmtId="0" fontId="0" fillId="10" borderId="3" xfId="0" applyFill="1" applyBorder="1"/>
    <xf numFmtId="0" fontId="0" fillId="10" borderId="4" xfId="0" applyFill="1" applyBorder="1"/>
    <xf numFmtId="0" fontId="0" fillId="10" borderId="4" xfId="0" applyFill="1" applyBorder="1" applyAlignment="1">
      <alignment horizontal="center" vertical="center"/>
    </xf>
    <xf numFmtId="0" fontId="0" fillId="10" borderId="5" xfId="0" applyFill="1" applyBorder="1"/>
    <xf numFmtId="0" fontId="0" fillId="10" borderId="6" xfId="0" applyFill="1" applyBorder="1"/>
    <xf numFmtId="0" fontId="8" fillId="10" borderId="0" xfId="0" applyFont="1" applyFill="1" applyAlignment="1">
      <alignment horizontal="left" vertical="center"/>
    </xf>
    <xf numFmtId="0" fontId="0" fillId="10" borderId="0" xfId="0" applyFill="1"/>
    <xf numFmtId="0" fontId="0" fillId="10" borderId="0" xfId="0" applyFill="1" applyAlignment="1">
      <alignment horizontal="center" vertical="center"/>
    </xf>
    <xf numFmtId="0" fontId="0" fillId="10" borderId="7" xfId="0" applyFill="1" applyBorder="1"/>
    <xf numFmtId="0" fontId="0" fillId="10" borderId="0" xfId="0" applyFill="1" applyAlignment="1">
      <alignment horizontal="left"/>
    </xf>
    <xf numFmtId="0" fontId="0" fillId="10" borderId="0" xfId="0" applyFill="1" applyAlignment="1">
      <alignment horizontal="left" vertical="center"/>
    </xf>
    <xf numFmtId="0" fontId="0" fillId="10" borderId="0" xfId="0" applyFill="1" applyAlignment="1">
      <alignment vertical="center"/>
    </xf>
    <xf numFmtId="0" fontId="7" fillId="10" borderId="0" xfId="0" applyFont="1" applyFill="1" applyAlignment="1">
      <alignment horizontal="right" vertical="center"/>
    </xf>
    <xf numFmtId="0" fontId="7" fillId="10" borderId="0" xfId="0" applyFont="1" applyFill="1" applyAlignment="1">
      <alignment vertical="center"/>
    </xf>
    <xf numFmtId="2" fontId="7" fillId="10" borderId="0" xfId="0" applyNumberFormat="1" applyFont="1" applyFill="1" applyAlignment="1">
      <alignment horizontal="center" vertical="center"/>
    </xf>
    <xf numFmtId="0" fontId="7" fillId="10" borderId="6" xfId="0" applyFont="1" applyFill="1" applyBorder="1" applyAlignment="1">
      <alignment horizontal="right" vertical="center"/>
    </xf>
    <xf numFmtId="0" fontId="8" fillId="10" borderId="0" xfId="0" applyFont="1" applyFill="1" applyAlignment="1">
      <alignment vertical="center"/>
    </xf>
    <xf numFmtId="0" fontId="0" fillId="10" borderId="6" xfId="0" applyFill="1" applyBorder="1" applyAlignment="1">
      <alignment horizontal="left" vertical="center"/>
    </xf>
    <xf numFmtId="0" fontId="0" fillId="10" borderId="6" xfId="0" applyFill="1" applyBorder="1" applyAlignment="1">
      <alignment horizontal="center" vertical="center"/>
    </xf>
    <xf numFmtId="0" fontId="0" fillId="10" borderId="6" xfId="0" applyFill="1" applyBorder="1" applyAlignment="1">
      <alignment vertical="center"/>
    </xf>
    <xf numFmtId="0" fontId="0" fillId="10" borderId="8" xfId="0" applyFill="1" applyBorder="1"/>
    <xf numFmtId="0" fontId="0" fillId="10" borderId="9" xfId="0" applyFill="1" applyBorder="1"/>
    <xf numFmtId="0" fontId="0" fillId="10" borderId="9" xfId="0" applyFill="1" applyBorder="1" applyAlignment="1">
      <alignment horizontal="center" vertical="center"/>
    </xf>
    <xf numFmtId="0" fontId="0" fillId="10" borderId="10" xfId="0" applyFill="1" applyBorder="1"/>
    <xf numFmtId="0" fontId="0" fillId="3" borderId="25" xfId="0" applyFill="1" applyBorder="1"/>
    <xf numFmtId="0" fontId="0" fillId="3" borderId="23" xfId="0" applyFill="1" applyBorder="1"/>
    <xf numFmtId="0" fontId="0" fillId="3" borderId="23" xfId="0" applyFill="1" applyBorder="1" applyAlignment="1">
      <alignment horizontal="center"/>
    </xf>
    <xf numFmtId="0" fontId="0" fillId="3" borderId="26" xfId="0" applyFill="1" applyBorder="1"/>
    <xf numFmtId="0" fontId="0" fillId="3" borderId="27" xfId="0" applyFill="1" applyBorder="1"/>
    <xf numFmtId="0" fontId="8" fillId="3" borderId="0" xfId="0" applyFont="1" applyFill="1" applyAlignment="1">
      <alignment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applyFill="1"/>
    <xf numFmtId="0" fontId="8" fillId="3" borderId="0" xfId="0" applyFont="1" applyFill="1" applyAlignment="1">
      <alignment horizontal="center" vertical="center"/>
    </xf>
    <xf numFmtId="0" fontId="0" fillId="3" borderId="28" xfId="0" applyFill="1" applyBorder="1"/>
    <xf numFmtId="0" fontId="0" fillId="3" borderId="0" xfId="0" applyFill="1" applyAlignment="1">
      <alignment vertical="center" wrapText="1"/>
    </xf>
    <xf numFmtId="0" fontId="1" fillId="3" borderId="0" xfId="0" applyFont="1" applyFill="1" applyAlignment="1">
      <alignment vertical="center"/>
    </xf>
    <xf numFmtId="0" fontId="1" fillId="3" borderId="0" xfId="0" applyFont="1" applyFill="1" applyAlignment="1">
      <alignment horizontal="center" vertical="center"/>
    </xf>
    <xf numFmtId="0" fontId="0" fillId="3" borderId="29" xfId="0" applyFill="1" applyBorder="1" applyAlignment="1">
      <alignment vertical="center" wrapText="1"/>
    </xf>
    <xf numFmtId="0" fontId="0" fillId="3" borderId="30" xfId="0" applyFill="1" applyBorder="1" applyAlignment="1">
      <alignment vertical="center"/>
    </xf>
    <xf numFmtId="0" fontId="0" fillId="3" borderId="30" xfId="0" applyFill="1" applyBorder="1" applyAlignment="1">
      <alignment vertical="center" wrapText="1"/>
    </xf>
    <xf numFmtId="0" fontId="0" fillId="3" borderId="30" xfId="0" applyFill="1" applyBorder="1"/>
    <xf numFmtId="0" fontId="0" fillId="3" borderId="30" xfId="0" applyFill="1" applyBorder="1" applyAlignment="1">
      <alignment horizontal="center"/>
    </xf>
    <xf numFmtId="0" fontId="0" fillId="3" borderId="31" xfId="0" applyFill="1" applyBorder="1"/>
    <xf numFmtId="0" fontId="0" fillId="3" borderId="27" xfId="0" applyFill="1" applyBorder="1" applyAlignment="1">
      <alignment vertical="center"/>
    </xf>
    <xf numFmtId="0" fontId="0" fillId="8" borderId="0" xfId="0" applyFill="1" applyAlignment="1">
      <alignment horizontal="center"/>
    </xf>
    <xf numFmtId="0" fontId="0" fillId="8" borderId="0" xfId="0" applyFill="1" applyAlignment="1">
      <alignment vertical="center" wrapText="1"/>
    </xf>
    <xf numFmtId="0" fontId="0" fillId="8" borderId="22" xfId="0" applyFill="1" applyBorder="1" applyAlignment="1">
      <alignment vertical="center" wrapText="1"/>
    </xf>
    <xf numFmtId="0" fontId="0" fillId="8" borderId="22" xfId="0" applyFill="1" applyBorder="1" applyAlignment="1">
      <alignment vertical="center"/>
    </xf>
    <xf numFmtId="0" fontId="0" fillId="8" borderId="22" xfId="0" applyFill="1" applyBorder="1"/>
    <xf numFmtId="0" fontId="0" fillId="8" borderId="22" xfId="0" applyFill="1" applyBorder="1" applyAlignment="1">
      <alignment horizontal="center"/>
    </xf>
    <xf numFmtId="0" fontId="11" fillId="8" borderId="0" xfId="1" applyFont="1" applyFill="1" applyBorder="1" applyAlignment="1">
      <alignment horizontal="center" vertical="center"/>
    </xf>
    <xf numFmtId="0" fontId="6" fillId="8" borderId="0" xfId="1" applyFont="1" applyFill="1" applyBorder="1" applyAlignment="1">
      <alignment horizontal="center" vertical="center"/>
    </xf>
    <xf numFmtId="0" fontId="17" fillId="8" borderId="0" xfId="0" applyFont="1" applyFill="1"/>
    <xf numFmtId="0" fontId="0" fillId="4" borderId="77" xfId="0" applyFill="1" applyBorder="1"/>
    <xf numFmtId="0" fontId="0" fillId="4" borderId="78" xfId="0" applyFill="1" applyBorder="1"/>
    <xf numFmtId="0" fontId="0" fillId="4" borderId="78" xfId="0" applyFill="1" applyBorder="1" applyAlignment="1">
      <alignment horizontal="center" vertical="center" wrapText="1"/>
    </xf>
    <xf numFmtId="0" fontId="0" fillId="4" borderId="79" xfId="0" applyFill="1" applyBorder="1"/>
    <xf numFmtId="0" fontId="0" fillId="4" borderId="83" xfId="0" applyFill="1" applyBorder="1"/>
    <xf numFmtId="0" fontId="0" fillId="4" borderId="84" xfId="0" applyFill="1" applyBorder="1"/>
    <xf numFmtId="0" fontId="0" fillId="4" borderId="80" xfId="0" applyFill="1" applyBorder="1"/>
    <xf numFmtId="0" fontId="0" fillId="4" borderId="81" xfId="0" applyFill="1" applyBorder="1"/>
    <xf numFmtId="0" fontId="0" fillId="4" borderId="82" xfId="0" applyFill="1" applyBorder="1"/>
    <xf numFmtId="0" fontId="0" fillId="3" borderId="24" xfId="0" applyFill="1" applyBorder="1" applyAlignment="1">
      <alignment horizontal="center" vertical="center" wrapText="1"/>
    </xf>
    <xf numFmtId="0" fontId="0" fillId="6" borderId="24" xfId="0" applyFill="1" applyBorder="1" applyAlignment="1">
      <alignment horizontal="center" vertical="center" wrapText="1"/>
    </xf>
    <xf numFmtId="0" fontId="0" fillId="0" borderId="0" xfId="0" applyAlignment="1">
      <alignment horizontal="center" vertical="center"/>
    </xf>
    <xf numFmtId="0" fontId="2" fillId="0" borderId="4" xfId="0" applyFont="1" applyBorder="1" applyAlignment="1">
      <alignment horizontal="center" vertical="center"/>
    </xf>
    <xf numFmtId="0" fontId="2" fillId="0" borderId="0" xfId="0" applyFont="1" applyAlignment="1">
      <alignment horizontal="center" vertical="center"/>
    </xf>
    <xf numFmtId="0" fontId="2" fillId="0" borderId="9" xfId="0" applyFont="1" applyBorder="1" applyAlignment="1">
      <alignment horizontal="center" vertical="center"/>
    </xf>
    <xf numFmtId="0" fontId="4" fillId="0" borderId="0" xfId="0" applyFont="1"/>
    <xf numFmtId="0" fontId="18" fillId="0" borderId="24" xfId="0" applyFont="1" applyBorder="1" applyAlignment="1">
      <alignment horizontal="center" vertical="center" wrapText="1"/>
    </xf>
    <xf numFmtId="0" fontId="0" fillId="0" borderId="86" xfId="0" applyBorder="1"/>
    <xf numFmtId="0" fontId="0" fillId="0" borderId="51" xfId="0" applyBorder="1"/>
    <xf numFmtId="0" fontId="0" fillId="0" borderId="86" xfId="0" applyBorder="1" applyAlignment="1">
      <alignment horizontal="left" vertical="top" wrapText="1"/>
    </xf>
    <xf numFmtId="0" fontId="0" fillId="0" borderId="51" xfId="0" applyBorder="1" applyAlignment="1">
      <alignment horizontal="left" vertical="top" wrapText="1"/>
    </xf>
    <xf numFmtId="0" fontId="0" fillId="0" borderId="24" xfId="0" applyBorder="1" applyAlignment="1">
      <alignment horizontal="center" vertical="center" wrapText="1"/>
    </xf>
    <xf numFmtId="0" fontId="6" fillId="0" borderId="0" xfId="1" applyFont="1" applyFill="1" applyBorder="1" applyAlignment="1">
      <alignment horizontal="center" vertical="center" wrapText="1"/>
    </xf>
    <xf numFmtId="0" fontId="19" fillId="8" borderId="0" xfId="0" applyFont="1" applyFill="1"/>
    <xf numFmtId="2" fontId="0" fillId="0" borderId="1" xfId="0" applyNumberFormat="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0" xfId="0" applyAlignment="1">
      <alignment horizontal="left" vertical="top" wrapText="1"/>
    </xf>
    <xf numFmtId="0" fontId="20" fillId="0" borderId="0" xfId="0" applyFont="1" applyAlignment="1">
      <alignment horizontal="right" vertical="top" wrapText="1"/>
    </xf>
    <xf numFmtId="0" fontId="21" fillId="0" borderId="0" xfId="0" applyFont="1" applyAlignment="1">
      <alignment horizontal="right" vertical="top" wrapText="1"/>
    </xf>
    <xf numFmtId="0" fontId="0" fillId="4" borderId="0" xfId="0" applyFill="1" applyProtection="1">
      <protection locked="0"/>
    </xf>
    <xf numFmtId="0" fontId="0" fillId="4" borderId="0" xfId="0" applyFill="1" applyAlignment="1" applyProtection="1">
      <alignment horizontal="center" vertical="center"/>
      <protection locked="0"/>
    </xf>
    <xf numFmtId="0" fontId="0" fillId="0" borderId="51" xfId="0" applyBorder="1" applyAlignment="1">
      <alignment wrapText="1"/>
    </xf>
    <xf numFmtId="0" fontId="0" fillId="0" borderId="86" xfId="0" applyBorder="1" applyAlignment="1">
      <alignment wrapText="1"/>
    </xf>
    <xf numFmtId="0" fontId="0" fillId="0" borderId="41" xfId="0" applyBorder="1" applyAlignment="1">
      <alignment wrapText="1"/>
    </xf>
    <xf numFmtId="0" fontId="0" fillId="0" borderId="41" xfId="0" applyBorder="1" applyAlignment="1">
      <alignment horizontal="left" vertical="center" wrapText="1"/>
    </xf>
    <xf numFmtId="0" fontId="0" fillId="0" borderId="51" xfId="0" applyBorder="1" applyAlignment="1">
      <alignment horizontal="left" wrapText="1"/>
    </xf>
    <xf numFmtId="0" fontId="0" fillId="6" borderId="87" xfId="0" applyFill="1" applyBorder="1" applyAlignment="1">
      <alignment horizontal="center" vertical="center" wrapText="1"/>
    </xf>
    <xf numFmtId="0" fontId="0" fillId="0" borderId="88" xfId="0" applyBorder="1" applyAlignment="1">
      <alignment horizontal="center" vertical="center" wrapText="1"/>
    </xf>
    <xf numFmtId="0" fontId="0" fillId="0" borderId="87" xfId="0" applyBorder="1" applyAlignment="1">
      <alignment horizontal="center" vertical="center" wrapText="1"/>
    </xf>
    <xf numFmtId="0" fontId="0" fillId="0" borderId="89" xfId="0" applyBorder="1" applyAlignment="1">
      <alignment horizontal="center" vertical="center" wrapText="1"/>
    </xf>
    <xf numFmtId="0" fontId="0" fillId="6" borderId="88" xfId="0" applyFill="1" applyBorder="1" applyAlignment="1">
      <alignment horizontal="center" vertical="center" wrapText="1"/>
    </xf>
    <xf numFmtId="0" fontId="0" fillId="6" borderId="89" xfId="0" applyFill="1" applyBorder="1" applyAlignment="1">
      <alignment horizontal="center" vertical="center" wrapText="1"/>
    </xf>
    <xf numFmtId="3" fontId="0" fillId="0" borderId="24" xfId="0" applyNumberFormat="1" applyBorder="1" applyAlignment="1">
      <alignment horizontal="center" vertical="center" wrapText="1"/>
    </xf>
    <xf numFmtId="3" fontId="0" fillId="0" borderId="88" xfId="0" applyNumberFormat="1" applyBorder="1" applyAlignment="1">
      <alignment horizontal="center" vertical="center" wrapText="1"/>
    </xf>
    <xf numFmtId="3" fontId="0" fillId="0" borderId="87" xfId="0" applyNumberFormat="1" applyBorder="1" applyAlignment="1">
      <alignment horizontal="center" vertical="center" wrapText="1"/>
    </xf>
    <xf numFmtId="3" fontId="0" fillId="0" borderId="89" xfId="0" applyNumberFormat="1" applyBorder="1" applyAlignment="1">
      <alignment horizontal="center" vertical="center" wrapText="1"/>
    </xf>
    <xf numFmtId="4" fontId="0" fillId="0" borderId="87" xfId="0" applyNumberFormat="1" applyBorder="1" applyAlignment="1">
      <alignment horizontal="center" vertical="center" wrapText="1"/>
    </xf>
    <xf numFmtId="4" fontId="0" fillId="0" borderId="88" xfId="0" applyNumberFormat="1" applyBorder="1" applyAlignment="1">
      <alignment horizontal="center" vertical="center" wrapText="1"/>
    </xf>
    <xf numFmtId="4" fontId="0" fillId="0" borderId="89" xfId="0" applyNumberFormat="1" applyBorder="1" applyAlignment="1">
      <alignment horizontal="center" vertical="center" wrapText="1"/>
    </xf>
    <xf numFmtId="4" fontId="0" fillId="0" borderId="24" xfId="0" applyNumberFormat="1" applyBorder="1" applyAlignment="1">
      <alignment horizontal="center" vertical="center" wrapText="1"/>
    </xf>
    <xf numFmtId="2" fontId="0" fillId="0" borderId="87" xfId="0" applyNumberFormat="1" applyBorder="1" applyAlignment="1">
      <alignment horizontal="center" vertical="center" wrapText="1"/>
    </xf>
    <xf numFmtId="2" fontId="0" fillId="0" borderId="89" xfId="0" applyNumberFormat="1" applyBorder="1" applyAlignment="1">
      <alignment horizontal="center" vertical="center" wrapText="1"/>
    </xf>
    <xf numFmtId="0" fontId="5" fillId="8" borderId="0" xfId="1" applyFill="1" applyBorder="1" applyAlignment="1" applyProtection="1">
      <alignment horizontal="center" vertical="center"/>
    </xf>
    <xf numFmtId="0" fontId="11" fillId="8" borderId="0" xfId="1" applyFont="1" applyFill="1" applyBorder="1" applyAlignment="1" applyProtection="1">
      <alignment horizontal="center" vertical="center"/>
    </xf>
    <xf numFmtId="0" fontId="0" fillId="11" borderId="42" xfId="0" applyFill="1" applyBorder="1"/>
    <xf numFmtId="0" fontId="0" fillId="11" borderId="43" xfId="0" applyFill="1" applyBorder="1"/>
    <xf numFmtId="0" fontId="0" fillId="11" borderId="44" xfId="0" applyFill="1" applyBorder="1"/>
    <xf numFmtId="0" fontId="0" fillId="11" borderId="45" xfId="0" applyFill="1" applyBorder="1"/>
    <xf numFmtId="0" fontId="0" fillId="11" borderId="0" xfId="0" applyFill="1"/>
    <xf numFmtId="0" fontId="4" fillId="11" borderId="0" xfId="0" applyFont="1" applyFill="1" applyAlignment="1">
      <alignment horizontal="center"/>
    </xf>
    <xf numFmtId="0" fontId="0" fillId="11" borderId="46" xfId="0" applyFill="1" applyBorder="1"/>
    <xf numFmtId="0" fontId="1" fillId="11" borderId="0" xfId="0" applyFont="1" applyFill="1"/>
    <xf numFmtId="0" fontId="0" fillId="11" borderId="0" xfId="0" applyFill="1" applyAlignment="1">
      <alignment horizontal="left" vertical="center"/>
    </xf>
    <xf numFmtId="0" fontId="0" fillId="11" borderId="47" xfId="0" applyFill="1" applyBorder="1"/>
    <xf numFmtId="0" fontId="0" fillId="11" borderId="48" xfId="0" applyFill="1" applyBorder="1"/>
    <xf numFmtId="0" fontId="0" fillId="11" borderId="49" xfId="0" applyFill="1" applyBorder="1"/>
    <xf numFmtId="0" fontId="4" fillId="2" borderId="0" xfId="0" applyFont="1" applyFill="1"/>
    <xf numFmtId="0" fontId="4" fillId="2" borderId="0" xfId="0" applyFont="1" applyFill="1" applyAlignment="1">
      <alignment horizontal="center"/>
    </xf>
    <xf numFmtId="0" fontId="26" fillId="2" borderId="0" xfId="0" applyFont="1" applyFill="1"/>
    <xf numFmtId="0" fontId="0" fillId="2" borderId="52" xfId="0" applyFill="1" applyBorder="1"/>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8" borderId="0" xfId="0" applyFill="1" applyAlignment="1">
      <alignment horizontal="left" vertical="top"/>
    </xf>
    <xf numFmtId="0" fontId="1" fillId="2" borderId="0" xfId="0" applyFont="1" applyFill="1"/>
    <xf numFmtId="0" fontId="13" fillId="2" borderId="0" xfId="0" applyFont="1" applyFill="1"/>
    <xf numFmtId="4" fontId="0" fillId="2" borderId="0" xfId="0" applyNumberFormat="1" applyFill="1"/>
    <xf numFmtId="0" fontId="14" fillId="2" borderId="0" xfId="0" applyFont="1" applyFill="1"/>
    <xf numFmtId="0" fontId="0" fillId="7" borderId="53" xfId="0" applyFill="1" applyBorder="1"/>
    <xf numFmtId="0" fontId="0" fillId="7" borderId="54" xfId="0" applyFill="1" applyBorder="1"/>
    <xf numFmtId="0" fontId="0" fillId="7" borderId="55" xfId="0" applyFill="1" applyBorder="1"/>
    <xf numFmtId="0" fontId="0" fillId="7" borderId="56" xfId="0" applyFill="1" applyBorder="1"/>
    <xf numFmtId="0" fontId="0" fillId="7" borderId="0" xfId="0" applyFill="1"/>
    <xf numFmtId="0" fontId="4" fillId="7" borderId="0" xfId="0" applyFont="1" applyFill="1" applyAlignment="1">
      <alignment horizontal="center"/>
    </xf>
    <xf numFmtId="0" fontId="0" fillId="7" borderId="57" xfId="0" applyFill="1" applyBorder="1"/>
    <xf numFmtId="0" fontId="14" fillId="7" borderId="0" xfId="0" applyFont="1" applyFill="1"/>
    <xf numFmtId="0" fontId="0" fillId="7" borderId="58" xfId="0" applyFill="1" applyBorder="1"/>
    <xf numFmtId="0" fontId="0" fillId="7" borderId="59" xfId="0" applyFill="1" applyBorder="1"/>
    <xf numFmtId="0" fontId="0" fillId="7" borderId="60" xfId="0" applyFill="1" applyBorder="1"/>
    <xf numFmtId="0" fontId="4" fillId="10" borderId="0" xfId="0" applyFont="1" applyFill="1" applyAlignment="1">
      <alignment horizontal="center"/>
    </xf>
    <xf numFmtId="0" fontId="8" fillId="10" borderId="0" xfId="0" applyFont="1" applyFill="1"/>
    <xf numFmtId="0" fontId="1" fillId="10" borderId="0" xfId="0" applyFont="1" applyFill="1"/>
    <xf numFmtId="0" fontId="16" fillId="10" borderId="0" xfId="0" applyFont="1" applyFill="1"/>
    <xf numFmtId="0" fontId="14" fillId="10" borderId="0" xfId="0" applyFont="1" applyFill="1"/>
    <xf numFmtId="0" fontId="0" fillId="9" borderId="61" xfId="0" applyFill="1" applyBorder="1"/>
    <xf numFmtId="0" fontId="0" fillId="9" borderId="62" xfId="0" applyFill="1" applyBorder="1"/>
    <xf numFmtId="0" fontId="0" fillId="9" borderId="63" xfId="0" applyFill="1" applyBorder="1"/>
    <xf numFmtId="0" fontId="0" fillId="9" borderId="64" xfId="0" applyFill="1" applyBorder="1"/>
    <xf numFmtId="0" fontId="0" fillId="9" borderId="0" xfId="0" applyFill="1"/>
    <xf numFmtId="0" fontId="4" fillId="9" borderId="0" xfId="0" applyFont="1" applyFill="1" applyAlignment="1">
      <alignment horizontal="center"/>
    </xf>
    <xf numFmtId="0" fontId="0" fillId="9" borderId="65" xfId="0" applyFill="1" applyBorder="1"/>
    <xf numFmtId="0" fontId="14" fillId="9" borderId="0" xfId="0" applyFont="1" applyFill="1"/>
    <xf numFmtId="0" fontId="0" fillId="9" borderId="66" xfId="0" applyFill="1" applyBorder="1"/>
    <xf numFmtId="0" fontId="0" fillId="9" borderId="67" xfId="0" applyFill="1" applyBorder="1"/>
    <xf numFmtId="0" fontId="0" fillId="9" borderId="68" xfId="0" applyFill="1" applyBorder="1"/>
    <xf numFmtId="0" fontId="4" fillId="3" borderId="0" xfId="0" applyFont="1" applyFill="1" applyAlignment="1">
      <alignment horizontal="center"/>
    </xf>
    <xf numFmtId="0" fontId="8" fillId="3" borderId="0" xfId="0" applyFont="1" applyFill="1"/>
    <xf numFmtId="0" fontId="14" fillId="3" borderId="0" xfId="0" applyFont="1" applyFill="1"/>
    <xf numFmtId="0" fontId="0" fillId="3" borderId="29" xfId="0" applyFill="1" applyBorder="1"/>
    <xf numFmtId="0" fontId="0" fillId="6" borderId="69" xfId="0" applyFill="1" applyBorder="1"/>
    <xf numFmtId="0" fontId="0" fillId="6" borderId="70" xfId="0" applyFill="1" applyBorder="1"/>
    <xf numFmtId="0" fontId="0" fillId="6" borderId="71" xfId="0" applyFill="1" applyBorder="1"/>
    <xf numFmtId="0" fontId="0" fillId="6" borderId="72" xfId="0" applyFill="1" applyBorder="1"/>
    <xf numFmtId="0" fontId="0" fillId="6" borderId="0" xfId="0" applyFill="1"/>
    <xf numFmtId="0" fontId="4" fillId="6" borderId="0" xfId="0" applyFont="1" applyFill="1" applyAlignment="1">
      <alignment horizontal="center"/>
    </xf>
    <xf numFmtId="0" fontId="0" fillId="6" borderId="73" xfId="0" applyFill="1" applyBorder="1"/>
    <xf numFmtId="0" fontId="14" fillId="6" borderId="0" xfId="0" applyFont="1" applyFill="1"/>
    <xf numFmtId="0" fontId="0" fillId="6" borderId="74" xfId="0" applyFill="1" applyBorder="1"/>
    <xf numFmtId="0" fontId="0" fillId="6" borderId="75" xfId="0" applyFill="1" applyBorder="1"/>
    <xf numFmtId="0" fontId="0" fillId="6" borderId="76" xfId="0" applyFill="1" applyBorder="1"/>
    <xf numFmtId="0" fontId="12" fillId="8" borderId="0" xfId="0" applyFont="1" applyFill="1"/>
    <xf numFmtId="0" fontId="6" fillId="4" borderId="24" xfId="1" applyFont="1" applyFill="1" applyBorder="1" applyProtection="1">
      <protection locked="0"/>
    </xf>
    <xf numFmtId="0" fontId="14" fillId="3" borderId="30" xfId="0" applyFont="1" applyFill="1" applyBorder="1"/>
    <xf numFmtId="4" fontId="1" fillId="3" borderId="30" xfId="0" applyNumberFormat="1" applyFont="1" applyFill="1" applyBorder="1" applyAlignment="1">
      <alignment horizontal="center"/>
    </xf>
    <xf numFmtId="0" fontId="0" fillId="4" borderId="0" xfId="0" applyFill="1" applyAlignment="1">
      <alignment horizontal="center" vertical="center" wrapText="1"/>
    </xf>
    <xf numFmtId="0" fontId="28" fillId="4" borderId="0" xfId="0" applyFont="1" applyFill="1" applyAlignment="1">
      <alignment horizontal="center" vertical="center"/>
    </xf>
    <xf numFmtId="0" fontId="27" fillId="8" borderId="0" xfId="0" applyFont="1" applyFill="1"/>
    <xf numFmtId="0" fontId="27" fillId="8" borderId="0" xfId="0" applyFont="1" applyFill="1" applyAlignment="1">
      <alignment wrapText="1"/>
    </xf>
    <xf numFmtId="0" fontId="27" fillId="11" borderId="90" xfId="0" applyFont="1" applyFill="1" applyBorder="1" applyAlignment="1">
      <alignment vertical="center" wrapText="1"/>
    </xf>
    <xf numFmtId="0" fontId="27" fillId="2" borderId="91" xfId="0" applyFont="1" applyFill="1" applyBorder="1" applyAlignment="1">
      <alignment vertical="center" wrapText="1"/>
    </xf>
    <xf numFmtId="0" fontId="27" fillId="8" borderId="0" xfId="0" applyFont="1" applyFill="1" applyAlignment="1">
      <alignment vertical="center" wrapText="1"/>
    </xf>
    <xf numFmtId="0" fontId="27" fillId="10" borderId="92" xfId="0" applyFont="1" applyFill="1" applyBorder="1" applyAlignment="1">
      <alignment vertical="center" wrapText="1"/>
    </xf>
    <xf numFmtId="0" fontId="27" fillId="3" borderId="93" xfId="0" applyFont="1" applyFill="1" applyBorder="1" applyAlignment="1">
      <alignment vertical="center" wrapText="1"/>
    </xf>
    <xf numFmtId="0" fontId="29" fillId="8" borderId="0" xfId="0" applyFont="1" applyFill="1" applyAlignment="1">
      <alignment horizontal="center" vertical="center"/>
    </xf>
    <xf numFmtId="0" fontId="30" fillId="12" borderId="94" xfId="0" applyFont="1" applyFill="1" applyBorder="1" applyAlignment="1">
      <alignment vertical="center" wrapText="1"/>
    </xf>
    <xf numFmtId="0" fontId="30" fillId="13" borderId="95" xfId="0" applyFont="1" applyFill="1" applyBorder="1" applyAlignment="1">
      <alignment vertical="center" wrapText="1"/>
    </xf>
    <xf numFmtId="0" fontId="27" fillId="12" borderId="94" xfId="0" applyFont="1" applyFill="1" applyBorder="1" applyAlignment="1">
      <alignment wrapText="1"/>
    </xf>
    <xf numFmtId="0" fontId="9" fillId="8" borderId="0" xfId="0" applyFont="1" applyFill="1" applyAlignment="1">
      <alignment horizontal="center" vertical="center"/>
    </xf>
    <xf numFmtId="0" fontId="31" fillId="8" borderId="0" xfId="0" applyFont="1" applyFill="1"/>
    <xf numFmtId="2" fontId="31" fillId="8" borderId="0" xfId="0" applyNumberFormat="1" applyFont="1" applyFill="1"/>
    <xf numFmtId="0" fontId="0" fillId="2" borderId="24" xfId="0" applyFill="1" applyBorder="1" applyAlignment="1">
      <alignment horizontal="center" vertical="center" wrapText="1"/>
    </xf>
    <xf numFmtId="0" fontId="0" fillId="7" borderId="24" xfId="0" applyFill="1" applyBorder="1" applyAlignment="1">
      <alignment horizontal="center" vertical="center" wrapText="1"/>
    </xf>
    <xf numFmtId="0" fontId="0" fillId="9" borderId="24" xfId="0" applyFill="1" applyBorder="1" applyAlignment="1">
      <alignment horizontal="center" vertical="center" wrapText="1"/>
    </xf>
    <xf numFmtId="3" fontId="0" fillId="8" borderId="0" xfId="0" applyNumberFormat="1" applyFill="1"/>
    <xf numFmtId="0" fontId="0" fillId="3" borderId="0" xfId="0" applyFill="1" applyAlignment="1">
      <alignment horizontal="center"/>
    </xf>
    <xf numFmtId="4" fontId="1" fillId="3" borderId="0" xfId="0" applyNumberFormat="1" applyFont="1" applyFill="1" applyAlignment="1">
      <alignment horizontal="center"/>
    </xf>
    <xf numFmtId="4" fontId="1" fillId="6" borderId="0" xfId="0" applyNumberFormat="1" applyFont="1" applyFill="1" applyAlignment="1">
      <alignment horizontal="center"/>
    </xf>
    <xf numFmtId="1" fontId="0" fillId="2" borderId="2" xfId="0" applyNumberFormat="1" applyFill="1" applyBorder="1" applyAlignment="1">
      <alignment horizontal="center"/>
    </xf>
    <xf numFmtId="2" fontId="0" fillId="2" borderId="0" xfId="0" applyNumberFormat="1" applyFill="1" applyAlignment="1">
      <alignment horizontal="center"/>
    </xf>
    <xf numFmtId="0" fontId="0" fillId="2" borderId="0" xfId="0" applyFill="1" applyAlignment="1">
      <alignment horizontal="center"/>
    </xf>
    <xf numFmtId="0" fontId="0" fillId="2" borderId="20" xfId="0" applyFill="1" applyBorder="1" applyAlignment="1">
      <alignment horizontal="center"/>
    </xf>
    <xf numFmtId="0" fontId="0" fillId="2" borderId="52" xfId="0" applyFill="1" applyBorder="1" applyAlignment="1">
      <alignment horizontal="center"/>
    </xf>
    <xf numFmtId="0" fontId="0" fillId="2" borderId="2" xfId="0" applyFill="1" applyBorder="1" applyAlignment="1">
      <alignment horizontal="center"/>
    </xf>
    <xf numFmtId="1" fontId="0" fillId="2" borderId="52" xfId="0" applyNumberFormat="1" applyFill="1" applyBorder="1" applyAlignment="1">
      <alignment horizontal="center"/>
    </xf>
    <xf numFmtId="4" fontId="0" fillId="2" borderId="0" xfId="0" applyNumberFormat="1" applyFill="1" applyAlignment="1">
      <alignment horizontal="center"/>
    </xf>
    <xf numFmtId="3" fontId="0" fillId="2" borderId="0" xfId="0" applyNumberFormat="1" applyFill="1" applyAlignment="1">
      <alignment horizontal="center"/>
    </xf>
    <xf numFmtId="3" fontId="0" fillId="2" borderId="52" xfId="0" applyNumberFormat="1" applyFill="1" applyBorder="1" applyAlignment="1">
      <alignment horizontal="center"/>
    </xf>
    <xf numFmtId="0" fontId="0" fillId="2" borderId="2" xfId="0" applyFill="1" applyBorder="1" applyAlignment="1">
      <alignment horizontal="center" vertical="center"/>
    </xf>
    <xf numFmtId="4" fontId="0" fillId="2" borderId="52" xfId="0" applyNumberFormat="1" applyFill="1" applyBorder="1" applyAlignment="1">
      <alignment horizontal="center"/>
    </xf>
    <xf numFmtId="3" fontId="0" fillId="2" borderId="2" xfId="0" applyNumberFormat="1" applyFill="1" applyBorder="1" applyAlignment="1">
      <alignment horizontal="center"/>
    </xf>
    <xf numFmtId="4" fontId="1" fillId="7" borderId="0" xfId="0" applyNumberFormat="1" applyFont="1" applyFill="1" applyAlignment="1">
      <alignment horizontal="center"/>
    </xf>
    <xf numFmtId="4" fontId="1" fillId="2" borderId="0" xfId="0" applyNumberFormat="1" applyFont="1" applyFill="1" applyAlignment="1">
      <alignment horizontal="center"/>
    </xf>
    <xf numFmtId="4" fontId="0" fillId="2" borderId="0" xfId="0" applyNumberFormat="1" applyFill="1" applyAlignment="1">
      <alignment horizontal="center" vertical="center"/>
    </xf>
    <xf numFmtId="4" fontId="0" fillId="2" borderId="2" xfId="0" applyNumberFormat="1" applyFill="1" applyBorder="1" applyAlignment="1">
      <alignment horizontal="center"/>
    </xf>
    <xf numFmtId="0" fontId="0" fillId="10" borderId="0" xfId="0" applyFill="1" applyAlignment="1">
      <alignment horizontal="center"/>
    </xf>
    <xf numFmtId="0" fontId="1" fillId="10" borderId="0" xfId="0" applyFont="1" applyFill="1" applyAlignment="1">
      <alignment horizontal="center"/>
    </xf>
    <xf numFmtId="4" fontId="1" fillId="9" borderId="0" xfId="0" applyNumberFormat="1" applyFont="1" applyFill="1" applyAlignment="1">
      <alignment horizontal="center"/>
    </xf>
    <xf numFmtId="1" fontId="0" fillId="2" borderId="0" xfId="0" applyNumberFormat="1" applyFill="1" applyAlignment="1">
      <alignment horizontal="center"/>
    </xf>
    <xf numFmtId="3" fontId="0" fillId="0" borderId="24" xfId="0" applyNumberFormat="1" applyBorder="1" applyAlignment="1" applyProtection="1">
      <alignment horizontal="center"/>
      <protection locked="0"/>
    </xf>
    <xf numFmtId="0" fontId="27" fillId="12" borderId="24" xfId="0" applyFont="1" applyFill="1" applyBorder="1" applyAlignment="1" applyProtection="1">
      <alignment horizontal="left" vertical="center"/>
      <protection locked="0"/>
    </xf>
    <xf numFmtId="0" fontId="0" fillId="0" borderId="24" xfId="0" applyBorder="1" applyAlignment="1" applyProtection="1">
      <alignment horizontal="center"/>
      <protection locked="0"/>
    </xf>
    <xf numFmtId="0" fontId="0" fillId="0" borderId="24" xfId="0" applyBorder="1" applyAlignment="1">
      <alignment horizontal="center"/>
    </xf>
    <xf numFmtId="3" fontId="0" fillId="0" borderId="24" xfId="0" applyNumberFormat="1" applyBorder="1" applyAlignment="1">
      <alignment horizontal="center"/>
    </xf>
    <xf numFmtId="1" fontId="0" fillId="0" borderId="24" xfId="0" applyNumberFormat="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24" xfId="0" applyNumberFormat="1" applyBorder="1" applyAlignment="1" applyProtection="1">
      <alignment horizontal="center"/>
      <protection locked="0"/>
    </xf>
    <xf numFmtId="4" fontId="0" fillId="0" borderId="24" xfId="0" applyNumberFormat="1" applyBorder="1" applyAlignment="1" applyProtection="1">
      <alignment horizontal="center"/>
      <protection locked="0"/>
    </xf>
    <xf numFmtId="1" fontId="0" fillId="0" borderId="24" xfId="0" applyNumberFormat="1" applyBorder="1" applyAlignment="1" applyProtection="1">
      <alignment horizontal="center"/>
      <protection locked="0"/>
    </xf>
    <xf numFmtId="4" fontId="0" fillId="0" borderId="24" xfId="0" applyNumberFormat="1" applyBorder="1" applyAlignment="1" applyProtection="1">
      <alignment horizontal="center" vertical="center"/>
      <protection locked="0"/>
    </xf>
    <xf numFmtId="2" fontId="0" fillId="0" borderId="24" xfId="0" applyNumberFormat="1" applyBorder="1" applyAlignment="1">
      <alignment horizontal="center"/>
    </xf>
    <xf numFmtId="0" fontId="6" fillId="8" borderId="0" xfId="0" applyFont="1" applyFill="1"/>
    <xf numFmtId="0" fontId="32" fillId="8" borderId="0" xfId="0" applyFont="1" applyFill="1" applyAlignment="1">
      <alignment horizontal="center" vertical="center"/>
    </xf>
    <xf numFmtId="0" fontId="0" fillId="8" borderId="24" xfId="0" applyFill="1" applyBorder="1" applyAlignment="1">
      <alignment horizontal="center" vertical="center"/>
    </xf>
    <xf numFmtId="4" fontId="0" fillId="8" borderId="24" xfId="0" applyNumberFormat="1" applyFill="1" applyBorder="1" applyAlignment="1">
      <alignment horizontal="center" vertical="center"/>
    </xf>
    <xf numFmtId="0" fontId="27" fillId="2" borderId="0" xfId="0" applyFont="1" applyFill="1"/>
    <xf numFmtId="20" fontId="27" fillId="2" borderId="0" xfId="0" applyNumberFormat="1" applyFont="1" applyFill="1" applyAlignment="1">
      <alignment horizontal="right" vertical="center"/>
    </xf>
    <xf numFmtId="0" fontId="27" fillId="2" borderId="0" xfId="0" applyFont="1" applyFill="1" applyAlignment="1">
      <alignment horizontal="right" vertical="center"/>
    </xf>
    <xf numFmtId="0" fontId="27" fillId="2" borderId="0" xfId="0" applyFont="1" applyFill="1" applyAlignment="1">
      <alignment horizontal="left" vertical="center"/>
    </xf>
    <xf numFmtId="1" fontId="0" fillId="2" borderId="0" xfId="0" applyNumberFormat="1" applyFill="1" applyAlignment="1">
      <alignment horizontal="center" vertical="center"/>
    </xf>
    <xf numFmtId="0" fontId="0" fillId="2" borderId="14" xfId="0" applyFill="1" applyBorder="1" applyAlignment="1">
      <alignment vertical="center"/>
    </xf>
    <xf numFmtId="0" fontId="27" fillId="2" borderId="0" xfId="0" applyFont="1" applyFill="1" applyAlignment="1">
      <alignment vertical="center"/>
    </xf>
    <xf numFmtId="0" fontId="0" fillId="2" borderId="0" xfId="0" applyFill="1" applyAlignment="1">
      <alignment vertical="center"/>
    </xf>
    <xf numFmtId="0" fontId="0" fillId="2" borderId="15" xfId="0" applyFill="1" applyBorder="1" applyAlignment="1">
      <alignment vertical="center"/>
    </xf>
    <xf numFmtId="0" fontId="0" fillId="2" borderId="52" xfId="0" applyFill="1" applyBorder="1" applyAlignment="1">
      <alignment horizontal="center" vertical="center"/>
    </xf>
    <xf numFmtId="0" fontId="0" fillId="2" borderId="14" xfId="0" applyFill="1" applyBorder="1" applyAlignment="1">
      <alignment horizontal="center"/>
    </xf>
    <xf numFmtId="0" fontId="0" fillId="2" borderId="15" xfId="0" applyFill="1" applyBorder="1" applyAlignment="1">
      <alignment horizontal="center"/>
    </xf>
    <xf numFmtId="0" fontId="27" fillId="2" borderId="0" xfId="0" applyFont="1" applyFill="1" applyAlignment="1">
      <alignment horizontal="left"/>
    </xf>
    <xf numFmtId="0" fontId="0" fillId="0" borderId="0" xfId="0" applyAlignment="1">
      <alignment horizontal="right" vertical="top" wrapText="1"/>
    </xf>
    <xf numFmtId="0" fontId="0" fillId="2" borderId="0" xfId="0" applyFill="1" applyAlignment="1">
      <alignment wrapText="1"/>
    </xf>
    <xf numFmtId="0" fontId="0" fillId="0" borderId="0" xfId="0" applyAlignment="1">
      <alignment vertical="top" wrapText="1"/>
    </xf>
    <xf numFmtId="4" fontId="0" fillId="2" borderId="2" xfId="0" applyNumberFormat="1" applyFill="1" applyBorder="1" applyAlignment="1">
      <alignment horizontal="center" vertical="center"/>
    </xf>
    <xf numFmtId="3" fontId="0" fillId="2" borderId="0" xfId="0" applyNumberFormat="1" applyFill="1" applyAlignment="1">
      <alignment horizontal="center" vertical="center"/>
    </xf>
    <xf numFmtId="3" fontId="0" fillId="2" borderId="2" xfId="0" applyNumberFormat="1" applyFill="1" applyBorder="1" applyAlignment="1">
      <alignment horizontal="center" vertical="center"/>
    </xf>
    <xf numFmtId="4" fontId="0" fillId="5" borderId="0" xfId="0" applyNumberFormat="1" applyFill="1" applyAlignment="1">
      <alignment horizontal="center" vertical="center"/>
    </xf>
    <xf numFmtId="3" fontId="0" fillId="5" borderId="0" xfId="0" applyNumberFormat="1" applyFill="1" applyAlignment="1">
      <alignment horizontal="center"/>
    </xf>
    <xf numFmtId="3" fontId="0" fillId="0" borderId="24" xfId="0" applyNumberFormat="1" applyBorder="1" applyAlignment="1" applyProtection="1">
      <alignment horizontal="center" vertical="center" wrapText="1"/>
      <protection locked="0"/>
    </xf>
    <xf numFmtId="0" fontId="0" fillId="5" borderId="0" xfId="0" applyFill="1" applyAlignment="1">
      <alignment vertical="top" wrapText="1"/>
    </xf>
    <xf numFmtId="3" fontId="0" fillId="0" borderId="24" xfId="0" applyNumberFormat="1" applyBorder="1" applyAlignment="1" applyProtection="1">
      <alignment horizontal="center" vertical="center"/>
      <protection locked="0"/>
    </xf>
    <xf numFmtId="0" fontId="0" fillId="5" borderId="0" xfId="0" applyFill="1" applyAlignment="1">
      <alignment horizontal="left" vertical="top" wrapText="1"/>
    </xf>
    <xf numFmtId="0" fontId="0" fillId="0" borderId="24" xfId="0" applyBorder="1" applyAlignment="1" applyProtection="1">
      <alignment horizontal="center" vertical="center" wrapText="1"/>
      <protection locked="0"/>
    </xf>
    <xf numFmtId="2" fontId="0" fillId="0" borderId="24" xfId="0" applyNumberFormat="1" applyBorder="1" applyAlignment="1" applyProtection="1">
      <alignment horizontal="center" vertical="center" wrapText="1"/>
      <protection locked="0"/>
    </xf>
    <xf numFmtId="0" fontId="33" fillId="8"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xf numFmtId="0" fontId="0" fillId="0" borderId="19" xfId="0" applyBorder="1" applyAlignment="1" applyProtection="1">
      <alignment vertical="center" wrapText="1"/>
      <protection locked="0"/>
    </xf>
    <xf numFmtId="0" fontId="0" fillId="0" borderId="20" xfId="0" applyBorder="1" applyAlignment="1" applyProtection="1">
      <alignment vertical="center" wrapText="1"/>
      <protection locked="0"/>
    </xf>
    <xf numFmtId="0" fontId="0" fillId="0" borderId="21" xfId="0" applyBorder="1" applyAlignment="1" applyProtection="1">
      <alignment vertical="center" wrapText="1"/>
      <protection locked="0"/>
    </xf>
    <xf numFmtId="0" fontId="0" fillId="2" borderId="0" xfId="0" applyFill="1" applyAlignment="1">
      <alignment wrapText="1"/>
    </xf>
    <xf numFmtId="2" fontId="0" fillId="0" borderId="19" xfId="0" applyNumberFormat="1" applyBorder="1" applyAlignment="1" applyProtection="1">
      <alignment horizontal="left" vertical="center" wrapText="1"/>
      <protection locked="0"/>
    </xf>
    <xf numFmtId="0" fontId="0" fillId="0" borderId="20"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19" xfId="0" applyBorder="1" applyAlignment="1" applyProtection="1">
      <alignment horizontal="left" vertical="center" wrapText="1"/>
      <protection locked="0"/>
    </xf>
    <xf numFmtId="2" fontId="0" fillId="0" borderId="20" xfId="0" applyNumberFormat="1" applyBorder="1" applyAlignment="1" applyProtection="1">
      <alignment horizontal="left" vertical="center" wrapText="1"/>
      <protection locked="0"/>
    </xf>
    <xf numFmtId="2" fontId="0" fillId="0" borderId="21" xfId="0" applyNumberFormat="1" applyBorder="1" applyAlignment="1" applyProtection="1">
      <alignment horizontal="left" vertical="center" wrapText="1"/>
      <protection locked="0"/>
    </xf>
    <xf numFmtId="0" fontId="0" fillId="10" borderId="0" xfId="0" applyFill="1" applyAlignment="1">
      <alignment horizontal="left" wrapText="1"/>
    </xf>
    <xf numFmtId="0" fontId="0" fillId="3" borderId="0" xfId="0" applyFill="1" applyAlignment="1">
      <alignment vertical="center" wrapText="1"/>
    </xf>
    <xf numFmtId="0" fontId="0" fillId="0" borderId="0" xfId="0" applyAlignment="1">
      <alignment vertical="center" wrapText="1"/>
    </xf>
    <xf numFmtId="0" fontId="0" fillId="5" borderId="0" xfId="0" applyFill="1" applyAlignment="1">
      <alignment vertical="top" wrapText="1"/>
    </xf>
    <xf numFmtId="0" fontId="0" fillId="5" borderId="0" xfId="0" applyFill="1" applyAlignment="1">
      <alignment horizontal="left" vertical="top" wrapText="1"/>
    </xf>
    <xf numFmtId="0" fontId="0" fillId="5" borderId="0" xfId="0" applyFill="1" applyAlignment="1">
      <alignment wrapText="1"/>
    </xf>
    <xf numFmtId="0" fontId="0" fillId="0" borderId="50" xfId="0" applyBorder="1" applyAlignment="1" applyProtection="1">
      <alignment wrapText="1"/>
      <protection locked="0"/>
    </xf>
    <xf numFmtId="0" fontId="0" fillId="0" borderId="52" xfId="0" applyBorder="1" applyAlignment="1" applyProtection="1">
      <alignment wrapText="1"/>
      <protection locked="0"/>
    </xf>
    <xf numFmtId="0" fontId="0" fillId="0" borderId="51" xfId="0" applyBorder="1" applyAlignment="1" applyProtection="1">
      <alignment wrapText="1"/>
      <protection locked="0"/>
    </xf>
    <xf numFmtId="0" fontId="0" fillId="0" borderId="85" xfId="0" applyBorder="1" applyAlignment="1" applyProtection="1">
      <alignment wrapText="1"/>
      <protection locked="0"/>
    </xf>
    <xf numFmtId="0" fontId="0" fillId="0" borderId="0" xfId="0" applyAlignment="1" applyProtection="1">
      <alignment wrapText="1"/>
      <protection locked="0"/>
    </xf>
    <xf numFmtId="0" fontId="0" fillId="0" borderId="86" xfId="0" applyBorder="1" applyAlignment="1" applyProtection="1">
      <alignment wrapText="1"/>
      <protection locked="0"/>
    </xf>
    <xf numFmtId="0" fontId="0" fillId="0" borderId="19" xfId="0" applyBorder="1" applyAlignment="1" applyProtection="1">
      <alignment horizontal="left" vertical="top" wrapText="1"/>
      <protection locked="0"/>
    </xf>
    <xf numFmtId="0" fontId="0" fillId="0" borderId="20"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40" xfId="0" applyBorder="1" applyAlignment="1" applyProtection="1">
      <alignment wrapText="1"/>
      <protection locked="0"/>
    </xf>
    <xf numFmtId="0" fontId="0" fillId="0" borderId="2" xfId="0" applyBorder="1" applyAlignment="1" applyProtection="1">
      <alignment wrapText="1"/>
      <protection locked="0"/>
    </xf>
    <xf numFmtId="0" fontId="0" fillId="0" borderId="41" xfId="0" applyBorder="1" applyAlignment="1" applyProtection="1">
      <alignment wrapText="1"/>
      <protection locked="0"/>
    </xf>
    <xf numFmtId="0" fontId="0" fillId="8" borderId="0" xfId="0" applyFill="1"/>
    <xf numFmtId="0" fontId="0" fillId="0" borderId="19"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19"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13" fillId="2" borderId="0" xfId="0" applyFont="1" applyFill="1" applyAlignment="1">
      <alignment wrapText="1"/>
    </xf>
    <xf numFmtId="0" fontId="0" fillId="10" borderId="0" xfId="0" applyFill="1" applyAlignment="1">
      <alignment wrapText="1"/>
    </xf>
    <xf numFmtId="0" fontId="7" fillId="0" borderId="19" xfId="0" applyFont="1" applyBorder="1" applyAlignment="1" applyProtection="1">
      <alignment horizontal="center" vertical="center" wrapText="1"/>
      <protection locked="0"/>
    </xf>
    <xf numFmtId="0" fontId="7" fillId="0" borderId="20" xfId="0" applyFont="1" applyBorder="1" applyAlignment="1" applyProtection="1">
      <alignment horizontal="center" vertical="center" wrapText="1"/>
      <protection locked="0"/>
    </xf>
    <xf numFmtId="0" fontId="7" fillId="0" borderId="21" xfId="0" applyFont="1" applyBorder="1" applyAlignment="1" applyProtection="1">
      <alignment horizontal="center" vertical="center" wrapText="1"/>
      <protection locked="0"/>
    </xf>
    <xf numFmtId="49" fontId="0" fillId="0" borderId="19" xfId="0" applyNumberFormat="1" applyBorder="1" applyAlignment="1" applyProtection="1">
      <alignment horizontal="left" vertical="top" wrapText="1"/>
      <protection locked="0"/>
    </xf>
    <xf numFmtId="0" fontId="0" fillId="0" borderId="40"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0" fillId="0" borderId="50" xfId="0" applyBorder="1" applyAlignment="1" applyProtection="1">
      <alignment horizontal="center" vertical="center" wrapText="1"/>
      <protection locked="0"/>
    </xf>
    <xf numFmtId="0" fontId="0" fillId="0" borderId="52" xfId="0" applyBorder="1" applyAlignment="1" applyProtection="1">
      <alignment horizontal="center" vertical="center" wrapText="1"/>
      <protection locked="0"/>
    </xf>
    <xf numFmtId="0" fontId="0" fillId="0" borderId="51" xfId="0" applyBorder="1" applyAlignment="1" applyProtection="1">
      <alignment horizontal="center" vertical="center" wrapText="1"/>
      <protection locked="0"/>
    </xf>
    <xf numFmtId="49" fontId="0" fillId="2" borderId="0" xfId="0" applyNumberFormat="1" applyFill="1" applyAlignment="1">
      <alignment wrapText="1"/>
    </xf>
    <xf numFmtId="49" fontId="0" fillId="2" borderId="52" xfId="0" applyNumberFormat="1" applyFill="1" applyBorder="1" applyAlignment="1">
      <alignment wrapText="1"/>
    </xf>
    <xf numFmtId="0" fontId="0" fillId="3" borderId="0" xfId="0" applyFill="1" applyAlignment="1">
      <alignment horizontal="left" wrapText="1"/>
    </xf>
    <xf numFmtId="0" fontId="0" fillId="8" borderId="0" xfId="0" applyFill="1" applyAlignment="1">
      <alignment horizontal="left" vertical="top" wrapText="1"/>
    </xf>
    <xf numFmtId="0" fontId="0" fillId="8" borderId="0" xfId="0" applyFill="1" applyAlignment="1">
      <alignment wrapText="1"/>
    </xf>
    <xf numFmtId="0" fontId="0" fillId="0" borderId="0" xfId="0" applyAlignment="1">
      <alignment wrapText="1"/>
    </xf>
    <xf numFmtId="0" fontId="0" fillId="0" borderId="19" xfId="0" applyBorder="1" applyAlignment="1" applyProtection="1">
      <alignment horizontal="left" wrapText="1"/>
      <protection locked="0"/>
    </xf>
    <xf numFmtId="0" fontId="0" fillId="0" borderId="20" xfId="0" applyBorder="1" applyAlignment="1" applyProtection="1">
      <alignment horizontal="left" wrapText="1"/>
      <protection locked="0"/>
    </xf>
    <xf numFmtId="0" fontId="0" fillId="0" borderId="21" xfId="0" applyBorder="1" applyAlignment="1" applyProtection="1">
      <alignment horizontal="left" wrapText="1"/>
      <protection locked="0"/>
    </xf>
    <xf numFmtId="0" fontId="0" fillId="0" borderId="24" xfId="0" applyBorder="1" applyAlignment="1" applyProtection="1">
      <alignment horizontal="center" vertical="center"/>
      <protection locked="0"/>
    </xf>
    <xf numFmtId="0" fontId="0" fillId="8" borderId="52" xfId="0" applyFill="1" applyBorder="1" applyAlignment="1">
      <alignment wrapText="1"/>
    </xf>
    <xf numFmtId="0" fontId="0" fillId="0" borderId="52" xfId="0" applyBorder="1" applyAlignment="1">
      <alignment wrapText="1"/>
    </xf>
    <xf numFmtId="0" fontId="0" fillId="0" borderId="19" xfId="0" applyBorder="1" applyAlignment="1" applyProtection="1">
      <alignment wrapText="1"/>
      <protection locked="0"/>
    </xf>
    <xf numFmtId="0" fontId="0" fillId="0" borderId="20" xfId="0" applyBorder="1" applyAlignment="1" applyProtection="1">
      <alignment wrapText="1"/>
      <protection locked="0"/>
    </xf>
    <xf numFmtId="0" fontId="0" fillId="0" borderId="21" xfId="0" applyBorder="1" applyAlignment="1" applyProtection="1">
      <alignment wrapText="1"/>
      <protection locked="0"/>
    </xf>
    <xf numFmtId="0" fontId="0" fillId="0" borderId="20"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0" fillId="0" borderId="19" xfId="0" applyBorder="1" applyAlignment="1" applyProtection="1">
      <alignment vertical="top" wrapText="1"/>
      <protection locked="0"/>
    </xf>
    <xf numFmtId="0" fontId="0" fillId="0" borderId="20" xfId="0" applyBorder="1" applyAlignment="1" applyProtection="1">
      <alignment vertical="top" wrapText="1"/>
      <protection locked="0"/>
    </xf>
    <xf numFmtId="0" fontId="0" fillId="0" borderId="21" xfId="0" applyBorder="1" applyAlignment="1" applyProtection="1">
      <alignment vertical="top" wrapText="1"/>
      <protection locked="0"/>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8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86" xfId="0" applyBorder="1" applyAlignment="1" applyProtection="1">
      <alignment horizontal="left" vertical="top" wrapText="1"/>
      <protection locked="0"/>
    </xf>
    <xf numFmtId="0" fontId="0" fillId="0" borderId="40"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41" xfId="0" applyBorder="1" applyAlignment="1" applyProtection="1">
      <alignment horizontal="left" vertical="top" wrapText="1"/>
      <protection locked="0"/>
    </xf>
    <xf numFmtId="0" fontId="0" fillId="0" borderId="50" xfId="0" applyBorder="1" applyAlignment="1" applyProtection="1">
      <alignment horizontal="left" vertical="top" wrapText="1"/>
      <protection locked="0"/>
    </xf>
    <xf numFmtId="0" fontId="0" fillId="0" borderId="52" xfId="0" applyBorder="1" applyAlignment="1" applyProtection="1">
      <alignment horizontal="left" vertical="top" wrapText="1"/>
      <protection locked="0"/>
    </xf>
    <xf numFmtId="0" fontId="0" fillId="0" borderId="51" xfId="0" applyBorder="1" applyAlignment="1" applyProtection="1">
      <alignment horizontal="left" vertical="top" wrapText="1"/>
      <protection locked="0"/>
    </xf>
    <xf numFmtId="0" fontId="0" fillId="0" borderId="40" xfId="0" applyBorder="1" applyAlignment="1" applyProtection="1">
      <alignment vertical="top" wrapText="1"/>
      <protection locked="0"/>
    </xf>
    <xf numFmtId="0" fontId="0" fillId="0" borderId="2" xfId="0" applyBorder="1" applyAlignment="1" applyProtection="1">
      <alignment vertical="top" wrapText="1"/>
      <protection locked="0"/>
    </xf>
    <xf numFmtId="0" fontId="0" fillId="0" borderId="41" xfId="0" applyBorder="1" applyAlignment="1" applyProtection="1">
      <alignment vertical="top" wrapText="1"/>
      <protection locked="0"/>
    </xf>
    <xf numFmtId="0" fontId="0" fillId="0" borderId="85" xfId="0" applyBorder="1" applyAlignment="1" applyProtection="1">
      <alignment vertical="top" wrapText="1"/>
      <protection locked="0"/>
    </xf>
    <xf numFmtId="0" fontId="0" fillId="0" borderId="0" xfId="0" applyAlignment="1" applyProtection="1">
      <alignment vertical="top" wrapText="1"/>
      <protection locked="0"/>
    </xf>
    <xf numFmtId="0" fontId="0" fillId="0" borderId="86" xfId="0" applyBorder="1" applyAlignment="1" applyProtection="1">
      <alignment vertical="top" wrapText="1"/>
      <protection locked="0"/>
    </xf>
    <xf numFmtId="0" fontId="0" fillId="0" borderId="50" xfId="0" applyBorder="1" applyAlignment="1" applyProtection="1">
      <alignment vertical="top" wrapText="1"/>
      <protection locked="0"/>
    </xf>
    <xf numFmtId="0" fontId="0" fillId="0" borderId="52" xfId="0" applyBorder="1" applyAlignment="1" applyProtection="1">
      <alignment vertical="top" wrapText="1"/>
      <protection locked="0"/>
    </xf>
    <xf numFmtId="0" fontId="0" fillId="0" borderId="51" xfId="0" applyBorder="1" applyAlignment="1" applyProtection="1">
      <alignment vertical="top" wrapText="1"/>
      <protection locked="0"/>
    </xf>
    <xf numFmtId="0" fontId="0" fillId="8" borderId="0" xfId="0" applyFill="1" applyAlignment="1">
      <alignment vertical="top" wrapText="1"/>
    </xf>
    <xf numFmtId="0" fontId="0" fillId="0" borderId="19" xfId="0" applyBorder="1" applyAlignment="1">
      <alignment wrapText="1"/>
    </xf>
    <xf numFmtId="0" fontId="0" fillId="0" borderId="21" xfId="0" applyBorder="1" applyAlignment="1">
      <alignment wrapText="1"/>
    </xf>
    <xf numFmtId="0" fontId="18" fillId="6" borderId="85" xfId="0" applyFont="1" applyFill="1" applyBorder="1" applyAlignment="1">
      <alignment wrapText="1"/>
    </xf>
    <xf numFmtId="0" fontId="18" fillId="6" borderId="86" xfId="0" applyFont="1" applyFill="1" applyBorder="1" applyAlignment="1">
      <alignment wrapText="1"/>
    </xf>
    <xf numFmtId="0" fontId="0" fillId="6" borderId="85" xfId="0" applyFill="1" applyBorder="1" applyAlignment="1">
      <alignment wrapText="1"/>
    </xf>
    <xf numFmtId="0" fontId="0" fillId="6" borderId="86" xfId="0" applyFill="1" applyBorder="1" applyAlignment="1">
      <alignment wrapText="1"/>
    </xf>
    <xf numFmtId="0" fontId="0" fillId="0" borderId="40" xfId="0" applyBorder="1" applyAlignment="1">
      <alignment vertical="top" wrapText="1"/>
    </xf>
    <xf numFmtId="0" fontId="0" fillId="0" borderId="50" xfId="0" applyBorder="1" applyAlignment="1">
      <alignment vertical="top" wrapText="1"/>
    </xf>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6" borderId="40" xfId="0" applyFill="1" applyBorder="1" applyAlignment="1">
      <alignment wrapText="1"/>
    </xf>
    <xf numFmtId="0" fontId="0" fillId="6" borderId="41" xfId="0" applyFill="1" applyBorder="1" applyAlignment="1">
      <alignment wrapText="1"/>
    </xf>
    <xf numFmtId="0" fontId="18" fillId="6" borderId="50" xfId="0" applyFont="1" applyFill="1" applyBorder="1" applyAlignment="1">
      <alignment wrapText="1"/>
    </xf>
    <xf numFmtId="0" fontId="18" fillId="6" borderId="51" xfId="0" applyFont="1" applyFill="1" applyBorder="1" applyAlignment="1">
      <alignment wrapText="1"/>
    </xf>
    <xf numFmtId="0" fontId="0" fillId="0" borderId="40" xfId="0" applyBorder="1" applyAlignment="1">
      <alignment horizontal="left" vertical="center" wrapText="1"/>
    </xf>
    <xf numFmtId="0" fontId="0" fillId="0" borderId="50" xfId="0" applyBorder="1" applyAlignment="1">
      <alignment horizontal="left" vertical="center" wrapText="1"/>
    </xf>
    <xf numFmtId="0" fontId="0" fillId="0" borderId="85" xfId="0" applyBorder="1" applyAlignment="1">
      <alignment wrapText="1"/>
    </xf>
    <xf numFmtId="0" fontId="0" fillId="0" borderId="86" xfId="0" applyBorder="1" applyAlignment="1">
      <alignment wrapText="1"/>
    </xf>
    <xf numFmtId="0" fontId="0" fillId="0" borderId="50" xfId="0" applyBorder="1" applyAlignment="1">
      <alignment wrapText="1"/>
    </xf>
    <xf numFmtId="0" fontId="0" fillId="0" borderId="51" xfId="0" applyBorder="1" applyAlignment="1">
      <alignment wrapText="1"/>
    </xf>
    <xf numFmtId="0" fontId="0" fillId="0" borderId="85" xfId="0" applyBorder="1" applyAlignment="1">
      <alignment horizontal="left" vertical="center" wrapText="1"/>
    </xf>
    <xf numFmtId="0" fontId="0" fillId="0" borderId="19" xfId="0" applyBorder="1" applyAlignment="1">
      <alignment vertical="center" wrapText="1"/>
    </xf>
    <xf numFmtId="0" fontId="0" fillId="0" borderId="21" xfId="0" applyBorder="1" applyAlignment="1">
      <alignment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4" borderId="24" xfId="0" applyFill="1" applyBorder="1" applyAlignment="1">
      <alignment horizontal="center" vertical="center" wrapText="1"/>
    </xf>
    <xf numFmtId="0" fontId="0" fillId="6" borderId="19" xfId="0" applyFill="1" applyBorder="1" applyAlignment="1">
      <alignment horizontal="center" vertical="center" wrapText="1"/>
    </xf>
    <xf numFmtId="0" fontId="0" fillId="6" borderId="20" xfId="0" applyFill="1" applyBorder="1" applyAlignment="1">
      <alignment horizontal="center" vertical="center" wrapText="1"/>
    </xf>
    <xf numFmtId="0" fontId="0" fillId="6" borderId="21" xfId="0" applyFill="1" applyBorder="1" applyAlignment="1">
      <alignment horizontal="center" vertical="center" wrapText="1"/>
    </xf>
    <xf numFmtId="0" fontId="0" fillId="2" borderId="24" xfId="0" applyFill="1" applyBorder="1" applyAlignment="1">
      <alignment horizontal="center" vertical="center" wrapText="1"/>
    </xf>
    <xf numFmtId="0" fontId="0" fillId="7" borderId="24" xfId="0" applyFill="1" applyBorder="1" applyAlignment="1">
      <alignment horizontal="center" vertical="center" wrapText="1"/>
    </xf>
    <xf numFmtId="0" fontId="0" fillId="9" borderId="24" xfId="0" applyFill="1" applyBorder="1" applyAlignment="1">
      <alignment horizontal="center" vertical="center" wrapText="1"/>
    </xf>
    <xf numFmtId="0" fontId="0" fillId="11" borderId="24" xfId="0" applyFill="1" applyBorder="1" applyAlignment="1">
      <alignment horizontal="center" vertical="center" wrapText="1"/>
    </xf>
    <xf numFmtId="0" fontId="0" fillId="10" borderId="24" xfId="0" applyFill="1" applyBorder="1" applyAlignment="1">
      <alignment horizontal="center" vertical="center" wrapText="1"/>
    </xf>
  </cellXfs>
  <cellStyles count="2">
    <cellStyle name="Hyperlink" xfId="1" builtinId="8"/>
    <cellStyle name="Normal" xfId="0" builtinId="0"/>
  </cellStyles>
  <dxfs count="46">
    <dxf>
      <fill>
        <patternFill>
          <bgColor rgb="FFF8696B"/>
        </patternFill>
      </fill>
    </dxf>
    <dxf>
      <fill>
        <patternFill>
          <bgColor rgb="FFFFEB84"/>
        </patternFill>
      </fill>
    </dxf>
    <dxf>
      <fill>
        <patternFill>
          <bgColor rgb="FF63BE7B"/>
        </patternFill>
      </fill>
    </dxf>
    <dxf>
      <font>
        <color theme="1"/>
      </font>
      <fill>
        <patternFill patternType="none">
          <bgColor auto="1"/>
        </patternFill>
      </fill>
    </dxf>
    <dxf>
      <font>
        <color theme="1"/>
      </font>
      <fill>
        <patternFill patternType="none">
          <bgColor auto="1"/>
        </patternFill>
      </fill>
    </dxf>
    <dxf>
      <font>
        <color theme="1"/>
      </font>
      <fill>
        <patternFill patternType="none">
          <bgColor auto="1"/>
        </patternFill>
      </fill>
    </dxf>
    <dxf>
      <font>
        <color theme="1"/>
      </font>
      <fill>
        <patternFill patternType="none">
          <bgColor auto="1"/>
        </patternFill>
      </fill>
    </dxf>
    <dxf>
      <font>
        <color theme="1"/>
      </font>
      <fill>
        <patternFill patternType="none">
          <bgColor auto="1"/>
        </patternFill>
      </fill>
    </dxf>
    <dxf>
      <font>
        <color auto="1"/>
      </font>
      <fill>
        <patternFill patternType="none">
          <bgColor auto="1"/>
        </patternFill>
      </fill>
    </dxf>
    <dxf>
      <font>
        <color theme="0"/>
      </font>
      <fill>
        <patternFill>
          <bgColor rgb="FFFF0000"/>
        </patternFill>
      </fill>
    </dxf>
    <dxf>
      <fill>
        <patternFill>
          <bgColor rgb="FFF8696B"/>
        </patternFill>
      </fill>
    </dxf>
    <dxf>
      <fill>
        <patternFill>
          <bgColor rgb="FFFFEB84"/>
        </patternFill>
      </fill>
    </dxf>
    <dxf>
      <fill>
        <patternFill>
          <bgColor rgb="FF63BE7B"/>
        </patternFill>
      </fill>
    </dxf>
    <dxf>
      <font>
        <color auto="1"/>
      </font>
      <fill>
        <patternFill patternType="none">
          <bgColor auto="1"/>
        </patternFill>
      </fill>
    </dxf>
    <dxf>
      <font>
        <color theme="0"/>
      </font>
      <fill>
        <patternFill>
          <bgColor rgb="FFFF0000"/>
        </patternFill>
      </fill>
    </dxf>
    <dxf>
      <fill>
        <patternFill>
          <bgColor rgb="FFF8696B"/>
        </patternFill>
      </fill>
    </dxf>
    <dxf>
      <fill>
        <patternFill>
          <bgColor rgb="FFFFEB84"/>
        </patternFill>
      </fill>
    </dxf>
    <dxf>
      <fill>
        <patternFill>
          <bgColor rgb="FF63BE7B"/>
        </patternFill>
      </fill>
    </dxf>
    <dxf>
      <font>
        <color theme="0"/>
      </font>
      <fill>
        <patternFill>
          <bgColor rgb="FFFF0000"/>
        </patternFill>
      </fill>
    </dxf>
    <dxf>
      <fill>
        <patternFill>
          <bgColor rgb="FFF8696B"/>
        </patternFill>
      </fill>
    </dxf>
    <dxf>
      <fill>
        <patternFill>
          <bgColor rgb="FFFFEB84"/>
        </patternFill>
      </fill>
    </dxf>
    <dxf>
      <fill>
        <patternFill>
          <bgColor rgb="FF63BE7B"/>
        </patternFill>
      </fill>
    </dxf>
    <dxf>
      <fill>
        <patternFill>
          <bgColor rgb="FFF8696B"/>
        </patternFill>
      </fill>
    </dxf>
    <dxf>
      <fill>
        <patternFill>
          <bgColor rgb="FFFFEB84"/>
        </patternFill>
      </fill>
    </dxf>
    <dxf>
      <fill>
        <patternFill>
          <bgColor rgb="FF63BE7B"/>
        </patternFill>
      </fill>
    </dxf>
    <dxf>
      <font>
        <color theme="0"/>
      </font>
      <fill>
        <patternFill>
          <bgColor rgb="FFFF0000"/>
        </patternFill>
      </fill>
    </dxf>
    <dxf>
      <fill>
        <patternFill>
          <bgColor rgb="FFF8696B"/>
        </patternFill>
      </fill>
    </dxf>
    <dxf>
      <fill>
        <patternFill>
          <bgColor rgb="FFFFEB84"/>
        </patternFill>
      </fill>
    </dxf>
    <dxf>
      <fill>
        <patternFill>
          <bgColor rgb="FF63BE7B"/>
        </patternFill>
      </fill>
    </dxf>
    <dxf>
      <font>
        <color theme="1"/>
      </font>
      <fill>
        <patternFill patternType="none">
          <bgColor auto="1"/>
        </patternFill>
      </fill>
    </dxf>
    <dxf>
      <fill>
        <patternFill>
          <bgColor rgb="FFF8696B"/>
        </patternFill>
      </fill>
    </dxf>
    <dxf>
      <fill>
        <patternFill>
          <bgColor rgb="FFFFEB84"/>
        </patternFill>
      </fill>
    </dxf>
    <dxf>
      <fill>
        <patternFill>
          <bgColor rgb="FF63BE7B"/>
        </patternFill>
      </fill>
    </dxf>
    <dxf>
      <font>
        <color theme="1"/>
      </font>
      <fill>
        <patternFill patternType="none">
          <bgColor auto="1"/>
        </patternFill>
      </fill>
    </dxf>
    <dxf>
      <fill>
        <patternFill>
          <bgColor rgb="FFF8696B"/>
        </patternFill>
      </fill>
    </dxf>
    <dxf>
      <fill>
        <patternFill>
          <bgColor rgb="FFFFEB84"/>
        </patternFill>
      </fill>
    </dxf>
    <dxf>
      <fill>
        <patternFill>
          <bgColor rgb="FF63BE7B"/>
        </patternFill>
      </fill>
    </dxf>
    <dxf>
      <font>
        <color theme="1"/>
      </font>
      <fill>
        <patternFill patternType="none">
          <bgColor auto="1"/>
        </patternFill>
      </fill>
    </dxf>
    <dxf>
      <fill>
        <patternFill>
          <bgColor rgb="FFF8696B"/>
        </patternFill>
      </fill>
    </dxf>
    <dxf>
      <fill>
        <patternFill>
          <bgColor rgb="FFFFEB84"/>
        </patternFill>
      </fill>
    </dxf>
    <dxf>
      <fill>
        <patternFill>
          <bgColor rgb="FF63BE7B"/>
        </patternFill>
      </fill>
    </dxf>
    <dxf>
      <font>
        <color theme="1"/>
      </font>
      <fill>
        <patternFill>
          <bgColor theme="0"/>
        </patternFill>
      </fill>
    </dxf>
    <dxf>
      <fill>
        <patternFill>
          <bgColor rgb="FF63BE7B"/>
        </patternFill>
      </fill>
    </dxf>
    <dxf>
      <fill>
        <patternFill>
          <bgColor rgb="FFF8696B"/>
        </patternFill>
      </fill>
    </dxf>
    <dxf>
      <fill>
        <patternFill>
          <bgColor rgb="FFFFEB84"/>
        </patternFill>
      </fill>
    </dxf>
    <dxf>
      <font>
        <color theme="1"/>
      </font>
      <fill>
        <patternFill patternType="none">
          <bgColor auto="1"/>
        </patternFill>
      </fill>
    </dxf>
  </dxfs>
  <tableStyles count="0" defaultTableStyle="TableStyleMedium2" defaultPivotStyle="PivotStyleLight16"/>
  <colors>
    <mruColors>
      <color rgb="FFCC3399"/>
      <color rgb="FFA92969"/>
      <color rgb="FFD66C94"/>
      <color rgb="FFFF66FF"/>
      <color rgb="FFFFFF66"/>
      <color rgb="FFFFFF99"/>
      <color rgb="FFFFFFCC"/>
      <color rgb="FFDCCD72"/>
      <color rgb="FFB27AAB"/>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Human Impact</a:t>
            </a:r>
          </a:p>
        </c:rich>
      </c:tx>
      <c:layout>
        <c:manualLayout>
          <c:xMode val="edge"/>
          <c:yMode val="edge"/>
          <c:x val="0.44199232112204995"/>
          <c:y val="1.8102300054023301E-2"/>
        </c:manualLayout>
      </c:layout>
      <c:overlay val="0"/>
    </c:title>
    <c:autoTitleDeleted val="0"/>
    <c:plotArea>
      <c:layout/>
      <c:barChart>
        <c:barDir val="col"/>
        <c:grouping val="clustered"/>
        <c:varyColors val="0"/>
        <c:ser>
          <c:idx val="3"/>
          <c:order val="0"/>
          <c:tx>
            <c:strRef>
              <c:f>Severity!$A$153</c:f>
              <c:strCache>
                <c:ptCount val="1"/>
                <c:pt idx="0">
                  <c:v>Human Impact</c:v>
                </c:pt>
              </c:strCache>
            </c:strRef>
          </c:tx>
          <c:spPr>
            <a:scene3d>
              <a:camera prst="orthographicFront"/>
              <a:lightRig rig="threePt" dir="t"/>
            </a:scene3d>
            <a:sp3d prstMaterial="dkEdg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Severity!$B$152:$U$152</c:f>
              <c:strCache>
                <c:ptCount val="20"/>
                <c:pt idx="0">
                  <c:v>Active Shooter</c:v>
                </c:pt>
                <c:pt idx="1">
                  <c:v>Biological Terrorism</c:v>
                </c:pt>
                <c:pt idx="2">
                  <c:v>Chemical Terrorism</c:v>
                </c:pt>
                <c:pt idx="3">
                  <c:v>Civil Disturbance</c:v>
                </c:pt>
                <c:pt idx="4">
                  <c:v>Coastal Storm</c:v>
                </c:pt>
                <c:pt idx="5">
                  <c:v>Conventional Explosive</c:v>
                </c:pt>
                <c:pt idx="6">
                  <c:v>Cyber Terrorism</c:v>
                </c:pt>
                <c:pt idx="7">
                  <c:v>Drought</c:v>
                </c:pt>
                <c:pt idx="8">
                  <c:v>Earthquake</c:v>
                </c:pt>
                <c:pt idx="9">
                  <c:v>Fire</c:v>
                </c:pt>
                <c:pt idx="10">
                  <c:v>Flood</c:v>
                </c:pt>
                <c:pt idx="11">
                  <c:v>Hazardous Materials Release</c:v>
                </c:pt>
                <c:pt idx="12">
                  <c:v>Localized Infectious Disease</c:v>
                </c:pt>
                <c:pt idx="13">
                  <c:v>Nuclear Facility Accident</c:v>
                </c:pt>
                <c:pt idx="14">
                  <c:v>Pandemic</c:v>
                </c:pt>
                <c:pt idx="15">
                  <c:v>Radiation Dispersal Device</c:v>
                </c:pt>
                <c:pt idx="16">
                  <c:v>Temperature Extremes</c:v>
                </c:pt>
                <c:pt idx="17">
                  <c:v>Tornado</c:v>
                </c:pt>
                <c:pt idx="18">
                  <c:v>Utility Interruption</c:v>
                </c:pt>
                <c:pt idx="19">
                  <c:v>Winter Storm</c:v>
                </c:pt>
              </c:strCache>
            </c:strRef>
          </c:cat>
          <c:val>
            <c:numRef>
              <c:f>Severity!$B$153:$U$153</c:f>
              <c:numCache>
                <c:formatCode>0.00</c:formatCode>
                <c:ptCount val="20"/>
                <c:pt idx="0">
                  <c:v>0</c:v>
                </c:pt>
                <c:pt idx="1">
                  <c:v>3.3333333333333335</c:v>
                </c:pt>
                <c:pt idx="2">
                  <c:v>2</c:v>
                </c:pt>
                <c:pt idx="3">
                  <c:v>1.8333333333333333</c:v>
                </c:pt>
                <c:pt idx="4">
                  <c:v>1.4166666666666667</c:v>
                </c:pt>
                <c:pt idx="5">
                  <c:v>1.4166666666666667</c:v>
                </c:pt>
                <c:pt idx="6">
                  <c:v>0.5</c:v>
                </c:pt>
                <c:pt idx="7">
                  <c:v>1.1666666666666667</c:v>
                </c:pt>
                <c:pt idx="8">
                  <c:v>0.33333333333333331</c:v>
                </c:pt>
                <c:pt idx="9">
                  <c:v>0.33333333333333331</c:v>
                </c:pt>
                <c:pt idx="10">
                  <c:v>1.0833333333333333</c:v>
                </c:pt>
                <c:pt idx="11">
                  <c:v>1.3333333333333333</c:v>
                </c:pt>
                <c:pt idx="12">
                  <c:v>2</c:v>
                </c:pt>
                <c:pt idx="13">
                  <c:v>2.3333333333333335</c:v>
                </c:pt>
                <c:pt idx="14">
                  <c:v>3.25</c:v>
                </c:pt>
                <c:pt idx="15">
                  <c:v>2.1666666666666665</c:v>
                </c:pt>
                <c:pt idx="16">
                  <c:v>1</c:v>
                </c:pt>
                <c:pt idx="17">
                  <c:v>0.83333333333333337</c:v>
                </c:pt>
                <c:pt idx="18">
                  <c:v>1.25</c:v>
                </c:pt>
                <c:pt idx="19">
                  <c:v>1</c:v>
                </c:pt>
              </c:numCache>
            </c:numRef>
          </c:val>
          <c:extLst>
            <c:ext xmlns:c16="http://schemas.microsoft.com/office/drawing/2014/chart" uri="{C3380CC4-5D6E-409C-BE32-E72D297353CC}">
              <c16:uniqueId val="{00000000-FBCF-43D8-8CC2-90782BE6FFDB}"/>
            </c:ext>
          </c:extLst>
        </c:ser>
        <c:dLbls>
          <c:showLegendKey val="0"/>
          <c:showVal val="1"/>
          <c:showCatName val="0"/>
          <c:showSerName val="0"/>
          <c:showPercent val="0"/>
          <c:showBubbleSize val="0"/>
        </c:dLbls>
        <c:gapWidth val="150"/>
        <c:axId val="94529024"/>
        <c:axId val="94530944"/>
      </c:barChart>
      <c:catAx>
        <c:axId val="94529024"/>
        <c:scaling>
          <c:orientation val="minMax"/>
        </c:scaling>
        <c:delete val="0"/>
        <c:axPos val="b"/>
        <c:title>
          <c:tx>
            <c:rich>
              <a:bodyPr/>
              <a:lstStyle/>
              <a:p>
                <a:pPr>
                  <a:defRPr b="0">
                    <a:latin typeface="+mj-lt"/>
                  </a:defRPr>
                </a:pPr>
                <a:r>
                  <a:rPr lang="en-US" sz="1600" b="0">
                    <a:latin typeface="+mj-lt"/>
                  </a:rPr>
                  <a:t>Hazard</a:t>
                </a:r>
              </a:p>
            </c:rich>
          </c:tx>
          <c:layout>
            <c:manualLayout>
              <c:xMode val="edge"/>
              <c:yMode val="edge"/>
              <c:x val="0.43549307562041417"/>
              <c:y val="0.92043715846994534"/>
            </c:manualLayout>
          </c:layout>
          <c:overlay val="0"/>
        </c:title>
        <c:numFmt formatCode="General" sourceLinked="1"/>
        <c:majorTickMark val="out"/>
        <c:minorTickMark val="none"/>
        <c:tickLblPos val="nextTo"/>
        <c:spPr>
          <a:ln>
            <a:solidFill>
              <a:schemeClr val="tx1"/>
            </a:solidFill>
          </a:ln>
        </c:spPr>
        <c:crossAx val="94530944"/>
        <c:crosses val="autoZero"/>
        <c:auto val="1"/>
        <c:lblAlgn val="ctr"/>
        <c:lblOffset val="100"/>
        <c:noMultiLvlLbl val="0"/>
      </c:catAx>
      <c:valAx>
        <c:axId val="94530944"/>
        <c:scaling>
          <c:orientation val="minMax"/>
        </c:scaling>
        <c:delete val="0"/>
        <c:axPos val="l"/>
        <c:majorGridlines/>
        <c:title>
          <c:tx>
            <c:rich>
              <a:bodyPr rot="-5400000" vert="horz"/>
              <a:lstStyle/>
              <a:p>
                <a:pPr>
                  <a:defRPr sz="1600" b="0">
                    <a:latin typeface="+mj-lt"/>
                  </a:defRPr>
                </a:pPr>
                <a:r>
                  <a:rPr lang="en-US" sz="1600" b="0">
                    <a:latin typeface="+mj-lt"/>
                  </a:rPr>
                  <a:t>Severity</a:t>
                </a:r>
              </a:p>
            </c:rich>
          </c:tx>
          <c:layout>
            <c:manualLayout>
              <c:xMode val="edge"/>
              <c:yMode val="edge"/>
              <c:x val="1.1646970752609171E-2"/>
              <c:y val="0.28418895725466009"/>
            </c:manualLayout>
          </c:layout>
          <c:overlay val="0"/>
        </c:title>
        <c:numFmt formatCode="#,##0" sourceLinked="0"/>
        <c:majorTickMark val="out"/>
        <c:minorTickMark val="none"/>
        <c:tickLblPos val="nextTo"/>
        <c:spPr>
          <a:ln>
            <a:solidFill>
              <a:schemeClr val="tx1"/>
            </a:solidFill>
          </a:ln>
        </c:spPr>
        <c:crossAx val="9452902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Healthcare Service Impact</a:t>
            </a:r>
          </a:p>
        </c:rich>
      </c:tx>
      <c:layout>
        <c:manualLayout>
          <c:xMode val="edge"/>
          <c:yMode val="edge"/>
          <c:x val="0.36379123178310274"/>
          <c:y val="1.8102300054023301E-2"/>
        </c:manualLayout>
      </c:layout>
      <c:overlay val="0"/>
    </c:title>
    <c:autoTitleDeleted val="0"/>
    <c:plotArea>
      <c:layout/>
      <c:barChart>
        <c:barDir val="col"/>
        <c:grouping val="clustered"/>
        <c:varyColors val="0"/>
        <c:ser>
          <c:idx val="3"/>
          <c:order val="0"/>
          <c:tx>
            <c:strRef>
              <c:f>Severity!$A$154</c:f>
              <c:strCache>
                <c:ptCount val="1"/>
                <c:pt idx="0">
                  <c:v>Healthcare Service Impact</c:v>
                </c:pt>
              </c:strCache>
            </c:strRef>
          </c:tx>
          <c:spPr>
            <a:scene3d>
              <a:camera prst="orthographicFront"/>
              <a:lightRig rig="threePt" dir="t"/>
            </a:scene3d>
            <a:sp3d prstMaterial="dkEdg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Severity!$B$152:$U$152</c:f>
              <c:strCache>
                <c:ptCount val="20"/>
                <c:pt idx="0">
                  <c:v>Active Shooter</c:v>
                </c:pt>
                <c:pt idx="1">
                  <c:v>Biological Terrorism</c:v>
                </c:pt>
                <c:pt idx="2">
                  <c:v>Chemical Terrorism</c:v>
                </c:pt>
                <c:pt idx="3">
                  <c:v>Civil Disturbance</c:v>
                </c:pt>
                <c:pt idx="4">
                  <c:v>Coastal Storm</c:v>
                </c:pt>
                <c:pt idx="5">
                  <c:v>Conventional Explosive</c:v>
                </c:pt>
                <c:pt idx="6">
                  <c:v>Cyber Terrorism</c:v>
                </c:pt>
                <c:pt idx="7">
                  <c:v>Drought</c:v>
                </c:pt>
                <c:pt idx="8">
                  <c:v>Earthquake</c:v>
                </c:pt>
                <c:pt idx="9">
                  <c:v>Fire</c:v>
                </c:pt>
                <c:pt idx="10">
                  <c:v>Flood</c:v>
                </c:pt>
                <c:pt idx="11">
                  <c:v>Hazardous Materials Release</c:v>
                </c:pt>
                <c:pt idx="12">
                  <c:v>Localized Infectious Disease</c:v>
                </c:pt>
                <c:pt idx="13">
                  <c:v>Nuclear Facility Accident</c:v>
                </c:pt>
                <c:pt idx="14">
                  <c:v>Pandemic</c:v>
                </c:pt>
                <c:pt idx="15">
                  <c:v>Radiation Dispersal Device</c:v>
                </c:pt>
                <c:pt idx="16">
                  <c:v>Temperature Extremes</c:v>
                </c:pt>
                <c:pt idx="17">
                  <c:v>Tornado</c:v>
                </c:pt>
                <c:pt idx="18">
                  <c:v>Utility Interruption</c:v>
                </c:pt>
                <c:pt idx="19">
                  <c:v>Winter Storm</c:v>
                </c:pt>
              </c:strCache>
            </c:strRef>
          </c:cat>
          <c:val>
            <c:numRef>
              <c:f>Severity!$B$154:$U$154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AD7-43DA-B50F-07500A064C9E}"/>
            </c:ext>
          </c:extLst>
        </c:ser>
        <c:dLbls>
          <c:showLegendKey val="0"/>
          <c:showVal val="1"/>
          <c:showCatName val="0"/>
          <c:showSerName val="0"/>
          <c:showPercent val="0"/>
          <c:showBubbleSize val="0"/>
        </c:dLbls>
        <c:gapWidth val="150"/>
        <c:axId val="101273984"/>
        <c:axId val="101275904"/>
      </c:barChart>
      <c:catAx>
        <c:axId val="101273984"/>
        <c:scaling>
          <c:orientation val="minMax"/>
        </c:scaling>
        <c:delete val="0"/>
        <c:axPos val="b"/>
        <c:title>
          <c:tx>
            <c:rich>
              <a:bodyPr/>
              <a:lstStyle/>
              <a:p>
                <a:pPr>
                  <a:defRPr b="0">
                    <a:latin typeface="+mj-lt"/>
                  </a:defRPr>
                </a:pPr>
                <a:r>
                  <a:rPr lang="en-US" sz="1600" b="0">
                    <a:latin typeface="+mj-lt"/>
                  </a:rPr>
                  <a:t>Hazard</a:t>
                </a:r>
              </a:p>
            </c:rich>
          </c:tx>
          <c:layout>
            <c:manualLayout>
              <c:xMode val="edge"/>
              <c:yMode val="edge"/>
              <c:x val="0.43549307562041417"/>
              <c:y val="0.92043715846994534"/>
            </c:manualLayout>
          </c:layout>
          <c:overlay val="0"/>
        </c:title>
        <c:numFmt formatCode="General" sourceLinked="1"/>
        <c:majorTickMark val="out"/>
        <c:minorTickMark val="none"/>
        <c:tickLblPos val="nextTo"/>
        <c:spPr>
          <a:ln>
            <a:solidFill>
              <a:schemeClr val="tx1"/>
            </a:solidFill>
          </a:ln>
        </c:spPr>
        <c:crossAx val="101275904"/>
        <c:crosses val="autoZero"/>
        <c:auto val="1"/>
        <c:lblAlgn val="ctr"/>
        <c:lblOffset val="100"/>
        <c:noMultiLvlLbl val="0"/>
      </c:catAx>
      <c:valAx>
        <c:axId val="101275904"/>
        <c:scaling>
          <c:orientation val="minMax"/>
        </c:scaling>
        <c:delete val="0"/>
        <c:axPos val="l"/>
        <c:majorGridlines/>
        <c:title>
          <c:tx>
            <c:rich>
              <a:bodyPr rot="-5400000" vert="horz"/>
              <a:lstStyle/>
              <a:p>
                <a:pPr>
                  <a:defRPr sz="1600" b="0">
                    <a:latin typeface="+mj-lt"/>
                  </a:defRPr>
                </a:pPr>
                <a:r>
                  <a:rPr lang="en-US" sz="1600" b="0">
                    <a:latin typeface="+mj-lt"/>
                  </a:rPr>
                  <a:t>Severity</a:t>
                </a:r>
              </a:p>
            </c:rich>
          </c:tx>
          <c:layout>
            <c:manualLayout>
              <c:xMode val="edge"/>
              <c:yMode val="edge"/>
              <c:x val="1.1646970752609171E-2"/>
              <c:y val="0.28418895725466009"/>
            </c:manualLayout>
          </c:layout>
          <c:overlay val="0"/>
        </c:title>
        <c:numFmt formatCode="#,##0" sourceLinked="0"/>
        <c:majorTickMark val="out"/>
        <c:minorTickMark val="none"/>
        <c:tickLblPos val="nextTo"/>
        <c:spPr>
          <a:ln>
            <a:solidFill>
              <a:schemeClr val="tx1"/>
            </a:solidFill>
          </a:ln>
        </c:spPr>
        <c:crossAx val="10127398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Inpatient Healthcare</a:t>
            </a:r>
            <a:r>
              <a:rPr lang="en-US" b="0" u="sng" baseline="0">
                <a:latin typeface="+mj-lt"/>
              </a:rPr>
              <a:t> </a:t>
            </a:r>
            <a:r>
              <a:rPr lang="en-US" b="0" u="sng">
                <a:latin typeface="+mj-lt"/>
              </a:rPr>
              <a:t>Facility Infrastructure</a:t>
            </a:r>
            <a:r>
              <a:rPr lang="en-US" b="0" u="sng" baseline="0">
                <a:latin typeface="+mj-lt"/>
              </a:rPr>
              <a:t> </a:t>
            </a:r>
            <a:r>
              <a:rPr lang="en-US" b="0" u="sng">
                <a:latin typeface="+mj-lt"/>
              </a:rPr>
              <a:t>Impact</a:t>
            </a:r>
          </a:p>
        </c:rich>
      </c:tx>
      <c:layout>
        <c:manualLayout>
          <c:xMode val="edge"/>
          <c:yMode val="edge"/>
          <c:x val="0.21238061199918351"/>
          <c:y val="1.8102300054023301E-2"/>
        </c:manualLayout>
      </c:layout>
      <c:overlay val="0"/>
    </c:title>
    <c:autoTitleDeleted val="0"/>
    <c:plotArea>
      <c:layout/>
      <c:barChart>
        <c:barDir val="col"/>
        <c:grouping val="clustered"/>
        <c:varyColors val="0"/>
        <c:ser>
          <c:idx val="3"/>
          <c:order val="0"/>
          <c:tx>
            <c:strRef>
              <c:f>Severity!$A$155</c:f>
              <c:strCache>
                <c:ptCount val="1"/>
                <c:pt idx="0">
                  <c:v>Inpatient Facility Infrastructure</c:v>
                </c:pt>
              </c:strCache>
            </c:strRef>
          </c:tx>
          <c:spPr>
            <a:scene3d>
              <a:camera prst="orthographicFront"/>
              <a:lightRig rig="threePt" dir="t"/>
            </a:scene3d>
            <a:sp3d prstMaterial="dkEdg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Severity!$B$152:$U$152</c:f>
              <c:strCache>
                <c:ptCount val="20"/>
                <c:pt idx="0">
                  <c:v>Active Shooter</c:v>
                </c:pt>
                <c:pt idx="1">
                  <c:v>Biological Terrorism</c:v>
                </c:pt>
                <c:pt idx="2">
                  <c:v>Chemical Terrorism</c:v>
                </c:pt>
                <c:pt idx="3">
                  <c:v>Civil Disturbance</c:v>
                </c:pt>
                <c:pt idx="4">
                  <c:v>Coastal Storm</c:v>
                </c:pt>
                <c:pt idx="5">
                  <c:v>Conventional Explosive</c:v>
                </c:pt>
                <c:pt idx="6">
                  <c:v>Cyber Terrorism</c:v>
                </c:pt>
                <c:pt idx="7">
                  <c:v>Drought</c:v>
                </c:pt>
                <c:pt idx="8">
                  <c:v>Earthquake</c:v>
                </c:pt>
                <c:pt idx="9">
                  <c:v>Fire</c:v>
                </c:pt>
                <c:pt idx="10">
                  <c:v>Flood</c:v>
                </c:pt>
                <c:pt idx="11">
                  <c:v>Hazardous Materials Release</c:v>
                </c:pt>
                <c:pt idx="12">
                  <c:v>Localized Infectious Disease</c:v>
                </c:pt>
                <c:pt idx="13">
                  <c:v>Nuclear Facility Accident</c:v>
                </c:pt>
                <c:pt idx="14">
                  <c:v>Pandemic</c:v>
                </c:pt>
                <c:pt idx="15">
                  <c:v>Radiation Dispersal Device</c:v>
                </c:pt>
                <c:pt idx="16">
                  <c:v>Temperature Extremes</c:v>
                </c:pt>
                <c:pt idx="17">
                  <c:v>Tornado</c:v>
                </c:pt>
                <c:pt idx="18">
                  <c:v>Utility Interruption</c:v>
                </c:pt>
                <c:pt idx="19">
                  <c:v>Winter Storm</c:v>
                </c:pt>
              </c:strCache>
            </c:strRef>
          </c:cat>
          <c:val>
            <c:numRef>
              <c:f>Severity!$B$155:$U$155</c:f>
              <c:numCache>
                <c:formatCode>0.00</c:formatCode>
                <c:ptCount val="20"/>
                <c:pt idx="0">
                  <c:v>1.4375</c:v>
                </c:pt>
                <c:pt idx="1">
                  <c:v>2</c:v>
                </c:pt>
                <c:pt idx="2">
                  <c:v>1.5</c:v>
                </c:pt>
                <c:pt idx="3">
                  <c:v>1.375</c:v>
                </c:pt>
                <c:pt idx="4">
                  <c:v>2.1875</c:v>
                </c:pt>
                <c:pt idx="5">
                  <c:v>1.4375</c:v>
                </c:pt>
                <c:pt idx="6">
                  <c:v>1.5</c:v>
                </c:pt>
                <c:pt idx="7">
                  <c:v>1.25</c:v>
                </c:pt>
                <c:pt idx="8">
                  <c:v>1.25</c:v>
                </c:pt>
                <c:pt idx="9">
                  <c:v>1.3125</c:v>
                </c:pt>
                <c:pt idx="10">
                  <c:v>1.4375</c:v>
                </c:pt>
                <c:pt idx="11">
                  <c:v>1.9375</c:v>
                </c:pt>
                <c:pt idx="12">
                  <c:v>1.5</c:v>
                </c:pt>
                <c:pt idx="13">
                  <c:v>2.5</c:v>
                </c:pt>
                <c:pt idx="14">
                  <c:v>1.5</c:v>
                </c:pt>
                <c:pt idx="15">
                  <c:v>1.4375</c:v>
                </c:pt>
                <c:pt idx="16">
                  <c:v>1.5</c:v>
                </c:pt>
                <c:pt idx="17">
                  <c:v>1.375</c:v>
                </c:pt>
                <c:pt idx="18">
                  <c:v>1.9375</c:v>
                </c:pt>
                <c:pt idx="19">
                  <c:v>1.3125</c:v>
                </c:pt>
              </c:numCache>
            </c:numRef>
          </c:val>
          <c:extLst>
            <c:ext xmlns:c16="http://schemas.microsoft.com/office/drawing/2014/chart" uri="{C3380CC4-5D6E-409C-BE32-E72D297353CC}">
              <c16:uniqueId val="{00000000-EA48-49DD-A7EF-94360DBBCCBD}"/>
            </c:ext>
          </c:extLst>
        </c:ser>
        <c:dLbls>
          <c:showLegendKey val="0"/>
          <c:showVal val="1"/>
          <c:showCatName val="0"/>
          <c:showSerName val="0"/>
          <c:showPercent val="0"/>
          <c:showBubbleSize val="0"/>
        </c:dLbls>
        <c:gapWidth val="150"/>
        <c:axId val="101313536"/>
        <c:axId val="104858752"/>
      </c:barChart>
      <c:catAx>
        <c:axId val="101313536"/>
        <c:scaling>
          <c:orientation val="minMax"/>
        </c:scaling>
        <c:delete val="0"/>
        <c:axPos val="b"/>
        <c:title>
          <c:tx>
            <c:rich>
              <a:bodyPr/>
              <a:lstStyle/>
              <a:p>
                <a:pPr>
                  <a:defRPr b="0">
                    <a:latin typeface="+mj-lt"/>
                  </a:defRPr>
                </a:pPr>
                <a:r>
                  <a:rPr lang="en-US" sz="1600" b="0">
                    <a:latin typeface="+mj-lt"/>
                  </a:rPr>
                  <a:t>Hazard</a:t>
                </a:r>
              </a:p>
            </c:rich>
          </c:tx>
          <c:layout>
            <c:manualLayout>
              <c:xMode val="edge"/>
              <c:yMode val="edge"/>
              <c:x val="0.43549307562041417"/>
              <c:y val="0.92043715846994534"/>
            </c:manualLayout>
          </c:layout>
          <c:overlay val="0"/>
        </c:title>
        <c:numFmt formatCode="General" sourceLinked="1"/>
        <c:majorTickMark val="out"/>
        <c:minorTickMark val="none"/>
        <c:tickLblPos val="nextTo"/>
        <c:spPr>
          <a:ln>
            <a:solidFill>
              <a:schemeClr val="tx1"/>
            </a:solidFill>
          </a:ln>
        </c:spPr>
        <c:crossAx val="104858752"/>
        <c:crosses val="autoZero"/>
        <c:auto val="1"/>
        <c:lblAlgn val="ctr"/>
        <c:lblOffset val="100"/>
        <c:noMultiLvlLbl val="0"/>
      </c:catAx>
      <c:valAx>
        <c:axId val="104858752"/>
        <c:scaling>
          <c:orientation val="minMax"/>
        </c:scaling>
        <c:delete val="0"/>
        <c:axPos val="l"/>
        <c:majorGridlines/>
        <c:title>
          <c:tx>
            <c:rich>
              <a:bodyPr rot="-5400000" vert="horz"/>
              <a:lstStyle/>
              <a:p>
                <a:pPr>
                  <a:defRPr sz="1600" b="0">
                    <a:latin typeface="+mj-lt"/>
                  </a:defRPr>
                </a:pPr>
                <a:r>
                  <a:rPr lang="en-US" sz="1600" b="0">
                    <a:latin typeface="+mj-lt"/>
                  </a:rPr>
                  <a:t>Severity</a:t>
                </a:r>
              </a:p>
            </c:rich>
          </c:tx>
          <c:layout>
            <c:manualLayout>
              <c:xMode val="edge"/>
              <c:yMode val="edge"/>
              <c:x val="1.1646970752609171E-2"/>
              <c:y val="0.28418895725466009"/>
            </c:manualLayout>
          </c:layout>
          <c:overlay val="0"/>
        </c:title>
        <c:numFmt formatCode="#,##0" sourceLinked="0"/>
        <c:majorTickMark val="out"/>
        <c:minorTickMark val="none"/>
        <c:tickLblPos val="nextTo"/>
        <c:spPr>
          <a:ln>
            <a:solidFill>
              <a:schemeClr val="tx1"/>
            </a:solidFill>
          </a:ln>
        </c:spPr>
        <c:crossAx val="101313536"/>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Community</a:t>
            </a:r>
            <a:r>
              <a:rPr lang="en-US" b="0" u="sng" baseline="0">
                <a:latin typeface="+mj-lt"/>
              </a:rPr>
              <a:t> I</a:t>
            </a:r>
            <a:r>
              <a:rPr lang="en-US" b="0" u="sng">
                <a:latin typeface="+mj-lt"/>
              </a:rPr>
              <a:t>mpact</a:t>
            </a:r>
          </a:p>
        </c:rich>
      </c:tx>
      <c:layout>
        <c:manualLayout>
          <c:xMode val="edge"/>
          <c:yMode val="edge"/>
          <c:x val="0.38042976142968726"/>
          <c:y val="1.8102300054023301E-2"/>
        </c:manualLayout>
      </c:layout>
      <c:overlay val="0"/>
    </c:title>
    <c:autoTitleDeleted val="0"/>
    <c:plotArea>
      <c:layout/>
      <c:barChart>
        <c:barDir val="col"/>
        <c:grouping val="clustered"/>
        <c:varyColors val="0"/>
        <c:ser>
          <c:idx val="3"/>
          <c:order val="0"/>
          <c:tx>
            <c:strRef>
              <c:f>Severity!$A$156</c:f>
              <c:strCache>
                <c:ptCount val="1"/>
                <c:pt idx="0">
                  <c:v>Community Impact</c:v>
                </c:pt>
              </c:strCache>
            </c:strRef>
          </c:tx>
          <c:spPr>
            <a:scene3d>
              <a:camera prst="orthographicFront"/>
              <a:lightRig rig="threePt" dir="t"/>
            </a:scene3d>
            <a:sp3d prstMaterial="dkEdg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Severity!$B$152:$U$152</c:f>
              <c:strCache>
                <c:ptCount val="20"/>
                <c:pt idx="0">
                  <c:v>Active Shooter</c:v>
                </c:pt>
                <c:pt idx="1">
                  <c:v>Biological Terrorism</c:v>
                </c:pt>
                <c:pt idx="2">
                  <c:v>Chemical Terrorism</c:v>
                </c:pt>
                <c:pt idx="3">
                  <c:v>Civil Disturbance</c:v>
                </c:pt>
                <c:pt idx="4">
                  <c:v>Coastal Storm</c:v>
                </c:pt>
                <c:pt idx="5">
                  <c:v>Conventional Explosive</c:v>
                </c:pt>
                <c:pt idx="6">
                  <c:v>Cyber Terrorism</c:v>
                </c:pt>
                <c:pt idx="7">
                  <c:v>Drought</c:v>
                </c:pt>
                <c:pt idx="8">
                  <c:v>Earthquake</c:v>
                </c:pt>
                <c:pt idx="9">
                  <c:v>Fire</c:v>
                </c:pt>
                <c:pt idx="10">
                  <c:v>Flood</c:v>
                </c:pt>
                <c:pt idx="11">
                  <c:v>Hazardous Materials Release</c:v>
                </c:pt>
                <c:pt idx="12">
                  <c:v>Localized Infectious Disease</c:v>
                </c:pt>
                <c:pt idx="13">
                  <c:v>Nuclear Facility Accident</c:v>
                </c:pt>
                <c:pt idx="14">
                  <c:v>Pandemic</c:v>
                </c:pt>
                <c:pt idx="15">
                  <c:v>Radiation Dispersal Device</c:v>
                </c:pt>
                <c:pt idx="16">
                  <c:v>Temperature Extremes</c:v>
                </c:pt>
                <c:pt idx="17">
                  <c:v>Tornado</c:v>
                </c:pt>
                <c:pt idx="18">
                  <c:v>Utility Interruption</c:v>
                </c:pt>
                <c:pt idx="19">
                  <c:v>Winter Storm</c:v>
                </c:pt>
              </c:strCache>
            </c:strRef>
          </c:cat>
          <c:val>
            <c:numRef>
              <c:f>Severity!$B$156:$U$156</c:f>
              <c:numCache>
                <c:formatCode>0.00</c:formatCode>
                <c:ptCount val="20"/>
                <c:pt idx="0">
                  <c:v>7.1428571428571425E-2</c:v>
                </c:pt>
                <c:pt idx="1">
                  <c:v>2.1428571428571428</c:v>
                </c:pt>
                <c:pt idx="2">
                  <c:v>0.7857142857142857</c:v>
                </c:pt>
                <c:pt idx="3">
                  <c:v>1.1428571428571428</c:v>
                </c:pt>
                <c:pt idx="4">
                  <c:v>2.5</c:v>
                </c:pt>
                <c:pt idx="5">
                  <c:v>0.7857142857142857</c:v>
                </c:pt>
                <c:pt idx="6">
                  <c:v>0</c:v>
                </c:pt>
                <c:pt idx="7">
                  <c:v>1</c:v>
                </c:pt>
                <c:pt idx="8">
                  <c:v>0.2857142857142857</c:v>
                </c:pt>
                <c:pt idx="9">
                  <c:v>0.5</c:v>
                </c:pt>
                <c:pt idx="10">
                  <c:v>1.6428571428571428</c:v>
                </c:pt>
                <c:pt idx="11">
                  <c:v>1.2857142857142858</c:v>
                </c:pt>
                <c:pt idx="12">
                  <c:v>0.2857142857142857</c:v>
                </c:pt>
                <c:pt idx="13">
                  <c:v>1.7857142857142858</c:v>
                </c:pt>
                <c:pt idx="14">
                  <c:v>1.6428571428571428</c:v>
                </c:pt>
                <c:pt idx="15">
                  <c:v>1.7142857142857142</c:v>
                </c:pt>
                <c:pt idx="16">
                  <c:v>0.7142857142857143</c:v>
                </c:pt>
                <c:pt idx="17">
                  <c:v>2.0714285714285716</c:v>
                </c:pt>
                <c:pt idx="18">
                  <c:v>1.9285714285714286</c:v>
                </c:pt>
                <c:pt idx="19">
                  <c:v>1.2142857142857142</c:v>
                </c:pt>
              </c:numCache>
            </c:numRef>
          </c:val>
          <c:extLst>
            <c:ext xmlns:c16="http://schemas.microsoft.com/office/drawing/2014/chart" uri="{C3380CC4-5D6E-409C-BE32-E72D297353CC}">
              <c16:uniqueId val="{00000000-79C5-4161-8561-254FA63CB51E}"/>
            </c:ext>
          </c:extLst>
        </c:ser>
        <c:dLbls>
          <c:showLegendKey val="0"/>
          <c:showVal val="1"/>
          <c:showCatName val="0"/>
          <c:showSerName val="0"/>
          <c:showPercent val="0"/>
          <c:showBubbleSize val="0"/>
        </c:dLbls>
        <c:gapWidth val="150"/>
        <c:axId val="104896384"/>
        <c:axId val="104919040"/>
      </c:barChart>
      <c:catAx>
        <c:axId val="104896384"/>
        <c:scaling>
          <c:orientation val="minMax"/>
        </c:scaling>
        <c:delete val="0"/>
        <c:axPos val="b"/>
        <c:title>
          <c:tx>
            <c:rich>
              <a:bodyPr/>
              <a:lstStyle/>
              <a:p>
                <a:pPr>
                  <a:defRPr b="0">
                    <a:latin typeface="+mj-lt"/>
                  </a:defRPr>
                </a:pPr>
                <a:r>
                  <a:rPr lang="en-US" sz="1600" b="0">
                    <a:latin typeface="+mj-lt"/>
                  </a:rPr>
                  <a:t>Hazard</a:t>
                </a:r>
              </a:p>
            </c:rich>
          </c:tx>
          <c:layout>
            <c:manualLayout>
              <c:xMode val="edge"/>
              <c:yMode val="edge"/>
              <c:x val="0.43549307562041417"/>
              <c:y val="0.92043715846994534"/>
            </c:manualLayout>
          </c:layout>
          <c:overlay val="0"/>
        </c:title>
        <c:numFmt formatCode="General" sourceLinked="1"/>
        <c:majorTickMark val="out"/>
        <c:minorTickMark val="none"/>
        <c:tickLblPos val="nextTo"/>
        <c:spPr>
          <a:ln>
            <a:solidFill>
              <a:schemeClr val="tx1"/>
            </a:solidFill>
          </a:ln>
        </c:spPr>
        <c:crossAx val="104919040"/>
        <c:crosses val="autoZero"/>
        <c:auto val="1"/>
        <c:lblAlgn val="ctr"/>
        <c:lblOffset val="100"/>
        <c:noMultiLvlLbl val="0"/>
      </c:catAx>
      <c:valAx>
        <c:axId val="104919040"/>
        <c:scaling>
          <c:orientation val="minMax"/>
        </c:scaling>
        <c:delete val="0"/>
        <c:axPos val="l"/>
        <c:majorGridlines/>
        <c:title>
          <c:tx>
            <c:rich>
              <a:bodyPr rot="-5400000" vert="horz"/>
              <a:lstStyle/>
              <a:p>
                <a:pPr>
                  <a:defRPr sz="1600" b="0">
                    <a:latin typeface="+mj-lt"/>
                  </a:defRPr>
                </a:pPr>
                <a:r>
                  <a:rPr lang="en-US" sz="1600" b="0">
                    <a:latin typeface="+mj-lt"/>
                  </a:rPr>
                  <a:t>Severity</a:t>
                </a:r>
              </a:p>
            </c:rich>
          </c:tx>
          <c:layout>
            <c:manualLayout>
              <c:xMode val="edge"/>
              <c:yMode val="edge"/>
              <c:x val="1.1646970752609171E-2"/>
              <c:y val="0.28418895725466009"/>
            </c:manualLayout>
          </c:layout>
          <c:overlay val="0"/>
        </c:title>
        <c:numFmt formatCode="#,##0" sourceLinked="0"/>
        <c:majorTickMark val="out"/>
        <c:minorTickMark val="none"/>
        <c:tickLblPos val="nextTo"/>
        <c:spPr>
          <a:ln>
            <a:solidFill>
              <a:schemeClr val="tx1"/>
            </a:solidFill>
          </a:ln>
        </c:spPr>
        <c:crossAx val="10489638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Public Health Service Impact</a:t>
            </a:r>
          </a:p>
        </c:rich>
      </c:tx>
      <c:layout>
        <c:manualLayout>
          <c:xMode val="edge"/>
          <c:yMode val="edge"/>
          <c:x val="0.31221178987869069"/>
          <c:y val="1.8102300054023301E-2"/>
        </c:manualLayout>
      </c:layout>
      <c:overlay val="0"/>
    </c:title>
    <c:autoTitleDeleted val="0"/>
    <c:plotArea>
      <c:layout/>
      <c:barChart>
        <c:barDir val="col"/>
        <c:grouping val="clustered"/>
        <c:varyColors val="0"/>
        <c:ser>
          <c:idx val="3"/>
          <c:order val="0"/>
          <c:tx>
            <c:strRef>
              <c:f>Severity!$A$157</c:f>
              <c:strCache>
                <c:ptCount val="1"/>
                <c:pt idx="0">
                  <c:v>Public Health Service Imact</c:v>
                </c:pt>
              </c:strCache>
            </c:strRef>
          </c:tx>
          <c:spPr>
            <a:scene3d>
              <a:camera prst="orthographicFront"/>
              <a:lightRig rig="threePt" dir="t"/>
            </a:scene3d>
            <a:sp3d prstMaterial="dkEdg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Severity!$B$152:$U$152</c:f>
              <c:strCache>
                <c:ptCount val="20"/>
                <c:pt idx="0">
                  <c:v>Active Shooter</c:v>
                </c:pt>
                <c:pt idx="1">
                  <c:v>Biological Terrorism</c:v>
                </c:pt>
                <c:pt idx="2">
                  <c:v>Chemical Terrorism</c:v>
                </c:pt>
                <c:pt idx="3">
                  <c:v>Civil Disturbance</c:v>
                </c:pt>
                <c:pt idx="4">
                  <c:v>Coastal Storm</c:v>
                </c:pt>
                <c:pt idx="5">
                  <c:v>Conventional Explosive</c:v>
                </c:pt>
                <c:pt idx="6">
                  <c:v>Cyber Terrorism</c:v>
                </c:pt>
                <c:pt idx="7">
                  <c:v>Drought</c:v>
                </c:pt>
                <c:pt idx="8">
                  <c:v>Earthquake</c:v>
                </c:pt>
                <c:pt idx="9">
                  <c:v>Fire</c:v>
                </c:pt>
                <c:pt idx="10">
                  <c:v>Flood</c:v>
                </c:pt>
                <c:pt idx="11">
                  <c:v>Hazardous Materials Release</c:v>
                </c:pt>
                <c:pt idx="12">
                  <c:v>Localized Infectious Disease</c:v>
                </c:pt>
                <c:pt idx="13">
                  <c:v>Nuclear Facility Accident</c:v>
                </c:pt>
                <c:pt idx="14">
                  <c:v>Pandemic</c:v>
                </c:pt>
                <c:pt idx="15">
                  <c:v>Radiation Dispersal Device</c:v>
                </c:pt>
                <c:pt idx="16">
                  <c:v>Temperature Extremes</c:v>
                </c:pt>
                <c:pt idx="17">
                  <c:v>Tornado</c:v>
                </c:pt>
                <c:pt idx="18">
                  <c:v>Utility Interruption</c:v>
                </c:pt>
                <c:pt idx="19">
                  <c:v>Winter Storm</c:v>
                </c:pt>
              </c:strCache>
            </c:strRef>
          </c:cat>
          <c:val>
            <c:numRef>
              <c:f>Severity!$B$157:$U$157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83B-4F11-9923-BE69B396AA4E}"/>
            </c:ext>
          </c:extLst>
        </c:ser>
        <c:dLbls>
          <c:showLegendKey val="0"/>
          <c:showVal val="1"/>
          <c:showCatName val="0"/>
          <c:showSerName val="0"/>
          <c:showPercent val="0"/>
          <c:showBubbleSize val="0"/>
        </c:dLbls>
        <c:gapWidth val="150"/>
        <c:axId val="109791488"/>
        <c:axId val="109793664"/>
      </c:barChart>
      <c:catAx>
        <c:axId val="109791488"/>
        <c:scaling>
          <c:orientation val="minMax"/>
        </c:scaling>
        <c:delete val="0"/>
        <c:axPos val="b"/>
        <c:title>
          <c:tx>
            <c:rich>
              <a:bodyPr/>
              <a:lstStyle/>
              <a:p>
                <a:pPr>
                  <a:defRPr b="0">
                    <a:latin typeface="+mj-lt"/>
                  </a:defRPr>
                </a:pPr>
                <a:r>
                  <a:rPr lang="en-US" sz="1600" b="0">
                    <a:latin typeface="+mj-lt"/>
                  </a:rPr>
                  <a:t>Hazard</a:t>
                </a:r>
              </a:p>
            </c:rich>
          </c:tx>
          <c:layout>
            <c:manualLayout>
              <c:xMode val="edge"/>
              <c:yMode val="edge"/>
              <c:x val="0.43549307562041417"/>
              <c:y val="0.92043715846994534"/>
            </c:manualLayout>
          </c:layout>
          <c:overlay val="0"/>
        </c:title>
        <c:numFmt formatCode="General" sourceLinked="1"/>
        <c:majorTickMark val="out"/>
        <c:minorTickMark val="none"/>
        <c:tickLblPos val="nextTo"/>
        <c:spPr>
          <a:ln>
            <a:solidFill>
              <a:schemeClr val="tx1"/>
            </a:solidFill>
          </a:ln>
        </c:spPr>
        <c:crossAx val="109793664"/>
        <c:crosses val="autoZero"/>
        <c:auto val="1"/>
        <c:lblAlgn val="ctr"/>
        <c:lblOffset val="100"/>
        <c:noMultiLvlLbl val="0"/>
      </c:catAx>
      <c:valAx>
        <c:axId val="109793664"/>
        <c:scaling>
          <c:orientation val="minMax"/>
        </c:scaling>
        <c:delete val="0"/>
        <c:axPos val="l"/>
        <c:majorGridlines/>
        <c:title>
          <c:tx>
            <c:rich>
              <a:bodyPr rot="-5400000" vert="horz"/>
              <a:lstStyle/>
              <a:p>
                <a:pPr>
                  <a:defRPr sz="1600" b="0">
                    <a:latin typeface="+mj-lt"/>
                  </a:defRPr>
                </a:pPr>
                <a:r>
                  <a:rPr lang="en-US" sz="1600" b="0">
                    <a:latin typeface="+mj-lt"/>
                  </a:rPr>
                  <a:t>Severity</a:t>
                </a:r>
              </a:p>
            </c:rich>
          </c:tx>
          <c:layout>
            <c:manualLayout>
              <c:xMode val="edge"/>
              <c:yMode val="edge"/>
              <c:x val="1.1646970752609171E-2"/>
              <c:y val="0.28418895725466009"/>
            </c:manualLayout>
          </c:layout>
          <c:overlay val="0"/>
        </c:title>
        <c:numFmt formatCode="#,##0" sourceLinked="0"/>
        <c:majorTickMark val="out"/>
        <c:minorTickMark val="none"/>
        <c:tickLblPos val="nextTo"/>
        <c:spPr>
          <a:ln>
            <a:solidFill>
              <a:schemeClr val="tx1"/>
            </a:solidFill>
          </a:ln>
        </c:spPr>
        <c:crossAx val="109791488"/>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Severity</a:t>
            </a:r>
          </a:p>
        </c:rich>
      </c:tx>
      <c:layout>
        <c:manualLayout>
          <c:xMode val="edge"/>
          <c:yMode val="edge"/>
          <c:x val="0.44698388001602535"/>
          <c:y val="1.3244983721297133E-2"/>
        </c:manualLayout>
      </c:layout>
      <c:overlay val="0"/>
    </c:title>
    <c:autoTitleDeleted val="0"/>
    <c:plotArea>
      <c:layout/>
      <c:barChart>
        <c:barDir val="col"/>
        <c:grouping val="clustered"/>
        <c:varyColors val="0"/>
        <c:ser>
          <c:idx val="0"/>
          <c:order val="0"/>
          <c:tx>
            <c:v>Public Health System Severity</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Scores'!$D$8:$D$27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217-4B8A-9F27-C4AC00208E4E}"/>
            </c:ext>
          </c:extLst>
        </c:ser>
        <c:ser>
          <c:idx val="1"/>
          <c:order val="1"/>
          <c:tx>
            <c:v>Healthcare System Severity</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Scores'!$E$8:$E$27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1217-4B8A-9F27-C4AC00208E4E}"/>
            </c:ext>
          </c:extLst>
        </c:ser>
        <c:ser>
          <c:idx val="2"/>
          <c:order val="2"/>
          <c:tx>
            <c:v>Severity</c:v>
          </c:tx>
          <c:spPr>
            <a:solidFill>
              <a:schemeClr val="accent4"/>
            </a:solidFill>
            <a:ln>
              <a:noFill/>
            </a:ln>
          </c:spPr>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Scores'!$F$8:$F$27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1217-4B8A-9F27-C4AC00208E4E}"/>
            </c:ext>
          </c:extLst>
        </c:ser>
        <c:dLbls>
          <c:showLegendKey val="0"/>
          <c:showVal val="1"/>
          <c:showCatName val="0"/>
          <c:showSerName val="0"/>
          <c:showPercent val="0"/>
          <c:showBubbleSize val="0"/>
        </c:dLbls>
        <c:gapWidth val="150"/>
        <c:axId val="104581376"/>
        <c:axId val="104587648"/>
      </c:barChart>
      <c:catAx>
        <c:axId val="104581376"/>
        <c:scaling>
          <c:orientation val="minMax"/>
        </c:scaling>
        <c:delete val="0"/>
        <c:axPos val="b"/>
        <c:title>
          <c:tx>
            <c:rich>
              <a:bodyPr/>
              <a:lstStyle/>
              <a:p>
                <a:pPr>
                  <a:defRPr b="0">
                    <a:latin typeface="+mj-lt"/>
                  </a:defRPr>
                </a:pPr>
                <a:r>
                  <a:rPr lang="en-US" sz="1600" b="0">
                    <a:latin typeface="+mj-lt"/>
                  </a:rPr>
                  <a:t>Hazard</a:t>
                </a:r>
              </a:p>
            </c:rich>
          </c:tx>
          <c:overlay val="0"/>
        </c:title>
        <c:numFmt formatCode="General" sourceLinked="1"/>
        <c:majorTickMark val="out"/>
        <c:minorTickMark val="none"/>
        <c:tickLblPos val="nextTo"/>
        <c:spPr>
          <a:ln>
            <a:solidFill>
              <a:schemeClr val="tx1"/>
            </a:solidFill>
          </a:ln>
        </c:spPr>
        <c:crossAx val="104587648"/>
        <c:crosses val="autoZero"/>
        <c:auto val="1"/>
        <c:lblAlgn val="ctr"/>
        <c:lblOffset val="100"/>
        <c:noMultiLvlLbl val="0"/>
      </c:catAx>
      <c:valAx>
        <c:axId val="104587648"/>
        <c:scaling>
          <c:orientation val="minMax"/>
          <c:max val="4.5"/>
          <c:min val="0"/>
        </c:scaling>
        <c:delete val="0"/>
        <c:axPos val="l"/>
        <c:majorGridlines/>
        <c:title>
          <c:tx>
            <c:rich>
              <a:bodyPr rot="-5400000" vert="horz"/>
              <a:lstStyle/>
              <a:p>
                <a:pPr>
                  <a:defRPr sz="1600" b="0">
                    <a:latin typeface="+mj-lt"/>
                  </a:defRPr>
                </a:pPr>
                <a:r>
                  <a:rPr lang="en-US" sz="1600" b="0">
                    <a:latin typeface="+mj-lt"/>
                  </a:rPr>
                  <a:t>Severity</a:t>
                </a:r>
              </a:p>
            </c:rich>
          </c:tx>
          <c:overlay val="0"/>
        </c:title>
        <c:numFmt formatCode="#,##0.00" sourceLinked="1"/>
        <c:majorTickMark val="out"/>
        <c:minorTickMark val="none"/>
        <c:tickLblPos val="nextTo"/>
        <c:spPr>
          <a:ln>
            <a:solidFill>
              <a:schemeClr val="tx1"/>
            </a:solidFill>
          </a:ln>
        </c:spPr>
        <c:crossAx val="104581376"/>
        <c:crosses val="autoZero"/>
        <c:crossBetween val="between"/>
        <c:majorUnit val="1"/>
        <c:minorUnit val="0.1"/>
      </c:valAx>
      <c:spPr>
        <a:gradFill flip="none" rotWithShape="1">
          <a:gsLst>
            <a:gs pos="0">
              <a:srgbClr val="63BE7B"/>
            </a:gs>
            <a:gs pos="50000">
              <a:srgbClr val="FFEB84"/>
            </a:gs>
            <a:gs pos="100000">
              <a:srgbClr val="F8696B"/>
            </a:gs>
          </a:gsLst>
          <a:lin ang="16200000" scaled="1"/>
          <a:tileRect/>
        </a:gradFill>
        <a:ln>
          <a:solidFill>
            <a:schemeClr val="tx1"/>
          </a:solidFill>
        </a:ln>
      </c:spPr>
    </c:plotArea>
    <c:legend>
      <c:legendPos val="r"/>
      <c:layout>
        <c:manualLayout>
          <c:xMode val="edge"/>
          <c:yMode val="edge"/>
          <c:x val="0.12878981816314303"/>
          <c:y val="0.12581214233466717"/>
          <c:w val="0.23062679044335258"/>
          <c:h val="0.13175164579837356"/>
        </c:manualLayout>
      </c:layout>
      <c:overlay val="1"/>
      <c:spPr>
        <a:solidFill>
          <a:schemeClr val="bg1"/>
        </a:solidFill>
        <a:ln>
          <a:solidFill>
            <a:schemeClr val="tx1"/>
          </a:solidFill>
        </a:ln>
      </c:sp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Risk</a:t>
            </a:r>
          </a:p>
        </c:rich>
      </c:tx>
      <c:layout>
        <c:manualLayout>
          <c:xMode val="edge"/>
          <c:yMode val="edge"/>
          <c:x val="0.44698388001602535"/>
          <c:y val="1.3244983721297133E-2"/>
        </c:manualLayout>
      </c:layout>
      <c:overlay val="0"/>
    </c:title>
    <c:autoTitleDeleted val="0"/>
    <c:plotArea>
      <c:layout/>
      <c:barChart>
        <c:barDir val="col"/>
        <c:grouping val="clustered"/>
        <c:varyColors val="0"/>
        <c:ser>
          <c:idx val="0"/>
          <c:order val="0"/>
          <c:tx>
            <c:v>Public Health System Risk</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Scores'!$G$8:$G$27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548-4837-A362-3FFFA8D55ECD}"/>
            </c:ext>
          </c:extLst>
        </c:ser>
        <c:ser>
          <c:idx val="1"/>
          <c:order val="1"/>
          <c:tx>
            <c:v>Healthcare System Risk</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Scores'!$H$8:$H$27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548-4837-A362-3FFFA8D55ECD}"/>
            </c:ext>
          </c:extLst>
        </c:ser>
        <c:ser>
          <c:idx val="2"/>
          <c:order val="2"/>
          <c:tx>
            <c:v>Risk</c:v>
          </c:tx>
          <c:spPr>
            <a:solidFill>
              <a:schemeClr val="accent4"/>
            </a:solidFill>
            <a:ln>
              <a:noFill/>
            </a:ln>
          </c:spPr>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Scores'!$I$8:$I$27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548-4837-A362-3FFFA8D55ECD}"/>
            </c:ext>
          </c:extLst>
        </c:ser>
        <c:dLbls>
          <c:showLegendKey val="0"/>
          <c:showVal val="1"/>
          <c:showCatName val="0"/>
          <c:showSerName val="0"/>
          <c:showPercent val="0"/>
          <c:showBubbleSize val="0"/>
        </c:dLbls>
        <c:gapWidth val="150"/>
        <c:axId val="109552384"/>
        <c:axId val="109554304"/>
      </c:barChart>
      <c:catAx>
        <c:axId val="109552384"/>
        <c:scaling>
          <c:orientation val="minMax"/>
        </c:scaling>
        <c:delete val="0"/>
        <c:axPos val="b"/>
        <c:title>
          <c:tx>
            <c:rich>
              <a:bodyPr/>
              <a:lstStyle/>
              <a:p>
                <a:pPr>
                  <a:defRPr b="0">
                    <a:latin typeface="+mj-lt"/>
                  </a:defRPr>
                </a:pPr>
                <a:r>
                  <a:rPr lang="en-US" sz="1600" b="0">
                    <a:latin typeface="+mj-lt"/>
                  </a:rPr>
                  <a:t>Hazard</a:t>
                </a:r>
              </a:p>
            </c:rich>
          </c:tx>
          <c:overlay val="0"/>
        </c:title>
        <c:numFmt formatCode="General" sourceLinked="1"/>
        <c:majorTickMark val="out"/>
        <c:minorTickMark val="none"/>
        <c:tickLblPos val="nextTo"/>
        <c:spPr>
          <a:ln>
            <a:solidFill>
              <a:schemeClr val="tx1"/>
            </a:solidFill>
          </a:ln>
        </c:spPr>
        <c:crossAx val="109554304"/>
        <c:crosses val="autoZero"/>
        <c:auto val="1"/>
        <c:lblAlgn val="ctr"/>
        <c:lblOffset val="100"/>
        <c:noMultiLvlLbl val="0"/>
      </c:catAx>
      <c:valAx>
        <c:axId val="109554304"/>
        <c:scaling>
          <c:orientation val="minMax"/>
        </c:scaling>
        <c:delete val="0"/>
        <c:axPos val="l"/>
        <c:majorGridlines/>
        <c:title>
          <c:tx>
            <c:rich>
              <a:bodyPr rot="-5400000" vert="horz"/>
              <a:lstStyle/>
              <a:p>
                <a:pPr>
                  <a:defRPr sz="1600" b="0">
                    <a:latin typeface="+mj-lt"/>
                  </a:defRPr>
                </a:pPr>
                <a:r>
                  <a:rPr lang="en-US" sz="1600" b="0">
                    <a:latin typeface="+mj-lt"/>
                  </a:rPr>
                  <a:t>Risk</a:t>
                </a:r>
              </a:p>
            </c:rich>
          </c:tx>
          <c:overlay val="0"/>
        </c:title>
        <c:numFmt formatCode="#,##0" sourceLinked="0"/>
        <c:majorTickMark val="out"/>
        <c:minorTickMark val="none"/>
        <c:tickLblPos val="nextTo"/>
        <c:spPr>
          <a:ln>
            <a:solidFill>
              <a:schemeClr val="tx1"/>
            </a:solidFill>
          </a:ln>
        </c:spPr>
        <c:crossAx val="10955238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legend>
      <c:legendPos val="r"/>
      <c:layout>
        <c:manualLayout>
          <c:xMode val="edge"/>
          <c:yMode val="edge"/>
          <c:x val="0.11880670037519231"/>
          <c:y val="0.12581214233466717"/>
          <c:w val="0.2289629374786942"/>
          <c:h val="0.13175164579837356"/>
        </c:manualLayout>
      </c:layout>
      <c:overlay val="1"/>
      <c:spPr>
        <a:solidFill>
          <a:schemeClr val="bg1"/>
        </a:solidFill>
        <a:ln>
          <a:solidFill>
            <a:schemeClr val="tx1"/>
          </a:solidFill>
        </a:ln>
      </c:sp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Adjusted Risk</a:t>
            </a:r>
          </a:p>
        </c:rich>
      </c:tx>
      <c:layout>
        <c:manualLayout>
          <c:xMode val="edge"/>
          <c:yMode val="edge"/>
          <c:x val="0.44698388001602535"/>
          <c:y val="1.3244983721297133E-2"/>
        </c:manualLayout>
      </c:layout>
      <c:overlay val="0"/>
    </c:title>
    <c:autoTitleDeleted val="0"/>
    <c:plotArea>
      <c:layout/>
      <c:barChart>
        <c:barDir val="col"/>
        <c:grouping val="clustered"/>
        <c:varyColors val="0"/>
        <c:ser>
          <c:idx val="0"/>
          <c:order val="0"/>
          <c:tx>
            <c:v>Public Health System Adjusted Risk</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Scores'!$K$8:$K$27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531-4DF8-87D9-61DAB43ECC71}"/>
            </c:ext>
          </c:extLst>
        </c:ser>
        <c:ser>
          <c:idx val="1"/>
          <c:order val="1"/>
          <c:tx>
            <c:v>Healthcare System Adjusted Risk</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Scores'!$L$8:$L$27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A531-4DF8-87D9-61DAB43ECC71}"/>
            </c:ext>
          </c:extLst>
        </c:ser>
        <c:ser>
          <c:idx val="2"/>
          <c:order val="2"/>
          <c:tx>
            <c:v>Adjusted Risk</c:v>
          </c:tx>
          <c:spPr>
            <a:solidFill>
              <a:schemeClr val="accent4"/>
            </a:solidFill>
            <a:ln>
              <a:noFill/>
            </a:ln>
          </c:spPr>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Scores'!$M$8:$M$27</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A531-4DF8-87D9-61DAB43ECC71}"/>
            </c:ext>
          </c:extLst>
        </c:ser>
        <c:dLbls>
          <c:showLegendKey val="0"/>
          <c:showVal val="1"/>
          <c:showCatName val="0"/>
          <c:showSerName val="0"/>
          <c:showPercent val="0"/>
          <c:showBubbleSize val="0"/>
        </c:dLbls>
        <c:gapWidth val="150"/>
        <c:axId val="109671552"/>
        <c:axId val="109673472"/>
      </c:barChart>
      <c:catAx>
        <c:axId val="109671552"/>
        <c:scaling>
          <c:orientation val="minMax"/>
        </c:scaling>
        <c:delete val="0"/>
        <c:axPos val="b"/>
        <c:title>
          <c:tx>
            <c:rich>
              <a:bodyPr/>
              <a:lstStyle/>
              <a:p>
                <a:pPr>
                  <a:defRPr b="0">
                    <a:latin typeface="+mj-lt"/>
                  </a:defRPr>
                </a:pPr>
                <a:r>
                  <a:rPr lang="en-US" sz="1600" b="0">
                    <a:latin typeface="+mj-lt"/>
                  </a:rPr>
                  <a:t>Hazard</a:t>
                </a:r>
              </a:p>
            </c:rich>
          </c:tx>
          <c:overlay val="0"/>
        </c:title>
        <c:numFmt formatCode="General" sourceLinked="1"/>
        <c:majorTickMark val="out"/>
        <c:minorTickMark val="none"/>
        <c:tickLblPos val="nextTo"/>
        <c:spPr>
          <a:ln>
            <a:solidFill>
              <a:schemeClr val="tx1"/>
            </a:solidFill>
          </a:ln>
        </c:spPr>
        <c:crossAx val="109673472"/>
        <c:crosses val="autoZero"/>
        <c:auto val="1"/>
        <c:lblAlgn val="ctr"/>
        <c:lblOffset val="100"/>
        <c:noMultiLvlLbl val="0"/>
      </c:catAx>
      <c:valAx>
        <c:axId val="109673472"/>
        <c:scaling>
          <c:orientation val="minMax"/>
        </c:scaling>
        <c:delete val="0"/>
        <c:axPos val="l"/>
        <c:majorGridlines/>
        <c:title>
          <c:tx>
            <c:rich>
              <a:bodyPr rot="-5400000" vert="horz"/>
              <a:lstStyle/>
              <a:p>
                <a:pPr>
                  <a:defRPr sz="1600" b="0">
                    <a:latin typeface="+mj-lt"/>
                  </a:defRPr>
                </a:pPr>
                <a:r>
                  <a:rPr lang="en-US" sz="1600" b="0">
                    <a:latin typeface="+mj-lt"/>
                  </a:rPr>
                  <a:t>Adjusted Risk</a:t>
                </a:r>
              </a:p>
            </c:rich>
          </c:tx>
          <c:layout>
            <c:manualLayout>
              <c:xMode val="edge"/>
              <c:yMode val="edge"/>
              <c:x val="2.3293941505218341E-2"/>
              <c:y val="0.3934785747409989"/>
            </c:manualLayout>
          </c:layout>
          <c:overlay val="0"/>
        </c:title>
        <c:numFmt formatCode="#,##0" sourceLinked="0"/>
        <c:majorTickMark val="out"/>
        <c:minorTickMark val="none"/>
        <c:tickLblPos val="nextTo"/>
        <c:spPr>
          <a:ln>
            <a:solidFill>
              <a:schemeClr val="tx1"/>
            </a:solidFill>
          </a:ln>
        </c:spPr>
        <c:crossAx val="10967155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legend>
      <c:legendPos val="r"/>
      <c:layout>
        <c:manualLayout>
          <c:xMode val="edge"/>
          <c:yMode val="edge"/>
          <c:x val="0.10715972962258313"/>
          <c:y val="0.11366885150285176"/>
          <c:w val="0.26556770270118019"/>
          <c:h val="0.10503640596837964"/>
        </c:manualLayout>
      </c:layout>
      <c:overlay val="1"/>
      <c:spPr>
        <a:solidFill>
          <a:schemeClr val="bg1"/>
        </a:solidFill>
        <a:ln>
          <a:solidFill>
            <a:schemeClr val="tx1"/>
          </a:solidFill>
        </a:ln>
      </c:sp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Preparedness</a:t>
            </a:r>
          </a:p>
        </c:rich>
      </c:tx>
      <c:layout>
        <c:manualLayout>
          <c:xMode val="edge"/>
          <c:yMode val="edge"/>
          <c:x val="0.44698388001602535"/>
          <c:y val="1.3244983721297133E-2"/>
        </c:manualLayout>
      </c:layout>
      <c:overlay val="0"/>
    </c:title>
    <c:autoTitleDeleted val="0"/>
    <c:plotArea>
      <c:layout/>
      <c:barChart>
        <c:barDir val="col"/>
        <c:grouping val="clustered"/>
        <c:varyColors val="0"/>
        <c:ser>
          <c:idx val="0"/>
          <c:order val="0"/>
          <c:tx>
            <c:v>Public Health System Preparedness</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Scores'!$C$35:$C$54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01-4B10-9A43-72F9AD9F85FA}"/>
            </c:ext>
          </c:extLst>
        </c:ser>
        <c:ser>
          <c:idx val="1"/>
          <c:order val="1"/>
          <c:tx>
            <c:v>Healthcare System Preparedness</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Scores'!$D$35:$D$54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01-4B10-9A43-72F9AD9F85FA}"/>
            </c:ext>
          </c:extLst>
        </c:ser>
        <c:ser>
          <c:idx val="2"/>
          <c:order val="2"/>
          <c:tx>
            <c:v>Preparedness</c:v>
          </c:tx>
          <c:spPr>
            <a:solidFill>
              <a:schemeClr val="accent4"/>
            </a:solidFill>
            <a:ln>
              <a:noFill/>
            </a:ln>
          </c:spPr>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Scores'!$E$35:$E$54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01-4B10-9A43-72F9AD9F85FA}"/>
            </c:ext>
          </c:extLst>
        </c:ser>
        <c:dLbls>
          <c:showLegendKey val="0"/>
          <c:showVal val="1"/>
          <c:showCatName val="0"/>
          <c:showSerName val="0"/>
          <c:showPercent val="0"/>
          <c:showBubbleSize val="0"/>
        </c:dLbls>
        <c:gapWidth val="150"/>
        <c:axId val="109696512"/>
        <c:axId val="109698432"/>
      </c:barChart>
      <c:catAx>
        <c:axId val="109696512"/>
        <c:scaling>
          <c:orientation val="minMax"/>
        </c:scaling>
        <c:delete val="0"/>
        <c:axPos val="b"/>
        <c:title>
          <c:tx>
            <c:rich>
              <a:bodyPr/>
              <a:lstStyle/>
              <a:p>
                <a:pPr>
                  <a:defRPr b="0">
                    <a:latin typeface="+mj-lt"/>
                  </a:defRPr>
                </a:pPr>
                <a:r>
                  <a:rPr lang="en-US" sz="1600" b="0">
                    <a:latin typeface="+mj-lt"/>
                  </a:rPr>
                  <a:t>Hazard</a:t>
                </a:r>
              </a:p>
            </c:rich>
          </c:tx>
          <c:overlay val="0"/>
        </c:title>
        <c:numFmt formatCode="General" sourceLinked="1"/>
        <c:majorTickMark val="out"/>
        <c:minorTickMark val="none"/>
        <c:tickLblPos val="nextTo"/>
        <c:spPr>
          <a:ln>
            <a:solidFill>
              <a:schemeClr val="tx1"/>
            </a:solidFill>
          </a:ln>
        </c:spPr>
        <c:crossAx val="109698432"/>
        <c:crosses val="autoZero"/>
        <c:auto val="1"/>
        <c:lblAlgn val="ctr"/>
        <c:lblOffset val="100"/>
        <c:noMultiLvlLbl val="0"/>
      </c:catAx>
      <c:valAx>
        <c:axId val="109698432"/>
        <c:scaling>
          <c:orientation val="minMax"/>
        </c:scaling>
        <c:delete val="0"/>
        <c:axPos val="l"/>
        <c:majorGridlines/>
        <c:title>
          <c:tx>
            <c:rich>
              <a:bodyPr rot="-5400000" vert="horz"/>
              <a:lstStyle/>
              <a:p>
                <a:pPr>
                  <a:defRPr sz="1600" b="0">
                    <a:latin typeface="+mj-lt"/>
                  </a:defRPr>
                </a:pPr>
                <a:r>
                  <a:rPr lang="en-US" sz="1600" b="0">
                    <a:latin typeface="+mj-lt"/>
                  </a:rPr>
                  <a:t>Preparedness</a:t>
                </a:r>
              </a:p>
            </c:rich>
          </c:tx>
          <c:layout>
            <c:manualLayout>
              <c:xMode val="edge"/>
              <c:yMode val="edge"/>
              <c:x val="2.3293941505218341E-2"/>
              <c:y val="0.3934785747409989"/>
            </c:manualLayout>
          </c:layout>
          <c:overlay val="0"/>
        </c:title>
        <c:numFmt formatCode="#,##0.00" sourceLinked="1"/>
        <c:majorTickMark val="out"/>
        <c:minorTickMark val="none"/>
        <c:tickLblPos val="nextTo"/>
        <c:spPr>
          <a:ln>
            <a:solidFill>
              <a:schemeClr val="tx1"/>
            </a:solidFill>
          </a:ln>
        </c:spPr>
        <c:crossAx val="10969651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legend>
      <c:legendPos val="r"/>
      <c:layout>
        <c:manualLayout>
          <c:xMode val="edge"/>
          <c:yMode val="edge"/>
          <c:x val="0.67453359057111562"/>
          <c:y val="0.1088115351701256"/>
          <c:w val="0.29551705606503226"/>
          <c:h val="0.13175164579837356"/>
        </c:manualLayout>
      </c:layout>
      <c:overlay val="1"/>
      <c:spPr>
        <a:solidFill>
          <a:schemeClr val="bg1"/>
        </a:solidFill>
        <a:ln>
          <a:solidFill>
            <a:schemeClr val="tx1"/>
          </a:solidFill>
        </a:ln>
      </c:sp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Planning Priority Indicator</a:t>
            </a:r>
          </a:p>
        </c:rich>
      </c:tx>
      <c:layout>
        <c:manualLayout>
          <c:xMode val="edge"/>
          <c:yMode val="edge"/>
          <c:x val="0.34382499620720131"/>
          <c:y val="1.5673641887660218E-2"/>
        </c:manualLayout>
      </c:layout>
      <c:overlay val="0"/>
    </c:title>
    <c:autoTitleDeleted val="0"/>
    <c:plotArea>
      <c:layout/>
      <c:barChart>
        <c:barDir val="col"/>
        <c:grouping val="clustered"/>
        <c:varyColors val="0"/>
        <c:ser>
          <c:idx val="0"/>
          <c:order val="0"/>
          <c:tx>
            <c:v>Public Health System Planning Priority</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Scores'!$F$35:$F$54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29F3-4F06-95A6-FA59A11F327E}"/>
            </c:ext>
          </c:extLst>
        </c:ser>
        <c:ser>
          <c:idx val="1"/>
          <c:order val="1"/>
          <c:tx>
            <c:v>Healthcare System Planning Priority</c:v>
          </c:tx>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Scores'!$G$35:$G$54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29F3-4F06-95A6-FA59A11F327E}"/>
            </c:ext>
          </c:extLst>
        </c:ser>
        <c:ser>
          <c:idx val="2"/>
          <c:order val="2"/>
          <c:tx>
            <c:v>Planning Priority</c:v>
          </c:tx>
          <c:spPr>
            <a:solidFill>
              <a:schemeClr val="accent4"/>
            </a:solidFill>
            <a:ln>
              <a:noFill/>
            </a:ln>
          </c:spPr>
          <c:invertIfNegative val="0"/>
          <c:dLbls>
            <c:delete val="1"/>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Scores'!$H$35:$H$54</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29F3-4F06-95A6-FA59A11F327E}"/>
            </c:ext>
          </c:extLst>
        </c:ser>
        <c:dLbls>
          <c:showLegendKey val="0"/>
          <c:showVal val="1"/>
          <c:showCatName val="0"/>
          <c:showSerName val="0"/>
          <c:showPercent val="0"/>
          <c:showBubbleSize val="0"/>
        </c:dLbls>
        <c:gapWidth val="150"/>
        <c:axId val="109627264"/>
        <c:axId val="109637632"/>
      </c:barChart>
      <c:catAx>
        <c:axId val="109627264"/>
        <c:scaling>
          <c:orientation val="minMax"/>
        </c:scaling>
        <c:delete val="0"/>
        <c:axPos val="b"/>
        <c:title>
          <c:tx>
            <c:rich>
              <a:bodyPr/>
              <a:lstStyle/>
              <a:p>
                <a:pPr>
                  <a:defRPr b="0">
                    <a:latin typeface="+mj-lt"/>
                  </a:defRPr>
                </a:pPr>
                <a:r>
                  <a:rPr lang="en-US" sz="1600" b="0">
                    <a:latin typeface="+mj-lt"/>
                  </a:rPr>
                  <a:t>Hazard</a:t>
                </a:r>
              </a:p>
            </c:rich>
          </c:tx>
          <c:overlay val="0"/>
        </c:title>
        <c:numFmt formatCode="General" sourceLinked="1"/>
        <c:majorTickMark val="out"/>
        <c:minorTickMark val="none"/>
        <c:tickLblPos val="nextTo"/>
        <c:spPr>
          <a:ln>
            <a:solidFill>
              <a:schemeClr val="tx1"/>
            </a:solidFill>
          </a:ln>
        </c:spPr>
        <c:crossAx val="109637632"/>
        <c:crosses val="autoZero"/>
        <c:auto val="1"/>
        <c:lblAlgn val="ctr"/>
        <c:lblOffset val="100"/>
        <c:noMultiLvlLbl val="0"/>
      </c:catAx>
      <c:valAx>
        <c:axId val="109637632"/>
        <c:scaling>
          <c:orientation val="minMax"/>
        </c:scaling>
        <c:delete val="0"/>
        <c:axPos val="l"/>
        <c:majorGridlines/>
        <c:title>
          <c:tx>
            <c:rich>
              <a:bodyPr rot="-5400000" vert="horz"/>
              <a:lstStyle/>
              <a:p>
                <a:pPr>
                  <a:defRPr sz="1600" b="0">
                    <a:latin typeface="+mj-lt"/>
                  </a:defRPr>
                </a:pPr>
                <a:r>
                  <a:rPr lang="en-US" sz="1600" b="0">
                    <a:latin typeface="+mj-lt"/>
                  </a:rPr>
                  <a:t>Planning Priority</a:t>
                </a:r>
              </a:p>
            </c:rich>
          </c:tx>
          <c:layout>
            <c:manualLayout>
              <c:xMode val="edge"/>
              <c:yMode val="edge"/>
              <c:x val="2.3293941505218341E-2"/>
              <c:y val="0.3934785747409989"/>
            </c:manualLayout>
          </c:layout>
          <c:overlay val="0"/>
        </c:title>
        <c:numFmt formatCode="#,##0" sourceLinked="0"/>
        <c:majorTickMark val="out"/>
        <c:minorTickMark val="none"/>
        <c:tickLblPos val="nextTo"/>
        <c:spPr>
          <a:ln>
            <a:solidFill>
              <a:schemeClr val="tx1"/>
            </a:solidFill>
          </a:ln>
        </c:spPr>
        <c:crossAx val="10962726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legend>
      <c:legendPos val="r"/>
      <c:layout>
        <c:manualLayout>
          <c:xMode val="edge"/>
          <c:yMode val="edge"/>
          <c:x val="0.7410877091574537"/>
          <c:y val="0.11852616783557793"/>
          <c:w val="0.23395449637266955"/>
          <c:h val="0.18032480912563525"/>
        </c:manualLayout>
      </c:layout>
      <c:overlay val="1"/>
      <c:spPr>
        <a:solidFill>
          <a:schemeClr val="bg1"/>
        </a:solidFill>
        <a:ln>
          <a:solidFill>
            <a:schemeClr val="tx1"/>
          </a:solidFill>
        </a:ln>
      </c:sp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Probability vs. Severity</a:t>
            </a:r>
          </a:p>
        </c:rich>
      </c:tx>
      <c:layout>
        <c:manualLayout>
          <c:xMode val="edge"/>
          <c:yMode val="edge"/>
          <c:x val="0.41680166364312743"/>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Scores'!$F$8</c:f>
              <c:strCache>
                <c:ptCount val="1"/>
                <c:pt idx="0">
                  <c:v>Not Calculated</c:v>
                </c:pt>
              </c:strCache>
            </c:strRef>
          </c:xVal>
          <c:yVal>
            <c:numRef>
              <c:f>'Summary of Scores'!$C$8</c:f>
              <c:numCache>
                <c:formatCode>General</c:formatCode>
                <c:ptCount val="1"/>
                <c:pt idx="0">
                  <c:v>3</c:v>
                </c:pt>
              </c:numCache>
            </c:numRef>
          </c:yVal>
          <c:smooth val="0"/>
          <c:extLst>
            <c:ext xmlns:c16="http://schemas.microsoft.com/office/drawing/2014/chart" uri="{C3380CC4-5D6E-409C-BE32-E72D297353CC}">
              <c16:uniqueId val="{00000000-71E1-47E6-B76C-60CC4C10B5C9}"/>
            </c:ext>
          </c:extLst>
        </c:ser>
        <c:ser>
          <c:idx val="1"/>
          <c:order val="1"/>
          <c:tx>
            <c:strRef>
              <c:f>'Summary of Scores'!$B$9</c:f>
              <c:strCache>
                <c:ptCount val="1"/>
                <c:pt idx="0">
                  <c:v>Bio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Scores'!$F$9</c:f>
              <c:strCache>
                <c:ptCount val="1"/>
                <c:pt idx="0">
                  <c:v>Not Calculated</c:v>
                </c:pt>
              </c:strCache>
            </c:strRef>
          </c:xVal>
          <c:yVal>
            <c:numRef>
              <c:f>'Summary of Scores'!$C$9</c:f>
              <c:numCache>
                <c:formatCode>General</c:formatCode>
                <c:ptCount val="1"/>
                <c:pt idx="0">
                  <c:v>1</c:v>
                </c:pt>
              </c:numCache>
            </c:numRef>
          </c:yVal>
          <c:smooth val="0"/>
          <c:extLst>
            <c:ext xmlns:c16="http://schemas.microsoft.com/office/drawing/2014/chart" uri="{C3380CC4-5D6E-409C-BE32-E72D297353CC}">
              <c16:uniqueId val="{00000001-71E1-47E6-B76C-60CC4C10B5C9}"/>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Scores'!$F$10</c:f>
              <c:strCache>
                <c:ptCount val="1"/>
                <c:pt idx="0">
                  <c:v>Not Calculated</c:v>
                </c:pt>
              </c:strCache>
            </c:strRef>
          </c:xVal>
          <c:yVal>
            <c:numRef>
              <c:f>'Summary of Scores'!$C$10</c:f>
              <c:numCache>
                <c:formatCode>General</c:formatCode>
                <c:ptCount val="1"/>
                <c:pt idx="0">
                  <c:v>1</c:v>
                </c:pt>
              </c:numCache>
            </c:numRef>
          </c:yVal>
          <c:smooth val="0"/>
          <c:extLst>
            <c:ext xmlns:c16="http://schemas.microsoft.com/office/drawing/2014/chart" uri="{C3380CC4-5D6E-409C-BE32-E72D297353CC}">
              <c16:uniqueId val="{00000002-71E1-47E6-B76C-60CC4C10B5C9}"/>
            </c:ext>
          </c:extLst>
        </c:ser>
        <c:ser>
          <c:idx val="3"/>
          <c:order val="3"/>
          <c:tx>
            <c:strRef>
              <c:f>'Summary of Scores'!$B$11</c:f>
              <c:strCache>
                <c:ptCount val="1"/>
                <c:pt idx="0">
                  <c:v>Civil Disturbance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Scores'!$F$11</c:f>
              <c:strCache>
                <c:ptCount val="1"/>
                <c:pt idx="0">
                  <c:v>Not Calculated</c:v>
                </c:pt>
              </c:strCache>
            </c:strRef>
          </c:xVal>
          <c:yVal>
            <c:numRef>
              <c:f>'Summary of Scores'!$C$11</c:f>
              <c:numCache>
                <c:formatCode>General</c:formatCode>
                <c:ptCount val="1"/>
                <c:pt idx="0">
                  <c:v>2</c:v>
                </c:pt>
              </c:numCache>
            </c:numRef>
          </c:yVal>
          <c:smooth val="0"/>
          <c:extLst>
            <c:ext xmlns:c16="http://schemas.microsoft.com/office/drawing/2014/chart" uri="{C3380CC4-5D6E-409C-BE32-E72D297353CC}">
              <c16:uniqueId val="{00000003-71E1-47E6-B76C-60CC4C10B5C9}"/>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Scores'!$F$12</c:f>
              <c:strCache>
                <c:ptCount val="1"/>
                <c:pt idx="0">
                  <c:v>Not Calculated</c:v>
                </c:pt>
              </c:strCache>
            </c:strRef>
          </c:xVal>
          <c:yVal>
            <c:numRef>
              <c:f>'Summary of Scores'!$C$12</c:f>
              <c:numCache>
                <c:formatCode>General</c:formatCode>
                <c:ptCount val="1"/>
                <c:pt idx="0">
                  <c:v>4</c:v>
                </c:pt>
              </c:numCache>
            </c:numRef>
          </c:yVal>
          <c:smooth val="0"/>
          <c:extLst>
            <c:ext xmlns:c16="http://schemas.microsoft.com/office/drawing/2014/chart" uri="{C3380CC4-5D6E-409C-BE32-E72D297353CC}">
              <c16:uniqueId val="{00000004-71E1-47E6-B76C-60CC4C10B5C9}"/>
            </c:ext>
          </c:extLst>
        </c:ser>
        <c:ser>
          <c:idx val="5"/>
          <c:order val="5"/>
          <c:tx>
            <c:strRef>
              <c:f>'Summary of Scores'!$B$13</c:f>
              <c:strCache>
                <c:ptCount val="1"/>
                <c:pt idx="0">
                  <c:v>Conv Explosive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Scores'!$F$13</c:f>
              <c:strCache>
                <c:ptCount val="1"/>
                <c:pt idx="0">
                  <c:v>Not Calculated</c:v>
                </c:pt>
              </c:strCache>
            </c:strRef>
          </c:xVal>
          <c:yVal>
            <c:numRef>
              <c:f>'Summary of Scores'!$C$13</c:f>
              <c:numCache>
                <c:formatCode>General</c:formatCode>
                <c:ptCount val="1"/>
                <c:pt idx="0">
                  <c:v>2</c:v>
                </c:pt>
              </c:numCache>
            </c:numRef>
          </c:yVal>
          <c:smooth val="0"/>
          <c:extLst>
            <c:ext xmlns:c16="http://schemas.microsoft.com/office/drawing/2014/chart" uri="{C3380CC4-5D6E-409C-BE32-E72D297353CC}">
              <c16:uniqueId val="{00000005-71E1-47E6-B76C-60CC4C10B5C9}"/>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Scores'!$F$14</c:f>
              <c:strCache>
                <c:ptCount val="1"/>
                <c:pt idx="0">
                  <c:v>Not Calculated</c:v>
                </c:pt>
              </c:strCache>
            </c:strRef>
          </c:xVal>
          <c:yVal>
            <c:numRef>
              <c:f>'Summary of Scores'!$C$14</c:f>
              <c:numCache>
                <c:formatCode>General</c:formatCode>
                <c:ptCount val="1"/>
                <c:pt idx="0">
                  <c:v>1</c:v>
                </c:pt>
              </c:numCache>
            </c:numRef>
          </c:yVal>
          <c:smooth val="0"/>
          <c:extLst>
            <c:ext xmlns:c16="http://schemas.microsoft.com/office/drawing/2014/chart" uri="{C3380CC4-5D6E-409C-BE32-E72D297353CC}">
              <c16:uniqueId val="{00000006-71E1-47E6-B76C-60CC4C10B5C9}"/>
            </c:ext>
          </c:extLst>
        </c:ser>
        <c:ser>
          <c:idx val="7"/>
          <c:order val="7"/>
          <c:tx>
            <c:strRef>
              <c:f>'Summary of Scores'!$B$15</c:f>
              <c:strCache>
                <c:ptCount val="1"/>
                <c:pt idx="0">
                  <c:v>Drought</c:v>
                </c:pt>
              </c:strCache>
            </c:strRef>
          </c:tx>
          <c:spPr>
            <a:ln w="66675">
              <a:noFill/>
            </a:ln>
          </c:spPr>
          <c:dLbls>
            <c:dLbl>
              <c:idx val="0"/>
              <c:layout>
                <c:manualLayout>
                  <c:x val="-6.2506870656037883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71E1-47E6-B76C-60CC4C10B5C9}"/>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Scores'!$F$15</c:f>
              <c:strCache>
                <c:ptCount val="1"/>
                <c:pt idx="0">
                  <c:v>Not Calculated</c:v>
                </c:pt>
              </c:strCache>
            </c:strRef>
          </c:xVal>
          <c:yVal>
            <c:numRef>
              <c:f>'Summary of Scores'!$C$15</c:f>
              <c:numCache>
                <c:formatCode>General</c:formatCode>
                <c:ptCount val="1"/>
                <c:pt idx="0">
                  <c:v>3</c:v>
                </c:pt>
              </c:numCache>
            </c:numRef>
          </c:yVal>
          <c:smooth val="0"/>
          <c:extLst>
            <c:ext xmlns:c16="http://schemas.microsoft.com/office/drawing/2014/chart" uri="{C3380CC4-5D6E-409C-BE32-E72D297353CC}">
              <c16:uniqueId val="{00000008-71E1-47E6-B76C-60CC4C10B5C9}"/>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Scores'!$F$16</c:f>
              <c:strCache>
                <c:ptCount val="1"/>
                <c:pt idx="0">
                  <c:v>Not Calculated</c:v>
                </c:pt>
              </c:strCache>
            </c:strRef>
          </c:xVal>
          <c:yVal>
            <c:numRef>
              <c:f>'Summary of Scores'!$C$16</c:f>
              <c:numCache>
                <c:formatCode>General</c:formatCode>
                <c:ptCount val="1"/>
                <c:pt idx="0">
                  <c:v>3</c:v>
                </c:pt>
              </c:numCache>
            </c:numRef>
          </c:yVal>
          <c:smooth val="0"/>
          <c:extLst>
            <c:ext xmlns:c16="http://schemas.microsoft.com/office/drawing/2014/chart" uri="{C3380CC4-5D6E-409C-BE32-E72D297353CC}">
              <c16:uniqueId val="{00000009-71E1-47E6-B76C-60CC4C10B5C9}"/>
            </c:ext>
          </c:extLst>
        </c:ser>
        <c:ser>
          <c:idx val="9"/>
          <c:order val="9"/>
          <c:tx>
            <c:strRef>
              <c:f>'Summary of Scores'!$B$17</c:f>
              <c:strCache>
                <c:ptCount val="1"/>
                <c:pt idx="0">
                  <c:v>Fire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Scores'!$F$17</c:f>
              <c:strCache>
                <c:ptCount val="1"/>
                <c:pt idx="0">
                  <c:v>Not Calculated</c:v>
                </c:pt>
              </c:strCache>
            </c:strRef>
          </c:xVal>
          <c:yVal>
            <c:numRef>
              <c:f>'Summary of Scores'!$C$17</c:f>
              <c:numCache>
                <c:formatCode>General</c:formatCode>
                <c:ptCount val="1"/>
                <c:pt idx="0">
                  <c:v>4</c:v>
                </c:pt>
              </c:numCache>
            </c:numRef>
          </c:yVal>
          <c:smooth val="0"/>
          <c:extLst>
            <c:ext xmlns:c16="http://schemas.microsoft.com/office/drawing/2014/chart" uri="{C3380CC4-5D6E-409C-BE32-E72D297353CC}">
              <c16:uniqueId val="{0000000A-71E1-47E6-B76C-60CC4C10B5C9}"/>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Scores'!$F$18</c:f>
              <c:strCache>
                <c:ptCount val="1"/>
                <c:pt idx="0">
                  <c:v>Not Calculated</c:v>
                </c:pt>
              </c:strCache>
            </c:strRef>
          </c:xVal>
          <c:yVal>
            <c:numRef>
              <c:f>'Summary of Scores'!$C$18</c:f>
              <c:numCache>
                <c:formatCode>General</c:formatCode>
                <c:ptCount val="1"/>
                <c:pt idx="0">
                  <c:v>4</c:v>
                </c:pt>
              </c:numCache>
            </c:numRef>
          </c:yVal>
          <c:smooth val="0"/>
          <c:extLst>
            <c:ext xmlns:c16="http://schemas.microsoft.com/office/drawing/2014/chart" uri="{C3380CC4-5D6E-409C-BE32-E72D297353CC}">
              <c16:uniqueId val="{0000000B-71E1-47E6-B76C-60CC4C10B5C9}"/>
            </c:ext>
          </c:extLst>
        </c:ser>
        <c:ser>
          <c:idx val="11"/>
          <c:order val="11"/>
          <c:tx>
            <c:strRef>
              <c:f>'Summary of Scores'!$B$19</c:f>
              <c:strCache>
                <c:ptCount val="1"/>
                <c:pt idx="0">
                  <c:v>HazMat Release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Scores'!$F$19</c:f>
              <c:strCache>
                <c:ptCount val="1"/>
                <c:pt idx="0">
                  <c:v>Not Calculated</c:v>
                </c:pt>
              </c:strCache>
            </c:strRef>
          </c:xVal>
          <c:yVal>
            <c:numRef>
              <c:f>'Summary of Scores'!$C$19</c:f>
              <c:numCache>
                <c:formatCode>General</c:formatCode>
                <c:ptCount val="1"/>
                <c:pt idx="0">
                  <c:v>2</c:v>
                </c:pt>
              </c:numCache>
            </c:numRef>
          </c:yVal>
          <c:smooth val="0"/>
          <c:extLst>
            <c:ext xmlns:c16="http://schemas.microsoft.com/office/drawing/2014/chart" uri="{C3380CC4-5D6E-409C-BE32-E72D297353CC}">
              <c16:uniqueId val="{0000000C-71E1-47E6-B76C-60CC4C10B5C9}"/>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Scores'!$F$20</c:f>
              <c:strCache>
                <c:ptCount val="1"/>
                <c:pt idx="0">
                  <c:v>Not Calculated</c:v>
                </c:pt>
              </c:strCache>
            </c:strRef>
          </c:xVal>
          <c:yVal>
            <c:numRef>
              <c:f>'Summary of Scores'!$C$20</c:f>
              <c:numCache>
                <c:formatCode>General</c:formatCode>
                <c:ptCount val="1"/>
                <c:pt idx="0">
                  <c:v>4</c:v>
                </c:pt>
              </c:numCache>
            </c:numRef>
          </c:yVal>
          <c:smooth val="0"/>
          <c:extLst>
            <c:ext xmlns:c16="http://schemas.microsoft.com/office/drawing/2014/chart" uri="{C3380CC4-5D6E-409C-BE32-E72D297353CC}">
              <c16:uniqueId val="{0000000D-71E1-47E6-B76C-60CC4C10B5C9}"/>
            </c:ext>
          </c:extLst>
        </c:ser>
        <c:ser>
          <c:idx val="13"/>
          <c:order val="13"/>
          <c:tx>
            <c:strRef>
              <c:f>'Summary of Scores'!$B$21</c:f>
              <c:strCache>
                <c:ptCount val="1"/>
                <c:pt idx="0">
                  <c:v>Nuclear Facility</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Scores'!$F$21</c:f>
              <c:strCache>
                <c:ptCount val="1"/>
                <c:pt idx="0">
                  <c:v>Not Calculated</c:v>
                </c:pt>
              </c:strCache>
            </c:strRef>
          </c:xVal>
          <c:yVal>
            <c:numRef>
              <c:f>'Summary of Scores'!$C$21</c:f>
              <c:numCache>
                <c:formatCode>General</c:formatCode>
                <c:ptCount val="1"/>
                <c:pt idx="0">
                  <c:v>1</c:v>
                </c:pt>
              </c:numCache>
            </c:numRef>
          </c:yVal>
          <c:smooth val="0"/>
          <c:extLst>
            <c:ext xmlns:c16="http://schemas.microsoft.com/office/drawing/2014/chart" uri="{C3380CC4-5D6E-409C-BE32-E72D297353CC}">
              <c16:uniqueId val="{0000000E-71E1-47E6-B76C-60CC4C10B5C9}"/>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Scores'!$F$22</c:f>
              <c:strCache>
                <c:ptCount val="1"/>
                <c:pt idx="0">
                  <c:v>Not Calculated</c:v>
                </c:pt>
              </c:strCache>
            </c:strRef>
          </c:xVal>
          <c:yVal>
            <c:numRef>
              <c:f>'Summary of Scores'!$C$22</c:f>
              <c:numCache>
                <c:formatCode>General</c:formatCode>
                <c:ptCount val="1"/>
                <c:pt idx="0">
                  <c:v>3</c:v>
                </c:pt>
              </c:numCache>
            </c:numRef>
          </c:yVal>
          <c:smooth val="0"/>
          <c:extLst>
            <c:ext xmlns:c16="http://schemas.microsoft.com/office/drawing/2014/chart" uri="{C3380CC4-5D6E-409C-BE32-E72D297353CC}">
              <c16:uniqueId val="{0000000F-71E1-47E6-B76C-60CC4C10B5C9}"/>
            </c:ext>
          </c:extLst>
        </c:ser>
        <c:ser>
          <c:idx val="15"/>
          <c:order val="15"/>
          <c:tx>
            <c:strRef>
              <c:f>'Summary of Scores'!$B$23</c:f>
              <c:strCache>
                <c:ptCount val="1"/>
                <c:pt idx="0">
                  <c:v>RDD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Scores'!$F$23</c:f>
              <c:strCache>
                <c:ptCount val="1"/>
                <c:pt idx="0">
                  <c:v>Not Calculated</c:v>
                </c:pt>
              </c:strCache>
            </c:strRef>
          </c:xVal>
          <c:yVal>
            <c:numRef>
              <c:f>'Summary of Scores'!$C$23</c:f>
              <c:numCache>
                <c:formatCode>General</c:formatCode>
                <c:ptCount val="1"/>
                <c:pt idx="0">
                  <c:v>1</c:v>
                </c:pt>
              </c:numCache>
            </c:numRef>
          </c:yVal>
          <c:smooth val="0"/>
          <c:extLst>
            <c:ext xmlns:c16="http://schemas.microsoft.com/office/drawing/2014/chart" uri="{C3380CC4-5D6E-409C-BE32-E72D297353CC}">
              <c16:uniqueId val="{00000010-71E1-47E6-B76C-60CC4C10B5C9}"/>
            </c:ext>
          </c:extLst>
        </c:ser>
        <c:ser>
          <c:idx val="16"/>
          <c:order val="16"/>
          <c:tx>
            <c:strRef>
              <c:f>'Summary of Scores'!$B$24</c:f>
              <c:strCache>
                <c:ptCount val="1"/>
                <c:pt idx="0">
                  <c:v>Temp Extremes</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Scores'!$F$24</c:f>
              <c:strCache>
                <c:ptCount val="1"/>
                <c:pt idx="0">
                  <c:v>Not Calculated</c:v>
                </c:pt>
              </c:strCache>
            </c:strRef>
          </c:xVal>
          <c:yVal>
            <c:numRef>
              <c:f>'Summary of Scores'!$C$24</c:f>
              <c:numCache>
                <c:formatCode>General</c:formatCode>
                <c:ptCount val="1"/>
                <c:pt idx="0">
                  <c:v>3</c:v>
                </c:pt>
              </c:numCache>
            </c:numRef>
          </c:yVal>
          <c:smooth val="0"/>
          <c:extLst>
            <c:ext xmlns:c16="http://schemas.microsoft.com/office/drawing/2014/chart" uri="{C3380CC4-5D6E-409C-BE32-E72D297353CC}">
              <c16:uniqueId val="{00000011-71E1-47E6-B76C-60CC4C10B5C9}"/>
            </c:ext>
          </c:extLst>
        </c:ser>
        <c:ser>
          <c:idx val="17"/>
          <c:order val="17"/>
          <c:tx>
            <c:strRef>
              <c:f>'Summary of Scores'!$B$25</c:f>
              <c:strCache>
                <c:ptCount val="1"/>
                <c:pt idx="0">
                  <c:v>Tornado</c:v>
                </c:pt>
              </c:strCache>
            </c:strRef>
          </c:tx>
          <c:spPr>
            <a:ln w="66675">
              <a:noFill/>
            </a:ln>
          </c:spPr>
          <c:dLbls>
            <c:dLbl>
              <c:idx val="0"/>
              <c:layout>
                <c:manualLayout>
                  <c:x val="-3.980537748766534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1E1-47E6-B76C-60CC4C10B5C9}"/>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Scores'!$F$25</c:f>
              <c:strCache>
                <c:ptCount val="1"/>
                <c:pt idx="0">
                  <c:v>Not Calculated</c:v>
                </c:pt>
              </c:strCache>
            </c:strRef>
          </c:xVal>
          <c:yVal>
            <c:numRef>
              <c:f>'Summary of Scores'!$C$25</c:f>
              <c:numCache>
                <c:formatCode>General</c:formatCode>
                <c:ptCount val="1"/>
                <c:pt idx="0">
                  <c:v>2</c:v>
                </c:pt>
              </c:numCache>
            </c:numRef>
          </c:yVal>
          <c:smooth val="0"/>
          <c:extLst>
            <c:ext xmlns:c16="http://schemas.microsoft.com/office/drawing/2014/chart" uri="{C3380CC4-5D6E-409C-BE32-E72D297353CC}">
              <c16:uniqueId val="{00000013-71E1-47E6-B76C-60CC4C10B5C9}"/>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Scores'!$F$26</c:f>
              <c:strCache>
                <c:ptCount val="1"/>
                <c:pt idx="0">
                  <c:v>Not Calculated</c:v>
                </c:pt>
              </c:strCache>
            </c:strRef>
          </c:xVal>
          <c:yVal>
            <c:numRef>
              <c:f>'Summary of Scores'!$C$26</c:f>
              <c:numCache>
                <c:formatCode>General</c:formatCode>
                <c:ptCount val="1"/>
                <c:pt idx="0">
                  <c:v>3</c:v>
                </c:pt>
              </c:numCache>
            </c:numRef>
          </c:yVal>
          <c:smooth val="0"/>
          <c:extLst>
            <c:ext xmlns:c16="http://schemas.microsoft.com/office/drawing/2014/chart" uri="{C3380CC4-5D6E-409C-BE32-E72D297353CC}">
              <c16:uniqueId val="{00000014-71E1-47E6-B76C-60CC4C10B5C9}"/>
            </c:ext>
          </c:extLst>
        </c:ser>
        <c:ser>
          <c:idx val="19"/>
          <c:order val="19"/>
          <c:tx>
            <c:strRef>
              <c:f>'Summary of Scores'!$B$27</c:f>
              <c:strCache>
                <c:ptCount val="1"/>
                <c:pt idx="0">
                  <c:v>Winter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Scores'!$F$27</c:f>
              <c:strCache>
                <c:ptCount val="1"/>
                <c:pt idx="0">
                  <c:v>Not Calculated</c:v>
                </c:pt>
              </c:strCache>
            </c:strRef>
          </c:xVal>
          <c:yVal>
            <c:numRef>
              <c:f>'Summary of Scores'!$C$27</c:f>
              <c:numCache>
                <c:formatCode>General</c:formatCode>
                <c:ptCount val="1"/>
                <c:pt idx="0">
                  <c:v>4</c:v>
                </c:pt>
              </c:numCache>
            </c:numRef>
          </c:yVal>
          <c:smooth val="0"/>
          <c:extLst>
            <c:ext xmlns:c16="http://schemas.microsoft.com/office/drawing/2014/chart" uri="{C3380CC4-5D6E-409C-BE32-E72D297353CC}">
              <c16:uniqueId val="{00000015-71E1-47E6-B76C-60CC4C10B5C9}"/>
            </c:ext>
          </c:extLst>
        </c:ser>
        <c:dLbls>
          <c:showLegendKey val="0"/>
          <c:showVal val="1"/>
          <c:showCatName val="0"/>
          <c:showSerName val="0"/>
          <c:showPercent val="0"/>
          <c:showBubbleSize val="0"/>
        </c:dLbls>
        <c:axId val="116716672"/>
        <c:axId val="116718592"/>
      </c:scatterChart>
      <c:valAx>
        <c:axId val="116716672"/>
        <c:scaling>
          <c:orientation val="minMax"/>
          <c:max val="4.5"/>
          <c:min val="0"/>
        </c:scaling>
        <c:delete val="0"/>
        <c:axPos val="b"/>
        <c:majorGridlines/>
        <c:title>
          <c:tx>
            <c:rich>
              <a:bodyPr/>
              <a:lstStyle/>
              <a:p>
                <a:pPr>
                  <a:defRPr b="0">
                    <a:latin typeface="+mj-lt"/>
                  </a:defRPr>
                </a:pPr>
                <a:r>
                  <a:rPr lang="en-US" sz="1600" b="0">
                    <a:latin typeface="+mj-lt"/>
                  </a:rPr>
                  <a:t>Severity</a:t>
                </a:r>
              </a:p>
            </c:rich>
          </c:tx>
          <c:overlay val="0"/>
        </c:title>
        <c:numFmt formatCode="#,##0.00" sourceLinked="1"/>
        <c:majorTickMark val="out"/>
        <c:minorTickMark val="none"/>
        <c:tickLblPos val="nextTo"/>
        <c:spPr>
          <a:ln>
            <a:solidFill>
              <a:schemeClr val="tx1"/>
            </a:solidFill>
          </a:ln>
        </c:spPr>
        <c:crossAx val="116718592"/>
        <c:crosses val="autoZero"/>
        <c:crossBetween val="midCat"/>
        <c:majorUnit val="1"/>
        <c:minorUnit val="0.1"/>
      </c:valAx>
      <c:valAx>
        <c:axId val="116718592"/>
        <c:scaling>
          <c:orientation val="minMax"/>
          <c:max val="4.5"/>
          <c:min val="0"/>
        </c:scaling>
        <c:delete val="0"/>
        <c:axPos val="l"/>
        <c:majorGridlines/>
        <c:title>
          <c:tx>
            <c:rich>
              <a:bodyPr rot="-5400000" vert="horz"/>
              <a:lstStyle/>
              <a:p>
                <a:pPr>
                  <a:defRPr sz="1600" b="0">
                    <a:latin typeface="+mj-lt"/>
                  </a:defRPr>
                </a:pPr>
                <a:r>
                  <a:rPr lang="en-US" sz="1600" b="0">
                    <a:latin typeface="+mj-lt"/>
                  </a:rPr>
                  <a:t>Probability</a:t>
                </a:r>
              </a:p>
            </c:rich>
          </c:tx>
          <c:overlay val="0"/>
        </c:title>
        <c:numFmt formatCode="General" sourceLinked="1"/>
        <c:majorTickMark val="out"/>
        <c:minorTickMark val="none"/>
        <c:tickLblPos val="nextTo"/>
        <c:spPr>
          <a:ln>
            <a:solidFill>
              <a:schemeClr val="tx1"/>
            </a:solidFill>
          </a:ln>
        </c:spPr>
        <c:crossAx val="116716672"/>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Probability vs. Public Health System Severity</a:t>
            </a:r>
          </a:p>
        </c:rich>
      </c:tx>
      <c:layout>
        <c:manualLayout>
          <c:xMode val="edge"/>
          <c:yMode val="edge"/>
          <c:x val="0.27227936656616808"/>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dLbl>
              <c:idx val="0"/>
              <c:layout>
                <c:manualLayout>
                  <c:x val="-8.4388243291149939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89B3-4BA2-B81E-F53C0F1C2137}"/>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Scores'!$D$8</c:f>
              <c:strCache>
                <c:ptCount val="1"/>
                <c:pt idx="0">
                  <c:v>Not Calculated</c:v>
                </c:pt>
              </c:strCache>
            </c:strRef>
          </c:xVal>
          <c:yVal>
            <c:numRef>
              <c:f>'Summary of Scores'!$C$8</c:f>
              <c:numCache>
                <c:formatCode>General</c:formatCode>
                <c:ptCount val="1"/>
                <c:pt idx="0">
                  <c:v>3</c:v>
                </c:pt>
              </c:numCache>
            </c:numRef>
          </c:yVal>
          <c:smooth val="0"/>
          <c:extLst>
            <c:ext xmlns:c16="http://schemas.microsoft.com/office/drawing/2014/chart" uri="{C3380CC4-5D6E-409C-BE32-E72D297353CC}">
              <c16:uniqueId val="{00000001-89B3-4BA2-B81E-F53C0F1C2137}"/>
            </c:ext>
          </c:extLst>
        </c:ser>
        <c:ser>
          <c:idx val="1"/>
          <c:order val="1"/>
          <c:tx>
            <c:strRef>
              <c:f>'Summary of Scores'!$B$9</c:f>
              <c:strCache>
                <c:ptCount val="1"/>
                <c:pt idx="0">
                  <c:v>Bio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Scores'!$D$9</c:f>
              <c:strCache>
                <c:ptCount val="1"/>
                <c:pt idx="0">
                  <c:v>Not Calculated</c:v>
                </c:pt>
              </c:strCache>
            </c:strRef>
          </c:xVal>
          <c:yVal>
            <c:numRef>
              <c:f>'Summary of Scores'!$C$9</c:f>
              <c:numCache>
                <c:formatCode>General</c:formatCode>
                <c:ptCount val="1"/>
                <c:pt idx="0">
                  <c:v>1</c:v>
                </c:pt>
              </c:numCache>
            </c:numRef>
          </c:yVal>
          <c:smooth val="0"/>
          <c:extLst>
            <c:ext xmlns:c16="http://schemas.microsoft.com/office/drawing/2014/chart" uri="{C3380CC4-5D6E-409C-BE32-E72D297353CC}">
              <c16:uniqueId val="{00000002-89B3-4BA2-B81E-F53C0F1C2137}"/>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Scores'!$D$10</c:f>
              <c:strCache>
                <c:ptCount val="1"/>
                <c:pt idx="0">
                  <c:v>Not Calculated</c:v>
                </c:pt>
              </c:strCache>
            </c:strRef>
          </c:xVal>
          <c:yVal>
            <c:numRef>
              <c:f>'Summary of Scores'!$C$10</c:f>
              <c:numCache>
                <c:formatCode>General</c:formatCode>
                <c:ptCount val="1"/>
                <c:pt idx="0">
                  <c:v>1</c:v>
                </c:pt>
              </c:numCache>
            </c:numRef>
          </c:yVal>
          <c:smooth val="0"/>
          <c:extLst>
            <c:ext xmlns:c16="http://schemas.microsoft.com/office/drawing/2014/chart" uri="{C3380CC4-5D6E-409C-BE32-E72D297353CC}">
              <c16:uniqueId val="{00000003-89B3-4BA2-B81E-F53C0F1C2137}"/>
            </c:ext>
          </c:extLst>
        </c:ser>
        <c:ser>
          <c:idx val="3"/>
          <c:order val="3"/>
          <c:tx>
            <c:strRef>
              <c:f>'Summary of Scores'!$B$11</c:f>
              <c:strCache>
                <c:ptCount val="1"/>
                <c:pt idx="0">
                  <c:v>Civil Disturbance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Scores'!$D$11</c:f>
              <c:strCache>
                <c:ptCount val="1"/>
                <c:pt idx="0">
                  <c:v>Not Calculated</c:v>
                </c:pt>
              </c:strCache>
            </c:strRef>
          </c:xVal>
          <c:yVal>
            <c:numRef>
              <c:f>'Summary of Scores'!$C$11</c:f>
              <c:numCache>
                <c:formatCode>General</c:formatCode>
                <c:ptCount val="1"/>
                <c:pt idx="0">
                  <c:v>2</c:v>
                </c:pt>
              </c:numCache>
            </c:numRef>
          </c:yVal>
          <c:smooth val="0"/>
          <c:extLst>
            <c:ext xmlns:c16="http://schemas.microsoft.com/office/drawing/2014/chart" uri="{C3380CC4-5D6E-409C-BE32-E72D297353CC}">
              <c16:uniqueId val="{00000004-89B3-4BA2-B81E-F53C0F1C2137}"/>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Scores'!$D$12</c:f>
              <c:strCache>
                <c:ptCount val="1"/>
                <c:pt idx="0">
                  <c:v>Not Calculated</c:v>
                </c:pt>
              </c:strCache>
            </c:strRef>
          </c:xVal>
          <c:yVal>
            <c:numRef>
              <c:f>'Summary of Scores'!$C$12</c:f>
              <c:numCache>
                <c:formatCode>General</c:formatCode>
                <c:ptCount val="1"/>
                <c:pt idx="0">
                  <c:v>4</c:v>
                </c:pt>
              </c:numCache>
            </c:numRef>
          </c:yVal>
          <c:smooth val="0"/>
          <c:extLst>
            <c:ext xmlns:c16="http://schemas.microsoft.com/office/drawing/2014/chart" uri="{C3380CC4-5D6E-409C-BE32-E72D297353CC}">
              <c16:uniqueId val="{00000005-89B3-4BA2-B81E-F53C0F1C2137}"/>
            </c:ext>
          </c:extLst>
        </c:ser>
        <c:ser>
          <c:idx val="5"/>
          <c:order val="5"/>
          <c:tx>
            <c:strRef>
              <c:f>'Summary of Scores'!$B$13</c:f>
              <c:strCache>
                <c:ptCount val="1"/>
                <c:pt idx="0">
                  <c:v>Conv Explosive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Scores'!$D$13</c:f>
              <c:strCache>
                <c:ptCount val="1"/>
                <c:pt idx="0">
                  <c:v>Not Calculated</c:v>
                </c:pt>
              </c:strCache>
            </c:strRef>
          </c:xVal>
          <c:yVal>
            <c:numRef>
              <c:f>'Summary of Scores'!$C$13</c:f>
              <c:numCache>
                <c:formatCode>General</c:formatCode>
                <c:ptCount val="1"/>
                <c:pt idx="0">
                  <c:v>2</c:v>
                </c:pt>
              </c:numCache>
            </c:numRef>
          </c:yVal>
          <c:smooth val="0"/>
          <c:extLst>
            <c:ext xmlns:c16="http://schemas.microsoft.com/office/drawing/2014/chart" uri="{C3380CC4-5D6E-409C-BE32-E72D297353CC}">
              <c16:uniqueId val="{00000006-89B3-4BA2-B81E-F53C0F1C2137}"/>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Scores'!$D$14</c:f>
              <c:strCache>
                <c:ptCount val="1"/>
                <c:pt idx="0">
                  <c:v>Not Calculated</c:v>
                </c:pt>
              </c:strCache>
            </c:strRef>
          </c:xVal>
          <c:yVal>
            <c:numRef>
              <c:f>'Summary of Scores'!$C$14</c:f>
              <c:numCache>
                <c:formatCode>General</c:formatCode>
                <c:ptCount val="1"/>
                <c:pt idx="0">
                  <c:v>1</c:v>
                </c:pt>
              </c:numCache>
            </c:numRef>
          </c:yVal>
          <c:smooth val="0"/>
          <c:extLst>
            <c:ext xmlns:c16="http://schemas.microsoft.com/office/drawing/2014/chart" uri="{C3380CC4-5D6E-409C-BE32-E72D297353CC}">
              <c16:uniqueId val="{00000007-89B3-4BA2-B81E-F53C0F1C2137}"/>
            </c:ext>
          </c:extLst>
        </c:ser>
        <c:ser>
          <c:idx val="7"/>
          <c:order val="7"/>
          <c:tx>
            <c:strRef>
              <c:f>'Summary of Scores'!$B$15</c:f>
              <c:strCache>
                <c:ptCount val="1"/>
                <c:pt idx="0">
                  <c:v>Drought</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Scores'!$D$15</c:f>
              <c:strCache>
                <c:ptCount val="1"/>
                <c:pt idx="0">
                  <c:v>Not Calculated</c:v>
                </c:pt>
              </c:strCache>
            </c:strRef>
          </c:xVal>
          <c:yVal>
            <c:numRef>
              <c:f>'Summary of Scores'!$C$15</c:f>
              <c:numCache>
                <c:formatCode>General</c:formatCode>
                <c:ptCount val="1"/>
                <c:pt idx="0">
                  <c:v>3</c:v>
                </c:pt>
              </c:numCache>
            </c:numRef>
          </c:yVal>
          <c:smooth val="0"/>
          <c:extLst>
            <c:ext xmlns:c16="http://schemas.microsoft.com/office/drawing/2014/chart" uri="{C3380CC4-5D6E-409C-BE32-E72D297353CC}">
              <c16:uniqueId val="{00000008-89B3-4BA2-B81E-F53C0F1C2137}"/>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Scores'!$D$16</c:f>
              <c:strCache>
                <c:ptCount val="1"/>
                <c:pt idx="0">
                  <c:v>Not Calculated</c:v>
                </c:pt>
              </c:strCache>
            </c:strRef>
          </c:xVal>
          <c:yVal>
            <c:numRef>
              <c:f>'Summary of Scores'!$C$16</c:f>
              <c:numCache>
                <c:formatCode>General</c:formatCode>
                <c:ptCount val="1"/>
                <c:pt idx="0">
                  <c:v>3</c:v>
                </c:pt>
              </c:numCache>
            </c:numRef>
          </c:yVal>
          <c:smooth val="0"/>
          <c:extLst>
            <c:ext xmlns:c16="http://schemas.microsoft.com/office/drawing/2014/chart" uri="{C3380CC4-5D6E-409C-BE32-E72D297353CC}">
              <c16:uniqueId val="{00000009-89B3-4BA2-B81E-F53C0F1C2137}"/>
            </c:ext>
          </c:extLst>
        </c:ser>
        <c:ser>
          <c:idx val="9"/>
          <c:order val="9"/>
          <c:tx>
            <c:strRef>
              <c:f>'Summary of Scores'!$B$17</c:f>
              <c:strCache>
                <c:ptCount val="1"/>
                <c:pt idx="0">
                  <c:v>Fire</c:v>
                </c:pt>
              </c:strCache>
            </c:strRef>
          </c:tx>
          <c:spPr>
            <a:ln w="66675">
              <a:noFill/>
            </a:ln>
          </c:spPr>
          <c:dLbls>
            <c:spPr>
              <a:noFill/>
              <a:ln>
                <a:noFill/>
              </a:ln>
              <a:effectLst/>
            </c:spPr>
            <c:txPr>
              <a:bodyPr rot="-2700000" vert="horz"/>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Scores'!$D$17</c:f>
              <c:strCache>
                <c:ptCount val="1"/>
                <c:pt idx="0">
                  <c:v>Not Calculated</c:v>
                </c:pt>
              </c:strCache>
            </c:strRef>
          </c:xVal>
          <c:yVal>
            <c:numRef>
              <c:f>'Summary of Scores'!$C$17</c:f>
              <c:numCache>
                <c:formatCode>General</c:formatCode>
                <c:ptCount val="1"/>
                <c:pt idx="0">
                  <c:v>4</c:v>
                </c:pt>
              </c:numCache>
            </c:numRef>
          </c:yVal>
          <c:smooth val="0"/>
          <c:extLst>
            <c:ext xmlns:c16="http://schemas.microsoft.com/office/drawing/2014/chart" uri="{C3380CC4-5D6E-409C-BE32-E72D297353CC}">
              <c16:uniqueId val="{0000000A-89B3-4BA2-B81E-F53C0F1C2137}"/>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Scores'!$D$18</c:f>
              <c:strCache>
                <c:ptCount val="1"/>
                <c:pt idx="0">
                  <c:v>Not Calculated</c:v>
                </c:pt>
              </c:strCache>
            </c:strRef>
          </c:xVal>
          <c:yVal>
            <c:numRef>
              <c:f>'Summary of Scores'!$C$18</c:f>
              <c:numCache>
                <c:formatCode>General</c:formatCode>
                <c:ptCount val="1"/>
                <c:pt idx="0">
                  <c:v>4</c:v>
                </c:pt>
              </c:numCache>
            </c:numRef>
          </c:yVal>
          <c:smooth val="0"/>
          <c:extLst>
            <c:ext xmlns:c16="http://schemas.microsoft.com/office/drawing/2014/chart" uri="{C3380CC4-5D6E-409C-BE32-E72D297353CC}">
              <c16:uniqueId val="{0000000B-89B3-4BA2-B81E-F53C0F1C2137}"/>
            </c:ext>
          </c:extLst>
        </c:ser>
        <c:ser>
          <c:idx val="11"/>
          <c:order val="11"/>
          <c:tx>
            <c:strRef>
              <c:f>'Summary of Scores'!$B$19</c:f>
              <c:strCache>
                <c:ptCount val="1"/>
                <c:pt idx="0">
                  <c:v>HazMat Release</c:v>
                </c:pt>
              </c:strCache>
            </c:strRef>
          </c:tx>
          <c:spPr>
            <a:ln w="66675">
              <a:noFill/>
            </a:ln>
          </c:spPr>
          <c:dLbls>
            <c:dLbl>
              <c:idx val="0"/>
              <c:spPr/>
              <c:txPr>
                <a:bodyPr rot="-2700000"/>
                <a:lstStyle/>
                <a:p>
                  <a:pPr>
                    <a:defRPr/>
                  </a:pPr>
                  <a:endParaRPr lang="en-US"/>
                </a:p>
              </c:txPr>
              <c:dLblPos val="ctr"/>
              <c:showLegendKey val="0"/>
              <c:showVal val="0"/>
              <c:showCatName val="0"/>
              <c:showSerName val="1"/>
              <c:showPercent val="0"/>
              <c:showBubbleSize val="0"/>
              <c:extLst>
                <c:ext xmlns:c16="http://schemas.microsoft.com/office/drawing/2014/chart" uri="{C3380CC4-5D6E-409C-BE32-E72D297353CC}">
                  <c16:uniqueId val="{0000000C-89B3-4BA2-B81E-F53C0F1C2137}"/>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Scores'!$D$19</c:f>
              <c:strCache>
                <c:ptCount val="1"/>
                <c:pt idx="0">
                  <c:v>Not Calculated</c:v>
                </c:pt>
              </c:strCache>
            </c:strRef>
          </c:xVal>
          <c:yVal>
            <c:numRef>
              <c:f>'Summary of Scores'!$C$19</c:f>
              <c:numCache>
                <c:formatCode>General</c:formatCode>
                <c:ptCount val="1"/>
                <c:pt idx="0">
                  <c:v>2</c:v>
                </c:pt>
              </c:numCache>
            </c:numRef>
          </c:yVal>
          <c:smooth val="0"/>
          <c:extLst>
            <c:ext xmlns:c16="http://schemas.microsoft.com/office/drawing/2014/chart" uri="{C3380CC4-5D6E-409C-BE32-E72D297353CC}">
              <c16:uniqueId val="{0000000D-89B3-4BA2-B81E-F53C0F1C2137}"/>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Scores'!$D$20</c:f>
              <c:strCache>
                <c:ptCount val="1"/>
                <c:pt idx="0">
                  <c:v>Not Calculated</c:v>
                </c:pt>
              </c:strCache>
            </c:strRef>
          </c:xVal>
          <c:yVal>
            <c:numRef>
              <c:f>'Summary of Scores'!$C$20</c:f>
              <c:numCache>
                <c:formatCode>General</c:formatCode>
                <c:ptCount val="1"/>
                <c:pt idx="0">
                  <c:v>4</c:v>
                </c:pt>
              </c:numCache>
            </c:numRef>
          </c:yVal>
          <c:smooth val="0"/>
          <c:extLst>
            <c:ext xmlns:c16="http://schemas.microsoft.com/office/drawing/2014/chart" uri="{C3380CC4-5D6E-409C-BE32-E72D297353CC}">
              <c16:uniqueId val="{0000000E-89B3-4BA2-B81E-F53C0F1C2137}"/>
            </c:ext>
          </c:extLst>
        </c:ser>
        <c:ser>
          <c:idx val="13"/>
          <c:order val="13"/>
          <c:tx>
            <c:strRef>
              <c:f>'Summary of Scores'!$B$21</c:f>
              <c:strCache>
                <c:ptCount val="1"/>
                <c:pt idx="0">
                  <c:v>Nuclear Facility</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Scores'!$D$21</c:f>
              <c:strCache>
                <c:ptCount val="1"/>
                <c:pt idx="0">
                  <c:v>Not Calculated</c:v>
                </c:pt>
              </c:strCache>
            </c:strRef>
          </c:xVal>
          <c:yVal>
            <c:numRef>
              <c:f>'Summary of Scores'!$C$21</c:f>
              <c:numCache>
                <c:formatCode>General</c:formatCode>
                <c:ptCount val="1"/>
                <c:pt idx="0">
                  <c:v>1</c:v>
                </c:pt>
              </c:numCache>
            </c:numRef>
          </c:yVal>
          <c:smooth val="0"/>
          <c:extLst>
            <c:ext xmlns:c16="http://schemas.microsoft.com/office/drawing/2014/chart" uri="{C3380CC4-5D6E-409C-BE32-E72D297353CC}">
              <c16:uniqueId val="{0000000F-89B3-4BA2-B81E-F53C0F1C2137}"/>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Scores'!$D$22</c:f>
              <c:strCache>
                <c:ptCount val="1"/>
                <c:pt idx="0">
                  <c:v>Not Calculated</c:v>
                </c:pt>
              </c:strCache>
            </c:strRef>
          </c:xVal>
          <c:yVal>
            <c:numRef>
              <c:f>'Summary of Scores'!$C$22</c:f>
              <c:numCache>
                <c:formatCode>General</c:formatCode>
                <c:ptCount val="1"/>
                <c:pt idx="0">
                  <c:v>3</c:v>
                </c:pt>
              </c:numCache>
            </c:numRef>
          </c:yVal>
          <c:smooth val="0"/>
          <c:extLst>
            <c:ext xmlns:c16="http://schemas.microsoft.com/office/drawing/2014/chart" uri="{C3380CC4-5D6E-409C-BE32-E72D297353CC}">
              <c16:uniqueId val="{00000010-89B3-4BA2-B81E-F53C0F1C2137}"/>
            </c:ext>
          </c:extLst>
        </c:ser>
        <c:ser>
          <c:idx val="15"/>
          <c:order val="15"/>
          <c:tx>
            <c:strRef>
              <c:f>'Summary of Scores'!$B$23</c:f>
              <c:strCache>
                <c:ptCount val="1"/>
                <c:pt idx="0">
                  <c:v>RDD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Scores'!$D$23</c:f>
              <c:strCache>
                <c:ptCount val="1"/>
                <c:pt idx="0">
                  <c:v>Not Calculated</c:v>
                </c:pt>
              </c:strCache>
            </c:strRef>
          </c:xVal>
          <c:yVal>
            <c:numRef>
              <c:f>'Summary of Scores'!$C$23</c:f>
              <c:numCache>
                <c:formatCode>General</c:formatCode>
                <c:ptCount val="1"/>
                <c:pt idx="0">
                  <c:v>1</c:v>
                </c:pt>
              </c:numCache>
            </c:numRef>
          </c:yVal>
          <c:smooth val="0"/>
          <c:extLst>
            <c:ext xmlns:c16="http://schemas.microsoft.com/office/drawing/2014/chart" uri="{C3380CC4-5D6E-409C-BE32-E72D297353CC}">
              <c16:uniqueId val="{00000011-89B3-4BA2-B81E-F53C0F1C2137}"/>
            </c:ext>
          </c:extLst>
        </c:ser>
        <c:ser>
          <c:idx val="16"/>
          <c:order val="16"/>
          <c:tx>
            <c:strRef>
              <c:f>'Summary of Scores'!$B$24</c:f>
              <c:strCache>
                <c:ptCount val="1"/>
                <c:pt idx="0">
                  <c:v>Temp Extremes</c:v>
                </c:pt>
              </c:strCache>
            </c:strRef>
          </c:tx>
          <c:spPr>
            <a:ln w="66675">
              <a:noFill/>
            </a:ln>
          </c:spPr>
          <c:dLbls>
            <c:dLbl>
              <c:idx val="0"/>
              <c:layout>
                <c:manualLayout>
                  <c:x val="-5.842396094540230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89B3-4BA2-B81E-F53C0F1C2137}"/>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Scores'!$D$24</c:f>
              <c:strCache>
                <c:ptCount val="1"/>
                <c:pt idx="0">
                  <c:v>Not Calculated</c:v>
                </c:pt>
              </c:strCache>
            </c:strRef>
          </c:xVal>
          <c:yVal>
            <c:numRef>
              <c:f>'Summary of Scores'!$C$24</c:f>
              <c:numCache>
                <c:formatCode>General</c:formatCode>
                <c:ptCount val="1"/>
                <c:pt idx="0">
                  <c:v>3</c:v>
                </c:pt>
              </c:numCache>
            </c:numRef>
          </c:yVal>
          <c:smooth val="0"/>
          <c:extLst>
            <c:ext xmlns:c16="http://schemas.microsoft.com/office/drawing/2014/chart" uri="{C3380CC4-5D6E-409C-BE32-E72D297353CC}">
              <c16:uniqueId val="{00000013-89B3-4BA2-B81E-F53C0F1C2137}"/>
            </c:ext>
          </c:extLst>
        </c:ser>
        <c:ser>
          <c:idx val="17"/>
          <c:order val="17"/>
          <c:tx>
            <c:strRef>
              <c:f>'Summary of Scores'!$B$25</c:f>
              <c:strCache>
                <c:ptCount val="1"/>
                <c:pt idx="0">
                  <c:v>Tornado</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Scores'!$D$25</c:f>
              <c:strCache>
                <c:ptCount val="1"/>
                <c:pt idx="0">
                  <c:v>Not Calculated</c:v>
                </c:pt>
              </c:strCache>
            </c:strRef>
          </c:xVal>
          <c:yVal>
            <c:numRef>
              <c:f>'Summary of Scores'!$C$25</c:f>
              <c:numCache>
                <c:formatCode>General</c:formatCode>
                <c:ptCount val="1"/>
                <c:pt idx="0">
                  <c:v>2</c:v>
                </c:pt>
              </c:numCache>
            </c:numRef>
          </c:yVal>
          <c:smooth val="0"/>
          <c:extLst>
            <c:ext xmlns:c16="http://schemas.microsoft.com/office/drawing/2014/chart" uri="{C3380CC4-5D6E-409C-BE32-E72D297353CC}">
              <c16:uniqueId val="{00000014-89B3-4BA2-B81E-F53C0F1C2137}"/>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Scores'!$D$26</c:f>
              <c:strCache>
                <c:ptCount val="1"/>
                <c:pt idx="0">
                  <c:v>Not Calculated</c:v>
                </c:pt>
              </c:strCache>
            </c:strRef>
          </c:xVal>
          <c:yVal>
            <c:numRef>
              <c:f>'Summary of Scores'!$C$26</c:f>
              <c:numCache>
                <c:formatCode>General</c:formatCode>
                <c:ptCount val="1"/>
                <c:pt idx="0">
                  <c:v>3</c:v>
                </c:pt>
              </c:numCache>
            </c:numRef>
          </c:yVal>
          <c:smooth val="0"/>
          <c:extLst>
            <c:ext xmlns:c16="http://schemas.microsoft.com/office/drawing/2014/chart" uri="{C3380CC4-5D6E-409C-BE32-E72D297353CC}">
              <c16:uniqueId val="{00000015-89B3-4BA2-B81E-F53C0F1C2137}"/>
            </c:ext>
          </c:extLst>
        </c:ser>
        <c:ser>
          <c:idx val="19"/>
          <c:order val="19"/>
          <c:tx>
            <c:strRef>
              <c:f>'Summary of Scores'!$B$27</c:f>
              <c:strCache>
                <c:ptCount val="1"/>
                <c:pt idx="0">
                  <c:v>Winter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Scores'!$D$27</c:f>
              <c:strCache>
                <c:ptCount val="1"/>
                <c:pt idx="0">
                  <c:v>Not Calculated</c:v>
                </c:pt>
              </c:strCache>
            </c:strRef>
          </c:xVal>
          <c:yVal>
            <c:numRef>
              <c:f>'Summary of Scores'!$C$27</c:f>
              <c:numCache>
                <c:formatCode>General</c:formatCode>
                <c:ptCount val="1"/>
                <c:pt idx="0">
                  <c:v>4</c:v>
                </c:pt>
              </c:numCache>
            </c:numRef>
          </c:yVal>
          <c:smooth val="0"/>
          <c:extLst>
            <c:ext xmlns:c16="http://schemas.microsoft.com/office/drawing/2014/chart" uri="{C3380CC4-5D6E-409C-BE32-E72D297353CC}">
              <c16:uniqueId val="{00000016-89B3-4BA2-B81E-F53C0F1C2137}"/>
            </c:ext>
          </c:extLst>
        </c:ser>
        <c:dLbls>
          <c:showLegendKey val="0"/>
          <c:showVal val="1"/>
          <c:showCatName val="0"/>
          <c:showSerName val="0"/>
          <c:showPercent val="0"/>
          <c:showBubbleSize val="0"/>
        </c:dLbls>
        <c:axId val="116861568"/>
        <c:axId val="116900608"/>
      </c:scatterChart>
      <c:valAx>
        <c:axId val="116861568"/>
        <c:scaling>
          <c:orientation val="minMax"/>
          <c:max val="4.5"/>
          <c:min val="0"/>
        </c:scaling>
        <c:delete val="0"/>
        <c:axPos val="b"/>
        <c:majorGridlines/>
        <c:title>
          <c:tx>
            <c:rich>
              <a:bodyPr/>
              <a:lstStyle/>
              <a:p>
                <a:pPr>
                  <a:defRPr b="0">
                    <a:latin typeface="+mj-lt"/>
                  </a:defRPr>
                </a:pPr>
                <a:r>
                  <a:rPr lang="en-US" sz="1600" b="0">
                    <a:latin typeface="+mj-lt"/>
                  </a:rPr>
                  <a:t>Public Health System Severity</a:t>
                </a:r>
              </a:p>
            </c:rich>
          </c:tx>
          <c:overlay val="0"/>
        </c:title>
        <c:numFmt formatCode="#,##0.00" sourceLinked="1"/>
        <c:majorTickMark val="out"/>
        <c:minorTickMark val="none"/>
        <c:tickLblPos val="nextTo"/>
        <c:spPr>
          <a:ln>
            <a:solidFill>
              <a:schemeClr val="tx1"/>
            </a:solidFill>
          </a:ln>
        </c:spPr>
        <c:crossAx val="116900608"/>
        <c:crosses val="autoZero"/>
        <c:crossBetween val="midCat"/>
        <c:majorUnit val="1"/>
        <c:minorUnit val="0.1"/>
      </c:valAx>
      <c:valAx>
        <c:axId val="116900608"/>
        <c:scaling>
          <c:orientation val="minMax"/>
          <c:max val="4.5"/>
          <c:min val="0"/>
        </c:scaling>
        <c:delete val="0"/>
        <c:axPos val="l"/>
        <c:majorGridlines/>
        <c:title>
          <c:tx>
            <c:rich>
              <a:bodyPr rot="-5400000" vert="horz"/>
              <a:lstStyle/>
              <a:p>
                <a:pPr>
                  <a:defRPr sz="1600" b="0">
                    <a:latin typeface="+mj-lt"/>
                  </a:defRPr>
                </a:pPr>
                <a:r>
                  <a:rPr lang="en-US" sz="1600" b="0">
                    <a:latin typeface="+mj-lt"/>
                  </a:rPr>
                  <a:t>Probability</a:t>
                </a:r>
              </a:p>
            </c:rich>
          </c:tx>
          <c:overlay val="0"/>
        </c:title>
        <c:numFmt formatCode="General" sourceLinked="1"/>
        <c:majorTickMark val="out"/>
        <c:minorTickMark val="none"/>
        <c:tickLblPos val="nextTo"/>
        <c:spPr>
          <a:ln>
            <a:solidFill>
              <a:schemeClr val="tx1"/>
            </a:solidFill>
          </a:ln>
        </c:spPr>
        <c:crossAx val="116861568"/>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Probability vs. Healthcare System Severity</a:t>
            </a:r>
          </a:p>
        </c:rich>
      </c:tx>
      <c:layout>
        <c:manualLayout>
          <c:xMode val="edge"/>
          <c:yMode val="edge"/>
          <c:x val="0.28549704521135599"/>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dLbl>
              <c:idx val="0"/>
              <c:layout>
                <c:manualLayout>
                  <c:x val="-7.133375667778053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7AF7-47F4-A389-6BF7BA7393E6}"/>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Scores'!$E$8</c:f>
              <c:strCache>
                <c:ptCount val="1"/>
                <c:pt idx="0">
                  <c:v>Not Calculated</c:v>
                </c:pt>
              </c:strCache>
            </c:strRef>
          </c:xVal>
          <c:yVal>
            <c:numRef>
              <c:f>'Summary of Scores'!$C$8</c:f>
              <c:numCache>
                <c:formatCode>General</c:formatCode>
                <c:ptCount val="1"/>
                <c:pt idx="0">
                  <c:v>3</c:v>
                </c:pt>
              </c:numCache>
            </c:numRef>
          </c:yVal>
          <c:smooth val="0"/>
          <c:extLst>
            <c:ext xmlns:c16="http://schemas.microsoft.com/office/drawing/2014/chart" uri="{C3380CC4-5D6E-409C-BE32-E72D297353CC}">
              <c16:uniqueId val="{00000001-7AF7-47F4-A389-6BF7BA7393E6}"/>
            </c:ext>
          </c:extLst>
        </c:ser>
        <c:ser>
          <c:idx val="1"/>
          <c:order val="1"/>
          <c:tx>
            <c:strRef>
              <c:f>'Summary of Scores'!$B$9</c:f>
              <c:strCache>
                <c:ptCount val="1"/>
                <c:pt idx="0">
                  <c:v>Bio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Scores'!$E$9</c:f>
              <c:strCache>
                <c:ptCount val="1"/>
                <c:pt idx="0">
                  <c:v>Not Calculated</c:v>
                </c:pt>
              </c:strCache>
            </c:strRef>
          </c:xVal>
          <c:yVal>
            <c:numRef>
              <c:f>'Summary of Scores'!$C$9</c:f>
              <c:numCache>
                <c:formatCode>General</c:formatCode>
                <c:ptCount val="1"/>
                <c:pt idx="0">
                  <c:v>1</c:v>
                </c:pt>
              </c:numCache>
            </c:numRef>
          </c:yVal>
          <c:smooth val="0"/>
          <c:extLst>
            <c:ext xmlns:c16="http://schemas.microsoft.com/office/drawing/2014/chart" uri="{C3380CC4-5D6E-409C-BE32-E72D297353CC}">
              <c16:uniqueId val="{00000002-7AF7-47F4-A389-6BF7BA7393E6}"/>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Scores'!$E$10</c:f>
              <c:strCache>
                <c:ptCount val="1"/>
                <c:pt idx="0">
                  <c:v>Not Calculated</c:v>
                </c:pt>
              </c:strCache>
            </c:strRef>
          </c:xVal>
          <c:yVal>
            <c:numRef>
              <c:f>'Summary of Scores'!$C$10</c:f>
              <c:numCache>
                <c:formatCode>General</c:formatCode>
                <c:ptCount val="1"/>
                <c:pt idx="0">
                  <c:v>1</c:v>
                </c:pt>
              </c:numCache>
            </c:numRef>
          </c:yVal>
          <c:smooth val="0"/>
          <c:extLst>
            <c:ext xmlns:c16="http://schemas.microsoft.com/office/drawing/2014/chart" uri="{C3380CC4-5D6E-409C-BE32-E72D297353CC}">
              <c16:uniqueId val="{00000003-7AF7-47F4-A389-6BF7BA7393E6}"/>
            </c:ext>
          </c:extLst>
        </c:ser>
        <c:ser>
          <c:idx val="3"/>
          <c:order val="3"/>
          <c:tx>
            <c:strRef>
              <c:f>'Summary of Scores'!$B$11</c:f>
              <c:strCache>
                <c:ptCount val="1"/>
                <c:pt idx="0">
                  <c:v>Civil Disturbance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Scores'!$E$11</c:f>
              <c:strCache>
                <c:ptCount val="1"/>
                <c:pt idx="0">
                  <c:v>Not Calculated</c:v>
                </c:pt>
              </c:strCache>
            </c:strRef>
          </c:xVal>
          <c:yVal>
            <c:numRef>
              <c:f>'Summary of Scores'!$C$11</c:f>
              <c:numCache>
                <c:formatCode>General</c:formatCode>
                <c:ptCount val="1"/>
                <c:pt idx="0">
                  <c:v>2</c:v>
                </c:pt>
              </c:numCache>
            </c:numRef>
          </c:yVal>
          <c:smooth val="0"/>
          <c:extLst>
            <c:ext xmlns:c16="http://schemas.microsoft.com/office/drawing/2014/chart" uri="{C3380CC4-5D6E-409C-BE32-E72D297353CC}">
              <c16:uniqueId val="{00000004-7AF7-47F4-A389-6BF7BA7393E6}"/>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Scores'!$E$12</c:f>
              <c:strCache>
                <c:ptCount val="1"/>
                <c:pt idx="0">
                  <c:v>Not Calculated</c:v>
                </c:pt>
              </c:strCache>
            </c:strRef>
          </c:xVal>
          <c:yVal>
            <c:numRef>
              <c:f>'Summary of Scores'!$C$12</c:f>
              <c:numCache>
                <c:formatCode>General</c:formatCode>
                <c:ptCount val="1"/>
                <c:pt idx="0">
                  <c:v>4</c:v>
                </c:pt>
              </c:numCache>
            </c:numRef>
          </c:yVal>
          <c:smooth val="0"/>
          <c:extLst>
            <c:ext xmlns:c16="http://schemas.microsoft.com/office/drawing/2014/chart" uri="{C3380CC4-5D6E-409C-BE32-E72D297353CC}">
              <c16:uniqueId val="{00000005-7AF7-47F4-A389-6BF7BA7393E6}"/>
            </c:ext>
          </c:extLst>
        </c:ser>
        <c:ser>
          <c:idx val="5"/>
          <c:order val="5"/>
          <c:tx>
            <c:strRef>
              <c:f>'Summary of Scores'!$B$13</c:f>
              <c:strCache>
                <c:ptCount val="1"/>
                <c:pt idx="0">
                  <c:v>Conv Explosive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Scores'!$E$13</c:f>
              <c:strCache>
                <c:ptCount val="1"/>
                <c:pt idx="0">
                  <c:v>Not Calculated</c:v>
                </c:pt>
              </c:strCache>
            </c:strRef>
          </c:xVal>
          <c:yVal>
            <c:numRef>
              <c:f>'Summary of Scores'!$C$13</c:f>
              <c:numCache>
                <c:formatCode>General</c:formatCode>
                <c:ptCount val="1"/>
                <c:pt idx="0">
                  <c:v>2</c:v>
                </c:pt>
              </c:numCache>
            </c:numRef>
          </c:yVal>
          <c:smooth val="0"/>
          <c:extLst>
            <c:ext xmlns:c16="http://schemas.microsoft.com/office/drawing/2014/chart" uri="{C3380CC4-5D6E-409C-BE32-E72D297353CC}">
              <c16:uniqueId val="{00000006-7AF7-47F4-A389-6BF7BA7393E6}"/>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Scores'!$E$14</c:f>
              <c:strCache>
                <c:ptCount val="1"/>
                <c:pt idx="0">
                  <c:v>Not Calculated</c:v>
                </c:pt>
              </c:strCache>
            </c:strRef>
          </c:xVal>
          <c:yVal>
            <c:numRef>
              <c:f>'Summary of Scores'!$C$14</c:f>
              <c:numCache>
                <c:formatCode>General</c:formatCode>
                <c:ptCount val="1"/>
                <c:pt idx="0">
                  <c:v>1</c:v>
                </c:pt>
              </c:numCache>
            </c:numRef>
          </c:yVal>
          <c:smooth val="0"/>
          <c:extLst>
            <c:ext xmlns:c16="http://schemas.microsoft.com/office/drawing/2014/chart" uri="{C3380CC4-5D6E-409C-BE32-E72D297353CC}">
              <c16:uniqueId val="{00000007-7AF7-47F4-A389-6BF7BA7393E6}"/>
            </c:ext>
          </c:extLst>
        </c:ser>
        <c:ser>
          <c:idx val="7"/>
          <c:order val="7"/>
          <c:tx>
            <c:strRef>
              <c:f>'Summary of Scores'!$B$15</c:f>
              <c:strCache>
                <c:ptCount val="1"/>
                <c:pt idx="0">
                  <c:v>Drought</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Scores'!$E$15</c:f>
              <c:strCache>
                <c:ptCount val="1"/>
                <c:pt idx="0">
                  <c:v>Not Calculated</c:v>
                </c:pt>
              </c:strCache>
            </c:strRef>
          </c:xVal>
          <c:yVal>
            <c:numRef>
              <c:f>'Summary of Scores'!$C$15</c:f>
              <c:numCache>
                <c:formatCode>General</c:formatCode>
                <c:ptCount val="1"/>
                <c:pt idx="0">
                  <c:v>3</c:v>
                </c:pt>
              </c:numCache>
            </c:numRef>
          </c:yVal>
          <c:smooth val="0"/>
          <c:extLst>
            <c:ext xmlns:c16="http://schemas.microsoft.com/office/drawing/2014/chart" uri="{C3380CC4-5D6E-409C-BE32-E72D297353CC}">
              <c16:uniqueId val="{00000008-7AF7-47F4-A389-6BF7BA7393E6}"/>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Scores'!$E$16</c:f>
              <c:strCache>
                <c:ptCount val="1"/>
                <c:pt idx="0">
                  <c:v>Not Calculated</c:v>
                </c:pt>
              </c:strCache>
            </c:strRef>
          </c:xVal>
          <c:yVal>
            <c:numRef>
              <c:f>'Summary of Scores'!$C$16</c:f>
              <c:numCache>
                <c:formatCode>General</c:formatCode>
                <c:ptCount val="1"/>
                <c:pt idx="0">
                  <c:v>3</c:v>
                </c:pt>
              </c:numCache>
            </c:numRef>
          </c:yVal>
          <c:smooth val="0"/>
          <c:extLst>
            <c:ext xmlns:c16="http://schemas.microsoft.com/office/drawing/2014/chart" uri="{C3380CC4-5D6E-409C-BE32-E72D297353CC}">
              <c16:uniqueId val="{00000009-7AF7-47F4-A389-6BF7BA7393E6}"/>
            </c:ext>
          </c:extLst>
        </c:ser>
        <c:ser>
          <c:idx val="9"/>
          <c:order val="9"/>
          <c:tx>
            <c:strRef>
              <c:f>'Summary of Scores'!$B$17</c:f>
              <c:strCache>
                <c:ptCount val="1"/>
                <c:pt idx="0">
                  <c:v>Fire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Scores'!$E$17</c:f>
              <c:strCache>
                <c:ptCount val="1"/>
                <c:pt idx="0">
                  <c:v>Not Calculated</c:v>
                </c:pt>
              </c:strCache>
            </c:strRef>
          </c:xVal>
          <c:yVal>
            <c:numRef>
              <c:f>'Summary of Scores'!$C$17</c:f>
              <c:numCache>
                <c:formatCode>General</c:formatCode>
                <c:ptCount val="1"/>
                <c:pt idx="0">
                  <c:v>4</c:v>
                </c:pt>
              </c:numCache>
            </c:numRef>
          </c:yVal>
          <c:smooth val="0"/>
          <c:extLst>
            <c:ext xmlns:c16="http://schemas.microsoft.com/office/drawing/2014/chart" uri="{C3380CC4-5D6E-409C-BE32-E72D297353CC}">
              <c16:uniqueId val="{0000000A-7AF7-47F4-A389-6BF7BA7393E6}"/>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Scores'!$E$18</c:f>
              <c:strCache>
                <c:ptCount val="1"/>
                <c:pt idx="0">
                  <c:v>Not Calculated</c:v>
                </c:pt>
              </c:strCache>
            </c:strRef>
          </c:xVal>
          <c:yVal>
            <c:numRef>
              <c:f>'Summary of Scores'!$C$18</c:f>
              <c:numCache>
                <c:formatCode>General</c:formatCode>
                <c:ptCount val="1"/>
                <c:pt idx="0">
                  <c:v>4</c:v>
                </c:pt>
              </c:numCache>
            </c:numRef>
          </c:yVal>
          <c:smooth val="0"/>
          <c:extLst>
            <c:ext xmlns:c16="http://schemas.microsoft.com/office/drawing/2014/chart" uri="{C3380CC4-5D6E-409C-BE32-E72D297353CC}">
              <c16:uniqueId val="{0000000B-7AF7-47F4-A389-6BF7BA7393E6}"/>
            </c:ext>
          </c:extLst>
        </c:ser>
        <c:ser>
          <c:idx val="11"/>
          <c:order val="11"/>
          <c:tx>
            <c:strRef>
              <c:f>'Summary of Scores'!$B$19</c:f>
              <c:strCache>
                <c:ptCount val="1"/>
                <c:pt idx="0">
                  <c:v>HazMat Release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Scores'!$E$19</c:f>
              <c:strCache>
                <c:ptCount val="1"/>
                <c:pt idx="0">
                  <c:v>Not Calculated</c:v>
                </c:pt>
              </c:strCache>
            </c:strRef>
          </c:xVal>
          <c:yVal>
            <c:numRef>
              <c:f>'Summary of Scores'!$C$19</c:f>
              <c:numCache>
                <c:formatCode>General</c:formatCode>
                <c:ptCount val="1"/>
                <c:pt idx="0">
                  <c:v>2</c:v>
                </c:pt>
              </c:numCache>
            </c:numRef>
          </c:yVal>
          <c:smooth val="0"/>
          <c:extLst>
            <c:ext xmlns:c16="http://schemas.microsoft.com/office/drawing/2014/chart" uri="{C3380CC4-5D6E-409C-BE32-E72D297353CC}">
              <c16:uniqueId val="{0000000C-7AF7-47F4-A389-6BF7BA7393E6}"/>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Scores'!$E$20</c:f>
              <c:strCache>
                <c:ptCount val="1"/>
                <c:pt idx="0">
                  <c:v>Not Calculated</c:v>
                </c:pt>
              </c:strCache>
            </c:strRef>
          </c:xVal>
          <c:yVal>
            <c:numRef>
              <c:f>'Summary of Scores'!$C$20</c:f>
              <c:numCache>
                <c:formatCode>General</c:formatCode>
                <c:ptCount val="1"/>
                <c:pt idx="0">
                  <c:v>4</c:v>
                </c:pt>
              </c:numCache>
            </c:numRef>
          </c:yVal>
          <c:smooth val="0"/>
          <c:extLst>
            <c:ext xmlns:c16="http://schemas.microsoft.com/office/drawing/2014/chart" uri="{C3380CC4-5D6E-409C-BE32-E72D297353CC}">
              <c16:uniqueId val="{0000000D-7AF7-47F4-A389-6BF7BA7393E6}"/>
            </c:ext>
          </c:extLst>
        </c:ser>
        <c:ser>
          <c:idx val="13"/>
          <c:order val="13"/>
          <c:tx>
            <c:strRef>
              <c:f>'Summary of Scores'!$B$21</c:f>
              <c:strCache>
                <c:ptCount val="1"/>
                <c:pt idx="0">
                  <c:v>Nuclear Facility</c:v>
                </c:pt>
              </c:strCache>
            </c:strRef>
          </c:tx>
          <c:spPr>
            <a:ln w="66675">
              <a:noFill/>
            </a:ln>
          </c:spPr>
          <c:dLbls>
            <c:dLbl>
              <c:idx val="0"/>
              <c:layout>
                <c:manualLayout>
                  <c:x val="-7.7765419365270191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7AF7-47F4-A389-6BF7BA7393E6}"/>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Scores'!$E$21</c:f>
              <c:strCache>
                <c:ptCount val="1"/>
                <c:pt idx="0">
                  <c:v>Not Calculated</c:v>
                </c:pt>
              </c:strCache>
            </c:strRef>
          </c:xVal>
          <c:yVal>
            <c:numRef>
              <c:f>'Summary of Scores'!$C$21</c:f>
              <c:numCache>
                <c:formatCode>General</c:formatCode>
                <c:ptCount val="1"/>
                <c:pt idx="0">
                  <c:v>1</c:v>
                </c:pt>
              </c:numCache>
            </c:numRef>
          </c:yVal>
          <c:smooth val="0"/>
          <c:extLst>
            <c:ext xmlns:c16="http://schemas.microsoft.com/office/drawing/2014/chart" uri="{C3380CC4-5D6E-409C-BE32-E72D297353CC}">
              <c16:uniqueId val="{0000000F-7AF7-47F4-A389-6BF7BA7393E6}"/>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Scores'!$E$22</c:f>
              <c:strCache>
                <c:ptCount val="1"/>
                <c:pt idx="0">
                  <c:v>Not Calculated</c:v>
                </c:pt>
              </c:strCache>
            </c:strRef>
          </c:xVal>
          <c:yVal>
            <c:numRef>
              <c:f>'Summary of Scores'!$C$22</c:f>
              <c:numCache>
                <c:formatCode>General</c:formatCode>
                <c:ptCount val="1"/>
                <c:pt idx="0">
                  <c:v>3</c:v>
                </c:pt>
              </c:numCache>
            </c:numRef>
          </c:yVal>
          <c:smooth val="0"/>
          <c:extLst>
            <c:ext xmlns:c16="http://schemas.microsoft.com/office/drawing/2014/chart" uri="{C3380CC4-5D6E-409C-BE32-E72D297353CC}">
              <c16:uniqueId val="{00000010-7AF7-47F4-A389-6BF7BA7393E6}"/>
            </c:ext>
          </c:extLst>
        </c:ser>
        <c:ser>
          <c:idx val="15"/>
          <c:order val="15"/>
          <c:tx>
            <c:strRef>
              <c:f>'Summary of Scores'!$B$23</c:f>
              <c:strCache>
                <c:ptCount val="1"/>
                <c:pt idx="0">
                  <c:v>RDD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Scores'!$E$23</c:f>
              <c:strCache>
                <c:ptCount val="1"/>
                <c:pt idx="0">
                  <c:v>Not Calculated</c:v>
                </c:pt>
              </c:strCache>
            </c:strRef>
          </c:xVal>
          <c:yVal>
            <c:numRef>
              <c:f>'Summary of Scores'!$C$23</c:f>
              <c:numCache>
                <c:formatCode>General</c:formatCode>
                <c:ptCount val="1"/>
                <c:pt idx="0">
                  <c:v>1</c:v>
                </c:pt>
              </c:numCache>
            </c:numRef>
          </c:yVal>
          <c:smooth val="0"/>
          <c:extLst>
            <c:ext xmlns:c16="http://schemas.microsoft.com/office/drawing/2014/chart" uri="{C3380CC4-5D6E-409C-BE32-E72D297353CC}">
              <c16:uniqueId val="{00000011-7AF7-47F4-A389-6BF7BA7393E6}"/>
            </c:ext>
          </c:extLst>
        </c:ser>
        <c:ser>
          <c:idx val="16"/>
          <c:order val="16"/>
          <c:tx>
            <c:strRef>
              <c:f>'Summary of Scores'!$B$24</c:f>
              <c:strCache>
                <c:ptCount val="1"/>
                <c:pt idx="0">
                  <c:v>Temp Extremes</c:v>
                </c:pt>
              </c:strCache>
            </c:strRef>
          </c:tx>
          <c:spPr>
            <a:ln w="66675">
              <a:noFill/>
            </a:ln>
          </c:spPr>
          <c:dLbls>
            <c:dLbl>
              <c:idx val="0"/>
              <c:layout>
                <c:manualLayout>
                  <c:x val="-5.8557925386193144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AF7-47F4-A389-6BF7BA7393E6}"/>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Scores'!$E$24</c:f>
              <c:strCache>
                <c:ptCount val="1"/>
                <c:pt idx="0">
                  <c:v>Not Calculated</c:v>
                </c:pt>
              </c:strCache>
            </c:strRef>
          </c:xVal>
          <c:yVal>
            <c:numRef>
              <c:f>'Summary of Scores'!$C$24</c:f>
              <c:numCache>
                <c:formatCode>General</c:formatCode>
                <c:ptCount val="1"/>
                <c:pt idx="0">
                  <c:v>3</c:v>
                </c:pt>
              </c:numCache>
            </c:numRef>
          </c:yVal>
          <c:smooth val="0"/>
          <c:extLst>
            <c:ext xmlns:c16="http://schemas.microsoft.com/office/drawing/2014/chart" uri="{C3380CC4-5D6E-409C-BE32-E72D297353CC}">
              <c16:uniqueId val="{00000013-7AF7-47F4-A389-6BF7BA7393E6}"/>
            </c:ext>
          </c:extLst>
        </c:ser>
        <c:ser>
          <c:idx val="17"/>
          <c:order val="17"/>
          <c:tx>
            <c:strRef>
              <c:f>'Summary of Scores'!$B$25</c:f>
              <c:strCache>
                <c:ptCount val="1"/>
                <c:pt idx="0">
                  <c:v>Tornado</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Scores'!$E$25</c:f>
              <c:strCache>
                <c:ptCount val="1"/>
                <c:pt idx="0">
                  <c:v>Not Calculated</c:v>
                </c:pt>
              </c:strCache>
            </c:strRef>
          </c:xVal>
          <c:yVal>
            <c:numRef>
              <c:f>'Summary of Scores'!$C$25</c:f>
              <c:numCache>
                <c:formatCode>General</c:formatCode>
                <c:ptCount val="1"/>
                <c:pt idx="0">
                  <c:v>2</c:v>
                </c:pt>
              </c:numCache>
            </c:numRef>
          </c:yVal>
          <c:smooth val="0"/>
          <c:extLst>
            <c:ext xmlns:c16="http://schemas.microsoft.com/office/drawing/2014/chart" uri="{C3380CC4-5D6E-409C-BE32-E72D297353CC}">
              <c16:uniqueId val="{00000014-7AF7-47F4-A389-6BF7BA7393E6}"/>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Scores'!$E$26</c:f>
              <c:strCache>
                <c:ptCount val="1"/>
                <c:pt idx="0">
                  <c:v>Not Calculated</c:v>
                </c:pt>
              </c:strCache>
            </c:strRef>
          </c:xVal>
          <c:yVal>
            <c:numRef>
              <c:f>'Summary of Scores'!$C$26</c:f>
              <c:numCache>
                <c:formatCode>General</c:formatCode>
                <c:ptCount val="1"/>
                <c:pt idx="0">
                  <c:v>3</c:v>
                </c:pt>
              </c:numCache>
            </c:numRef>
          </c:yVal>
          <c:smooth val="0"/>
          <c:extLst>
            <c:ext xmlns:c16="http://schemas.microsoft.com/office/drawing/2014/chart" uri="{C3380CC4-5D6E-409C-BE32-E72D297353CC}">
              <c16:uniqueId val="{00000015-7AF7-47F4-A389-6BF7BA7393E6}"/>
            </c:ext>
          </c:extLst>
        </c:ser>
        <c:ser>
          <c:idx val="19"/>
          <c:order val="19"/>
          <c:tx>
            <c:strRef>
              <c:f>'Summary of Scores'!$B$27</c:f>
              <c:strCache>
                <c:ptCount val="1"/>
                <c:pt idx="0">
                  <c:v>Winter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Scores'!$E$27</c:f>
              <c:strCache>
                <c:ptCount val="1"/>
                <c:pt idx="0">
                  <c:v>Not Calculated</c:v>
                </c:pt>
              </c:strCache>
            </c:strRef>
          </c:xVal>
          <c:yVal>
            <c:numRef>
              <c:f>'Summary of Scores'!$C$27</c:f>
              <c:numCache>
                <c:formatCode>General</c:formatCode>
                <c:ptCount val="1"/>
                <c:pt idx="0">
                  <c:v>4</c:v>
                </c:pt>
              </c:numCache>
            </c:numRef>
          </c:yVal>
          <c:smooth val="0"/>
          <c:extLst>
            <c:ext xmlns:c16="http://schemas.microsoft.com/office/drawing/2014/chart" uri="{C3380CC4-5D6E-409C-BE32-E72D297353CC}">
              <c16:uniqueId val="{00000016-7AF7-47F4-A389-6BF7BA7393E6}"/>
            </c:ext>
          </c:extLst>
        </c:ser>
        <c:dLbls>
          <c:showLegendKey val="0"/>
          <c:showVal val="1"/>
          <c:showCatName val="0"/>
          <c:showSerName val="0"/>
          <c:showPercent val="0"/>
          <c:showBubbleSize val="0"/>
        </c:dLbls>
        <c:axId val="116977664"/>
        <c:axId val="116979584"/>
      </c:scatterChart>
      <c:valAx>
        <c:axId val="116977664"/>
        <c:scaling>
          <c:orientation val="minMax"/>
          <c:max val="4.5"/>
          <c:min val="0"/>
        </c:scaling>
        <c:delete val="0"/>
        <c:axPos val="b"/>
        <c:majorGridlines/>
        <c:title>
          <c:tx>
            <c:rich>
              <a:bodyPr/>
              <a:lstStyle/>
              <a:p>
                <a:pPr>
                  <a:defRPr b="0">
                    <a:latin typeface="+mj-lt"/>
                  </a:defRPr>
                </a:pPr>
                <a:r>
                  <a:rPr lang="en-US" sz="1600" b="0">
                    <a:latin typeface="+mj-lt"/>
                  </a:rPr>
                  <a:t>Healthcare System Severity</a:t>
                </a:r>
              </a:p>
            </c:rich>
          </c:tx>
          <c:overlay val="0"/>
        </c:title>
        <c:numFmt formatCode="#,##0.00" sourceLinked="1"/>
        <c:majorTickMark val="out"/>
        <c:minorTickMark val="none"/>
        <c:tickLblPos val="nextTo"/>
        <c:spPr>
          <a:ln>
            <a:solidFill>
              <a:schemeClr val="tx1"/>
            </a:solidFill>
          </a:ln>
        </c:spPr>
        <c:crossAx val="116979584"/>
        <c:crosses val="autoZero"/>
        <c:crossBetween val="midCat"/>
        <c:majorUnit val="1"/>
        <c:minorUnit val="0.1"/>
      </c:valAx>
      <c:valAx>
        <c:axId val="116979584"/>
        <c:scaling>
          <c:orientation val="minMax"/>
          <c:max val="4.5"/>
          <c:min val="0"/>
        </c:scaling>
        <c:delete val="0"/>
        <c:axPos val="l"/>
        <c:majorGridlines/>
        <c:title>
          <c:tx>
            <c:rich>
              <a:bodyPr rot="-5400000" vert="horz"/>
              <a:lstStyle/>
              <a:p>
                <a:pPr>
                  <a:defRPr sz="1600" b="0">
                    <a:latin typeface="+mj-lt"/>
                  </a:defRPr>
                </a:pPr>
                <a:r>
                  <a:rPr lang="en-US" sz="1600" b="0">
                    <a:latin typeface="+mj-lt"/>
                  </a:rPr>
                  <a:t>Probability</a:t>
                </a:r>
              </a:p>
            </c:rich>
          </c:tx>
          <c:overlay val="0"/>
        </c:title>
        <c:numFmt formatCode="General" sourceLinked="1"/>
        <c:majorTickMark val="out"/>
        <c:minorTickMark val="none"/>
        <c:tickLblPos val="nextTo"/>
        <c:spPr>
          <a:ln>
            <a:solidFill>
              <a:schemeClr val="tx1"/>
            </a:solidFill>
          </a:ln>
        </c:spPr>
        <c:crossAx val="11697766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Healthcare</a:t>
            </a:r>
            <a:r>
              <a:rPr lang="en-US" b="0" u="sng" baseline="0">
                <a:latin typeface="+mj-lt"/>
              </a:rPr>
              <a:t> System Adjusted Risk</a:t>
            </a:r>
            <a:r>
              <a:rPr lang="en-US" b="0" u="sng">
                <a:latin typeface="+mj-lt"/>
              </a:rPr>
              <a:t> vs. Preparedness</a:t>
            </a:r>
          </a:p>
        </c:rich>
      </c:tx>
      <c:layout>
        <c:manualLayout>
          <c:xMode val="edge"/>
          <c:yMode val="edge"/>
          <c:x val="0.21238071518679633"/>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Scores'!$L$8</c:f>
              <c:strCache>
                <c:ptCount val="1"/>
                <c:pt idx="0">
                  <c:v>Not Calculated</c:v>
                </c:pt>
              </c:strCache>
            </c:strRef>
          </c:xVal>
          <c:yVal>
            <c:numRef>
              <c:f>'Summary of Scores'!$D$35</c:f>
              <c:numCache>
                <c:formatCode>#,##0.00</c:formatCode>
                <c:ptCount val="1"/>
                <c:pt idx="0">
                  <c:v>0</c:v>
                </c:pt>
              </c:numCache>
            </c:numRef>
          </c:yVal>
          <c:smooth val="0"/>
          <c:extLst>
            <c:ext xmlns:c16="http://schemas.microsoft.com/office/drawing/2014/chart" uri="{C3380CC4-5D6E-409C-BE32-E72D297353CC}">
              <c16:uniqueId val="{00000000-A5A9-474B-9D36-09E4FFEA479D}"/>
            </c:ext>
          </c:extLst>
        </c:ser>
        <c:ser>
          <c:idx val="1"/>
          <c:order val="1"/>
          <c:tx>
            <c:strRef>
              <c:f>'Summary of Scores'!$B$9</c:f>
              <c:strCache>
                <c:ptCount val="1"/>
                <c:pt idx="0">
                  <c:v>Bio Terrorism</c:v>
                </c:pt>
              </c:strCache>
            </c:strRef>
          </c:tx>
          <c:spPr>
            <a:ln w="66675">
              <a:noFill/>
            </a:ln>
          </c:spPr>
          <c:dLbls>
            <c:dLbl>
              <c:idx val="0"/>
              <c:layout>
                <c:manualLayout>
                  <c:x val="-7.01503575993521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Scores'!$L$9</c:f>
              <c:strCache>
                <c:ptCount val="1"/>
                <c:pt idx="0">
                  <c:v>Not Calculated</c:v>
                </c:pt>
              </c:strCache>
            </c:strRef>
          </c:xVal>
          <c:yVal>
            <c:numRef>
              <c:f>'Summary of Scores'!$D$36</c:f>
              <c:numCache>
                <c:formatCode>#,##0.00</c:formatCode>
                <c:ptCount val="1"/>
                <c:pt idx="0">
                  <c:v>0</c:v>
                </c:pt>
              </c:numCache>
            </c:numRef>
          </c:yVal>
          <c:smooth val="0"/>
          <c:extLst>
            <c:ext xmlns:c16="http://schemas.microsoft.com/office/drawing/2014/chart" uri="{C3380CC4-5D6E-409C-BE32-E72D297353CC}">
              <c16:uniqueId val="{00000002-A5A9-474B-9D36-09E4FFEA479D}"/>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Scores'!$L$10</c:f>
              <c:strCache>
                <c:ptCount val="1"/>
                <c:pt idx="0">
                  <c:v>Not Calculated</c:v>
                </c:pt>
              </c:strCache>
            </c:strRef>
          </c:xVal>
          <c:yVal>
            <c:numRef>
              <c:f>'Summary of Scores'!$D$37</c:f>
              <c:numCache>
                <c:formatCode>#,##0.00</c:formatCode>
                <c:ptCount val="1"/>
                <c:pt idx="0">
                  <c:v>0</c:v>
                </c:pt>
              </c:numCache>
            </c:numRef>
          </c:yVal>
          <c:smooth val="0"/>
          <c:extLst>
            <c:ext xmlns:c16="http://schemas.microsoft.com/office/drawing/2014/chart" uri="{C3380CC4-5D6E-409C-BE32-E72D297353CC}">
              <c16:uniqueId val="{00000003-A5A9-474B-9D36-09E4FFEA479D}"/>
            </c:ext>
          </c:extLst>
        </c:ser>
        <c:ser>
          <c:idx val="3"/>
          <c:order val="3"/>
          <c:tx>
            <c:strRef>
              <c:f>'Summary of Scores'!$B$11</c:f>
              <c:strCache>
                <c:ptCount val="1"/>
                <c:pt idx="0">
                  <c:v>Civil Disturbance</c:v>
                </c:pt>
              </c:strCache>
            </c:strRef>
          </c:tx>
          <c:spPr>
            <a:ln w="66675">
              <a:noFill/>
            </a:ln>
          </c:spPr>
          <c:dLbls>
            <c:dLbl>
              <c:idx val="0"/>
              <c:layout>
                <c:manualLayout>
                  <c:x val="-8.0987292945259165E-2"/>
                  <c:y val="-7.2859744990892532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Scores'!$L$11</c:f>
              <c:strCache>
                <c:ptCount val="1"/>
                <c:pt idx="0">
                  <c:v>Not Calculated</c:v>
                </c:pt>
              </c:strCache>
            </c:strRef>
          </c:xVal>
          <c:yVal>
            <c:numRef>
              <c:f>'Summary of Scores'!$D$38</c:f>
              <c:numCache>
                <c:formatCode>#,##0.00</c:formatCode>
                <c:ptCount val="1"/>
                <c:pt idx="0">
                  <c:v>0</c:v>
                </c:pt>
              </c:numCache>
            </c:numRef>
          </c:yVal>
          <c:smooth val="0"/>
          <c:extLst>
            <c:ext xmlns:c16="http://schemas.microsoft.com/office/drawing/2014/chart" uri="{C3380CC4-5D6E-409C-BE32-E72D297353CC}">
              <c16:uniqueId val="{00000005-A5A9-474B-9D36-09E4FFEA479D}"/>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Scores'!$L$12</c:f>
              <c:strCache>
                <c:ptCount val="1"/>
                <c:pt idx="0">
                  <c:v>Not Calculated</c:v>
                </c:pt>
              </c:strCache>
            </c:strRef>
          </c:xVal>
          <c:yVal>
            <c:numRef>
              <c:f>'Summary of Scores'!$D$39</c:f>
              <c:numCache>
                <c:formatCode>#,##0.00</c:formatCode>
                <c:ptCount val="1"/>
                <c:pt idx="0">
                  <c:v>0</c:v>
                </c:pt>
              </c:numCache>
            </c:numRef>
          </c:yVal>
          <c:smooth val="0"/>
          <c:extLst>
            <c:ext xmlns:c16="http://schemas.microsoft.com/office/drawing/2014/chart" uri="{C3380CC4-5D6E-409C-BE32-E72D297353CC}">
              <c16:uniqueId val="{00000006-A5A9-474B-9D36-09E4FFEA479D}"/>
            </c:ext>
          </c:extLst>
        </c:ser>
        <c:ser>
          <c:idx val="5"/>
          <c:order val="5"/>
          <c:tx>
            <c:strRef>
              <c:f>'Summary of Scores'!$B$13</c:f>
              <c:strCache>
                <c:ptCount val="1"/>
                <c:pt idx="0">
                  <c:v>Conv Explosive</c:v>
                </c:pt>
              </c:strCache>
            </c:strRef>
          </c:tx>
          <c:spPr>
            <a:ln w="66675">
              <a:noFill/>
            </a:ln>
          </c:spPr>
          <c:dLbls>
            <c:dLbl>
              <c:idx val="0"/>
              <c:layout>
                <c:manualLayout>
                  <c:x val="-6.830417573268025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Scores'!$L$13</c:f>
              <c:strCache>
                <c:ptCount val="1"/>
                <c:pt idx="0">
                  <c:v>Not Calculated</c:v>
                </c:pt>
              </c:strCache>
            </c:strRef>
          </c:xVal>
          <c:yVal>
            <c:numRef>
              <c:f>'Summary of Scores'!$D$40</c:f>
              <c:numCache>
                <c:formatCode>#,##0.00</c:formatCode>
                <c:ptCount val="1"/>
                <c:pt idx="0">
                  <c:v>0</c:v>
                </c:pt>
              </c:numCache>
            </c:numRef>
          </c:yVal>
          <c:smooth val="0"/>
          <c:extLst>
            <c:ext xmlns:c16="http://schemas.microsoft.com/office/drawing/2014/chart" uri="{C3380CC4-5D6E-409C-BE32-E72D297353CC}">
              <c16:uniqueId val="{00000008-A5A9-474B-9D36-09E4FFEA479D}"/>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Scores'!$L$14</c:f>
              <c:strCache>
                <c:ptCount val="1"/>
                <c:pt idx="0">
                  <c:v>Not Calculated</c:v>
                </c:pt>
              </c:strCache>
            </c:strRef>
          </c:xVal>
          <c:yVal>
            <c:numRef>
              <c:f>'Summary of Scores'!$D$41</c:f>
              <c:numCache>
                <c:formatCode>#,##0.00</c:formatCode>
                <c:ptCount val="1"/>
                <c:pt idx="0">
                  <c:v>0</c:v>
                </c:pt>
              </c:numCache>
            </c:numRef>
          </c:yVal>
          <c:smooth val="0"/>
          <c:extLst>
            <c:ext xmlns:c16="http://schemas.microsoft.com/office/drawing/2014/chart" uri="{C3380CC4-5D6E-409C-BE32-E72D297353CC}">
              <c16:uniqueId val="{00000009-A5A9-474B-9D36-09E4FFEA479D}"/>
            </c:ext>
          </c:extLst>
        </c:ser>
        <c:ser>
          <c:idx val="7"/>
          <c:order val="7"/>
          <c:tx>
            <c:strRef>
              <c:f>'Summary of Scores'!$B$15</c:f>
              <c:strCache>
                <c:ptCount val="1"/>
                <c:pt idx="0">
                  <c:v>Drought</c:v>
                </c:pt>
              </c:strCache>
            </c:strRef>
          </c:tx>
          <c:spPr>
            <a:ln w="66675">
              <a:noFill/>
            </a:ln>
          </c:spPr>
          <c:dLbls>
            <c:dLbl>
              <c:idx val="0"/>
              <c:spPr/>
              <c:txPr>
                <a:bodyPr rot="-2700000"/>
                <a:lstStyle/>
                <a:p>
                  <a:pPr>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A5A9-474B-9D36-09E4FFEA479D}"/>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Scores'!$L$15</c:f>
              <c:strCache>
                <c:ptCount val="1"/>
                <c:pt idx="0">
                  <c:v>Not Calculated</c:v>
                </c:pt>
              </c:strCache>
            </c:strRef>
          </c:xVal>
          <c:yVal>
            <c:numRef>
              <c:f>'Summary of Scores'!$D$42</c:f>
              <c:numCache>
                <c:formatCode>#,##0.00</c:formatCode>
                <c:ptCount val="1"/>
                <c:pt idx="0">
                  <c:v>0</c:v>
                </c:pt>
              </c:numCache>
            </c:numRef>
          </c:yVal>
          <c:smooth val="0"/>
          <c:extLst>
            <c:ext xmlns:c16="http://schemas.microsoft.com/office/drawing/2014/chart" uri="{C3380CC4-5D6E-409C-BE32-E72D297353CC}">
              <c16:uniqueId val="{0000000B-A5A9-474B-9D36-09E4FFEA479D}"/>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Scores'!$L$16</c:f>
              <c:strCache>
                <c:ptCount val="1"/>
                <c:pt idx="0">
                  <c:v>Not Calculated</c:v>
                </c:pt>
              </c:strCache>
            </c:strRef>
          </c:xVal>
          <c:yVal>
            <c:numRef>
              <c:f>'Summary of Scores'!$D$43</c:f>
              <c:numCache>
                <c:formatCode>#,##0.00</c:formatCode>
                <c:ptCount val="1"/>
                <c:pt idx="0">
                  <c:v>0</c:v>
                </c:pt>
              </c:numCache>
            </c:numRef>
          </c:yVal>
          <c:smooth val="0"/>
          <c:extLst>
            <c:ext xmlns:c16="http://schemas.microsoft.com/office/drawing/2014/chart" uri="{C3380CC4-5D6E-409C-BE32-E72D297353CC}">
              <c16:uniqueId val="{0000000C-A5A9-474B-9D36-09E4FFEA479D}"/>
            </c:ext>
          </c:extLst>
        </c:ser>
        <c:ser>
          <c:idx val="9"/>
          <c:order val="9"/>
          <c:tx>
            <c:strRef>
              <c:f>'Summary of Scores'!$B$17</c:f>
              <c:strCache>
                <c:ptCount val="1"/>
                <c:pt idx="0">
                  <c:v>Fire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Scores'!$L$17</c:f>
              <c:strCache>
                <c:ptCount val="1"/>
                <c:pt idx="0">
                  <c:v>Not Calculated</c:v>
                </c:pt>
              </c:strCache>
            </c:strRef>
          </c:xVal>
          <c:yVal>
            <c:numRef>
              <c:f>'Summary of Scores'!$D$44</c:f>
              <c:numCache>
                <c:formatCode>#,##0.00</c:formatCode>
                <c:ptCount val="1"/>
                <c:pt idx="0">
                  <c:v>0</c:v>
                </c:pt>
              </c:numCache>
            </c:numRef>
          </c:yVal>
          <c:smooth val="0"/>
          <c:extLst>
            <c:ext xmlns:c16="http://schemas.microsoft.com/office/drawing/2014/chart" uri="{C3380CC4-5D6E-409C-BE32-E72D297353CC}">
              <c16:uniqueId val="{0000000D-A5A9-474B-9D36-09E4FFEA479D}"/>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Scores'!$L$18</c:f>
              <c:strCache>
                <c:ptCount val="1"/>
                <c:pt idx="0">
                  <c:v>Not Calculated</c:v>
                </c:pt>
              </c:strCache>
            </c:strRef>
          </c:xVal>
          <c:yVal>
            <c:numRef>
              <c:f>'Summary of Scores'!$D$45</c:f>
              <c:numCache>
                <c:formatCode>#,##0.00</c:formatCode>
                <c:ptCount val="1"/>
                <c:pt idx="0">
                  <c:v>0</c:v>
                </c:pt>
              </c:numCache>
            </c:numRef>
          </c:yVal>
          <c:smooth val="0"/>
          <c:extLst>
            <c:ext xmlns:c16="http://schemas.microsoft.com/office/drawing/2014/chart" uri="{C3380CC4-5D6E-409C-BE32-E72D297353CC}">
              <c16:uniqueId val="{0000000E-A5A9-474B-9D36-09E4FFEA479D}"/>
            </c:ext>
          </c:extLst>
        </c:ser>
        <c:ser>
          <c:idx val="11"/>
          <c:order val="11"/>
          <c:tx>
            <c:strRef>
              <c:f>'Summary of Scores'!$B$19</c:f>
              <c:strCache>
                <c:ptCount val="1"/>
                <c:pt idx="0">
                  <c:v>HazMat Release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Scores'!$L$19</c:f>
              <c:strCache>
                <c:ptCount val="1"/>
                <c:pt idx="0">
                  <c:v>Not Calculated</c:v>
                </c:pt>
              </c:strCache>
            </c:strRef>
          </c:xVal>
          <c:yVal>
            <c:numRef>
              <c:f>'Summary of Scores'!$D$46</c:f>
              <c:numCache>
                <c:formatCode>#,##0.00</c:formatCode>
                <c:ptCount val="1"/>
                <c:pt idx="0">
                  <c:v>0</c:v>
                </c:pt>
              </c:numCache>
            </c:numRef>
          </c:yVal>
          <c:smooth val="0"/>
          <c:extLst>
            <c:ext xmlns:c16="http://schemas.microsoft.com/office/drawing/2014/chart" uri="{C3380CC4-5D6E-409C-BE32-E72D297353CC}">
              <c16:uniqueId val="{0000000F-A5A9-474B-9D36-09E4FFEA479D}"/>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Scores'!$L$20</c:f>
              <c:strCache>
                <c:ptCount val="1"/>
                <c:pt idx="0">
                  <c:v>Not Calculated</c:v>
                </c:pt>
              </c:strCache>
            </c:strRef>
          </c:xVal>
          <c:yVal>
            <c:numRef>
              <c:f>'Summary of Scores'!$D$47</c:f>
              <c:numCache>
                <c:formatCode>#,##0.00</c:formatCode>
                <c:ptCount val="1"/>
                <c:pt idx="0">
                  <c:v>0</c:v>
                </c:pt>
              </c:numCache>
            </c:numRef>
          </c:yVal>
          <c:smooth val="0"/>
          <c:extLst>
            <c:ext xmlns:c16="http://schemas.microsoft.com/office/drawing/2014/chart" uri="{C3380CC4-5D6E-409C-BE32-E72D297353CC}">
              <c16:uniqueId val="{00000010-A5A9-474B-9D36-09E4FFEA479D}"/>
            </c:ext>
          </c:extLst>
        </c:ser>
        <c:ser>
          <c:idx val="13"/>
          <c:order val="13"/>
          <c:tx>
            <c:strRef>
              <c:f>'Summary of Scores'!$B$21</c:f>
              <c:strCache>
                <c:ptCount val="1"/>
                <c:pt idx="0">
                  <c:v>Nuclear Facility</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Scores'!$L$21</c:f>
              <c:strCache>
                <c:ptCount val="1"/>
                <c:pt idx="0">
                  <c:v>Not Calculated</c:v>
                </c:pt>
              </c:strCache>
            </c:strRef>
          </c:xVal>
          <c:yVal>
            <c:numRef>
              <c:f>'Summary of Scores'!$D$48</c:f>
              <c:numCache>
                <c:formatCode>#,##0.00</c:formatCode>
                <c:ptCount val="1"/>
                <c:pt idx="0">
                  <c:v>0</c:v>
                </c:pt>
              </c:numCache>
            </c:numRef>
          </c:yVal>
          <c:smooth val="0"/>
          <c:extLst>
            <c:ext xmlns:c16="http://schemas.microsoft.com/office/drawing/2014/chart" uri="{C3380CC4-5D6E-409C-BE32-E72D297353CC}">
              <c16:uniqueId val="{00000011-A5A9-474B-9D36-09E4FFEA479D}"/>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Scores'!$L$22</c:f>
              <c:strCache>
                <c:ptCount val="1"/>
                <c:pt idx="0">
                  <c:v>Not Calculated</c:v>
                </c:pt>
              </c:strCache>
            </c:strRef>
          </c:xVal>
          <c:yVal>
            <c:numRef>
              <c:f>'Summary of Scores'!$D$49</c:f>
              <c:numCache>
                <c:formatCode>#,##0.00</c:formatCode>
                <c:ptCount val="1"/>
                <c:pt idx="0">
                  <c:v>0</c:v>
                </c:pt>
              </c:numCache>
            </c:numRef>
          </c:yVal>
          <c:smooth val="0"/>
          <c:extLst>
            <c:ext xmlns:c16="http://schemas.microsoft.com/office/drawing/2014/chart" uri="{C3380CC4-5D6E-409C-BE32-E72D297353CC}">
              <c16:uniqueId val="{00000012-A5A9-474B-9D36-09E4FFEA479D}"/>
            </c:ext>
          </c:extLst>
        </c:ser>
        <c:ser>
          <c:idx val="15"/>
          <c:order val="15"/>
          <c:tx>
            <c:strRef>
              <c:f>'Summary of Scores'!$B$23</c:f>
              <c:strCache>
                <c:ptCount val="1"/>
                <c:pt idx="0">
                  <c:v>RDD</c:v>
                </c:pt>
              </c:strCache>
            </c:strRef>
          </c:tx>
          <c:spPr>
            <a:ln w="66675">
              <a:noFill/>
            </a:ln>
          </c:spPr>
          <c:dLbls>
            <c:dLbl>
              <c:idx val="0"/>
              <c:layout>
                <c:manualLayout>
                  <c:x val="-5.000510623904354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Scores'!$L$23</c:f>
              <c:strCache>
                <c:ptCount val="1"/>
                <c:pt idx="0">
                  <c:v>Not Calculated</c:v>
                </c:pt>
              </c:strCache>
            </c:strRef>
          </c:xVal>
          <c:yVal>
            <c:numRef>
              <c:f>'Summary of Scores'!$D$50</c:f>
              <c:numCache>
                <c:formatCode>#,##0.00</c:formatCode>
                <c:ptCount val="1"/>
                <c:pt idx="0">
                  <c:v>0</c:v>
                </c:pt>
              </c:numCache>
            </c:numRef>
          </c:yVal>
          <c:smooth val="0"/>
          <c:extLst>
            <c:ext xmlns:c16="http://schemas.microsoft.com/office/drawing/2014/chart" uri="{C3380CC4-5D6E-409C-BE32-E72D297353CC}">
              <c16:uniqueId val="{00000014-A5A9-474B-9D36-09E4FFEA479D}"/>
            </c:ext>
          </c:extLst>
        </c:ser>
        <c:ser>
          <c:idx val="16"/>
          <c:order val="16"/>
          <c:tx>
            <c:strRef>
              <c:f>'Summary of Scores'!$B$24</c:f>
              <c:strCache>
                <c:ptCount val="1"/>
                <c:pt idx="0">
                  <c:v>Temp Extremes</c:v>
                </c:pt>
              </c:strCache>
            </c:strRef>
          </c:tx>
          <c:spPr>
            <a:ln w="66675">
              <a:noFill/>
            </a:ln>
          </c:spPr>
          <c:dLbls>
            <c:dLbl>
              <c:idx val="0"/>
              <c:layout>
                <c:manualLayout>
                  <c:x val="-4.851070196151131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Scores'!$L$24</c:f>
              <c:strCache>
                <c:ptCount val="1"/>
                <c:pt idx="0">
                  <c:v>Not Calculated</c:v>
                </c:pt>
              </c:strCache>
            </c:strRef>
          </c:xVal>
          <c:yVal>
            <c:numRef>
              <c:f>'Summary of Scores'!$D$51</c:f>
              <c:numCache>
                <c:formatCode>#,##0.00</c:formatCode>
                <c:ptCount val="1"/>
                <c:pt idx="0">
                  <c:v>0</c:v>
                </c:pt>
              </c:numCache>
            </c:numRef>
          </c:yVal>
          <c:smooth val="0"/>
          <c:extLst>
            <c:ext xmlns:c16="http://schemas.microsoft.com/office/drawing/2014/chart" uri="{C3380CC4-5D6E-409C-BE32-E72D297353CC}">
              <c16:uniqueId val="{00000016-A5A9-474B-9D36-09E4FFEA479D}"/>
            </c:ext>
          </c:extLst>
        </c:ser>
        <c:ser>
          <c:idx val="17"/>
          <c:order val="17"/>
          <c:tx>
            <c:strRef>
              <c:f>'Summary of Scores'!$B$25</c:f>
              <c:strCache>
                <c:ptCount val="1"/>
                <c:pt idx="0">
                  <c:v>Tornado</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Scores'!$L$25</c:f>
              <c:strCache>
                <c:ptCount val="1"/>
                <c:pt idx="0">
                  <c:v>Not Calculated</c:v>
                </c:pt>
              </c:strCache>
            </c:strRef>
          </c:xVal>
          <c:yVal>
            <c:numRef>
              <c:f>'Summary of Scores'!$D$52</c:f>
              <c:numCache>
                <c:formatCode>#,##0.00</c:formatCode>
                <c:ptCount val="1"/>
                <c:pt idx="0">
                  <c:v>0</c:v>
                </c:pt>
              </c:numCache>
            </c:numRef>
          </c:yVal>
          <c:smooth val="0"/>
          <c:extLst>
            <c:ext xmlns:c16="http://schemas.microsoft.com/office/drawing/2014/chart" uri="{C3380CC4-5D6E-409C-BE32-E72D297353CC}">
              <c16:uniqueId val="{00000017-A5A9-474B-9D36-09E4FFEA479D}"/>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Scores'!$L$26</c:f>
              <c:strCache>
                <c:ptCount val="1"/>
                <c:pt idx="0">
                  <c:v>Not Calculated</c:v>
                </c:pt>
              </c:strCache>
            </c:strRef>
          </c:xVal>
          <c:yVal>
            <c:numRef>
              <c:f>'Summary of Scores'!$D$53</c:f>
              <c:numCache>
                <c:formatCode>#,##0.00</c:formatCode>
                <c:ptCount val="1"/>
                <c:pt idx="0">
                  <c:v>0</c:v>
                </c:pt>
              </c:numCache>
            </c:numRef>
          </c:yVal>
          <c:smooth val="0"/>
          <c:extLst>
            <c:ext xmlns:c16="http://schemas.microsoft.com/office/drawing/2014/chart" uri="{C3380CC4-5D6E-409C-BE32-E72D297353CC}">
              <c16:uniqueId val="{00000018-A5A9-474B-9D36-09E4FFEA479D}"/>
            </c:ext>
          </c:extLst>
        </c:ser>
        <c:ser>
          <c:idx val="19"/>
          <c:order val="19"/>
          <c:tx>
            <c:strRef>
              <c:f>'Summary of Scores'!$B$27</c:f>
              <c:strCache>
                <c:ptCount val="1"/>
                <c:pt idx="0">
                  <c:v>Winter Storm</c:v>
                </c:pt>
              </c:strCache>
            </c:strRef>
          </c:tx>
          <c:spPr>
            <a:ln w="66675">
              <a:noFill/>
            </a:ln>
          </c:spPr>
          <c:dLbls>
            <c:dLbl>
              <c:idx val="0"/>
              <c:layout>
                <c:manualLayout>
                  <c:x val="-4.050685114174854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A5A9-474B-9D36-09E4FFEA479D}"/>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Scores'!$L$27</c:f>
              <c:strCache>
                <c:ptCount val="1"/>
                <c:pt idx="0">
                  <c:v>Not Calculated</c:v>
                </c:pt>
              </c:strCache>
            </c:strRef>
          </c:xVal>
          <c:yVal>
            <c:numRef>
              <c:f>'Summary of Scores'!$D$54</c:f>
              <c:numCache>
                <c:formatCode>#,##0.00</c:formatCode>
                <c:ptCount val="1"/>
                <c:pt idx="0">
                  <c:v>0</c:v>
                </c:pt>
              </c:numCache>
            </c:numRef>
          </c:yVal>
          <c:smooth val="0"/>
          <c:extLst>
            <c:ext xmlns:c16="http://schemas.microsoft.com/office/drawing/2014/chart" uri="{C3380CC4-5D6E-409C-BE32-E72D297353CC}">
              <c16:uniqueId val="{0000001A-A5A9-474B-9D36-09E4FFEA479D}"/>
            </c:ext>
          </c:extLst>
        </c:ser>
        <c:dLbls>
          <c:showLegendKey val="0"/>
          <c:showVal val="1"/>
          <c:showCatName val="0"/>
          <c:showSerName val="0"/>
          <c:showPercent val="0"/>
          <c:showBubbleSize val="0"/>
        </c:dLbls>
        <c:axId val="116513408"/>
        <c:axId val="117314304"/>
      </c:scatterChart>
      <c:valAx>
        <c:axId val="116513408"/>
        <c:scaling>
          <c:orientation val="minMax"/>
        </c:scaling>
        <c:delete val="0"/>
        <c:axPos val="b"/>
        <c:majorGridlines/>
        <c:title>
          <c:tx>
            <c:rich>
              <a:bodyPr/>
              <a:lstStyle/>
              <a:p>
                <a:pPr>
                  <a:defRPr b="0">
                    <a:latin typeface="+mj-lt"/>
                  </a:defRPr>
                </a:pPr>
                <a:r>
                  <a:rPr lang="en-US" sz="1600" b="0">
                    <a:latin typeface="+mj-lt"/>
                  </a:rPr>
                  <a:t>Healthcare System Adjusted Risk</a:t>
                </a:r>
              </a:p>
            </c:rich>
          </c:tx>
          <c:overlay val="0"/>
        </c:title>
        <c:numFmt formatCode="#,##0.00" sourceLinked="1"/>
        <c:majorTickMark val="out"/>
        <c:minorTickMark val="none"/>
        <c:tickLblPos val="nextTo"/>
        <c:spPr>
          <a:ln>
            <a:solidFill>
              <a:schemeClr val="tx1"/>
            </a:solidFill>
          </a:ln>
        </c:spPr>
        <c:crossAx val="117314304"/>
        <c:crosses val="autoZero"/>
        <c:crossBetween val="midCat"/>
      </c:valAx>
      <c:valAx>
        <c:axId val="117314304"/>
        <c:scaling>
          <c:orientation val="minMax"/>
        </c:scaling>
        <c:delete val="0"/>
        <c:axPos val="l"/>
        <c:majorGridlines/>
        <c:title>
          <c:tx>
            <c:rich>
              <a:bodyPr rot="-5400000" vert="horz"/>
              <a:lstStyle/>
              <a:p>
                <a:pPr>
                  <a:defRPr sz="1600" b="0">
                    <a:latin typeface="+mj-lt"/>
                  </a:defRPr>
                </a:pPr>
                <a:r>
                  <a:rPr lang="en-US" sz="1600" b="0">
                    <a:latin typeface="+mj-lt"/>
                  </a:rPr>
                  <a:t>Healthcare </a:t>
                </a:r>
                <a:r>
                  <a:rPr lang="en-US" sz="1600" b="0" baseline="0">
                    <a:latin typeface="+mj-lt"/>
                  </a:rPr>
                  <a:t>Preparedness</a:t>
                </a:r>
                <a:endParaRPr lang="en-US" sz="1600" b="0">
                  <a:latin typeface="+mj-lt"/>
                </a:endParaRPr>
              </a:p>
            </c:rich>
          </c:tx>
          <c:overlay val="0"/>
        </c:title>
        <c:numFmt formatCode="#,##0.00" sourceLinked="1"/>
        <c:majorTickMark val="out"/>
        <c:minorTickMark val="none"/>
        <c:tickLblPos val="nextTo"/>
        <c:spPr>
          <a:ln>
            <a:solidFill>
              <a:schemeClr val="tx1"/>
            </a:solidFill>
          </a:ln>
        </c:spPr>
        <c:crossAx val="116513408"/>
        <c:crosses val="autoZero"/>
        <c:crossBetween val="midCat"/>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baseline="0">
                <a:latin typeface="+mj-lt"/>
              </a:rPr>
              <a:t>Adjusted Risk</a:t>
            </a:r>
            <a:r>
              <a:rPr lang="en-US" b="0" u="sng">
                <a:latin typeface="+mj-lt"/>
              </a:rPr>
              <a:t> vs. Preparedness</a:t>
            </a:r>
          </a:p>
        </c:rich>
      </c:tx>
      <c:layout>
        <c:manualLayout>
          <c:xMode val="edge"/>
          <c:yMode val="edge"/>
          <c:x val="0.31886729097391325"/>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Scores'!$M$8</c:f>
              <c:strCache>
                <c:ptCount val="1"/>
                <c:pt idx="0">
                  <c:v>Not Calculated</c:v>
                </c:pt>
              </c:strCache>
            </c:strRef>
          </c:xVal>
          <c:yVal>
            <c:numRef>
              <c:f>'Summary of Scores'!$E$35</c:f>
              <c:numCache>
                <c:formatCode>#,##0.00</c:formatCode>
                <c:ptCount val="1"/>
                <c:pt idx="0">
                  <c:v>0</c:v>
                </c:pt>
              </c:numCache>
            </c:numRef>
          </c:yVal>
          <c:smooth val="0"/>
          <c:extLst>
            <c:ext xmlns:c16="http://schemas.microsoft.com/office/drawing/2014/chart" uri="{C3380CC4-5D6E-409C-BE32-E72D297353CC}">
              <c16:uniqueId val="{00000000-4F74-4E91-BEF9-FD3C2A151F20}"/>
            </c:ext>
          </c:extLst>
        </c:ser>
        <c:ser>
          <c:idx val="1"/>
          <c:order val="1"/>
          <c:tx>
            <c:strRef>
              <c:f>'Summary of Scores'!$B$9</c:f>
              <c:strCache>
                <c:ptCount val="1"/>
                <c:pt idx="0">
                  <c:v>Bio Terrorism</c:v>
                </c:pt>
              </c:strCache>
            </c:strRef>
          </c:tx>
          <c:spPr>
            <a:ln w="66675">
              <a:noFill/>
            </a:ln>
          </c:spPr>
          <c:dLbls>
            <c:dLbl>
              <c:idx val="0"/>
              <c:layout>
                <c:manualLayout>
                  <c:x val="-7.01503575993521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Scores'!$M$9</c:f>
              <c:strCache>
                <c:ptCount val="1"/>
                <c:pt idx="0">
                  <c:v>Not Calculated</c:v>
                </c:pt>
              </c:strCache>
            </c:strRef>
          </c:xVal>
          <c:yVal>
            <c:numRef>
              <c:f>'Summary of Scores'!$E$36</c:f>
              <c:numCache>
                <c:formatCode>#,##0.00</c:formatCode>
                <c:ptCount val="1"/>
                <c:pt idx="0">
                  <c:v>0</c:v>
                </c:pt>
              </c:numCache>
            </c:numRef>
          </c:yVal>
          <c:smooth val="0"/>
          <c:extLst>
            <c:ext xmlns:c16="http://schemas.microsoft.com/office/drawing/2014/chart" uri="{C3380CC4-5D6E-409C-BE32-E72D297353CC}">
              <c16:uniqueId val="{00000002-4F74-4E91-BEF9-FD3C2A151F20}"/>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Scores'!$M$10</c:f>
              <c:strCache>
                <c:ptCount val="1"/>
                <c:pt idx="0">
                  <c:v>Not Calculated</c:v>
                </c:pt>
              </c:strCache>
            </c:strRef>
          </c:xVal>
          <c:yVal>
            <c:numRef>
              <c:f>'Summary of Scores'!$E$37</c:f>
              <c:numCache>
                <c:formatCode>#,##0.00</c:formatCode>
                <c:ptCount val="1"/>
                <c:pt idx="0">
                  <c:v>0</c:v>
                </c:pt>
              </c:numCache>
            </c:numRef>
          </c:yVal>
          <c:smooth val="0"/>
          <c:extLst>
            <c:ext xmlns:c16="http://schemas.microsoft.com/office/drawing/2014/chart" uri="{C3380CC4-5D6E-409C-BE32-E72D297353CC}">
              <c16:uniqueId val="{00000003-4F74-4E91-BEF9-FD3C2A151F20}"/>
            </c:ext>
          </c:extLst>
        </c:ser>
        <c:ser>
          <c:idx val="3"/>
          <c:order val="3"/>
          <c:tx>
            <c:strRef>
              <c:f>'Summary of Scores'!$B$11</c:f>
              <c:strCache>
                <c:ptCount val="1"/>
                <c:pt idx="0">
                  <c:v>Civil Disturbance</c:v>
                </c:pt>
              </c:strCache>
            </c:strRef>
          </c:tx>
          <c:spPr>
            <a:ln w="66675">
              <a:noFill/>
            </a:ln>
          </c:spPr>
          <c:dLbls>
            <c:dLbl>
              <c:idx val="0"/>
              <c:layout>
                <c:manualLayout>
                  <c:x val="-8.0987292945259165E-2"/>
                  <c:y val="-7.2859744990892532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Scores'!$M$11</c:f>
              <c:strCache>
                <c:ptCount val="1"/>
                <c:pt idx="0">
                  <c:v>Not Calculated</c:v>
                </c:pt>
              </c:strCache>
            </c:strRef>
          </c:xVal>
          <c:yVal>
            <c:numRef>
              <c:f>'Summary of Scores'!$E$38</c:f>
              <c:numCache>
                <c:formatCode>#,##0.00</c:formatCode>
                <c:ptCount val="1"/>
                <c:pt idx="0">
                  <c:v>0</c:v>
                </c:pt>
              </c:numCache>
            </c:numRef>
          </c:yVal>
          <c:smooth val="0"/>
          <c:extLst>
            <c:ext xmlns:c16="http://schemas.microsoft.com/office/drawing/2014/chart" uri="{C3380CC4-5D6E-409C-BE32-E72D297353CC}">
              <c16:uniqueId val="{00000005-4F74-4E91-BEF9-FD3C2A151F20}"/>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Scores'!$M$12</c:f>
              <c:strCache>
                <c:ptCount val="1"/>
                <c:pt idx="0">
                  <c:v>Not Calculated</c:v>
                </c:pt>
              </c:strCache>
            </c:strRef>
          </c:xVal>
          <c:yVal>
            <c:numRef>
              <c:f>'Summary of Scores'!$E$39</c:f>
              <c:numCache>
                <c:formatCode>#,##0.00</c:formatCode>
                <c:ptCount val="1"/>
                <c:pt idx="0">
                  <c:v>0</c:v>
                </c:pt>
              </c:numCache>
            </c:numRef>
          </c:yVal>
          <c:smooth val="0"/>
          <c:extLst>
            <c:ext xmlns:c16="http://schemas.microsoft.com/office/drawing/2014/chart" uri="{C3380CC4-5D6E-409C-BE32-E72D297353CC}">
              <c16:uniqueId val="{00000006-4F74-4E91-BEF9-FD3C2A151F20}"/>
            </c:ext>
          </c:extLst>
        </c:ser>
        <c:ser>
          <c:idx val="5"/>
          <c:order val="5"/>
          <c:tx>
            <c:strRef>
              <c:f>'Summary of Scores'!$B$13</c:f>
              <c:strCache>
                <c:ptCount val="1"/>
                <c:pt idx="0">
                  <c:v>Conv Explosive</c:v>
                </c:pt>
              </c:strCache>
            </c:strRef>
          </c:tx>
          <c:spPr>
            <a:ln w="66675">
              <a:noFill/>
            </a:ln>
          </c:spPr>
          <c:dLbls>
            <c:dLbl>
              <c:idx val="0"/>
              <c:layout>
                <c:manualLayout>
                  <c:x val="-6.830417573268025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Scores'!$M$13</c:f>
              <c:strCache>
                <c:ptCount val="1"/>
                <c:pt idx="0">
                  <c:v>Not Calculated</c:v>
                </c:pt>
              </c:strCache>
            </c:strRef>
          </c:xVal>
          <c:yVal>
            <c:numRef>
              <c:f>'Summary of Scores'!$E$40</c:f>
              <c:numCache>
                <c:formatCode>#,##0.00</c:formatCode>
                <c:ptCount val="1"/>
                <c:pt idx="0">
                  <c:v>0</c:v>
                </c:pt>
              </c:numCache>
            </c:numRef>
          </c:yVal>
          <c:smooth val="0"/>
          <c:extLst>
            <c:ext xmlns:c16="http://schemas.microsoft.com/office/drawing/2014/chart" uri="{C3380CC4-5D6E-409C-BE32-E72D297353CC}">
              <c16:uniqueId val="{00000008-4F74-4E91-BEF9-FD3C2A151F20}"/>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Scores'!$M$14</c:f>
              <c:strCache>
                <c:ptCount val="1"/>
                <c:pt idx="0">
                  <c:v>Not Calculated</c:v>
                </c:pt>
              </c:strCache>
            </c:strRef>
          </c:xVal>
          <c:yVal>
            <c:numRef>
              <c:f>'Summary of Scores'!$E$41</c:f>
              <c:numCache>
                <c:formatCode>#,##0.00</c:formatCode>
                <c:ptCount val="1"/>
                <c:pt idx="0">
                  <c:v>0</c:v>
                </c:pt>
              </c:numCache>
            </c:numRef>
          </c:yVal>
          <c:smooth val="0"/>
          <c:extLst>
            <c:ext xmlns:c16="http://schemas.microsoft.com/office/drawing/2014/chart" uri="{C3380CC4-5D6E-409C-BE32-E72D297353CC}">
              <c16:uniqueId val="{00000009-4F74-4E91-BEF9-FD3C2A151F20}"/>
            </c:ext>
          </c:extLst>
        </c:ser>
        <c:ser>
          <c:idx val="7"/>
          <c:order val="7"/>
          <c:tx>
            <c:strRef>
              <c:f>'Summary of Scores'!$B$15</c:f>
              <c:strCache>
                <c:ptCount val="1"/>
                <c:pt idx="0">
                  <c:v>Drought</c:v>
                </c:pt>
              </c:strCache>
            </c:strRef>
          </c:tx>
          <c:spPr>
            <a:ln w="66675">
              <a:noFill/>
            </a:ln>
          </c:spPr>
          <c:dLbls>
            <c:dLbl>
              <c:idx val="0"/>
              <c:spPr/>
              <c:txPr>
                <a:bodyPr rot="-2700000"/>
                <a:lstStyle/>
                <a:p>
                  <a:pPr>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4F74-4E91-BEF9-FD3C2A151F20}"/>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Scores'!$M$15</c:f>
              <c:strCache>
                <c:ptCount val="1"/>
                <c:pt idx="0">
                  <c:v>Not Calculated</c:v>
                </c:pt>
              </c:strCache>
            </c:strRef>
          </c:xVal>
          <c:yVal>
            <c:numRef>
              <c:f>'Summary of Scores'!$E$42</c:f>
              <c:numCache>
                <c:formatCode>#,##0.00</c:formatCode>
                <c:ptCount val="1"/>
                <c:pt idx="0">
                  <c:v>0</c:v>
                </c:pt>
              </c:numCache>
            </c:numRef>
          </c:yVal>
          <c:smooth val="0"/>
          <c:extLst>
            <c:ext xmlns:c16="http://schemas.microsoft.com/office/drawing/2014/chart" uri="{C3380CC4-5D6E-409C-BE32-E72D297353CC}">
              <c16:uniqueId val="{0000000B-4F74-4E91-BEF9-FD3C2A151F20}"/>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Scores'!$M$16</c:f>
              <c:strCache>
                <c:ptCount val="1"/>
                <c:pt idx="0">
                  <c:v>Not Calculated</c:v>
                </c:pt>
              </c:strCache>
            </c:strRef>
          </c:xVal>
          <c:yVal>
            <c:numRef>
              <c:f>'Summary of Scores'!$E$43</c:f>
              <c:numCache>
                <c:formatCode>#,##0.00</c:formatCode>
                <c:ptCount val="1"/>
                <c:pt idx="0">
                  <c:v>0</c:v>
                </c:pt>
              </c:numCache>
            </c:numRef>
          </c:yVal>
          <c:smooth val="0"/>
          <c:extLst>
            <c:ext xmlns:c16="http://schemas.microsoft.com/office/drawing/2014/chart" uri="{C3380CC4-5D6E-409C-BE32-E72D297353CC}">
              <c16:uniqueId val="{0000000C-4F74-4E91-BEF9-FD3C2A151F20}"/>
            </c:ext>
          </c:extLst>
        </c:ser>
        <c:ser>
          <c:idx val="9"/>
          <c:order val="9"/>
          <c:tx>
            <c:strRef>
              <c:f>'Summary of Scores'!$B$17</c:f>
              <c:strCache>
                <c:ptCount val="1"/>
                <c:pt idx="0">
                  <c:v>Fire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Scores'!$M$17</c:f>
              <c:strCache>
                <c:ptCount val="1"/>
                <c:pt idx="0">
                  <c:v>Not Calculated</c:v>
                </c:pt>
              </c:strCache>
            </c:strRef>
          </c:xVal>
          <c:yVal>
            <c:numRef>
              <c:f>'Summary of Scores'!$E$44</c:f>
              <c:numCache>
                <c:formatCode>#,##0.00</c:formatCode>
                <c:ptCount val="1"/>
                <c:pt idx="0">
                  <c:v>0</c:v>
                </c:pt>
              </c:numCache>
            </c:numRef>
          </c:yVal>
          <c:smooth val="0"/>
          <c:extLst>
            <c:ext xmlns:c16="http://schemas.microsoft.com/office/drawing/2014/chart" uri="{C3380CC4-5D6E-409C-BE32-E72D297353CC}">
              <c16:uniqueId val="{0000000D-4F74-4E91-BEF9-FD3C2A151F20}"/>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Scores'!$M$18</c:f>
              <c:strCache>
                <c:ptCount val="1"/>
                <c:pt idx="0">
                  <c:v>Not Calculated</c:v>
                </c:pt>
              </c:strCache>
            </c:strRef>
          </c:xVal>
          <c:yVal>
            <c:numRef>
              <c:f>'Summary of Scores'!$E$45</c:f>
              <c:numCache>
                <c:formatCode>#,##0.00</c:formatCode>
                <c:ptCount val="1"/>
                <c:pt idx="0">
                  <c:v>0</c:v>
                </c:pt>
              </c:numCache>
            </c:numRef>
          </c:yVal>
          <c:smooth val="0"/>
          <c:extLst>
            <c:ext xmlns:c16="http://schemas.microsoft.com/office/drawing/2014/chart" uri="{C3380CC4-5D6E-409C-BE32-E72D297353CC}">
              <c16:uniqueId val="{0000000E-4F74-4E91-BEF9-FD3C2A151F20}"/>
            </c:ext>
          </c:extLst>
        </c:ser>
        <c:ser>
          <c:idx val="11"/>
          <c:order val="11"/>
          <c:tx>
            <c:strRef>
              <c:f>'Summary of Scores'!$B$19</c:f>
              <c:strCache>
                <c:ptCount val="1"/>
                <c:pt idx="0">
                  <c:v>HazMat Release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Scores'!$M$19</c:f>
              <c:strCache>
                <c:ptCount val="1"/>
                <c:pt idx="0">
                  <c:v>Not Calculated</c:v>
                </c:pt>
              </c:strCache>
            </c:strRef>
          </c:xVal>
          <c:yVal>
            <c:numRef>
              <c:f>'Summary of Scores'!$E$46</c:f>
              <c:numCache>
                <c:formatCode>#,##0.00</c:formatCode>
                <c:ptCount val="1"/>
                <c:pt idx="0">
                  <c:v>0</c:v>
                </c:pt>
              </c:numCache>
            </c:numRef>
          </c:yVal>
          <c:smooth val="0"/>
          <c:extLst>
            <c:ext xmlns:c16="http://schemas.microsoft.com/office/drawing/2014/chart" uri="{C3380CC4-5D6E-409C-BE32-E72D297353CC}">
              <c16:uniqueId val="{0000000F-4F74-4E91-BEF9-FD3C2A151F20}"/>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Scores'!$M$20</c:f>
              <c:strCache>
                <c:ptCount val="1"/>
                <c:pt idx="0">
                  <c:v>Not Calculated</c:v>
                </c:pt>
              </c:strCache>
            </c:strRef>
          </c:xVal>
          <c:yVal>
            <c:numRef>
              <c:f>'Summary of Scores'!$E$47</c:f>
              <c:numCache>
                <c:formatCode>#,##0.00</c:formatCode>
                <c:ptCount val="1"/>
                <c:pt idx="0">
                  <c:v>0</c:v>
                </c:pt>
              </c:numCache>
            </c:numRef>
          </c:yVal>
          <c:smooth val="0"/>
          <c:extLst>
            <c:ext xmlns:c16="http://schemas.microsoft.com/office/drawing/2014/chart" uri="{C3380CC4-5D6E-409C-BE32-E72D297353CC}">
              <c16:uniqueId val="{00000010-4F74-4E91-BEF9-FD3C2A151F20}"/>
            </c:ext>
          </c:extLst>
        </c:ser>
        <c:ser>
          <c:idx val="13"/>
          <c:order val="13"/>
          <c:tx>
            <c:strRef>
              <c:f>'Summary of Scores'!$B$21</c:f>
              <c:strCache>
                <c:ptCount val="1"/>
                <c:pt idx="0">
                  <c:v>Nuclear Facility</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Scores'!$M$21</c:f>
              <c:strCache>
                <c:ptCount val="1"/>
                <c:pt idx="0">
                  <c:v>Not Calculated</c:v>
                </c:pt>
              </c:strCache>
            </c:strRef>
          </c:xVal>
          <c:yVal>
            <c:numRef>
              <c:f>'Summary of Scores'!$E$48</c:f>
              <c:numCache>
                <c:formatCode>#,##0.00</c:formatCode>
                <c:ptCount val="1"/>
                <c:pt idx="0">
                  <c:v>0</c:v>
                </c:pt>
              </c:numCache>
            </c:numRef>
          </c:yVal>
          <c:smooth val="0"/>
          <c:extLst>
            <c:ext xmlns:c16="http://schemas.microsoft.com/office/drawing/2014/chart" uri="{C3380CC4-5D6E-409C-BE32-E72D297353CC}">
              <c16:uniqueId val="{00000011-4F74-4E91-BEF9-FD3C2A151F20}"/>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Scores'!$M$22</c:f>
              <c:strCache>
                <c:ptCount val="1"/>
                <c:pt idx="0">
                  <c:v>Not Calculated</c:v>
                </c:pt>
              </c:strCache>
            </c:strRef>
          </c:xVal>
          <c:yVal>
            <c:numRef>
              <c:f>'Summary of Scores'!$E$49</c:f>
              <c:numCache>
                <c:formatCode>#,##0.00</c:formatCode>
                <c:ptCount val="1"/>
                <c:pt idx="0">
                  <c:v>0</c:v>
                </c:pt>
              </c:numCache>
            </c:numRef>
          </c:yVal>
          <c:smooth val="0"/>
          <c:extLst>
            <c:ext xmlns:c16="http://schemas.microsoft.com/office/drawing/2014/chart" uri="{C3380CC4-5D6E-409C-BE32-E72D297353CC}">
              <c16:uniqueId val="{00000012-4F74-4E91-BEF9-FD3C2A151F20}"/>
            </c:ext>
          </c:extLst>
        </c:ser>
        <c:ser>
          <c:idx val="15"/>
          <c:order val="15"/>
          <c:tx>
            <c:strRef>
              <c:f>'Summary of Scores'!$B$23</c:f>
              <c:strCache>
                <c:ptCount val="1"/>
                <c:pt idx="0">
                  <c:v>RDD</c:v>
                </c:pt>
              </c:strCache>
            </c:strRef>
          </c:tx>
          <c:spPr>
            <a:ln w="66675">
              <a:noFill/>
            </a:ln>
          </c:spPr>
          <c:dLbls>
            <c:dLbl>
              <c:idx val="0"/>
              <c:layout>
                <c:manualLayout>
                  <c:x val="-5.000510623904354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Scores'!$M$23</c:f>
              <c:strCache>
                <c:ptCount val="1"/>
                <c:pt idx="0">
                  <c:v>Not Calculated</c:v>
                </c:pt>
              </c:strCache>
            </c:strRef>
          </c:xVal>
          <c:yVal>
            <c:numRef>
              <c:f>'Summary of Scores'!$E$50</c:f>
              <c:numCache>
                <c:formatCode>#,##0.00</c:formatCode>
                <c:ptCount val="1"/>
                <c:pt idx="0">
                  <c:v>0</c:v>
                </c:pt>
              </c:numCache>
            </c:numRef>
          </c:yVal>
          <c:smooth val="0"/>
          <c:extLst>
            <c:ext xmlns:c16="http://schemas.microsoft.com/office/drawing/2014/chart" uri="{C3380CC4-5D6E-409C-BE32-E72D297353CC}">
              <c16:uniqueId val="{00000014-4F74-4E91-BEF9-FD3C2A151F20}"/>
            </c:ext>
          </c:extLst>
        </c:ser>
        <c:ser>
          <c:idx val="16"/>
          <c:order val="16"/>
          <c:tx>
            <c:strRef>
              <c:f>'Summary of Scores'!$B$24</c:f>
              <c:strCache>
                <c:ptCount val="1"/>
                <c:pt idx="0">
                  <c:v>Temp Extremes</c:v>
                </c:pt>
              </c:strCache>
            </c:strRef>
          </c:tx>
          <c:spPr>
            <a:ln w="66675">
              <a:noFill/>
            </a:ln>
          </c:spPr>
          <c:dLbls>
            <c:dLbl>
              <c:idx val="0"/>
              <c:layout>
                <c:manualLayout>
                  <c:x val="-4.851070196151131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Scores'!$M$24</c:f>
              <c:strCache>
                <c:ptCount val="1"/>
                <c:pt idx="0">
                  <c:v>Not Calculated</c:v>
                </c:pt>
              </c:strCache>
            </c:strRef>
          </c:xVal>
          <c:yVal>
            <c:numRef>
              <c:f>'Summary of Scores'!$E$51</c:f>
              <c:numCache>
                <c:formatCode>#,##0.00</c:formatCode>
                <c:ptCount val="1"/>
                <c:pt idx="0">
                  <c:v>0</c:v>
                </c:pt>
              </c:numCache>
            </c:numRef>
          </c:yVal>
          <c:smooth val="0"/>
          <c:extLst>
            <c:ext xmlns:c16="http://schemas.microsoft.com/office/drawing/2014/chart" uri="{C3380CC4-5D6E-409C-BE32-E72D297353CC}">
              <c16:uniqueId val="{00000016-4F74-4E91-BEF9-FD3C2A151F20}"/>
            </c:ext>
          </c:extLst>
        </c:ser>
        <c:ser>
          <c:idx val="17"/>
          <c:order val="17"/>
          <c:tx>
            <c:strRef>
              <c:f>'Summary of Scores'!$B$25</c:f>
              <c:strCache>
                <c:ptCount val="1"/>
                <c:pt idx="0">
                  <c:v>Tornado</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Scores'!$M$25</c:f>
              <c:strCache>
                <c:ptCount val="1"/>
                <c:pt idx="0">
                  <c:v>Not Calculated</c:v>
                </c:pt>
              </c:strCache>
            </c:strRef>
          </c:xVal>
          <c:yVal>
            <c:numRef>
              <c:f>'Summary of Scores'!$E$52</c:f>
              <c:numCache>
                <c:formatCode>#,##0.00</c:formatCode>
                <c:ptCount val="1"/>
                <c:pt idx="0">
                  <c:v>0</c:v>
                </c:pt>
              </c:numCache>
            </c:numRef>
          </c:yVal>
          <c:smooth val="0"/>
          <c:extLst>
            <c:ext xmlns:c16="http://schemas.microsoft.com/office/drawing/2014/chart" uri="{C3380CC4-5D6E-409C-BE32-E72D297353CC}">
              <c16:uniqueId val="{00000017-4F74-4E91-BEF9-FD3C2A151F20}"/>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Scores'!$M$26</c:f>
              <c:strCache>
                <c:ptCount val="1"/>
                <c:pt idx="0">
                  <c:v>Not Calculated</c:v>
                </c:pt>
              </c:strCache>
            </c:strRef>
          </c:xVal>
          <c:yVal>
            <c:numRef>
              <c:f>'Summary of Scores'!$E$53</c:f>
              <c:numCache>
                <c:formatCode>#,##0.00</c:formatCode>
                <c:ptCount val="1"/>
                <c:pt idx="0">
                  <c:v>0</c:v>
                </c:pt>
              </c:numCache>
            </c:numRef>
          </c:yVal>
          <c:smooth val="0"/>
          <c:extLst>
            <c:ext xmlns:c16="http://schemas.microsoft.com/office/drawing/2014/chart" uri="{C3380CC4-5D6E-409C-BE32-E72D297353CC}">
              <c16:uniqueId val="{00000018-4F74-4E91-BEF9-FD3C2A151F20}"/>
            </c:ext>
          </c:extLst>
        </c:ser>
        <c:ser>
          <c:idx val="19"/>
          <c:order val="19"/>
          <c:tx>
            <c:strRef>
              <c:f>'Summary of Scores'!$B$27</c:f>
              <c:strCache>
                <c:ptCount val="1"/>
                <c:pt idx="0">
                  <c:v>Winter Storm</c:v>
                </c:pt>
              </c:strCache>
            </c:strRef>
          </c:tx>
          <c:spPr>
            <a:ln w="66675">
              <a:noFill/>
            </a:ln>
          </c:spPr>
          <c:dLbls>
            <c:dLbl>
              <c:idx val="0"/>
              <c:layout>
                <c:manualLayout>
                  <c:x val="-4.050685114174854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4F74-4E91-BEF9-FD3C2A151F20}"/>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Scores'!$M$27</c:f>
              <c:strCache>
                <c:ptCount val="1"/>
                <c:pt idx="0">
                  <c:v>Not Calculated</c:v>
                </c:pt>
              </c:strCache>
            </c:strRef>
          </c:xVal>
          <c:yVal>
            <c:numRef>
              <c:f>'Summary of Scores'!$E$54</c:f>
              <c:numCache>
                <c:formatCode>#,##0.00</c:formatCode>
                <c:ptCount val="1"/>
                <c:pt idx="0">
                  <c:v>0</c:v>
                </c:pt>
              </c:numCache>
            </c:numRef>
          </c:yVal>
          <c:smooth val="0"/>
          <c:extLst>
            <c:ext xmlns:c16="http://schemas.microsoft.com/office/drawing/2014/chart" uri="{C3380CC4-5D6E-409C-BE32-E72D297353CC}">
              <c16:uniqueId val="{0000001A-4F74-4E91-BEF9-FD3C2A151F20}"/>
            </c:ext>
          </c:extLst>
        </c:ser>
        <c:dLbls>
          <c:showLegendKey val="0"/>
          <c:showVal val="1"/>
          <c:showCatName val="0"/>
          <c:showSerName val="0"/>
          <c:showPercent val="0"/>
          <c:showBubbleSize val="0"/>
        </c:dLbls>
        <c:axId val="118788480"/>
        <c:axId val="118790400"/>
      </c:scatterChart>
      <c:valAx>
        <c:axId val="118788480"/>
        <c:scaling>
          <c:orientation val="minMax"/>
        </c:scaling>
        <c:delete val="0"/>
        <c:axPos val="b"/>
        <c:majorGridlines/>
        <c:title>
          <c:tx>
            <c:rich>
              <a:bodyPr/>
              <a:lstStyle/>
              <a:p>
                <a:pPr>
                  <a:defRPr b="0">
                    <a:latin typeface="+mj-lt"/>
                  </a:defRPr>
                </a:pPr>
                <a:r>
                  <a:rPr lang="en-US" sz="1600" b="0">
                    <a:latin typeface="+mj-lt"/>
                  </a:rPr>
                  <a:t>Adjusted Risk</a:t>
                </a:r>
              </a:p>
            </c:rich>
          </c:tx>
          <c:layout>
            <c:manualLayout>
              <c:xMode val="edge"/>
              <c:yMode val="edge"/>
              <c:x val="0.41435173873267089"/>
              <c:y val="0.92043715846994534"/>
            </c:manualLayout>
          </c:layout>
          <c:overlay val="0"/>
        </c:title>
        <c:numFmt formatCode="#,##0.00" sourceLinked="1"/>
        <c:majorTickMark val="out"/>
        <c:minorTickMark val="none"/>
        <c:tickLblPos val="nextTo"/>
        <c:spPr>
          <a:ln>
            <a:solidFill>
              <a:schemeClr val="tx1"/>
            </a:solidFill>
          </a:ln>
        </c:spPr>
        <c:crossAx val="118790400"/>
        <c:crosses val="autoZero"/>
        <c:crossBetween val="midCat"/>
      </c:valAx>
      <c:valAx>
        <c:axId val="118790400"/>
        <c:scaling>
          <c:orientation val="minMax"/>
        </c:scaling>
        <c:delete val="0"/>
        <c:axPos val="l"/>
        <c:majorGridlines/>
        <c:title>
          <c:tx>
            <c:rich>
              <a:bodyPr rot="-5400000" vert="horz"/>
              <a:lstStyle/>
              <a:p>
                <a:pPr>
                  <a:defRPr sz="1600" b="0">
                    <a:latin typeface="+mj-lt"/>
                  </a:defRPr>
                </a:pPr>
                <a:r>
                  <a:rPr lang="en-US" sz="1600" b="0" baseline="0">
                    <a:latin typeface="+mj-lt"/>
                  </a:rPr>
                  <a:t>Preparedness</a:t>
                </a:r>
                <a:endParaRPr lang="en-US" sz="1600" b="0">
                  <a:latin typeface="+mj-lt"/>
                </a:endParaRPr>
              </a:p>
            </c:rich>
          </c:tx>
          <c:overlay val="0"/>
        </c:title>
        <c:numFmt formatCode="#,##0.00" sourceLinked="1"/>
        <c:majorTickMark val="out"/>
        <c:minorTickMark val="none"/>
        <c:tickLblPos val="nextTo"/>
        <c:spPr>
          <a:ln>
            <a:solidFill>
              <a:schemeClr val="tx1"/>
            </a:solidFill>
          </a:ln>
        </c:spPr>
        <c:crossAx val="118788480"/>
        <c:crosses val="autoZero"/>
        <c:crossBetween val="midCat"/>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0" u="sng">
                <a:latin typeface="+mj-lt"/>
              </a:defRPr>
            </a:pPr>
            <a:r>
              <a:rPr lang="en-US" b="0" u="sng">
                <a:latin typeface="+mj-lt"/>
              </a:rPr>
              <a:t>Public</a:t>
            </a:r>
            <a:r>
              <a:rPr lang="en-US" b="0" u="sng" baseline="0">
                <a:latin typeface="+mj-lt"/>
              </a:rPr>
              <a:t> Health System Adjusted Risk</a:t>
            </a:r>
            <a:r>
              <a:rPr lang="en-US" b="0" u="sng">
                <a:latin typeface="+mj-lt"/>
              </a:rPr>
              <a:t> vs. Preparedness</a:t>
            </a:r>
          </a:p>
        </c:rich>
      </c:tx>
      <c:layout>
        <c:manualLayout>
          <c:xMode val="edge"/>
          <c:yMode val="edge"/>
          <c:x val="0.19740604046673299"/>
          <c:y val="1.3244983721297133E-2"/>
        </c:manualLayout>
      </c:layout>
      <c:overlay val="0"/>
    </c:title>
    <c:autoTitleDeleted val="0"/>
    <c:plotArea>
      <c:layout/>
      <c:scatterChart>
        <c:scatterStyle val="lineMarker"/>
        <c:varyColors val="0"/>
        <c:ser>
          <c:idx val="0"/>
          <c:order val="0"/>
          <c:tx>
            <c:strRef>
              <c:f>'Summary of Scores'!$B$8</c:f>
              <c:strCache>
                <c:ptCount val="1"/>
                <c:pt idx="0">
                  <c:v>Active Shooter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Scores'!$K$8</c:f>
              <c:strCache>
                <c:ptCount val="1"/>
                <c:pt idx="0">
                  <c:v>Not Calculated</c:v>
                </c:pt>
              </c:strCache>
            </c:strRef>
          </c:xVal>
          <c:yVal>
            <c:numRef>
              <c:f>'Summary of Scores'!$C$35</c:f>
              <c:numCache>
                <c:formatCode>#,##0.00</c:formatCode>
                <c:ptCount val="1"/>
                <c:pt idx="0">
                  <c:v>0</c:v>
                </c:pt>
              </c:numCache>
            </c:numRef>
          </c:yVal>
          <c:smooth val="0"/>
          <c:extLst>
            <c:ext xmlns:c16="http://schemas.microsoft.com/office/drawing/2014/chart" uri="{C3380CC4-5D6E-409C-BE32-E72D297353CC}">
              <c16:uniqueId val="{00000000-90F9-4A7F-A420-154D66FB7881}"/>
            </c:ext>
          </c:extLst>
        </c:ser>
        <c:ser>
          <c:idx val="1"/>
          <c:order val="1"/>
          <c:tx>
            <c:strRef>
              <c:f>'Summary of Scores'!$B$9</c:f>
              <c:strCache>
                <c:ptCount val="1"/>
                <c:pt idx="0">
                  <c:v>Bio Terrorism</c:v>
                </c:pt>
              </c:strCache>
            </c:strRef>
          </c:tx>
          <c:spPr>
            <a:ln w="66675">
              <a:noFill/>
            </a:ln>
          </c:spPr>
          <c:dLbls>
            <c:dLbl>
              <c:idx val="0"/>
              <c:layout>
                <c:manualLayout>
                  <c:x val="-7.015035759935212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Scores'!$K$9</c:f>
              <c:strCache>
                <c:ptCount val="1"/>
                <c:pt idx="0">
                  <c:v>Not Calculated</c:v>
                </c:pt>
              </c:strCache>
            </c:strRef>
          </c:xVal>
          <c:yVal>
            <c:numRef>
              <c:f>'Summary of Scores'!$C$36</c:f>
              <c:numCache>
                <c:formatCode>#,##0.00</c:formatCode>
                <c:ptCount val="1"/>
                <c:pt idx="0">
                  <c:v>0</c:v>
                </c:pt>
              </c:numCache>
            </c:numRef>
          </c:yVal>
          <c:smooth val="0"/>
          <c:extLst>
            <c:ext xmlns:c16="http://schemas.microsoft.com/office/drawing/2014/chart" uri="{C3380CC4-5D6E-409C-BE32-E72D297353CC}">
              <c16:uniqueId val="{00000002-90F9-4A7F-A420-154D66FB7881}"/>
            </c:ext>
          </c:extLst>
        </c:ser>
        <c:ser>
          <c:idx val="2"/>
          <c:order val="2"/>
          <c:tx>
            <c:strRef>
              <c:f>'Summary of Scores'!$B$10</c:f>
              <c:strCache>
                <c:ptCount val="1"/>
                <c:pt idx="0">
                  <c:v>Chem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Scores'!$K$10</c:f>
              <c:strCache>
                <c:ptCount val="1"/>
                <c:pt idx="0">
                  <c:v>Not Calculated</c:v>
                </c:pt>
              </c:strCache>
            </c:strRef>
          </c:xVal>
          <c:yVal>
            <c:numRef>
              <c:f>'Summary of Scores'!$C$37</c:f>
              <c:numCache>
                <c:formatCode>#,##0.00</c:formatCode>
                <c:ptCount val="1"/>
                <c:pt idx="0">
                  <c:v>0</c:v>
                </c:pt>
              </c:numCache>
            </c:numRef>
          </c:yVal>
          <c:smooth val="0"/>
          <c:extLst>
            <c:ext xmlns:c16="http://schemas.microsoft.com/office/drawing/2014/chart" uri="{C3380CC4-5D6E-409C-BE32-E72D297353CC}">
              <c16:uniqueId val="{00000003-90F9-4A7F-A420-154D66FB7881}"/>
            </c:ext>
          </c:extLst>
        </c:ser>
        <c:ser>
          <c:idx val="3"/>
          <c:order val="3"/>
          <c:tx>
            <c:strRef>
              <c:f>'Summary of Scores'!$B$11</c:f>
              <c:strCache>
                <c:ptCount val="1"/>
                <c:pt idx="0">
                  <c:v>Civil Disturbance</c:v>
                </c:pt>
              </c:strCache>
            </c:strRef>
          </c:tx>
          <c:spPr>
            <a:ln w="66675">
              <a:noFill/>
            </a:ln>
          </c:spPr>
          <c:dLbls>
            <c:dLbl>
              <c:idx val="0"/>
              <c:layout>
                <c:manualLayout>
                  <c:x val="-0.1093249512882296"/>
                  <c:y val="5.34304796599878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Scores'!$K$11</c:f>
              <c:strCache>
                <c:ptCount val="1"/>
                <c:pt idx="0">
                  <c:v>Not Calculated</c:v>
                </c:pt>
              </c:strCache>
            </c:strRef>
          </c:xVal>
          <c:yVal>
            <c:numRef>
              <c:f>'Summary of Scores'!$C$38</c:f>
              <c:numCache>
                <c:formatCode>#,##0.00</c:formatCode>
                <c:ptCount val="1"/>
                <c:pt idx="0">
                  <c:v>0</c:v>
                </c:pt>
              </c:numCache>
            </c:numRef>
          </c:yVal>
          <c:smooth val="0"/>
          <c:extLst>
            <c:ext xmlns:c16="http://schemas.microsoft.com/office/drawing/2014/chart" uri="{C3380CC4-5D6E-409C-BE32-E72D297353CC}">
              <c16:uniqueId val="{00000005-90F9-4A7F-A420-154D66FB7881}"/>
            </c:ext>
          </c:extLst>
        </c:ser>
        <c:ser>
          <c:idx val="4"/>
          <c:order val="4"/>
          <c:tx>
            <c:strRef>
              <c:f>'Summary of Scores'!$B$12</c:f>
              <c:strCache>
                <c:ptCount val="1"/>
                <c:pt idx="0">
                  <c:v>Coastal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Scores'!$K$12</c:f>
              <c:strCache>
                <c:ptCount val="1"/>
                <c:pt idx="0">
                  <c:v>Not Calculated</c:v>
                </c:pt>
              </c:strCache>
            </c:strRef>
          </c:xVal>
          <c:yVal>
            <c:numRef>
              <c:f>'Summary of Scores'!$C$39</c:f>
              <c:numCache>
                <c:formatCode>#,##0.00</c:formatCode>
                <c:ptCount val="1"/>
                <c:pt idx="0">
                  <c:v>0</c:v>
                </c:pt>
              </c:numCache>
            </c:numRef>
          </c:yVal>
          <c:smooth val="0"/>
          <c:extLst>
            <c:ext xmlns:c16="http://schemas.microsoft.com/office/drawing/2014/chart" uri="{C3380CC4-5D6E-409C-BE32-E72D297353CC}">
              <c16:uniqueId val="{00000006-90F9-4A7F-A420-154D66FB7881}"/>
            </c:ext>
          </c:extLst>
        </c:ser>
        <c:ser>
          <c:idx val="5"/>
          <c:order val="5"/>
          <c:tx>
            <c:strRef>
              <c:f>'Summary of Scores'!$B$13</c:f>
              <c:strCache>
                <c:ptCount val="1"/>
                <c:pt idx="0">
                  <c:v>Conv Explosive</c:v>
                </c:pt>
              </c:strCache>
            </c:strRef>
          </c:tx>
          <c:spPr>
            <a:ln w="66675">
              <a:noFill/>
            </a:ln>
          </c:spPr>
          <c:dLbls>
            <c:dLbl>
              <c:idx val="0"/>
              <c:layout>
                <c:manualLayout>
                  <c:x val="-6.8304175732680258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Scores'!$K$13</c:f>
              <c:strCache>
                <c:ptCount val="1"/>
                <c:pt idx="0">
                  <c:v>Not Calculated</c:v>
                </c:pt>
              </c:strCache>
            </c:strRef>
          </c:xVal>
          <c:yVal>
            <c:numRef>
              <c:f>'Summary of Scores'!$C$40</c:f>
              <c:numCache>
                <c:formatCode>#,##0.00</c:formatCode>
                <c:ptCount val="1"/>
                <c:pt idx="0">
                  <c:v>0</c:v>
                </c:pt>
              </c:numCache>
            </c:numRef>
          </c:yVal>
          <c:smooth val="0"/>
          <c:extLst>
            <c:ext xmlns:c16="http://schemas.microsoft.com/office/drawing/2014/chart" uri="{C3380CC4-5D6E-409C-BE32-E72D297353CC}">
              <c16:uniqueId val="{00000008-90F9-4A7F-A420-154D66FB7881}"/>
            </c:ext>
          </c:extLst>
        </c:ser>
        <c:ser>
          <c:idx val="6"/>
          <c:order val="6"/>
          <c:tx>
            <c:strRef>
              <c:f>'Summary of Scores'!$B$14</c:f>
              <c:strCache>
                <c:ptCount val="1"/>
                <c:pt idx="0">
                  <c:v>Cyber Terrorism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Scores'!$K$14</c:f>
              <c:strCache>
                <c:ptCount val="1"/>
                <c:pt idx="0">
                  <c:v>Not Calculated</c:v>
                </c:pt>
              </c:strCache>
            </c:strRef>
          </c:xVal>
          <c:yVal>
            <c:numRef>
              <c:f>'Summary of Scores'!$C$41</c:f>
              <c:numCache>
                <c:formatCode>#,##0.00</c:formatCode>
                <c:ptCount val="1"/>
                <c:pt idx="0">
                  <c:v>0</c:v>
                </c:pt>
              </c:numCache>
            </c:numRef>
          </c:yVal>
          <c:smooth val="0"/>
          <c:extLst>
            <c:ext xmlns:c16="http://schemas.microsoft.com/office/drawing/2014/chart" uri="{C3380CC4-5D6E-409C-BE32-E72D297353CC}">
              <c16:uniqueId val="{00000009-90F9-4A7F-A420-154D66FB7881}"/>
            </c:ext>
          </c:extLst>
        </c:ser>
        <c:ser>
          <c:idx val="7"/>
          <c:order val="7"/>
          <c:tx>
            <c:strRef>
              <c:f>'Summary of Scores'!$B$15</c:f>
              <c:strCache>
                <c:ptCount val="1"/>
                <c:pt idx="0">
                  <c:v>Drought</c:v>
                </c:pt>
              </c:strCache>
            </c:strRef>
          </c:tx>
          <c:spPr>
            <a:ln w="66675">
              <a:noFill/>
            </a:ln>
          </c:spPr>
          <c:dLbls>
            <c:dLbl>
              <c:idx val="0"/>
              <c:spPr/>
              <c:txPr>
                <a:bodyPr rot="-2700000"/>
                <a:lstStyle/>
                <a:p>
                  <a:pPr>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90F9-4A7F-A420-154D66FB7881}"/>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Scores'!$K$15</c:f>
              <c:strCache>
                <c:ptCount val="1"/>
                <c:pt idx="0">
                  <c:v>Not Calculated</c:v>
                </c:pt>
              </c:strCache>
            </c:strRef>
          </c:xVal>
          <c:yVal>
            <c:numRef>
              <c:f>'Summary of Scores'!$C$42</c:f>
              <c:numCache>
                <c:formatCode>#,##0.00</c:formatCode>
                <c:ptCount val="1"/>
                <c:pt idx="0">
                  <c:v>0</c:v>
                </c:pt>
              </c:numCache>
            </c:numRef>
          </c:yVal>
          <c:smooth val="0"/>
          <c:extLst>
            <c:ext xmlns:c16="http://schemas.microsoft.com/office/drawing/2014/chart" uri="{C3380CC4-5D6E-409C-BE32-E72D297353CC}">
              <c16:uniqueId val="{0000000B-90F9-4A7F-A420-154D66FB7881}"/>
            </c:ext>
          </c:extLst>
        </c:ser>
        <c:ser>
          <c:idx val="8"/>
          <c:order val="8"/>
          <c:tx>
            <c:strRef>
              <c:f>'Summary of Scores'!$B$16</c:f>
              <c:strCache>
                <c:ptCount val="1"/>
                <c:pt idx="0">
                  <c:v>Earthquake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Scores'!$K$16</c:f>
              <c:strCache>
                <c:ptCount val="1"/>
                <c:pt idx="0">
                  <c:v>Not Calculated</c:v>
                </c:pt>
              </c:strCache>
            </c:strRef>
          </c:xVal>
          <c:yVal>
            <c:numRef>
              <c:f>'Summary of Scores'!$C$43</c:f>
              <c:numCache>
                <c:formatCode>#,##0.00</c:formatCode>
                <c:ptCount val="1"/>
                <c:pt idx="0">
                  <c:v>0</c:v>
                </c:pt>
              </c:numCache>
            </c:numRef>
          </c:yVal>
          <c:smooth val="0"/>
          <c:extLst>
            <c:ext xmlns:c16="http://schemas.microsoft.com/office/drawing/2014/chart" uri="{C3380CC4-5D6E-409C-BE32-E72D297353CC}">
              <c16:uniqueId val="{0000000C-90F9-4A7F-A420-154D66FB7881}"/>
            </c:ext>
          </c:extLst>
        </c:ser>
        <c:ser>
          <c:idx val="9"/>
          <c:order val="9"/>
          <c:tx>
            <c:strRef>
              <c:f>'Summary of Scores'!$B$17</c:f>
              <c:strCache>
                <c:ptCount val="1"/>
                <c:pt idx="0">
                  <c:v>Fire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Scores'!$K$17</c:f>
              <c:strCache>
                <c:ptCount val="1"/>
                <c:pt idx="0">
                  <c:v>Not Calculated</c:v>
                </c:pt>
              </c:strCache>
            </c:strRef>
          </c:xVal>
          <c:yVal>
            <c:numRef>
              <c:f>'Summary of Scores'!$C$44</c:f>
              <c:numCache>
                <c:formatCode>#,##0.00</c:formatCode>
                <c:ptCount val="1"/>
                <c:pt idx="0">
                  <c:v>0</c:v>
                </c:pt>
              </c:numCache>
            </c:numRef>
          </c:yVal>
          <c:smooth val="0"/>
          <c:extLst>
            <c:ext xmlns:c16="http://schemas.microsoft.com/office/drawing/2014/chart" uri="{C3380CC4-5D6E-409C-BE32-E72D297353CC}">
              <c16:uniqueId val="{0000000D-90F9-4A7F-A420-154D66FB7881}"/>
            </c:ext>
          </c:extLst>
        </c:ser>
        <c:ser>
          <c:idx val="10"/>
          <c:order val="10"/>
          <c:tx>
            <c:strRef>
              <c:f>'Summary of Scores'!$B$18</c:f>
              <c:strCache>
                <c:ptCount val="1"/>
                <c:pt idx="0">
                  <c:v>Flood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Scores'!$K$18</c:f>
              <c:strCache>
                <c:ptCount val="1"/>
                <c:pt idx="0">
                  <c:v>Not Calculated</c:v>
                </c:pt>
              </c:strCache>
            </c:strRef>
          </c:xVal>
          <c:yVal>
            <c:numRef>
              <c:f>'Summary of Scores'!$C$45</c:f>
              <c:numCache>
                <c:formatCode>#,##0.00</c:formatCode>
                <c:ptCount val="1"/>
                <c:pt idx="0">
                  <c:v>0</c:v>
                </c:pt>
              </c:numCache>
            </c:numRef>
          </c:yVal>
          <c:smooth val="0"/>
          <c:extLst>
            <c:ext xmlns:c16="http://schemas.microsoft.com/office/drawing/2014/chart" uri="{C3380CC4-5D6E-409C-BE32-E72D297353CC}">
              <c16:uniqueId val="{0000000E-90F9-4A7F-A420-154D66FB7881}"/>
            </c:ext>
          </c:extLst>
        </c:ser>
        <c:ser>
          <c:idx val="11"/>
          <c:order val="11"/>
          <c:tx>
            <c:strRef>
              <c:f>'Summary of Scores'!$B$19</c:f>
              <c:strCache>
                <c:ptCount val="1"/>
                <c:pt idx="0">
                  <c:v>HazMat Release</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Scores'!$K$19</c:f>
              <c:strCache>
                <c:ptCount val="1"/>
                <c:pt idx="0">
                  <c:v>Not Calculated</c:v>
                </c:pt>
              </c:strCache>
            </c:strRef>
          </c:xVal>
          <c:yVal>
            <c:numRef>
              <c:f>'Summary of Scores'!$C$46</c:f>
              <c:numCache>
                <c:formatCode>#,##0.00</c:formatCode>
                <c:ptCount val="1"/>
                <c:pt idx="0">
                  <c:v>0</c:v>
                </c:pt>
              </c:numCache>
            </c:numRef>
          </c:yVal>
          <c:smooth val="0"/>
          <c:extLst>
            <c:ext xmlns:c16="http://schemas.microsoft.com/office/drawing/2014/chart" uri="{C3380CC4-5D6E-409C-BE32-E72D297353CC}">
              <c16:uniqueId val="{0000000F-90F9-4A7F-A420-154D66FB7881}"/>
            </c:ext>
          </c:extLst>
        </c:ser>
        <c:ser>
          <c:idx val="12"/>
          <c:order val="12"/>
          <c:tx>
            <c:strRef>
              <c:f>'Summary of Scores'!$B$20</c:f>
              <c:strCache>
                <c:ptCount val="1"/>
                <c:pt idx="0">
                  <c:v>Localized ID</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Scores'!$K$20</c:f>
              <c:strCache>
                <c:ptCount val="1"/>
                <c:pt idx="0">
                  <c:v>Not Calculated</c:v>
                </c:pt>
              </c:strCache>
            </c:strRef>
          </c:xVal>
          <c:yVal>
            <c:numRef>
              <c:f>'Summary of Scores'!$C$47</c:f>
              <c:numCache>
                <c:formatCode>#,##0.00</c:formatCode>
                <c:ptCount val="1"/>
                <c:pt idx="0">
                  <c:v>0</c:v>
                </c:pt>
              </c:numCache>
            </c:numRef>
          </c:yVal>
          <c:smooth val="0"/>
          <c:extLst>
            <c:ext xmlns:c16="http://schemas.microsoft.com/office/drawing/2014/chart" uri="{C3380CC4-5D6E-409C-BE32-E72D297353CC}">
              <c16:uniqueId val="{00000010-90F9-4A7F-A420-154D66FB7881}"/>
            </c:ext>
          </c:extLst>
        </c:ser>
        <c:ser>
          <c:idx val="13"/>
          <c:order val="13"/>
          <c:tx>
            <c:strRef>
              <c:f>'Summary of Scores'!$B$21</c:f>
              <c:strCache>
                <c:ptCount val="1"/>
                <c:pt idx="0">
                  <c:v>Nuclear Facility</c:v>
                </c:pt>
              </c:strCache>
            </c:strRef>
          </c:tx>
          <c:spPr>
            <a:ln w="66675">
              <a:noFill/>
            </a:ln>
          </c:spPr>
          <c:dLbls>
            <c:dLbl>
              <c:idx val="0"/>
              <c:layout>
                <c:manualLayout>
                  <c:x val="-3.8021455215487727E-2"/>
                  <c:y val="-4.3715846994535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Scores'!$K$21</c:f>
              <c:strCache>
                <c:ptCount val="1"/>
                <c:pt idx="0">
                  <c:v>Not Calculated</c:v>
                </c:pt>
              </c:strCache>
            </c:strRef>
          </c:xVal>
          <c:yVal>
            <c:numRef>
              <c:f>'Summary of Scores'!$C$48</c:f>
              <c:numCache>
                <c:formatCode>#,##0.00</c:formatCode>
                <c:ptCount val="1"/>
                <c:pt idx="0">
                  <c:v>0</c:v>
                </c:pt>
              </c:numCache>
            </c:numRef>
          </c:yVal>
          <c:smooth val="0"/>
          <c:extLst>
            <c:ext xmlns:c16="http://schemas.microsoft.com/office/drawing/2014/chart" uri="{C3380CC4-5D6E-409C-BE32-E72D297353CC}">
              <c16:uniqueId val="{00000012-90F9-4A7F-A420-154D66FB7881}"/>
            </c:ext>
          </c:extLst>
        </c:ser>
        <c:ser>
          <c:idx val="14"/>
          <c:order val="14"/>
          <c:tx>
            <c:strRef>
              <c:f>'Summary of Scores'!$B$22</c:f>
              <c:strCache>
                <c:ptCount val="1"/>
                <c:pt idx="0">
                  <c:v>Pandemic</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Scores'!$K$22</c:f>
              <c:strCache>
                <c:ptCount val="1"/>
                <c:pt idx="0">
                  <c:v>Not Calculated</c:v>
                </c:pt>
              </c:strCache>
            </c:strRef>
          </c:xVal>
          <c:yVal>
            <c:numRef>
              <c:f>'Summary of Scores'!$C$49</c:f>
              <c:numCache>
                <c:formatCode>#,##0.00</c:formatCode>
                <c:ptCount val="1"/>
                <c:pt idx="0">
                  <c:v>0</c:v>
                </c:pt>
              </c:numCache>
            </c:numRef>
          </c:yVal>
          <c:smooth val="0"/>
          <c:extLst>
            <c:ext xmlns:c16="http://schemas.microsoft.com/office/drawing/2014/chart" uri="{C3380CC4-5D6E-409C-BE32-E72D297353CC}">
              <c16:uniqueId val="{00000013-90F9-4A7F-A420-154D66FB7881}"/>
            </c:ext>
          </c:extLst>
        </c:ser>
        <c:ser>
          <c:idx val="15"/>
          <c:order val="15"/>
          <c:tx>
            <c:strRef>
              <c:f>'Summary of Scores'!$B$23</c:f>
              <c:strCache>
                <c:ptCount val="1"/>
                <c:pt idx="0">
                  <c:v>RDD</c:v>
                </c:pt>
              </c:strCache>
            </c:strRef>
          </c:tx>
          <c:spPr>
            <a:ln w="66675">
              <a:noFill/>
            </a:ln>
          </c:spPr>
          <c:dLbls>
            <c:dLbl>
              <c:idx val="0"/>
              <c:layout>
                <c:manualLayout>
                  <c:x val="-5.5087754207115286E-2"/>
                  <c:y val="2.428658166363084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Scores'!$K$23</c:f>
              <c:strCache>
                <c:ptCount val="1"/>
                <c:pt idx="0">
                  <c:v>Not Calculated</c:v>
                </c:pt>
              </c:strCache>
            </c:strRef>
          </c:xVal>
          <c:yVal>
            <c:numRef>
              <c:f>'Summary of Scores'!$C$50</c:f>
              <c:numCache>
                <c:formatCode>#,##0.00</c:formatCode>
                <c:ptCount val="1"/>
                <c:pt idx="0">
                  <c:v>0</c:v>
                </c:pt>
              </c:numCache>
            </c:numRef>
          </c:yVal>
          <c:smooth val="0"/>
          <c:extLst>
            <c:ext xmlns:c16="http://schemas.microsoft.com/office/drawing/2014/chart" uri="{C3380CC4-5D6E-409C-BE32-E72D297353CC}">
              <c16:uniqueId val="{00000015-90F9-4A7F-A420-154D66FB7881}"/>
            </c:ext>
          </c:extLst>
        </c:ser>
        <c:ser>
          <c:idx val="16"/>
          <c:order val="16"/>
          <c:tx>
            <c:strRef>
              <c:f>'Summary of Scores'!$B$24</c:f>
              <c:strCache>
                <c:ptCount val="1"/>
                <c:pt idx="0">
                  <c:v>Temp Extremes</c:v>
                </c:pt>
              </c:strCache>
            </c:strRef>
          </c:tx>
          <c:spPr>
            <a:ln w="66675">
              <a:noFill/>
            </a:ln>
          </c:spPr>
          <c:dLbls>
            <c:dLbl>
              <c:idx val="0"/>
              <c:layout>
                <c:manualLayout>
                  <c:x val="-2.5437956075889567E-2"/>
                  <c:y val="-5.585913782635094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90F9-4A7F-A420-154D66FB7881}"/>
                </c:ext>
              </c:extLst>
            </c:dLbl>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Scores'!$K$24</c:f>
              <c:strCache>
                <c:ptCount val="1"/>
                <c:pt idx="0">
                  <c:v>Not Calculated</c:v>
                </c:pt>
              </c:strCache>
            </c:strRef>
          </c:xVal>
          <c:yVal>
            <c:numRef>
              <c:f>'Summary of Scores'!$C$51</c:f>
              <c:numCache>
                <c:formatCode>#,##0.00</c:formatCode>
                <c:ptCount val="1"/>
                <c:pt idx="0">
                  <c:v>0</c:v>
                </c:pt>
              </c:numCache>
            </c:numRef>
          </c:yVal>
          <c:smooth val="0"/>
          <c:extLst>
            <c:ext xmlns:c16="http://schemas.microsoft.com/office/drawing/2014/chart" uri="{C3380CC4-5D6E-409C-BE32-E72D297353CC}">
              <c16:uniqueId val="{00000017-90F9-4A7F-A420-154D66FB7881}"/>
            </c:ext>
          </c:extLst>
        </c:ser>
        <c:ser>
          <c:idx val="17"/>
          <c:order val="17"/>
          <c:tx>
            <c:strRef>
              <c:f>'Summary of Scores'!$B$25</c:f>
              <c:strCache>
                <c:ptCount val="1"/>
                <c:pt idx="0">
                  <c:v>Tornado</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Scores'!$K$25</c:f>
              <c:strCache>
                <c:ptCount val="1"/>
                <c:pt idx="0">
                  <c:v>Not Calculated</c:v>
                </c:pt>
              </c:strCache>
            </c:strRef>
          </c:xVal>
          <c:yVal>
            <c:numRef>
              <c:f>'Summary of Scores'!$C$52</c:f>
              <c:numCache>
                <c:formatCode>#,##0.00</c:formatCode>
                <c:ptCount val="1"/>
                <c:pt idx="0">
                  <c:v>0</c:v>
                </c:pt>
              </c:numCache>
            </c:numRef>
          </c:yVal>
          <c:smooth val="0"/>
          <c:extLst>
            <c:ext xmlns:c16="http://schemas.microsoft.com/office/drawing/2014/chart" uri="{C3380CC4-5D6E-409C-BE32-E72D297353CC}">
              <c16:uniqueId val="{00000018-90F9-4A7F-A420-154D66FB7881}"/>
            </c:ext>
          </c:extLst>
        </c:ser>
        <c:ser>
          <c:idx val="18"/>
          <c:order val="18"/>
          <c:tx>
            <c:strRef>
              <c:f>'Summary of Scores'!$B$26</c:f>
              <c:strCache>
                <c:ptCount val="1"/>
                <c:pt idx="0">
                  <c:v>Utility Interr</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Scores'!$K$26</c:f>
              <c:strCache>
                <c:ptCount val="1"/>
                <c:pt idx="0">
                  <c:v>Not Calculated</c:v>
                </c:pt>
              </c:strCache>
            </c:strRef>
          </c:xVal>
          <c:yVal>
            <c:numRef>
              <c:f>'Summary of Scores'!$C$53</c:f>
              <c:numCache>
                <c:formatCode>#,##0.00</c:formatCode>
                <c:ptCount val="1"/>
                <c:pt idx="0">
                  <c:v>0</c:v>
                </c:pt>
              </c:numCache>
            </c:numRef>
          </c:yVal>
          <c:smooth val="0"/>
          <c:extLst>
            <c:ext xmlns:c16="http://schemas.microsoft.com/office/drawing/2014/chart" uri="{C3380CC4-5D6E-409C-BE32-E72D297353CC}">
              <c16:uniqueId val="{00000019-90F9-4A7F-A420-154D66FB7881}"/>
            </c:ext>
          </c:extLst>
        </c:ser>
        <c:ser>
          <c:idx val="19"/>
          <c:order val="19"/>
          <c:tx>
            <c:strRef>
              <c:f>'Summary of Scores'!$B$27</c:f>
              <c:strCache>
                <c:ptCount val="1"/>
                <c:pt idx="0">
                  <c:v>Winter Storm</c:v>
                </c:pt>
              </c:strCache>
            </c:strRef>
          </c:tx>
          <c:spPr>
            <a:ln w="66675">
              <a:noFill/>
            </a:ln>
          </c:spPr>
          <c:dLbls>
            <c:spPr>
              <a:noFill/>
              <a:ln>
                <a:noFill/>
              </a:ln>
              <a:effectLst/>
            </c:spPr>
            <c:txPr>
              <a:bodyPr rot="-27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strRef>
              <c:f>'Summary of Scores'!$K$27</c:f>
              <c:strCache>
                <c:ptCount val="1"/>
                <c:pt idx="0">
                  <c:v>Not Calculated</c:v>
                </c:pt>
              </c:strCache>
            </c:strRef>
          </c:xVal>
          <c:yVal>
            <c:numRef>
              <c:f>'Summary of Scores'!$C$54</c:f>
              <c:numCache>
                <c:formatCode>#,##0.00</c:formatCode>
                <c:ptCount val="1"/>
                <c:pt idx="0">
                  <c:v>0</c:v>
                </c:pt>
              </c:numCache>
            </c:numRef>
          </c:yVal>
          <c:smooth val="0"/>
          <c:extLst>
            <c:ext xmlns:c16="http://schemas.microsoft.com/office/drawing/2014/chart" uri="{C3380CC4-5D6E-409C-BE32-E72D297353CC}">
              <c16:uniqueId val="{0000001A-90F9-4A7F-A420-154D66FB7881}"/>
            </c:ext>
          </c:extLst>
        </c:ser>
        <c:dLbls>
          <c:showLegendKey val="0"/>
          <c:showVal val="1"/>
          <c:showCatName val="0"/>
          <c:showSerName val="0"/>
          <c:showPercent val="0"/>
          <c:showBubbleSize val="0"/>
        </c:dLbls>
        <c:axId val="118949760"/>
        <c:axId val="118976512"/>
      </c:scatterChart>
      <c:valAx>
        <c:axId val="118949760"/>
        <c:scaling>
          <c:orientation val="minMax"/>
        </c:scaling>
        <c:delete val="0"/>
        <c:axPos val="b"/>
        <c:majorGridlines/>
        <c:title>
          <c:tx>
            <c:rich>
              <a:bodyPr/>
              <a:lstStyle/>
              <a:p>
                <a:pPr>
                  <a:defRPr b="0">
                    <a:latin typeface="+mj-lt"/>
                  </a:defRPr>
                </a:pPr>
                <a:r>
                  <a:rPr lang="en-US" sz="1600" b="0">
                    <a:latin typeface="+mj-lt"/>
                  </a:rPr>
                  <a:t>Public Health System Adjusted Risk</a:t>
                </a:r>
              </a:p>
            </c:rich>
          </c:tx>
          <c:overlay val="0"/>
        </c:title>
        <c:numFmt formatCode="#,##0.00" sourceLinked="1"/>
        <c:majorTickMark val="out"/>
        <c:minorTickMark val="none"/>
        <c:tickLblPos val="nextTo"/>
        <c:spPr>
          <a:ln>
            <a:solidFill>
              <a:schemeClr val="tx1"/>
            </a:solidFill>
          </a:ln>
        </c:spPr>
        <c:crossAx val="118976512"/>
        <c:crosses val="autoZero"/>
        <c:crossBetween val="midCat"/>
      </c:valAx>
      <c:valAx>
        <c:axId val="118976512"/>
        <c:scaling>
          <c:orientation val="minMax"/>
          <c:min val="2.5"/>
        </c:scaling>
        <c:delete val="0"/>
        <c:axPos val="l"/>
        <c:majorGridlines/>
        <c:title>
          <c:tx>
            <c:rich>
              <a:bodyPr rot="-5400000" vert="horz"/>
              <a:lstStyle/>
              <a:p>
                <a:pPr>
                  <a:defRPr sz="1600" b="0">
                    <a:latin typeface="+mj-lt"/>
                  </a:defRPr>
                </a:pPr>
                <a:r>
                  <a:rPr lang="en-US" sz="1600" b="0">
                    <a:latin typeface="+mj-lt"/>
                  </a:rPr>
                  <a:t>Public</a:t>
                </a:r>
                <a:r>
                  <a:rPr lang="en-US" sz="1600" b="0" baseline="0">
                    <a:latin typeface="+mj-lt"/>
                  </a:rPr>
                  <a:t> Health Preparedness</a:t>
                </a:r>
                <a:endParaRPr lang="en-US" sz="1600" b="0">
                  <a:latin typeface="+mj-lt"/>
                </a:endParaRPr>
              </a:p>
            </c:rich>
          </c:tx>
          <c:overlay val="0"/>
        </c:title>
        <c:numFmt formatCode="#,##0.00" sourceLinked="1"/>
        <c:majorTickMark val="out"/>
        <c:minorTickMark val="none"/>
        <c:tickLblPos val="nextTo"/>
        <c:spPr>
          <a:ln>
            <a:solidFill>
              <a:schemeClr val="tx1"/>
            </a:solidFill>
          </a:ln>
        </c:spPr>
        <c:crossAx val="118949760"/>
        <c:crosses val="autoZero"/>
        <c:crossBetween val="midCat"/>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43605768040323412"/>
          <c:y val="1.5673641887660218E-2"/>
        </c:manualLayout>
      </c:layout>
      <c:overlay val="0"/>
    </c:title>
    <c:autoTitleDeleted val="0"/>
    <c:plotArea>
      <c:layout/>
      <c:barChart>
        <c:barDir val="col"/>
        <c:grouping val="clustered"/>
        <c:varyColors val="0"/>
        <c:ser>
          <c:idx val="0"/>
          <c:order val="0"/>
          <c:tx>
            <c:strRef>
              <c:f>'Summary of Scores'!$J$6</c:f>
              <c:strCache>
                <c:ptCount val="1"/>
                <c:pt idx="0">
                  <c:v>At-Risk Populations Score</c:v>
                </c:pt>
              </c:strCache>
            </c:strRef>
          </c:tx>
          <c:spPr>
            <a:solidFill>
              <a:schemeClr val="accent1">
                <a:lumMod val="60000"/>
                <a:lumOff val="40000"/>
              </a:schemeClr>
            </a:solidFill>
            <a:ln>
              <a:solidFill>
                <a:schemeClr val="tx2"/>
              </a:solidFill>
            </a:ln>
            <a:scene3d>
              <a:camera prst="orthographicFront"/>
              <a:lightRig rig="threePt" dir="t"/>
            </a:scene3d>
            <a:sp3d prstMaterial="matte">
              <a:bevelT w="63500" h="50800"/>
            </a:sp3d>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of Scores'!$B$8:$B$27</c:f>
              <c:strCache>
                <c:ptCount val="20"/>
                <c:pt idx="0">
                  <c:v>Active Shooter</c:v>
                </c:pt>
                <c:pt idx="1">
                  <c:v>Bio Terrorism</c:v>
                </c:pt>
                <c:pt idx="2">
                  <c:v>Chem Terrorism</c:v>
                </c:pt>
                <c:pt idx="3">
                  <c:v>Civil Disturbance</c:v>
                </c:pt>
                <c:pt idx="4">
                  <c:v>Coastal Storm</c:v>
                </c:pt>
                <c:pt idx="5">
                  <c:v>Conv Explosive</c:v>
                </c:pt>
                <c:pt idx="6">
                  <c:v>Cyber Terrorism</c:v>
                </c:pt>
                <c:pt idx="7">
                  <c:v>Drought</c:v>
                </c:pt>
                <c:pt idx="8">
                  <c:v>Earthquake</c:v>
                </c:pt>
                <c:pt idx="9">
                  <c:v>Fire</c:v>
                </c:pt>
                <c:pt idx="10">
                  <c:v>Flood</c:v>
                </c:pt>
                <c:pt idx="11">
                  <c:v>HazMat Release</c:v>
                </c:pt>
                <c:pt idx="12">
                  <c:v>Localized ID</c:v>
                </c:pt>
                <c:pt idx="13">
                  <c:v>Nuclear Facility</c:v>
                </c:pt>
                <c:pt idx="14">
                  <c:v>Pandemic</c:v>
                </c:pt>
                <c:pt idx="15">
                  <c:v>RDD</c:v>
                </c:pt>
                <c:pt idx="16">
                  <c:v>Temp Extremes</c:v>
                </c:pt>
                <c:pt idx="17">
                  <c:v>Tornado</c:v>
                </c:pt>
                <c:pt idx="18">
                  <c:v>Utility Interr</c:v>
                </c:pt>
                <c:pt idx="19">
                  <c:v>Winter Storm</c:v>
                </c:pt>
              </c:strCache>
            </c:strRef>
          </c:cat>
          <c:val>
            <c:numRef>
              <c:f>'Summary of Scores'!$J$8:$J$27</c:f>
              <c:numCache>
                <c:formatCode>#,##0.00</c:formatCode>
                <c:ptCount val="20"/>
                <c:pt idx="0">
                  <c:v>0.83333333333333337</c:v>
                </c:pt>
                <c:pt idx="1">
                  <c:v>1.3333333333333333</c:v>
                </c:pt>
                <c:pt idx="2">
                  <c:v>1.6666666666666667</c:v>
                </c:pt>
                <c:pt idx="3">
                  <c:v>0.83333333333333337</c:v>
                </c:pt>
                <c:pt idx="4">
                  <c:v>1.6666666666666667</c:v>
                </c:pt>
                <c:pt idx="5">
                  <c:v>1.7222222222222223</c:v>
                </c:pt>
                <c:pt idx="6">
                  <c:v>0.33333333333333331</c:v>
                </c:pt>
                <c:pt idx="7">
                  <c:v>0.83333333333333337</c:v>
                </c:pt>
                <c:pt idx="8">
                  <c:v>0.33333333333333331</c:v>
                </c:pt>
                <c:pt idx="9">
                  <c:v>1.6666666666666667</c:v>
                </c:pt>
                <c:pt idx="10">
                  <c:v>1.6666666666666667</c:v>
                </c:pt>
                <c:pt idx="11">
                  <c:v>1.6666666666666667</c:v>
                </c:pt>
                <c:pt idx="12">
                  <c:v>0.83333333333333337</c:v>
                </c:pt>
                <c:pt idx="13">
                  <c:v>1.6666666666666667</c:v>
                </c:pt>
                <c:pt idx="14">
                  <c:v>0.94444444444444442</c:v>
                </c:pt>
                <c:pt idx="15">
                  <c:v>1.8333333333333333</c:v>
                </c:pt>
                <c:pt idx="16">
                  <c:v>1.2777777777777777</c:v>
                </c:pt>
                <c:pt idx="17">
                  <c:v>1.4444444444444444</c:v>
                </c:pt>
                <c:pt idx="18">
                  <c:v>1.1111111111111112</c:v>
                </c:pt>
                <c:pt idx="19">
                  <c:v>0.83333333333333337</c:v>
                </c:pt>
              </c:numCache>
            </c:numRef>
          </c:val>
          <c:extLst>
            <c:ext xmlns:c16="http://schemas.microsoft.com/office/drawing/2014/chart" uri="{C3380CC4-5D6E-409C-BE32-E72D297353CC}">
              <c16:uniqueId val="{00000000-C0FA-4C45-A36D-B67CA9232143}"/>
            </c:ext>
          </c:extLst>
        </c:ser>
        <c:dLbls>
          <c:showLegendKey val="0"/>
          <c:showVal val="1"/>
          <c:showCatName val="0"/>
          <c:showSerName val="0"/>
          <c:showPercent val="0"/>
          <c:showBubbleSize val="0"/>
        </c:dLbls>
        <c:gapWidth val="150"/>
        <c:axId val="118458240"/>
        <c:axId val="118464512"/>
      </c:barChart>
      <c:catAx>
        <c:axId val="118458240"/>
        <c:scaling>
          <c:orientation val="minMax"/>
        </c:scaling>
        <c:delete val="0"/>
        <c:axPos val="b"/>
        <c:title>
          <c:tx>
            <c:rich>
              <a:bodyPr/>
              <a:lstStyle/>
              <a:p>
                <a:pPr>
                  <a:defRPr sz="1600" b="0">
                    <a:latin typeface="+mj-lt"/>
                  </a:defRPr>
                </a:pPr>
                <a:r>
                  <a:rPr lang="en-US" sz="1600" b="0">
                    <a:latin typeface="+mj-lt"/>
                  </a:rPr>
                  <a:t>Hazard</a:t>
                </a:r>
              </a:p>
            </c:rich>
          </c:tx>
          <c:overlay val="0"/>
        </c:title>
        <c:numFmt formatCode="General" sourceLinked="1"/>
        <c:majorTickMark val="out"/>
        <c:minorTickMark val="none"/>
        <c:tickLblPos val="nextTo"/>
        <c:crossAx val="118464512"/>
        <c:crosses val="autoZero"/>
        <c:auto val="1"/>
        <c:lblAlgn val="ctr"/>
        <c:lblOffset val="100"/>
        <c:noMultiLvlLbl val="0"/>
      </c:catAx>
      <c:valAx>
        <c:axId val="118464512"/>
        <c:scaling>
          <c:orientation val="minMax"/>
        </c:scaling>
        <c:delete val="0"/>
        <c:axPos val="l"/>
        <c:majorGridlines/>
        <c:title>
          <c:tx>
            <c:rich>
              <a:bodyPr rot="-5400000" vert="horz"/>
              <a:lstStyle/>
              <a:p>
                <a:pPr>
                  <a:defRPr sz="1600" b="0">
                    <a:latin typeface="+mj-lt"/>
                  </a:defRPr>
                </a:pPr>
                <a:r>
                  <a:rPr lang="en-US" sz="1600" b="0">
                    <a:latin typeface="+mj-lt"/>
                  </a:rPr>
                  <a:t>At-Risk Populations Score</a:t>
                </a:r>
              </a:p>
            </c:rich>
          </c:tx>
          <c:overlay val="0"/>
        </c:title>
        <c:numFmt formatCode="#,##0.00" sourceLinked="1"/>
        <c:majorTickMark val="out"/>
        <c:minorTickMark val="none"/>
        <c:tickLblPos val="nextTo"/>
        <c:crossAx val="118458240"/>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('Active Shooter'!$J$133,'Active Shooter'!$J$261,'Active Shooter'!$J$421,'Active Shooter'!$J$539,'Active Shooter'!$J$681)</c:f>
              <c:numCache>
                <c:formatCode>0.00</c:formatCode>
                <c:ptCount val="5"/>
                <c:pt idx="0">
                  <c:v>0</c:v>
                </c:pt>
                <c:pt idx="1">
                  <c:v>0</c:v>
                </c:pt>
                <c:pt idx="2">
                  <c:v>1.4375</c:v>
                </c:pt>
                <c:pt idx="3">
                  <c:v>7.1428571428571425E-2</c:v>
                </c:pt>
                <c:pt idx="4">
                  <c:v>0</c:v>
                </c:pt>
              </c:numCache>
            </c:numRef>
          </c:val>
          <c:extLst>
            <c:ext xmlns:c16="http://schemas.microsoft.com/office/drawing/2014/chart" uri="{C3380CC4-5D6E-409C-BE32-E72D297353CC}">
              <c16:uniqueId val="{00000000-1B23-4806-9B5B-D37B1345BB3A}"/>
            </c:ext>
          </c:extLst>
        </c:ser>
        <c:dLbls>
          <c:showLegendKey val="0"/>
          <c:showVal val="1"/>
          <c:showCatName val="0"/>
          <c:showSerName val="0"/>
          <c:showPercent val="0"/>
          <c:showBubbleSize val="0"/>
        </c:dLbls>
        <c:gapWidth val="150"/>
        <c:axId val="118625792"/>
        <c:axId val="118633216"/>
      </c:barChart>
      <c:catAx>
        <c:axId val="11862579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18633216"/>
        <c:crosses val="autoZero"/>
        <c:auto val="1"/>
        <c:lblAlgn val="ctr"/>
        <c:lblOffset val="100"/>
        <c:noMultiLvlLbl val="0"/>
      </c:catAx>
      <c:valAx>
        <c:axId val="118633216"/>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1862579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'Active Shooter'!$C$773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Shooter'!$J$775</c:f>
              <c:numCache>
                <c:formatCode>General</c:formatCode>
                <c:ptCount val="1"/>
                <c:pt idx="0">
                  <c:v>2</c:v>
                </c:pt>
              </c:numCache>
            </c:numRef>
          </c:xVal>
          <c:yVal>
            <c:numRef>
              <c:f>'Active Shooter'!$J$774</c:f>
              <c:numCache>
                <c:formatCode>General</c:formatCode>
                <c:ptCount val="1"/>
                <c:pt idx="0">
                  <c:v>0</c:v>
                </c:pt>
              </c:numCache>
            </c:numRef>
          </c:yVal>
          <c:smooth val="0"/>
          <c:extLst>
            <c:ext xmlns:c16="http://schemas.microsoft.com/office/drawing/2014/chart" uri="{C3380CC4-5D6E-409C-BE32-E72D297353CC}">
              <c16:uniqueId val="{00000000-58D3-4154-8F2C-EC54C43AFC29}"/>
            </c:ext>
          </c:extLst>
        </c:ser>
        <c:ser>
          <c:idx val="1"/>
          <c:order val="1"/>
          <c:tx>
            <c:strRef>
              <c:f>'Active Shooter'!$C$777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Shooter'!$J$779</c:f>
              <c:numCache>
                <c:formatCode>General</c:formatCode>
                <c:ptCount val="1"/>
                <c:pt idx="0">
                  <c:v>2</c:v>
                </c:pt>
              </c:numCache>
            </c:numRef>
          </c:xVal>
          <c:yVal>
            <c:numRef>
              <c:f>'Active Shooter'!$J$778</c:f>
              <c:numCache>
                <c:formatCode>General</c:formatCode>
                <c:ptCount val="1"/>
                <c:pt idx="0">
                  <c:v>0</c:v>
                </c:pt>
              </c:numCache>
            </c:numRef>
          </c:yVal>
          <c:smooth val="0"/>
          <c:extLst>
            <c:ext xmlns:c16="http://schemas.microsoft.com/office/drawing/2014/chart" uri="{C3380CC4-5D6E-409C-BE32-E72D297353CC}">
              <c16:uniqueId val="{00000001-58D3-4154-8F2C-EC54C43AFC29}"/>
            </c:ext>
          </c:extLst>
        </c:ser>
        <c:ser>
          <c:idx val="2"/>
          <c:order val="2"/>
          <c:tx>
            <c:strRef>
              <c:f>'Active Shooter'!$C$781</c:f>
              <c:strCache>
                <c:ptCount val="1"/>
                <c:pt idx="0">
                  <c:v>Ambulatory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Shooter'!$J$783</c:f>
              <c:numCache>
                <c:formatCode>General</c:formatCode>
                <c:ptCount val="1"/>
                <c:pt idx="0">
                  <c:v>1</c:v>
                </c:pt>
              </c:numCache>
            </c:numRef>
          </c:xVal>
          <c:yVal>
            <c:numRef>
              <c:f>'Active Shooter'!$J$782</c:f>
              <c:numCache>
                <c:formatCode>General</c:formatCode>
                <c:ptCount val="1"/>
                <c:pt idx="0">
                  <c:v>0</c:v>
                </c:pt>
              </c:numCache>
            </c:numRef>
          </c:yVal>
          <c:smooth val="0"/>
          <c:extLst>
            <c:ext xmlns:c16="http://schemas.microsoft.com/office/drawing/2014/chart" uri="{C3380CC4-5D6E-409C-BE32-E72D297353CC}">
              <c16:uniqueId val="{00000002-58D3-4154-8F2C-EC54C43AFC29}"/>
            </c:ext>
          </c:extLst>
        </c:ser>
        <c:ser>
          <c:idx val="3"/>
          <c:order val="3"/>
          <c:tx>
            <c:strRef>
              <c:f>'Active Shooter'!$C$785</c:f>
              <c:strCache>
                <c:ptCount val="1"/>
                <c:pt idx="0">
                  <c:v>Cognitive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Shooter'!$J$787</c:f>
              <c:numCache>
                <c:formatCode>General</c:formatCode>
                <c:ptCount val="1"/>
                <c:pt idx="0">
                  <c:v>2</c:v>
                </c:pt>
              </c:numCache>
            </c:numRef>
          </c:xVal>
          <c:yVal>
            <c:numRef>
              <c:f>'Active Shooter'!$J$786</c:f>
              <c:numCache>
                <c:formatCode>General</c:formatCode>
                <c:ptCount val="1"/>
                <c:pt idx="0">
                  <c:v>0</c:v>
                </c:pt>
              </c:numCache>
            </c:numRef>
          </c:yVal>
          <c:smooth val="0"/>
          <c:extLst>
            <c:ext xmlns:c16="http://schemas.microsoft.com/office/drawing/2014/chart" uri="{C3380CC4-5D6E-409C-BE32-E72D297353CC}">
              <c16:uniqueId val="{00000003-58D3-4154-8F2C-EC54C43AFC29}"/>
            </c:ext>
          </c:extLst>
        </c:ser>
        <c:ser>
          <c:idx val="4"/>
          <c:order val="4"/>
          <c:tx>
            <c:strRef>
              <c:f>'Active Shooter'!$C$789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Shooter'!$J$791</c:f>
              <c:numCache>
                <c:formatCode>General</c:formatCode>
                <c:ptCount val="1"/>
                <c:pt idx="0">
                  <c:v>2</c:v>
                </c:pt>
              </c:numCache>
            </c:numRef>
          </c:xVal>
          <c:yVal>
            <c:numRef>
              <c:f>'Active Shooter'!$J$790</c:f>
              <c:numCache>
                <c:formatCode>General</c:formatCode>
                <c:ptCount val="1"/>
                <c:pt idx="0">
                  <c:v>0</c:v>
                </c:pt>
              </c:numCache>
            </c:numRef>
          </c:yVal>
          <c:smooth val="0"/>
          <c:extLst>
            <c:ext xmlns:c16="http://schemas.microsoft.com/office/drawing/2014/chart" uri="{C3380CC4-5D6E-409C-BE32-E72D297353CC}">
              <c16:uniqueId val="{00000004-58D3-4154-8F2C-EC54C43AFC29}"/>
            </c:ext>
          </c:extLst>
        </c:ser>
        <c:ser>
          <c:idx val="5"/>
          <c:order val="5"/>
          <c:tx>
            <c:strRef>
              <c:f>'Active Shooter'!$C$793</c:f>
              <c:strCache>
                <c:ptCount val="1"/>
                <c:pt idx="0">
                  <c:v>Poverty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Shooter'!$J$795</c:f>
              <c:numCache>
                <c:formatCode>General</c:formatCode>
                <c:ptCount val="1"/>
                <c:pt idx="0">
                  <c:v>2</c:v>
                </c:pt>
              </c:numCache>
            </c:numRef>
          </c:xVal>
          <c:yVal>
            <c:numRef>
              <c:f>'Active Shooter'!$J$794</c:f>
              <c:numCache>
                <c:formatCode>General</c:formatCode>
                <c:ptCount val="1"/>
                <c:pt idx="0">
                  <c:v>0</c:v>
                </c:pt>
              </c:numCache>
            </c:numRef>
          </c:yVal>
          <c:smooth val="0"/>
          <c:extLst>
            <c:ext xmlns:c16="http://schemas.microsoft.com/office/drawing/2014/chart" uri="{C3380CC4-5D6E-409C-BE32-E72D297353CC}">
              <c16:uniqueId val="{00000005-58D3-4154-8F2C-EC54C43AFC29}"/>
            </c:ext>
          </c:extLst>
        </c:ser>
        <c:ser>
          <c:idx val="6"/>
          <c:order val="6"/>
          <c:tx>
            <c:strRef>
              <c:f>'Active Shooter'!$C$797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Shooter'!$J$799</c:f>
              <c:numCache>
                <c:formatCode>General</c:formatCode>
                <c:ptCount val="1"/>
                <c:pt idx="0">
                  <c:v>1</c:v>
                </c:pt>
              </c:numCache>
            </c:numRef>
          </c:xVal>
          <c:yVal>
            <c:numRef>
              <c:f>'Active Shooter'!$J$798</c:f>
              <c:numCache>
                <c:formatCode>General</c:formatCode>
                <c:ptCount val="1"/>
                <c:pt idx="0">
                  <c:v>0</c:v>
                </c:pt>
              </c:numCache>
            </c:numRef>
          </c:yVal>
          <c:smooth val="0"/>
          <c:extLst>
            <c:ext xmlns:c16="http://schemas.microsoft.com/office/drawing/2014/chart" uri="{C3380CC4-5D6E-409C-BE32-E72D297353CC}">
              <c16:uniqueId val="{00000006-58D3-4154-8F2C-EC54C43AFC29}"/>
            </c:ext>
          </c:extLst>
        </c:ser>
        <c:ser>
          <c:idx val="7"/>
          <c:order val="7"/>
          <c:tx>
            <c:strRef>
              <c:f>'Active Shooter'!$C$801</c:f>
              <c:strCache>
                <c:ptCount val="1"/>
                <c:pt idx="0">
                  <c:v>Children 18 and under</c:v>
                </c:pt>
              </c:strCache>
            </c:strRef>
          </c:tx>
          <c:spPr>
            <a:ln w="66675">
              <a:noFill/>
            </a:ln>
          </c:spPr>
          <c:dLbls>
            <c:dLbl>
              <c:idx val="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58D3-4154-8F2C-EC54C43AFC2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'Active Shooter'!$J$803</c:f>
              <c:numCache>
                <c:formatCode>General</c:formatCode>
                <c:ptCount val="1"/>
                <c:pt idx="0">
                  <c:v>2</c:v>
                </c:pt>
              </c:numCache>
            </c:numRef>
          </c:xVal>
          <c:yVal>
            <c:numRef>
              <c:f>'Active Shooter'!$J$802</c:f>
              <c:numCache>
                <c:formatCode>General</c:formatCode>
                <c:ptCount val="1"/>
                <c:pt idx="0">
                  <c:v>0</c:v>
                </c:pt>
              </c:numCache>
            </c:numRef>
          </c:yVal>
          <c:smooth val="0"/>
          <c:extLst>
            <c:ext xmlns:c16="http://schemas.microsoft.com/office/drawing/2014/chart" uri="{C3380CC4-5D6E-409C-BE32-E72D297353CC}">
              <c16:uniqueId val="{00000008-58D3-4154-8F2C-EC54C43AFC29}"/>
            </c:ext>
          </c:extLst>
        </c:ser>
        <c:ser>
          <c:idx val="8"/>
          <c:order val="8"/>
          <c:tx>
            <c:strRef>
              <c:f>'Active Shooter'!$C$805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Shooter'!$J$807</c:f>
              <c:numCache>
                <c:formatCode>General</c:formatCode>
                <c:ptCount val="1"/>
                <c:pt idx="0">
                  <c:v>1</c:v>
                </c:pt>
              </c:numCache>
            </c:numRef>
          </c:xVal>
          <c:yVal>
            <c:numRef>
              <c:f>'Active Shooter'!$J$806</c:f>
              <c:numCache>
                <c:formatCode>General</c:formatCode>
                <c:ptCount val="1"/>
                <c:pt idx="0">
                  <c:v>0</c:v>
                </c:pt>
              </c:numCache>
            </c:numRef>
          </c:yVal>
          <c:smooth val="0"/>
          <c:extLst>
            <c:ext xmlns:c16="http://schemas.microsoft.com/office/drawing/2014/chart" uri="{C3380CC4-5D6E-409C-BE32-E72D297353CC}">
              <c16:uniqueId val="{00000009-58D3-4154-8F2C-EC54C43AFC29}"/>
            </c:ext>
          </c:extLst>
        </c:ser>
        <c:dLbls>
          <c:showLegendKey val="0"/>
          <c:showVal val="1"/>
          <c:showCatName val="0"/>
          <c:showSerName val="0"/>
          <c:showPercent val="0"/>
          <c:showBubbleSize val="0"/>
        </c:dLbls>
        <c:axId val="119712384"/>
        <c:axId val="119714560"/>
      </c:scatterChart>
      <c:valAx>
        <c:axId val="11971238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19714560"/>
        <c:crosses val="autoZero"/>
        <c:crossBetween val="midCat"/>
        <c:majorUnit val="1"/>
        <c:minorUnit val="0.1"/>
      </c:valAx>
      <c:valAx>
        <c:axId val="119714560"/>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1971238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'Active Shooter'!$C$833</c:f>
              <c:strCache>
                <c:ptCount val="1"/>
                <c:pt idx="0">
                  <c:v>Community Prep</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Shooter'!$J$834</c:f>
              <c:numCache>
                <c:formatCode>General</c:formatCode>
                <c:ptCount val="1"/>
                <c:pt idx="0">
                  <c:v>4</c:v>
                </c:pt>
              </c:numCache>
            </c:numRef>
          </c:xVal>
          <c:yVal>
            <c:numRef>
              <c:f>'Active Shooter'!$J$835</c:f>
              <c:numCache>
                <c:formatCode>General</c:formatCode>
                <c:ptCount val="1"/>
                <c:pt idx="0">
                  <c:v>0</c:v>
                </c:pt>
              </c:numCache>
            </c:numRef>
          </c:yVal>
          <c:smooth val="0"/>
          <c:extLst>
            <c:ext xmlns:c16="http://schemas.microsoft.com/office/drawing/2014/chart" uri="{C3380CC4-5D6E-409C-BE32-E72D297353CC}">
              <c16:uniqueId val="{00000000-D884-4A1C-809B-A62DFC46A154}"/>
            </c:ext>
          </c:extLst>
        </c:ser>
        <c:ser>
          <c:idx val="1"/>
          <c:order val="1"/>
          <c:tx>
            <c:strRef>
              <c:f>'Active Shooter'!$C$837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Shooter'!$J$838</c:f>
              <c:numCache>
                <c:formatCode>General</c:formatCode>
                <c:ptCount val="1"/>
                <c:pt idx="0">
                  <c:v>3</c:v>
                </c:pt>
              </c:numCache>
            </c:numRef>
          </c:xVal>
          <c:yVal>
            <c:numRef>
              <c:f>'Active Shooter'!$J$839</c:f>
              <c:numCache>
                <c:formatCode>General</c:formatCode>
                <c:ptCount val="1"/>
                <c:pt idx="0">
                  <c:v>0</c:v>
                </c:pt>
              </c:numCache>
            </c:numRef>
          </c:yVal>
          <c:smooth val="0"/>
          <c:extLst>
            <c:ext xmlns:c16="http://schemas.microsoft.com/office/drawing/2014/chart" uri="{C3380CC4-5D6E-409C-BE32-E72D297353CC}">
              <c16:uniqueId val="{00000001-D884-4A1C-809B-A62DFC46A154}"/>
            </c:ext>
          </c:extLst>
        </c:ser>
        <c:ser>
          <c:idx val="2"/>
          <c:order val="2"/>
          <c:tx>
            <c:strRef>
              <c:f>'Active Shooter'!$C$841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Shooter'!$J$842</c:f>
              <c:numCache>
                <c:formatCode>General</c:formatCode>
                <c:ptCount val="1"/>
                <c:pt idx="0">
                  <c:v>2</c:v>
                </c:pt>
              </c:numCache>
            </c:numRef>
          </c:xVal>
          <c:yVal>
            <c:numRef>
              <c:f>'Active Shooter'!$J$843</c:f>
              <c:numCache>
                <c:formatCode>General</c:formatCode>
                <c:ptCount val="1"/>
                <c:pt idx="0">
                  <c:v>0</c:v>
                </c:pt>
              </c:numCache>
            </c:numRef>
          </c:yVal>
          <c:smooth val="0"/>
          <c:extLst>
            <c:ext xmlns:c16="http://schemas.microsoft.com/office/drawing/2014/chart" uri="{C3380CC4-5D6E-409C-BE32-E72D297353CC}">
              <c16:uniqueId val="{00000002-D884-4A1C-809B-A62DFC46A154}"/>
            </c:ext>
          </c:extLst>
        </c:ser>
        <c:ser>
          <c:idx val="3"/>
          <c:order val="3"/>
          <c:tx>
            <c:strRef>
              <c:f>'Active Shooter'!$C$845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Shooter'!$J$846</c:f>
              <c:numCache>
                <c:formatCode>General</c:formatCode>
                <c:ptCount val="1"/>
                <c:pt idx="0">
                  <c:v>4</c:v>
                </c:pt>
              </c:numCache>
            </c:numRef>
          </c:xVal>
          <c:yVal>
            <c:numRef>
              <c:f>'Active Shooter'!$J$847</c:f>
              <c:numCache>
                <c:formatCode>General</c:formatCode>
                <c:ptCount val="1"/>
                <c:pt idx="0">
                  <c:v>0</c:v>
                </c:pt>
              </c:numCache>
            </c:numRef>
          </c:yVal>
          <c:smooth val="0"/>
          <c:extLst>
            <c:ext xmlns:c16="http://schemas.microsoft.com/office/drawing/2014/chart" uri="{C3380CC4-5D6E-409C-BE32-E72D297353CC}">
              <c16:uniqueId val="{00000003-D884-4A1C-809B-A62DFC46A154}"/>
            </c:ext>
          </c:extLst>
        </c:ser>
        <c:ser>
          <c:idx val="4"/>
          <c:order val="4"/>
          <c:tx>
            <c:strRef>
              <c:f>'Active Shooter'!$C$849</c:f>
              <c:strCache>
                <c:ptCount val="1"/>
                <c:pt idx="0">
                  <c:v>Fatality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Shooter'!$J$850</c:f>
              <c:numCache>
                <c:formatCode>General</c:formatCode>
                <c:ptCount val="1"/>
                <c:pt idx="0">
                  <c:v>4</c:v>
                </c:pt>
              </c:numCache>
            </c:numRef>
          </c:xVal>
          <c:yVal>
            <c:numRef>
              <c:f>'Active Shooter'!$J$851</c:f>
              <c:numCache>
                <c:formatCode>General</c:formatCode>
                <c:ptCount val="1"/>
                <c:pt idx="0">
                  <c:v>0</c:v>
                </c:pt>
              </c:numCache>
            </c:numRef>
          </c:yVal>
          <c:smooth val="0"/>
          <c:extLst>
            <c:ext xmlns:c16="http://schemas.microsoft.com/office/drawing/2014/chart" uri="{C3380CC4-5D6E-409C-BE32-E72D297353CC}">
              <c16:uniqueId val="{00000004-D884-4A1C-809B-A62DFC46A154}"/>
            </c:ext>
          </c:extLst>
        </c:ser>
        <c:ser>
          <c:idx val="5"/>
          <c:order val="5"/>
          <c:tx>
            <c:strRef>
              <c:f>'Active Shooter'!$C$853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Shooter'!$J$854</c:f>
              <c:numCache>
                <c:formatCode>General</c:formatCode>
                <c:ptCount val="1"/>
                <c:pt idx="0">
                  <c:v>4</c:v>
                </c:pt>
              </c:numCache>
            </c:numRef>
          </c:xVal>
          <c:yVal>
            <c:numRef>
              <c:f>'Active Shooter'!$J$855</c:f>
              <c:numCache>
                <c:formatCode>General</c:formatCode>
                <c:ptCount val="1"/>
                <c:pt idx="0">
                  <c:v>0</c:v>
                </c:pt>
              </c:numCache>
            </c:numRef>
          </c:yVal>
          <c:smooth val="0"/>
          <c:extLst>
            <c:ext xmlns:c16="http://schemas.microsoft.com/office/drawing/2014/chart" uri="{C3380CC4-5D6E-409C-BE32-E72D297353CC}">
              <c16:uniqueId val="{00000005-D884-4A1C-809B-A62DFC46A154}"/>
            </c:ext>
          </c:extLst>
        </c:ser>
        <c:ser>
          <c:idx val="6"/>
          <c:order val="6"/>
          <c:tx>
            <c:strRef>
              <c:f>'Active Shooter'!$C$857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Shooter'!$J$858</c:f>
              <c:numCache>
                <c:formatCode>General</c:formatCode>
                <c:ptCount val="1"/>
                <c:pt idx="0">
                  <c:v>0</c:v>
                </c:pt>
              </c:numCache>
            </c:numRef>
          </c:xVal>
          <c:yVal>
            <c:numRef>
              <c:f>'Active Shooter'!$J$859</c:f>
              <c:numCache>
                <c:formatCode>General</c:formatCode>
                <c:ptCount val="1"/>
                <c:pt idx="0">
                  <c:v>0</c:v>
                </c:pt>
              </c:numCache>
            </c:numRef>
          </c:yVal>
          <c:smooth val="0"/>
          <c:extLst>
            <c:ext xmlns:c16="http://schemas.microsoft.com/office/drawing/2014/chart" uri="{C3380CC4-5D6E-409C-BE32-E72D297353CC}">
              <c16:uniqueId val="{00000006-D884-4A1C-809B-A62DFC46A154}"/>
            </c:ext>
          </c:extLst>
        </c:ser>
        <c:ser>
          <c:idx val="7"/>
          <c:order val="7"/>
          <c:tx>
            <c:strRef>
              <c:f>'Active Shooter'!$C$861</c:f>
              <c:strCache>
                <c:ptCount val="1"/>
                <c:pt idx="0">
                  <c:v>MCM Dispens</c:v>
                </c:pt>
              </c:strCache>
            </c:strRef>
          </c:tx>
          <c:spPr>
            <a:ln w="66675">
              <a:noFill/>
            </a:ln>
          </c:spPr>
          <c:dLbls>
            <c:dLbl>
              <c:idx val="0"/>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D884-4A1C-809B-A62DFC46A154}"/>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Shooter'!$J$862</c:f>
              <c:numCache>
                <c:formatCode>General</c:formatCode>
                <c:ptCount val="1"/>
                <c:pt idx="0">
                  <c:v>0</c:v>
                </c:pt>
              </c:numCache>
            </c:numRef>
          </c:xVal>
          <c:yVal>
            <c:numRef>
              <c:f>'Active Shooter'!$J$863</c:f>
              <c:numCache>
                <c:formatCode>General</c:formatCode>
                <c:ptCount val="1"/>
                <c:pt idx="0">
                  <c:v>0</c:v>
                </c:pt>
              </c:numCache>
            </c:numRef>
          </c:yVal>
          <c:smooth val="0"/>
          <c:extLst>
            <c:ext xmlns:c16="http://schemas.microsoft.com/office/drawing/2014/chart" uri="{C3380CC4-5D6E-409C-BE32-E72D297353CC}">
              <c16:uniqueId val="{00000008-D884-4A1C-809B-A62DFC46A154}"/>
            </c:ext>
          </c:extLst>
        </c:ser>
        <c:ser>
          <c:idx val="8"/>
          <c:order val="8"/>
          <c:tx>
            <c:strRef>
              <c:f>'Active Shooter'!$C$865</c:f>
              <c:strCache>
                <c:ptCount val="1"/>
                <c:pt idx="0">
                  <c:v>Med Materiel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Shooter'!$J$866</c:f>
              <c:numCache>
                <c:formatCode>General</c:formatCode>
                <c:ptCount val="1"/>
                <c:pt idx="0">
                  <c:v>2</c:v>
                </c:pt>
              </c:numCache>
            </c:numRef>
          </c:xVal>
          <c:yVal>
            <c:numRef>
              <c:f>'Active Shooter'!$J$867</c:f>
              <c:numCache>
                <c:formatCode>General</c:formatCode>
                <c:ptCount val="1"/>
                <c:pt idx="0">
                  <c:v>0</c:v>
                </c:pt>
              </c:numCache>
            </c:numRef>
          </c:yVal>
          <c:smooth val="0"/>
          <c:extLst>
            <c:ext xmlns:c16="http://schemas.microsoft.com/office/drawing/2014/chart" uri="{C3380CC4-5D6E-409C-BE32-E72D297353CC}">
              <c16:uniqueId val="{00000009-D884-4A1C-809B-A62DFC46A154}"/>
            </c:ext>
          </c:extLst>
        </c:ser>
        <c:ser>
          <c:idx val="9"/>
          <c:order val="9"/>
          <c:tx>
            <c:strRef>
              <c:f>'Active Shooter'!$C$869</c:f>
              <c:strCache>
                <c:ptCount val="1"/>
                <c:pt idx="0">
                  <c:v>Medical Surge</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Shooter'!$J$870</c:f>
              <c:numCache>
                <c:formatCode>General</c:formatCode>
                <c:ptCount val="1"/>
                <c:pt idx="0">
                  <c:v>4</c:v>
                </c:pt>
              </c:numCache>
            </c:numRef>
          </c:xVal>
          <c:yVal>
            <c:numRef>
              <c:f>'Active Shooter'!$J$871</c:f>
              <c:numCache>
                <c:formatCode>General</c:formatCode>
                <c:ptCount val="1"/>
                <c:pt idx="0">
                  <c:v>0</c:v>
                </c:pt>
              </c:numCache>
            </c:numRef>
          </c:yVal>
          <c:smooth val="0"/>
          <c:extLst>
            <c:ext xmlns:c16="http://schemas.microsoft.com/office/drawing/2014/chart" uri="{C3380CC4-5D6E-409C-BE32-E72D297353CC}">
              <c16:uniqueId val="{0000000A-D884-4A1C-809B-A62DFC46A154}"/>
            </c:ext>
          </c:extLst>
        </c:ser>
        <c:ser>
          <c:idx val="10"/>
          <c:order val="10"/>
          <c:tx>
            <c:strRef>
              <c:f>'Active Shooter'!$C$873</c:f>
              <c:strCache>
                <c:ptCount val="1"/>
                <c:pt idx="0">
                  <c:v>Non-Pharm Interv</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Shooter'!$J$874</c:f>
              <c:numCache>
                <c:formatCode>General</c:formatCode>
                <c:ptCount val="1"/>
                <c:pt idx="0">
                  <c:v>0</c:v>
                </c:pt>
              </c:numCache>
            </c:numRef>
          </c:xVal>
          <c:yVal>
            <c:numRef>
              <c:f>'Active Shooter'!$J$875</c:f>
              <c:numCache>
                <c:formatCode>General</c:formatCode>
                <c:ptCount val="1"/>
                <c:pt idx="0">
                  <c:v>0</c:v>
                </c:pt>
              </c:numCache>
            </c:numRef>
          </c:yVal>
          <c:smooth val="0"/>
          <c:extLst>
            <c:ext xmlns:c16="http://schemas.microsoft.com/office/drawing/2014/chart" uri="{C3380CC4-5D6E-409C-BE32-E72D297353CC}">
              <c16:uniqueId val="{0000000B-D884-4A1C-809B-A62DFC46A154}"/>
            </c:ext>
          </c:extLst>
        </c:ser>
        <c:ser>
          <c:idx val="11"/>
          <c:order val="11"/>
          <c:tx>
            <c:strRef>
              <c:f>'Active Shooter'!$C$877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Shooter'!$J$878</c:f>
              <c:numCache>
                <c:formatCode>General</c:formatCode>
                <c:ptCount val="1"/>
                <c:pt idx="0">
                  <c:v>0</c:v>
                </c:pt>
              </c:numCache>
            </c:numRef>
          </c:xVal>
          <c:yVal>
            <c:numRef>
              <c:f>'Active Shooter'!$J$879</c:f>
              <c:numCache>
                <c:formatCode>General</c:formatCode>
                <c:ptCount val="1"/>
                <c:pt idx="0">
                  <c:v>0</c:v>
                </c:pt>
              </c:numCache>
            </c:numRef>
          </c:yVal>
          <c:smooth val="0"/>
          <c:extLst>
            <c:ext xmlns:c16="http://schemas.microsoft.com/office/drawing/2014/chart" uri="{C3380CC4-5D6E-409C-BE32-E72D297353CC}">
              <c16:uniqueId val="{0000000C-D884-4A1C-809B-A62DFC46A154}"/>
            </c:ext>
          </c:extLst>
        </c:ser>
        <c:ser>
          <c:idx val="12"/>
          <c:order val="12"/>
          <c:tx>
            <c:strRef>
              <c:f>'Active Shooter'!$C$881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Shooter'!$J$882</c:f>
              <c:numCache>
                <c:formatCode>General</c:formatCode>
                <c:ptCount val="1"/>
                <c:pt idx="0">
                  <c:v>1</c:v>
                </c:pt>
              </c:numCache>
            </c:numRef>
          </c:xVal>
          <c:yVal>
            <c:numRef>
              <c:f>'Active Shooter'!$J$883</c:f>
              <c:numCache>
                <c:formatCode>General</c:formatCode>
                <c:ptCount val="1"/>
                <c:pt idx="0">
                  <c:v>0</c:v>
                </c:pt>
              </c:numCache>
            </c:numRef>
          </c:yVal>
          <c:smooth val="0"/>
          <c:extLst>
            <c:ext xmlns:c16="http://schemas.microsoft.com/office/drawing/2014/chart" uri="{C3380CC4-5D6E-409C-BE32-E72D297353CC}">
              <c16:uniqueId val="{0000000D-D884-4A1C-809B-A62DFC46A154}"/>
            </c:ext>
          </c:extLst>
        </c:ser>
        <c:ser>
          <c:idx val="13"/>
          <c:order val="13"/>
          <c:tx>
            <c:strRef>
              <c:f>'Active Shooter'!$C$885</c:f>
              <c:strCache>
                <c:ptCount val="1"/>
                <c:pt idx="0">
                  <c:v>Responder Safety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Shooter'!$J$886</c:f>
              <c:numCache>
                <c:formatCode>General</c:formatCode>
                <c:ptCount val="1"/>
                <c:pt idx="0">
                  <c:v>3</c:v>
                </c:pt>
              </c:numCache>
            </c:numRef>
          </c:xVal>
          <c:yVal>
            <c:numRef>
              <c:f>'Active Shooter'!$J$887</c:f>
              <c:numCache>
                <c:formatCode>General</c:formatCode>
                <c:ptCount val="1"/>
                <c:pt idx="0">
                  <c:v>0</c:v>
                </c:pt>
              </c:numCache>
            </c:numRef>
          </c:yVal>
          <c:smooth val="0"/>
          <c:extLst>
            <c:ext xmlns:c16="http://schemas.microsoft.com/office/drawing/2014/chart" uri="{C3380CC4-5D6E-409C-BE32-E72D297353CC}">
              <c16:uniqueId val="{0000000E-D884-4A1C-809B-A62DFC46A154}"/>
            </c:ext>
          </c:extLst>
        </c:ser>
        <c:ser>
          <c:idx val="14"/>
          <c:order val="14"/>
          <c:tx>
            <c:strRef>
              <c:f>'Active Shooter'!$C$889</c:f>
              <c:strCache>
                <c:ptCount val="1"/>
                <c:pt idx="0">
                  <c:v>Volunteer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Shooter'!$J$890</c:f>
              <c:numCache>
                <c:formatCode>General</c:formatCode>
                <c:ptCount val="1"/>
                <c:pt idx="0">
                  <c:v>1</c:v>
                </c:pt>
              </c:numCache>
            </c:numRef>
          </c:xVal>
          <c:yVal>
            <c:numRef>
              <c:f>'Active Shooter'!$J$891</c:f>
              <c:numCache>
                <c:formatCode>General</c:formatCode>
                <c:ptCount val="1"/>
                <c:pt idx="0">
                  <c:v>0</c:v>
                </c:pt>
              </c:numCache>
            </c:numRef>
          </c:yVal>
          <c:smooth val="0"/>
          <c:extLst>
            <c:ext xmlns:c16="http://schemas.microsoft.com/office/drawing/2014/chart" uri="{C3380CC4-5D6E-409C-BE32-E72D297353CC}">
              <c16:uniqueId val="{0000000F-D884-4A1C-809B-A62DFC46A154}"/>
            </c:ext>
          </c:extLst>
        </c:ser>
        <c:dLbls>
          <c:showLegendKey val="0"/>
          <c:showVal val="1"/>
          <c:showCatName val="0"/>
          <c:showSerName val="0"/>
          <c:showPercent val="0"/>
          <c:showBubbleSize val="0"/>
        </c:dLbls>
        <c:axId val="119531392"/>
        <c:axId val="119734272"/>
      </c:scatterChart>
      <c:valAx>
        <c:axId val="11953139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19734272"/>
        <c:crosses val="autoZero"/>
        <c:crossBetween val="midCat"/>
        <c:majorUnit val="1"/>
        <c:minorUnit val="0.1"/>
      </c:valAx>
      <c:valAx>
        <c:axId val="11973427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1953139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7021378673626376"/>
          <c:y val="1.3244983721297133E-2"/>
        </c:manualLayout>
      </c:layout>
      <c:overlay val="0"/>
    </c:title>
    <c:autoTitleDeleted val="0"/>
    <c:plotArea>
      <c:layout>
        <c:manualLayout>
          <c:layoutTarget val="inner"/>
          <c:xMode val="edge"/>
          <c:yMode val="edge"/>
          <c:x val="9.6837670988709781E-2"/>
          <c:y val="0.10007907481510167"/>
          <c:w val="0.87765127401990883"/>
          <c:h val="0.77165947152780767"/>
        </c:manualLayout>
      </c:layout>
      <c:scatterChart>
        <c:scatterStyle val="lineMarker"/>
        <c:varyColors val="0"/>
        <c:ser>
          <c:idx val="0"/>
          <c:order val="0"/>
          <c:tx>
            <c:strRef>
              <c:f>'Active Shooter'!$C$903</c:f>
              <c:strCache>
                <c:ptCount val="1"/>
                <c:pt idx="0">
                  <c:v>HC System Prep</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Shooter'!$J$904</c:f>
              <c:numCache>
                <c:formatCode>General</c:formatCode>
                <c:ptCount val="1"/>
                <c:pt idx="0">
                  <c:v>4</c:v>
                </c:pt>
              </c:numCache>
            </c:numRef>
          </c:xVal>
          <c:yVal>
            <c:numRef>
              <c:f>'Active Shooter'!$J$905</c:f>
              <c:numCache>
                <c:formatCode>General</c:formatCode>
                <c:ptCount val="1"/>
                <c:pt idx="0">
                  <c:v>0</c:v>
                </c:pt>
              </c:numCache>
            </c:numRef>
          </c:yVal>
          <c:smooth val="0"/>
          <c:extLst>
            <c:ext xmlns:c16="http://schemas.microsoft.com/office/drawing/2014/chart" uri="{C3380CC4-5D6E-409C-BE32-E72D297353CC}">
              <c16:uniqueId val="{00000000-BEEF-476A-AE65-F8B5411FA13A}"/>
            </c:ext>
          </c:extLst>
        </c:ser>
        <c:ser>
          <c:idx val="1"/>
          <c:order val="1"/>
          <c:tx>
            <c:strRef>
              <c:f>'Active Shooter'!$C$907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Shooter'!$J$908</c:f>
              <c:numCache>
                <c:formatCode>General</c:formatCode>
                <c:ptCount val="1"/>
                <c:pt idx="0">
                  <c:v>3</c:v>
                </c:pt>
              </c:numCache>
            </c:numRef>
          </c:xVal>
          <c:yVal>
            <c:numRef>
              <c:f>'Active Shooter'!$J$909</c:f>
              <c:numCache>
                <c:formatCode>General</c:formatCode>
                <c:ptCount val="1"/>
                <c:pt idx="0">
                  <c:v>0</c:v>
                </c:pt>
              </c:numCache>
            </c:numRef>
          </c:yVal>
          <c:smooth val="0"/>
          <c:extLst>
            <c:ext xmlns:c16="http://schemas.microsoft.com/office/drawing/2014/chart" uri="{C3380CC4-5D6E-409C-BE32-E72D297353CC}">
              <c16:uniqueId val="{00000001-BEEF-476A-AE65-F8B5411FA13A}"/>
            </c:ext>
          </c:extLst>
        </c:ser>
        <c:ser>
          <c:idx val="2"/>
          <c:order val="2"/>
          <c:tx>
            <c:strRef>
              <c:f>'Active Shooter'!$C$911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Shooter'!$J$912</c:f>
              <c:numCache>
                <c:formatCode>General</c:formatCode>
                <c:ptCount val="1"/>
                <c:pt idx="0">
                  <c:v>2</c:v>
                </c:pt>
              </c:numCache>
            </c:numRef>
          </c:xVal>
          <c:yVal>
            <c:numRef>
              <c:f>'Active Shooter'!$J$913</c:f>
              <c:numCache>
                <c:formatCode>General</c:formatCode>
                <c:ptCount val="1"/>
                <c:pt idx="0">
                  <c:v>0</c:v>
                </c:pt>
              </c:numCache>
            </c:numRef>
          </c:yVal>
          <c:smooth val="0"/>
          <c:extLst>
            <c:ext xmlns:c16="http://schemas.microsoft.com/office/drawing/2014/chart" uri="{C3380CC4-5D6E-409C-BE32-E72D297353CC}">
              <c16:uniqueId val="{00000002-BEEF-476A-AE65-F8B5411FA13A}"/>
            </c:ext>
          </c:extLst>
        </c:ser>
        <c:ser>
          <c:idx val="4"/>
          <c:order val="3"/>
          <c:tx>
            <c:strRef>
              <c:f>'Active Shooter'!$C$915</c:f>
              <c:strCache>
                <c:ptCount val="1"/>
                <c:pt idx="0">
                  <c:v>Fatality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Shooter'!$J$916</c:f>
              <c:numCache>
                <c:formatCode>General</c:formatCode>
                <c:ptCount val="1"/>
                <c:pt idx="0">
                  <c:v>4</c:v>
                </c:pt>
              </c:numCache>
            </c:numRef>
          </c:xVal>
          <c:yVal>
            <c:numRef>
              <c:f>'Active Shooter'!$J$917</c:f>
              <c:numCache>
                <c:formatCode>General</c:formatCode>
                <c:ptCount val="1"/>
                <c:pt idx="0">
                  <c:v>0</c:v>
                </c:pt>
              </c:numCache>
            </c:numRef>
          </c:yVal>
          <c:smooth val="0"/>
          <c:extLst>
            <c:ext xmlns:c16="http://schemas.microsoft.com/office/drawing/2014/chart" uri="{C3380CC4-5D6E-409C-BE32-E72D297353CC}">
              <c16:uniqueId val="{00000003-BEEF-476A-AE65-F8B5411FA13A}"/>
            </c:ext>
          </c:extLst>
        </c:ser>
        <c:ser>
          <c:idx val="5"/>
          <c:order val="4"/>
          <c:tx>
            <c:strRef>
              <c:f>'Active Shooter'!$C$919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Shooter'!$J$920</c:f>
              <c:numCache>
                <c:formatCode>General</c:formatCode>
                <c:ptCount val="1"/>
                <c:pt idx="0">
                  <c:v>4</c:v>
                </c:pt>
              </c:numCache>
            </c:numRef>
          </c:xVal>
          <c:yVal>
            <c:numRef>
              <c:f>'Active Shooter'!$J$921</c:f>
              <c:numCache>
                <c:formatCode>General</c:formatCode>
                <c:ptCount val="1"/>
                <c:pt idx="0">
                  <c:v>0</c:v>
                </c:pt>
              </c:numCache>
            </c:numRef>
          </c:yVal>
          <c:smooth val="0"/>
          <c:extLst>
            <c:ext xmlns:c16="http://schemas.microsoft.com/office/drawing/2014/chart" uri="{C3380CC4-5D6E-409C-BE32-E72D297353CC}">
              <c16:uniqueId val="{00000004-BEEF-476A-AE65-F8B5411FA13A}"/>
            </c:ext>
          </c:extLst>
        </c:ser>
        <c:ser>
          <c:idx val="9"/>
          <c:order val="5"/>
          <c:tx>
            <c:strRef>
              <c:f>'Active Shooter'!$C$923</c:f>
              <c:strCache>
                <c:ptCount val="1"/>
                <c:pt idx="0">
                  <c:v>Medical Surge</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Shooter'!$J$924</c:f>
              <c:numCache>
                <c:formatCode>General</c:formatCode>
                <c:ptCount val="1"/>
                <c:pt idx="0">
                  <c:v>4</c:v>
                </c:pt>
              </c:numCache>
            </c:numRef>
          </c:xVal>
          <c:yVal>
            <c:numRef>
              <c:f>'Active Shooter'!$J$925</c:f>
              <c:numCache>
                <c:formatCode>General</c:formatCode>
                <c:ptCount val="1"/>
                <c:pt idx="0">
                  <c:v>0</c:v>
                </c:pt>
              </c:numCache>
            </c:numRef>
          </c:yVal>
          <c:smooth val="0"/>
          <c:extLst>
            <c:ext xmlns:c16="http://schemas.microsoft.com/office/drawing/2014/chart" uri="{C3380CC4-5D6E-409C-BE32-E72D297353CC}">
              <c16:uniqueId val="{00000005-BEEF-476A-AE65-F8B5411FA13A}"/>
            </c:ext>
          </c:extLst>
        </c:ser>
        <c:ser>
          <c:idx val="13"/>
          <c:order val="6"/>
          <c:tx>
            <c:strRef>
              <c:f>'Active Shooter'!$C$927</c:f>
              <c:strCache>
                <c:ptCount val="1"/>
                <c:pt idx="0">
                  <c:v>Responder Safety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Shooter'!$J$928</c:f>
              <c:numCache>
                <c:formatCode>General</c:formatCode>
                <c:ptCount val="1"/>
                <c:pt idx="0">
                  <c:v>3</c:v>
                </c:pt>
              </c:numCache>
            </c:numRef>
          </c:xVal>
          <c:yVal>
            <c:numRef>
              <c:f>'Active Shooter'!$J$929</c:f>
              <c:numCache>
                <c:formatCode>General</c:formatCode>
                <c:ptCount val="1"/>
                <c:pt idx="0">
                  <c:v>0</c:v>
                </c:pt>
              </c:numCache>
            </c:numRef>
          </c:yVal>
          <c:smooth val="0"/>
          <c:extLst>
            <c:ext xmlns:c16="http://schemas.microsoft.com/office/drawing/2014/chart" uri="{C3380CC4-5D6E-409C-BE32-E72D297353CC}">
              <c16:uniqueId val="{00000006-BEEF-476A-AE65-F8B5411FA13A}"/>
            </c:ext>
          </c:extLst>
        </c:ser>
        <c:ser>
          <c:idx val="14"/>
          <c:order val="7"/>
          <c:tx>
            <c:strRef>
              <c:f>'Active Shooter'!$C$931</c:f>
              <c:strCache>
                <c:ptCount val="1"/>
                <c:pt idx="0">
                  <c:v>Volunteer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'Active Shooter'!$J$932</c:f>
              <c:numCache>
                <c:formatCode>General</c:formatCode>
                <c:ptCount val="1"/>
                <c:pt idx="0">
                  <c:v>1</c:v>
                </c:pt>
              </c:numCache>
            </c:numRef>
          </c:xVal>
          <c:yVal>
            <c:numRef>
              <c:f>'Active Shooter'!$J$933</c:f>
              <c:numCache>
                <c:formatCode>General</c:formatCode>
                <c:ptCount val="1"/>
                <c:pt idx="0">
                  <c:v>0</c:v>
                </c:pt>
              </c:numCache>
            </c:numRef>
          </c:yVal>
          <c:smooth val="0"/>
          <c:extLst>
            <c:ext xmlns:c16="http://schemas.microsoft.com/office/drawing/2014/chart" uri="{C3380CC4-5D6E-409C-BE32-E72D297353CC}">
              <c16:uniqueId val="{00000007-BEEF-476A-AE65-F8B5411FA13A}"/>
            </c:ext>
          </c:extLst>
        </c:ser>
        <c:dLbls>
          <c:showLegendKey val="0"/>
          <c:showVal val="1"/>
          <c:showCatName val="0"/>
          <c:showSerName val="0"/>
          <c:showPercent val="0"/>
          <c:showBubbleSize val="0"/>
        </c:dLbls>
        <c:axId val="120070912"/>
        <c:axId val="120072832"/>
      </c:scatterChart>
      <c:valAx>
        <c:axId val="12007091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20072832"/>
        <c:crosses val="autoZero"/>
        <c:crossBetween val="midCat"/>
        <c:majorUnit val="1"/>
        <c:minorUnit val="0.1"/>
      </c:valAx>
      <c:valAx>
        <c:axId val="12007283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2007091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('Biological Terrorism'!$J$133,'Biological Terrorism'!$J$261,'Biological Terrorism'!$J$421,'Biological Terrorism'!$J$539,'Biological Terrorism'!$J$681)</c:f>
              <c:numCache>
                <c:formatCode>0.00</c:formatCode>
                <c:ptCount val="5"/>
                <c:pt idx="0">
                  <c:v>3.3333333333333335</c:v>
                </c:pt>
                <c:pt idx="1">
                  <c:v>0</c:v>
                </c:pt>
                <c:pt idx="2">
                  <c:v>2</c:v>
                </c:pt>
                <c:pt idx="3">
                  <c:v>2.1428571428571428</c:v>
                </c:pt>
                <c:pt idx="4">
                  <c:v>0</c:v>
                </c:pt>
              </c:numCache>
            </c:numRef>
          </c:val>
          <c:extLst>
            <c:ext xmlns:c16="http://schemas.microsoft.com/office/drawing/2014/chart" uri="{C3380CC4-5D6E-409C-BE32-E72D297353CC}">
              <c16:uniqueId val="{00000000-7F8B-4BDB-A28C-BFAEFAE48599}"/>
            </c:ext>
          </c:extLst>
        </c:ser>
        <c:dLbls>
          <c:showLegendKey val="0"/>
          <c:showVal val="1"/>
          <c:showCatName val="0"/>
          <c:showSerName val="0"/>
          <c:showPercent val="0"/>
          <c:showBubbleSize val="0"/>
        </c:dLbls>
        <c:gapWidth val="150"/>
        <c:axId val="119815552"/>
        <c:axId val="119831168"/>
      </c:barChart>
      <c:catAx>
        <c:axId val="11981555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19831168"/>
        <c:crosses val="autoZero"/>
        <c:auto val="1"/>
        <c:lblAlgn val="ctr"/>
        <c:lblOffset val="100"/>
        <c:noMultiLvlLbl val="0"/>
      </c:catAx>
      <c:valAx>
        <c:axId val="11983116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1981555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'Biological Terrorism'!$C$793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Terrorism'!$J$795</c:f>
              <c:numCache>
                <c:formatCode>General</c:formatCode>
                <c:ptCount val="1"/>
                <c:pt idx="0">
                  <c:v>3</c:v>
                </c:pt>
              </c:numCache>
            </c:numRef>
          </c:xVal>
          <c:yVal>
            <c:numRef>
              <c:f>'Biological Terrorism'!$J$794</c:f>
              <c:numCache>
                <c:formatCode>General</c:formatCode>
                <c:ptCount val="1"/>
                <c:pt idx="0">
                  <c:v>0</c:v>
                </c:pt>
              </c:numCache>
            </c:numRef>
          </c:yVal>
          <c:smooth val="0"/>
          <c:extLst>
            <c:ext xmlns:c16="http://schemas.microsoft.com/office/drawing/2014/chart" uri="{C3380CC4-5D6E-409C-BE32-E72D297353CC}">
              <c16:uniqueId val="{00000000-F979-4575-B2C0-05A0D448BC68}"/>
            </c:ext>
          </c:extLst>
        </c:ser>
        <c:ser>
          <c:idx val="1"/>
          <c:order val="1"/>
          <c:tx>
            <c:strRef>
              <c:f>'Biological Terrorism'!$C$797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Terrorism'!$J$799</c:f>
              <c:numCache>
                <c:formatCode>General</c:formatCode>
                <c:ptCount val="1"/>
                <c:pt idx="0">
                  <c:v>3</c:v>
                </c:pt>
              </c:numCache>
            </c:numRef>
          </c:xVal>
          <c:yVal>
            <c:numRef>
              <c:f>'Biological Terrorism'!$J$798</c:f>
              <c:numCache>
                <c:formatCode>General</c:formatCode>
                <c:ptCount val="1"/>
                <c:pt idx="0">
                  <c:v>0</c:v>
                </c:pt>
              </c:numCache>
            </c:numRef>
          </c:yVal>
          <c:smooth val="0"/>
          <c:extLst>
            <c:ext xmlns:c16="http://schemas.microsoft.com/office/drawing/2014/chart" uri="{C3380CC4-5D6E-409C-BE32-E72D297353CC}">
              <c16:uniqueId val="{00000001-F979-4575-B2C0-05A0D448BC68}"/>
            </c:ext>
          </c:extLst>
        </c:ser>
        <c:ser>
          <c:idx val="2"/>
          <c:order val="2"/>
          <c:tx>
            <c:strRef>
              <c:f>'Biological Terrorism'!$C$801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Terrorism'!$J$803</c:f>
              <c:numCache>
                <c:formatCode>General</c:formatCode>
                <c:ptCount val="1"/>
                <c:pt idx="0">
                  <c:v>3</c:v>
                </c:pt>
              </c:numCache>
            </c:numRef>
          </c:xVal>
          <c:yVal>
            <c:numRef>
              <c:f>'Biological Terrorism'!$J$802</c:f>
              <c:numCache>
                <c:formatCode>General</c:formatCode>
                <c:ptCount val="1"/>
                <c:pt idx="0">
                  <c:v>0</c:v>
                </c:pt>
              </c:numCache>
            </c:numRef>
          </c:yVal>
          <c:smooth val="0"/>
          <c:extLst>
            <c:ext xmlns:c16="http://schemas.microsoft.com/office/drawing/2014/chart" uri="{C3380CC4-5D6E-409C-BE32-E72D297353CC}">
              <c16:uniqueId val="{00000002-F979-4575-B2C0-05A0D448BC68}"/>
            </c:ext>
          </c:extLst>
        </c:ser>
        <c:ser>
          <c:idx val="3"/>
          <c:order val="3"/>
          <c:tx>
            <c:strRef>
              <c:f>'Biological Terrorism'!$C$805</c:f>
              <c:strCache>
                <c:ptCount val="1"/>
                <c:pt idx="0">
                  <c:v>Elderly 65 and older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Terrorism'!$J$806</c:f>
              <c:numCache>
                <c:formatCode>General</c:formatCode>
                <c:ptCount val="1"/>
                <c:pt idx="0">
                  <c:v>0</c:v>
                </c:pt>
              </c:numCache>
            </c:numRef>
          </c:xVal>
          <c:yVal>
            <c:numRef>
              <c:f>'Biological Terrorism'!$J$806</c:f>
              <c:numCache>
                <c:formatCode>General</c:formatCode>
                <c:ptCount val="1"/>
                <c:pt idx="0">
                  <c:v>0</c:v>
                </c:pt>
              </c:numCache>
            </c:numRef>
          </c:yVal>
          <c:smooth val="0"/>
          <c:extLst>
            <c:ext xmlns:c16="http://schemas.microsoft.com/office/drawing/2014/chart" uri="{C3380CC4-5D6E-409C-BE32-E72D297353CC}">
              <c16:uniqueId val="{00000003-F979-4575-B2C0-05A0D448BC68}"/>
            </c:ext>
          </c:extLst>
        </c:ser>
        <c:ser>
          <c:idx val="4"/>
          <c:order val="4"/>
          <c:tx>
            <c:strRef>
              <c:f>'Biological Terrorism'!$C$773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Terrorism'!$J$775</c:f>
              <c:numCache>
                <c:formatCode>General</c:formatCode>
                <c:ptCount val="1"/>
                <c:pt idx="0">
                  <c:v>2</c:v>
                </c:pt>
              </c:numCache>
            </c:numRef>
          </c:xVal>
          <c:yVal>
            <c:numRef>
              <c:f>'Biological Terrorism'!$J$774</c:f>
              <c:numCache>
                <c:formatCode>General</c:formatCode>
                <c:ptCount val="1"/>
                <c:pt idx="0">
                  <c:v>0</c:v>
                </c:pt>
              </c:numCache>
            </c:numRef>
          </c:yVal>
          <c:smooth val="0"/>
          <c:extLst>
            <c:ext xmlns:c16="http://schemas.microsoft.com/office/drawing/2014/chart" uri="{C3380CC4-5D6E-409C-BE32-E72D297353CC}">
              <c16:uniqueId val="{00000004-F979-4575-B2C0-05A0D448BC68}"/>
            </c:ext>
          </c:extLst>
        </c:ser>
        <c:ser>
          <c:idx val="5"/>
          <c:order val="5"/>
          <c:tx>
            <c:strRef>
              <c:f>'Biological Terrorism'!$C$777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Terrorism'!$J$779</c:f>
              <c:numCache>
                <c:formatCode>General</c:formatCode>
                <c:ptCount val="1"/>
                <c:pt idx="0">
                  <c:v>3</c:v>
                </c:pt>
              </c:numCache>
            </c:numRef>
          </c:xVal>
          <c:yVal>
            <c:numRef>
              <c:f>'Biological Terrorism'!$J$778</c:f>
              <c:numCache>
                <c:formatCode>General</c:formatCode>
                <c:ptCount val="1"/>
                <c:pt idx="0">
                  <c:v>0</c:v>
                </c:pt>
              </c:numCache>
            </c:numRef>
          </c:yVal>
          <c:smooth val="0"/>
          <c:extLst>
            <c:ext xmlns:c16="http://schemas.microsoft.com/office/drawing/2014/chart" uri="{C3380CC4-5D6E-409C-BE32-E72D297353CC}">
              <c16:uniqueId val="{00000005-F979-4575-B2C0-05A0D448BC68}"/>
            </c:ext>
          </c:extLst>
        </c:ser>
        <c:ser>
          <c:idx val="6"/>
          <c:order val="6"/>
          <c:tx>
            <c:strRef>
              <c:f>'Biological Terrorism'!$C$781</c:f>
              <c:strCache>
                <c:ptCount val="1"/>
                <c:pt idx="0">
                  <c:v>Ambulatory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Terrorism'!$J$783</c:f>
              <c:numCache>
                <c:formatCode>General</c:formatCode>
                <c:ptCount val="1"/>
                <c:pt idx="0">
                  <c:v>2</c:v>
                </c:pt>
              </c:numCache>
            </c:numRef>
          </c:xVal>
          <c:yVal>
            <c:numRef>
              <c:f>'Biological Terrorism'!$J$782</c:f>
              <c:numCache>
                <c:formatCode>General</c:formatCode>
                <c:ptCount val="1"/>
                <c:pt idx="0">
                  <c:v>0</c:v>
                </c:pt>
              </c:numCache>
            </c:numRef>
          </c:yVal>
          <c:smooth val="0"/>
          <c:extLst>
            <c:ext xmlns:c16="http://schemas.microsoft.com/office/drawing/2014/chart" uri="{C3380CC4-5D6E-409C-BE32-E72D297353CC}">
              <c16:uniqueId val="{00000006-F979-4575-B2C0-05A0D448BC68}"/>
            </c:ext>
          </c:extLst>
        </c:ser>
        <c:ser>
          <c:idx val="7"/>
          <c:order val="7"/>
          <c:tx>
            <c:strRef>
              <c:f>'Biological Terrorism'!$C$785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F979-4575-B2C0-05A0D448BC68}"/>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'Biological Terrorism'!$J$787</c:f>
              <c:numCache>
                <c:formatCode>General</c:formatCode>
                <c:ptCount val="1"/>
                <c:pt idx="0">
                  <c:v>3</c:v>
                </c:pt>
              </c:numCache>
            </c:numRef>
          </c:xVal>
          <c:yVal>
            <c:numRef>
              <c:f>'Biological Terrorism'!$J$786</c:f>
              <c:numCache>
                <c:formatCode>General</c:formatCode>
                <c:ptCount val="1"/>
                <c:pt idx="0">
                  <c:v>0</c:v>
                </c:pt>
              </c:numCache>
            </c:numRef>
          </c:yVal>
          <c:smooth val="0"/>
          <c:extLst>
            <c:ext xmlns:c16="http://schemas.microsoft.com/office/drawing/2014/chart" uri="{C3380CC4-5D6E-409C-BE32-E72D297353CC}">
              <c16:uniqueId val="{00000008-F979-4575-B2C0-05A0D448BC68}"/>
            </c:ext>
          </c:extLst>
        </c:ser>
        <c:ser>
          <c:idx val="8"/>
          <c:order val="8"/>
          <c:tx>
            <c:strRef>
              <c:f>'Biological Terrorism'!$C$789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Terrorism'!$J$791</c:f>
              <c:numCache>
                <c:formatCode>General</c:formatCode>
                <c:ptCount val="1"/>
                <c:pt idx="0">
                  <c:v>2</c:v>
                </c:pt>
              </c:numCache>
            </c:numRef>
          </c:xVal>
          <c:yVal>
            <c:numRef>
              <c:f>'Biological Terrorism'!$J$790</c:f>
              <c:numCache>
                <c:formatCode>General</c:formatCode>
                <c:ptCount val="1"/>
                <c:pt idx="0">
                  <c:v>0</c:v>
                </c:pt>
              </c:numCache>
            </c:numRef>
          </c:yVal>
          <c:smooth val="0"/>
          <c:extLst>
            <c:ext xmlns:c16="http://schemas.microsoft.com/office/drawing/2014/chart" uri="{C3380CC4-5D6E-409C-BE32-E72D297353CC}">
              <c16:uniqueId val="{00000009-F979-4575-B2C0-05A0D448BC68}"/>
            </c:ext>
          </c:extLst>
        </c:ser>
        <c:dLbls>
          <c:showLegendKey val="0"/>
          <c:showVal val="1"/>
          <c:showCatName val="0"/>
          <c:showSerName val="0"/>
          <c:showPercent val="0"/>
          <c:showBubbleSize val="0"/>
        </c:dLbls>
        <c:axId val="119939840"/>
        <c:axId val="119941760"/>
      </c:scatterChart>
      <c:valAx>
        <c:axId val="119939840"/>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19941760"/>
        <c:crosses val="autoZero"/>
        <c:crossBetween val="midCat"/>
        <c:majorUnit val="1"/>
        <c:minorUnit val="0.1"/>
      </c:valAx>
      <c:valAx>
        <c:axId val="119941760"/>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19939840"/>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'Biological Terrorism'!$C$853</c:f>
              <c:strCache>
                <c:ptCount val="1"/>
                <c:pt idx="0">
                  <c:v>Info Sharing</c:v>
                </c:pt>
              </c:strCache>
            </c:strRef>
          </c:tx>
          <c:spPr>
            <a:ln w="66675">
              <a:noFill/>
            </a:ln>
          </c:spPr>
          <c:dLbls>
            <c:dLbl>
              <c:idx val="0"/>
              <c:layout>
                <c:manualLayout>
                  <c:x val="0"/>
                  <c:y val="-7.2859744990892532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D618-4C5A-9B7F-D74DC5E9CA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Terrorism'!$J$854</c:f>
              <c:numCache>
                <c:formatCode>General</c:formatCode>
                <c:ptCount val="1"/>
                <c:pt idx="0">
                  <c:v>4</c:v>
                </c:pt>
              </c:numCache>
            </c:numRef>
          </c:xVal>
          <c:yVal>
            <c:numRef>
              <c:f>'Biological Terrorism'!$J$855</c:f>
              <c:numCache>
                <c:formatCode>General</c:formatCode>
                <c:ptCount val="1"/>
                <c:pt idx="0">
                  <c:v>0</c:v>
                </c:pt>
              </c:numCache>
            </c:numRef>
          </c:yVal>
          <c:smooth val="0"/>
          <c:extLst>
            <c:ext xmlns:c16="http://schemas.microsoft.com/office/drawing/2014/chart" uri="{C3380CC4-5D6E-409C-BE32-E72D297353CC}">
              <c16:uniqueId val="{00000001-D618-4C5A-9B7F-D74DC5E9CA71}"/>
            </c:ext>
          </c:extLst>
        </c:ser>
        <c:ser>
          <c:idx val="1"/>
          <c:order val="1"/>
          <c:tx>
            <c:strRef>
              <c:f>'Biological Terrorism'!$C$857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Terrorism'!$J$858</c:f>
              <c:numCache>
                <c:formatCode>General</c:formatCode>
                <c:ptCount val="1"/>
                <c:pt idx="0">
                  <c:v>1</c:v>
                </c:pt>
              </c:numCache>
            </c:numRef>
          </c:xVal>
          <c:yVal>
            <c:numRef>
              <c:f>'Biological Terrorism'!$J$859</c:f>
              <c:numCache>
                <c:formatCode>General</c:formatCode>
                <c:ptCount val="1"/>
                <c:pt idx="0">
                  <c:v>0</c:v>
                </c:pt>
              </c:numCache>
            </c:numRef>
          </c:yVal>
          <c:smooth val="0"/>
          <c:extLst>
            <c:ext xmlns:c16="http://schemas.microsoft.com/office/drawing/2014/chart" uri="{C3380CC4-5D6E-409C-BE32-E72D297353CC}">
              <c16:uniqueId val="{00000002-D618-4C5A-9B7F-D74DC5E9CA71}"/>
            </c:ext>
          </c:extLst>
        </c:ser>
        <c:ser>
          <c:idx val="2"/>
          <c:order val="2"/>
          <c:tx>
            <c:strRef>
              <c:f>'Biological Terrorism'!$C$861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Terrorism'!$J$862</c:f>
              <c:numCache>
                <c:formatCode>General</c:formatCode>
                <c:ptCount val="1"/>
                <c:pt idx="0">
                  <c:v>4</c:v>
                </c:pt>
              </c:numCache>
            </c:numRef>
          </c:xVal>
          <c:yVal>
            <c:numRef>
              <c:f>'Biological Terrorism'!$J$863</c:f>
              <c:numCache>
                <c:formatCode>General</c:formatCode>
                <c:ptCount val="1"/>
                <c:pt idx="0">
                  <c:v>0</c:v>
                </c:pt>
              </c:numCache>
            </c:numRef>
          </c:yVal>
          <c:smooth val="0"/>
          <c:extLst>
            <c:ext xmlns:c16="http://schemas.microsoft.com/office/drawing/2014/chart" uri="{C3380CC4-5D6E-409C-BE32-E72D297353CC}">
              <c16:uniqueId val="{00000003-D618-4C5A-9B7F-D74DC5E9CA71}"/>
            </c:ext>
          </c:extLst>
        </c:ser>
        <c:ser>
          <c:idx val="3"/>
          <c:order val="3"/>
          <c:tx>
            <c:strRef>
              <c:f>'Biological Terrorism'!$C$865</c:f>
              <c:strCache>
                <c:ptCount val="1"/>
                <c:pt idx="0">
                  <c:v>Med Materiel Mgmt</c:v>
                </c:pt>
              </c:strCache>
            </c:strRef>
          </c:tx>
          <c:spPr>
            <a:ln w="66675">
              <a:noFill/>
            </a:ln>
          </c:spPr>
          <c:dLbls>
            <c:dLbl>
              <c:idx val="0"/>
              <c:layout>
                <c:manualLayout>
                  <c:x val="-0.14216219891634713"/>
                  <c:y val="-1.214329083181542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D618-4C5A-9B7F-D74DC5E9CA71}"/>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Terrorism'!$J$866</c:f>
              <c:numCache>
                <c:formatCode>General</c:formatCode>
                <c:ptCount val="1"/>
                <c:pt idx="0">
                  <c:v>4</c:v>
                </c:pt>
              </c:numCache>
            </c:numRef>
          </c:xVal>
          <c:yVal>
            <c:numRef>
              <c:f>'Biological Terrorism'!$J$867</c:f>
              <c:numCache>
                <c:formatCode>General</c:formatCode>
                <c:ptCount val="1"/>
                <c:pt idx="0">
                  <c:v>0</c:v>
                </c:pt>
              </c:numCache>
            </c:numRef>
          </c:yVal>
          <c:smooth val="0"/>
          <c:extLst>
            <c:ext xmlns:c16="http://schemas.microsoft.com/office/drawing/2014/chart" uri="{C3380CC4-5D6E-409C-BE32-E72D297353CC}">
              <c16:uniqueId val="{00000005-D618-4C5A-9B7F-D74DC5E9CA71}"/>
            </c:ext>
          </c:extLst>
        </c:ser>
        <c:ser>
          <c:idx val="4"/>
          <c:order val="4"/>
          <c:tx>
            <c:strRef>
              <c:f>'Biological Terrorism'!$C$869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Terrorism'!$J$870</c:f>
              <c:numCache>
                <c:formatCode>General</c:formatCode>
                <c:ptCount val="1"/>
                <c:pt idx="0">
                  <c:v>4</c:v>
                </c:pt>
              </c:numCache>
            </c:numRef>
          </c:xVal>
          <c:yVal>
            <c:numRef>
              <c:f>'Biological Terrorism'!$J$871</c:f>
              <c:numCache>
                <c:formatCode>General</c:formatCode>
                <c:ptCount val="1"/>
                <c:pt idx="0">
                  <c:v>0</c:v>
                </c:pt>
              </c:numCache>
            </c:numRef>
          </c:yVal>
          <c:smooth val="0"/>
          <c:extLst>
            <c:ext xmlns:c16="http://schemas.microsoft.com/office/drawing/2014/chart" uri="{C3380CC4-5D6E-409C-BE32-E72D297353CC}">
              <c16:uniqueId val="{00000006-D618-4C5A-9B7F-D74DC5E9CA71}"/>
            </c:ext>
          </c:extLst>
        </c:ser>
        <c:ser>
          <c:idx val="5"/>
          <c:order val="5"/>
          <c:tx>
            <c:strRef>
              <c:f>'Biological Terrorism'!$C$873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Terrorism'!$J$874</c:f>
              <c:numCache>
                <c:formatCode>General</c:formatCode>
                <c:ptCount val="1"/>
                <c:pt idx="0">
                  <c:v>4</c:v>
                </c:pt>
              </c:numCache>
            </c:numRef>
          </c:xVal>
          <c:yVal>
            <c:numRef>
              <c:f>'Biological Terrorism'!$J$875</c:f>
              <c:numCache>
                <c:formatCode>General</c:formatCode>
                <c:ptCount val="1"/>
                <c:pt idx="0">
                  <c:v>0</c:v>
                </c:pt>
              </c:numCache>
            </c:numRef>
          </c:yVal>
          <c:smooth val="0"/>
          <c:extLst>
            <c:ext xmlns:c16="http://schemas.microsoft.com/office/drawing/2014/chart" uri="{C3380CC4-5D6E-409C-BE32-E72D297353CC}">
              <c16:uniqueId val="{00000007-D618-4C5A-9B7F-D74DC5E9CA71}"/>
            </c:ext>
          </c:extLst>
        </c:ser>
        <c:ser>
          <c:idx val="6"/>
          <c:order val="6"/>
          <c:tx>
            <c:strRef>
              <c:f>'Biological Terrorism'!$C$877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Terrorism'!$J$878</c:f>
              <c:numCache>
                <c:formatCode>General</c:formatCode>
                <c:ptCount val="1"/>
                <c:pt idx="0">
                  <c:v>4</c:v>
                </c:pt>
              </c:numCache>
            </c:numRef>
          </c:xVal>
          <c:yVal>
            <c:numRef>
              <c:f>'Biological Terrorism'!$J$879</c:f>
              <c:numCache>
                <c:formatCode>General</c:formatCode>
                <c:ptCount val="1"/>
                <c:pt idx="0">
                  <c:v>0</c:v>
                </c:pt>
              </c:numCache>
            </c:numRef>
          </c:yVal>
          <c:smooth val="0"/>
          <c:extLst>
            <c:ext xmlns:c16="http://schemas.microsoft.com/office/drawing/2014/chart" uri="{C3380CC4-5D6E-409C-BE32-E72D297353CC}">
              <c16:uniqueId val="{00000008-D618-4C5A-9B7F-D74DC5E9CA71}"/>
            </c:ext>
          </c:extLst>
        </c:ser>
        <c:ser>
          <c:idx val="7"/>
          <c:order val="7"/>
          <c:tx>
            <c:strRef>
              <c:f>'Biological Terrorism'!$C$881</c:f>
              <c:strCache>
                <c:ptCount val="1"/>
                <c:pt idx="0">
                  <c:v>PH Surv &amp; Epi</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Terrorism'!$J$882</c:f>
              <c:numCache>
                <c:formatCode>General</c:formatCode>
                <c:ptCount val="1"/>
                <c:pt idx="0">
                  <c:v>4</c:v>
                </c:pt>
              </c:numCache>
            </c:numRef>
          </c:xVal>
          <c:yVal>
            <c:numRef>
              <c:f>'Biological Terrorism'!$J$883</c:f>
              <c:numCache>
                <c:formatCode>General</c:formatCode>
                <c:ptCount val="1"/>
                <c:pt idx="0">
                  <c:v>0</c:v>
                </c:pt>
              </c:numCache>
            </c:numRef>
          </c:yVal>
          <c:smooth val="0"/>
          <c:extLst>
            <c:ext xmlns:c16="http://schemas.microsoft.com/office/drawing/2014/chart" uri="{C3380CC4-5D6E-409C-BE32-E72D297353CC}">
              <c16:uniqueId val="{00000009-D618-4C5A-9B7F-D74DC5E9CA71}"/>
            </c:ext>
          </c:extLst>
        </c:ser>
        <c:ser>
          <c:idx val="8"/>
          <c:order val="8"/>
          <c:tx>
            <c:strRef>
              <c:f>'Biological Terrorism'!$C$885</c:f>
              <c:strCache>
                <c:ptCount val="1"/>
                <c:pt idx="0">
                  <c:v>Responder Safety</c:v>
                </c:pt>
              </c:strCache>
            </c:strRef>
          </c:tx>
          <c:spPr>
            <a:ln w="66675">
              <a:noFill/>
            </a:ln>
          </c:spPr>
          <c:dLbls>
            <c:dLbl>
              <c:idx val="0"/>
              <c:layout>
                <c:manualLayout>
                  <c:x val="-4.3535296670828071E-4"/>
                  <c:y val="1.239227610209926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D618-4C5A-9B7F-D74DC5E9CA71}"/>
                </c:ext>
              </c:extLst>
            </c:dLbl>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Terrorism'!$J$886</c:f>
              <c:numCache>
                <c:formatCode>General</c:formatCode>
                <c:ptCount val="1"/>
                <c:pt idx="0">
                  <c:v>4</c:v>
                </c:pt>
              </c:numCache>
            </c:numRef>
          </c:xVal>
          <c:yVal>
            <c:numRef>
              <c:f>'Biological Terrorism'!$J$887</c:f>
              <c:numCache>
                <c:formatCode>General</c:formatCode>
                <c:ptCount val="1"/>
                <c:pt idx="0">
                  <c:v>0</c:v>
                </c:pt>
              </c:numCache>
            </c:numRef>
          </c:yVal>
          <c:smooth val="0"/>
          <c:extLst>
            <c:ext xmlns:c16="http://schemas.microsoft.com/office/drawing/2014/chart" uri="{C3380CC4-5D6E-409C-BE32-E72D297353CC}">
              <c16:uniqueId val="{0000000B-D618-4C5A-9B7F-D74DC5E9CA71}"/>
            </c:ext>
          </c:extLst>
        </c:ser>
        <c:ser>
          <c:idx val="9"/>
          <c:order val="9"/>
          <c:tx>
            <c:strRef>
              <c:f>'Biological Terrorism'!$C$889</c:f>
              <c:strCache>
                <c:ptCount val="1"/>
                <c:pt idx="0">
                  <c:v>Volunteer Mgmt</c:v>
                </c:pt>
              </c:strCache>
            </c:strRef>
          </c:tx>
          <c:spPr>
            <a:ln w="66675">
              <a:noFill/>
            </a:ln>
          </c:spPr>
          <c:dLbls>
            <c:dLbl>
              <c:idx val="0"/>
              <c:layout>
                <c:manualLayout>
                  <c:x val="-0.14382605166302082"/>
                  <c:y val="7.2859744990892532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D618-4C5A-9B7F-D74DC5E9CA71}"/>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Terrorism'!$J$890</c:f>
              <c:numCache>
                <c:formatCode>General</c:formatCode>
                <c:ptCount val="1"/>
                <c:pt idx="0">
                  <c:v>4</c:v>
                </c:pt>
              </c:numCache>
            </c:numRef>
          </c:xVal>
          <c:yVal>
            <c:numRef>
              <c:f>'Biological Terrorism'!$J$891</c:f>
              <c:numCache>
                <c:formatCode>General</c:formatCode>
                <c:ptCount val="1"/>
                <c:pt idx="0">
                  <c:v>0</c:v>
                </c:pt>
              </c:numCache>
            </c:numRef>
          </c:yVal>
          <c:smooth val="0"/>
          <c:extLst>
            <c:ext xmlns:c16="http://schemas.microsoft.com/office/drawing/2014/chart" uri="{C3380CC4-5D6E-409C-BE32-E72D297353CC}">
              <c16:uniqueId val="{0000000D-D618-4C5A-9B7F-D74DC5E9CA71}"/>
            </c:ext>
          </c:extLst>
        </c:ser>
        <c:ser>
          <c:idx val="10"/>
          <c:order val="10"/>
          <c:tx>
            <c:strRef>
              <c:f>'Biological Terrorism'!$C$833</c:f>
              <c:strCache>
                <c:ptCount val="1"/>
                <c:pt idx="0">
                  <c:v>Community Prep</c:v>
                </c:pt>
              </c:strCache>
            </c:strRef>
          </c:tx>
          <c:spPr>
            <a:ln w="66675">
              <a:noFill/>
            </a:ln>
          </c:spPr>
          <c:dLbls>
            <c:dLbl>
              <c:idx val="0"/>
              <c:layout>
                <c:manualLayout>
                  <c:x val="0"/>
                  <c:y val="-2.185811473019424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D618-4C5A-9B7F-D74DC5E9CA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Terrorism'!$J$834</c:f>
              <c:numCache>
                <c:formatCode>General</c:formatCode>
                <c:ptCount val="1"/>
                <c:pt idx="0">
                  <c:v>4</c:v>
                </c:pt>
              </c:numCache>
            </c:numRef>
          </c:xVal>
          <c:yVal>
            <c:numRef>
              <c:f>'Biological Terrorism'!$J$835</c:f>
              <c:numCache>
                <c:formatCode>General</c:formatCode>
                <c:ptCount val="1"/>
                <c:pt idx="0">
                  <c:v>0</c:v>
                </c:pt>
              </c:numCache>
            </c:numRef>
          </c:yVal>
          <c:smooth val="0"/>
          <c:extLst>
            <c:ext xmlns:c16="http://schemas.microsoft.com/office/drawing/2014/chart" uri="{C3380CC4-5D6E-409C-BE32-E72D297353CC}">
              <c16:uniqueId val="{0000000F-D618-4C5A-9B7F-D74DC5E9CA71}"/>
            </c:ext>
          </c:extLst>
        </c:ser>
        <c:ser>
          <c:idx val="11"/>
          <c:order val="11"/>
          <c:tx>
            <c:strRef>
              <c:f>'Biological Terrorism'!$C$837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Terrorism'!$J$838</c:f>
              <c:numCache>
                <c:formatCode>General</c:formatCode>
                <c:ptCount val="1"/>
                <c:pt idx="0">
                  <c:v>4</c:v>
                </c:pt>
              </c:numCache>
            </c:numRef>
          </c:xVal>
          <c:yVal>
            <c:numRef>
              <c:f>'Biological Terrorism'!$J$839</c:f>
              <c:numCache>
                <c:formatCode>General</c:formatCode>
                <c:ptCount val="1"/>
                <c:pt idx="0">
                  <c:v>0</c:v>
                </c:pt>
              </c:numCache>
            </c:numRef>
          </c:yVal>
          <c:smooth val="0"/>
          <c:extLst>
            <c:ext xmlns:c16="http://schemas.microsoft.com/office/drawing/2014/chart" uri="{C3380CC4-5D6E-409C-BE32-E72D297353CC}">
              <c16:uniqueId val="{00000010-D618-4C5A-9B7F-D74DC5E9CA71}"/>
            </c:ext>
          </c:extLst>
        </c:ser>
        <c:ser>
          <c:idx val="12"/>
          <c:order val="12"/>
          <c:tx>
            <c:strRef>
              <c:f>'Biological Terrorism'!$C$841</c:f>
              <c:strCache>
                <c:ptCount val="1"/>
                <c:pt idx="0">
                  <c:v>Emerg Ops Coord</c:v>
                </c:pt>
              </c:strCache>
            </c:strRef>
          </c:tx>
          <c:spPr>
            <a:ln w="66675">
              <a:noFill/>
            </a:ln>
          </c:spPr>
          <c:dLbls>
            <c:dLbl>
              <c:idx val="0"/>
              <c:layout>
                <c:manualLayout>
                  <c:x val="-0.14219141459843437"/>
                  <c:y val="-1.967844183411499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D618-4C5A-9B7F-D74DC5E9CA71}"/>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Terrorism'!$J$842</c:f>
              <c:numCache>
                <c:formatCode>General</c:formatCode>
                <c:ptCount val="1"/>
                <c:pt idx="0">
                  <c:v>4</c:v>
                </c:pt>
              </c:numCache>
            </c:numRef>
          </c:xVal>
          <c:yVal>
            <c:numRef>
              <c:f>'Biological Terrorism'!$J$843</c:f>
              <c:numCache>
                <c:formatCode>General</c:formatCode>
                <c:ptCount val="1"/>
                <c:pt idx="0">
                  <c:v>0</c:v>
                </c:pt>
              </c:numCache>
            </c:numRef>
          </c:yVal>
          <c:smooth val="0"/>
          <c:extLst>
            <c:ext xmlns:c16="http://schemas.microsoft.com/office/drawing/2014/chart" uri="{C3380CC4-5D6E-409C-BE32-E72D297353CC}">
              <c16:uniqueId val="{00000012-D618-4C5A-9B7F-D74DC5E9CA71}"/>
            </c:ext>
          </c:extLst>
        </c:ser>
        <c:ser>
          <c:idx val="13"/>
          <c:order val="13"/>
          <c:tx>
            <c:strRef>
              <c:f>'Biological Terrorism'!$C$845</c:f>
              <c:strCache>
                <c:ptCount val="1"/>
                <c:pt idx="0">
                  <c:v>Emerg Public Info</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D618-4C5A-9B7F-D74DC5E9CA71}"/>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Terrorism'!$J$846</c:f>
              <c:numCache>
                <c:formatCode>General</c:formatCode>
                <c:ptCount val="1"/>
                <c:pt idx="0">
                  <c:v>4</c:v>
                </c:pt>
              </c:numCache>
            </c:numRef>
          </c:xVal>
          <c:yVal>
            <c:numRef>
              <c:f>'Biological Terrorism'!$J$847</c:f>
              <c:numCache>
                <c:formatCode>General</c:formatCode>
                <c:ptCount val="1"/>
                <c:pt idx="0">
                  <c:v>0</c:v>
                </c:pt>
              </c:numCache>
            </c:numRef>
          </c:yVal>
          <c:smooth val="0"/>
          <c:extLst>
            <c:ext xmlns:c16="http://schemas.microsoft.com/office/drawing/2014/chart" uri="{C3380CC4-5D6E-409C-BE32-E72D297353CC}">
              <c16:uniqueId val="{00000014-D618-4C5A-9B7F-D74DC5E9CA71}"/>
            </c:ext>
          </c:extLst>
        </c:ser>
        <c:ser>
          <c:idx val="14"/>
          <c:order val="14"/>
          <c:tx>
            <c:strRef>
              <c:f>'Biological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Terrorism'!$J$965</c:f>
            </c:numRef>
          </c:xVal>
          <c:yVal>
            <c:numRef>
              <c:f>'Biological Terrorism'!$J$966</c:f>
            </c:numRef>
          </c:yVal>
          <c:smooth val="0"/>
          <c:extLst>
            <c:ext xmlns:c16="http://schemas.microsoft.com/office/drawing/2014/chart" uri="{C3380CC4-5D6E-409C-BE32-E72D297353CC}">
              <c16:uniqueId val="{00000015-D618-4C5A-9B7F-D74DC5E9CA71}"/>
            </c:ext>
          </c:extLst>
        </c:ser>
        <c:dLbls>
          <c:showLegendKey val="0"/>
          <c:showVal val="1"/>
          <c:showCatName val="0"/>
          <c:showSerName val="0"/>
          <c:showPercent val="0"/>
          <c:showBubbleSize val="0"/>
        </c:dLbls>
        <c:axId val="120176640"/>
        <c:axId val="120178560"/>
      </c:scatterChart>
      <c:valAx>
        <c:axId val="12017664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20178560"/>
        <c:crosses val="autoZero"/>
        <c:crossBetween val="midCat"/>
        <c:majorUnit val="1"/>
        <c:minorUnit val="0.1"/>
      </c:valAx>
      <c:valAx>
        <c:axId val="12017856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2017664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'Biological Terrorism'!$C$903</c:f>
              <c:strCache>
                <c:ptCount val="1"/>
                <c:pt idx="0">
                  <c:v>HC System Prep</c:v>
                </c:pt>
              </c:strCache>
            </c:strRef>
          </c:tx>
          <c:spPr>
            <a:ln w="66675">
              <a:noFill/>
            </a:ln>
          </c:spPr>
          <c:dLbls>
            <c:dLbl>
              <c:idx val="0"/>
              <c:layout>
                <c:manualLayout>
                  <c:x val="0"/>
                  <c:y val="-7.2859744990892532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58D-455C-B0F3-3A852A6571E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Terrorism'!$J$904</c:f>
              <c:numCache>
                <c:formatCode>General</c:formatCode>
                <c:ptCount val="1"/>
                <c:pt idx="0">
                  <c:v>4</c:v>
                </c:pt>
              </c:numCache>
            </c:numRef>
          </c:xVal>
          <c:yVal>
            <c:numRef>
              <c:f>'Biological Terrorism'!$J$905</c:f>
              <c:numCache>
                <c:formatCode>General</c:formatCode>
                <c:ptCount val="1"/>
                <c:pt idx="0">
                  <c:v>0</c:v>
                </c:pt>
              </c:numCache>
            </c:numRef>
          </c:yVal>
          <c:smooth val="0"/>
          <c:extLst>
            <c:ext xmlns:c16="http://schemas.microsoft.com/office/drawing/2014/chart" uri="{C3380CC4-5D6E-409C-BE32-E72D297353CC}">
              <c16:uniqueId val="{00000001-F58D-455C-B0F3-3A852A6571EC}"/>
            </c:ext>
          </c:extLst>
        </c:ser>
        <c:ser>
          <c:idx val="1"/>
          <c:order val="1"/>
          <c:tx>
            <c:strRef>
              <c:f>'Biological Terrorism'!$C$907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Terrorism'!$J$908</c:f>
              <c:numCache>
                <c:formatCode>General</c:formatCode>
                <c:ptCount val="1"/>
                <c:pt idx="0">
                  <c:v>4</c:v>
                </c:pt>
              </c:numCache>
            </c:numRef>
          </c:xVal>
          <c:yVal>
            <c:numRef>
              <c:f>'Biological Terrorism'!$J$909</c:f>
              <c:numCache>
                <c:formatCode>General</c:formatCode>
                <c:ptCount val="1"/>
                <c:pt idx="0">
                  <c:v>0</c:v>
                </c:pt>
              </c:numCache>
            </c:numRef>
          </c:yVal>
          <c:smooth val="0"/>
          <c:extLst>
            <c:ext xmlns:c16="http://schemas.microsoft.com/office/drawing/2014/chart" uri="{C3380CC4-5D6E-409C-BE32-E72D297353CC}">
              <c16:uniqueId val="{00000002-F58D-455C-B0F3-3A852A6571EC}"/>
            </c:ext>
          </c:extLst>
        </c:ser>
        <c:ser>
          <c:idx val="2"/>
          <c:order val="2"/>
          <c:tx>
            <c:strRef>
              <c:f>'Biological Terrorism'!$C$911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Terrorism'!$J$912</c:f>
              <c:numCache>
                <c:formatCode>General</c:formatCode>
                <c:ptCount val="1"/>
                <c:pt idx="0">
                  <c:v>4</c:v>
                </c:pt>
              </c:numCache>
            </c:numRef>
          </c:xVal>
          <c:yVal>
            <c:numRef>
              <c:f>'Biological Terrorism'!$J$913</c:f>
              <c:numCache>
                <c:formatCode>General</c:formatCode>
                <c:ptCount val="1"/>
                <c:pt idx="0">
                  <c:v>0</c:v>
                </c:pt>
              </c:numCache>
            </c:numRef>
          </c:yVal>
          <c:smooth val="0"/>
          <c:extLst>
            <c:ext xmlns:c16="http://schemas.microsoft.com/office/drawing/2014/chart" uri="{C3380CC4-5D6E-409C-BE32-E72D297353CC}">
              <c16:uniqueId val="{00000003-F58D-455C-B0F3-3A852A6571EC}"/>
            </c:ext>
          </c:extLst>
        </c:ser>
        <c:ser>
          <c:idx val="3"/>
          <c:order val="3"/>
          <c:tx>
            <c:strRef>
              <c:f>'Biological Terrorism'!$C$915</c:f>
              <c:strCache>
                <c:ptCount val="1"/>
                <c:pt idx="0">
                  <c:v>Fatality Mgmt</c:v>
                </c:pt>
              </c:strCache>
            </c:strRef>
          </c:tx>
          <c:spPr>
            <a:ln w="66675">
              <a:noFill/>
            </a:ln>
          </c:spPr>
          <c:dLbls>
            <c:dLbl>
              <c:idx val="0"/>
              <c:layout>
                <c:manualLayout>
                  <c:x val="-0.14216219891634713"/>
                  <c:y val="-1.214329083181542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58D-455C-B0F3-3A852A6571EC}"/>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Terrorism'!$J$916</c:f>
              <c:numCache>
                <c:formatCode>General</c:formatCode>
                <c:ptCount val="1"/>
                <c:pt idx="0">
                  <c:v>4</c:v>
                </c:pt>
              </c:numCache>
            </c:numRef>
          </c:xVal>
          <c:yVal>
            <c:numRef>
              <c:f>'Biological Terrorism'!$J$917</c:f>
              <c:numCache>
                <c:formatCode>General</c:formatCode>
                <c:ptCount val="1"/>
                <c:pt idx="0">
                  <c:v>0</c:v>
                </c:pt>
              </c:numCache>
            </c:numRef>
          </c:yVal>
          <c:smooth val="0"/>
          <c:extLst>
            <c:ext xmlns:c16="http://schemas.microsoft.com/office/drawing/2014/chart" uri="{C3380CC4-5D6E-409C-BE32-E72D297353CC}">
              <c16:uniqueId val="{00000005-F58D-455C-B0F3-3A852A6571EC}"/>
            </c:ext>
          </c:extLst>
        </c:ser>
        <c:ser>
          <c:idx val="4"/>
          <c:order val="4"/>
          <c:tx>
            <c:strRef>
              <c:f>'Biological Terrorism'!$C$919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Terrorism'!$J$920</c:f>
              <c:numCache>
                <c:formatCode>General</c:formatCode>
                <c:ptCount val="1"/>
                <c:pt idx="0">
                  <c:v>4</c:v>
                </c:pt>
              </c:numCache>
            </c:numRef>
          </c:xVal>
          <c:yVal>
            <c:numRef>
              <c:f>'Biological Terrorism'!$J$921</c:f>
              <c:numCache>
                <c:formatCode>General</c:formatCode>
                <c:ptCount val="1"/>
                <c:pt idx="0">
                  <c:v>0</c:v>
                </c:pt>
              </c:numCache>
            </c:numRef>
          </c:yVal>
          <c:smooth val="0"/>
          <c:extLst>
            <c:ext xmlns:c16="http://schemas.microsoft.com/office/drawing/2014/chart" uri="{C3380CC4-5D6E-409C-BE32-E72D297353CC}">
              <c16:uniqueId val="{00000006-F58D-455C-B0F3-3A852A6571EC}"/>
            </c:ext>
          </c:extLst>
        </c:ser>
        <c:ser>
          <c:idx val="5"/>
          <c:order val="5"/>
          <c:tx>
            <c:strRef>
              <c:f>'Biological Terrorism'!$C$923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Terrorism'!$J$924</c:f>
              <c:numCache>
                <c:formatCode>General</c:formatCode>
                <c:ptCount val="1"/>
                <c:pt idx="0">
                  <c:v>4</c:v>
                </c:pt>
              </c:numCache>
            </c:numRef>
          </c:xVal>
          <c:yVal>
            <c:numRef>
              <c:f>'Biological Terrorism'!$J$925</c:f>
              <c:numCache>
                <c:formatCode>General</c:formatCode>
                <c:ptCount val="1"/>
                <c:pt idx="0">
                  <c:v>0</c:v>
                </c:pt>
              </c:numCache>
            </c:numRef>
          </c:yVal>
          <c:smooth val="0"/>
          <c:extLst>
            <c:ext xmlns:c16="http://schemas.microsoft.com/office/drawing/2014/chart" uri="{C3380CC4-5D6E-409C-BE32-E72D297353CC}">
              <c16:uniqueId val="{00000007-F58D-455C-B0F3-3A852A6571EC}"/>
            </c:ext>
          </c:extLst>
        </c:ser>
        <c:ser>
          <c:idx val="6"/>
          <c:order val="6"/>
          <c:tx>
            <c:strRef>
              <c:f>'Biological Terrorism'!$C$927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Terrorism'!$J$928</c:f>
              <c:numCache>
                <c:formatCode>General</c:formatCode>
                <c:ptCount val="1"/>
                <c:pt idx="0">
                  <c:v>4</c:v>
                </c:pt>
              </c:numCache>
            </c:numRef>
          </c:xVal>
          <c:yVal>
            <c:numRef>
              <c:f>'Biological Terrorism'!$J$929</c:f>
              <c:numCache>
                <c:formatCode>General</c:formatCode>
                <c:ptCount val="1"/>
                <c:pt idx="0">
                  <c:v>0</c:v>
                </c:pt>
              </c:numCache>
            </c:numRef>
          </c:yVal>
          <c:smooth val="0"/>
          <c:extLst>
            <c:ext xmlns:c16="http://schemas.microsoft.com/office/drawing/2014/chart" uri="{C3380CC4-5D6E-409C-BE32-E72D297353CC}">
              <c16:uniqueId val="{00000008-F58D-455C-B0F3-3A852A6571EC}"/>
            </c:ext>
          </c:extLst>
        </c:ser>
        <c:ser>
          <c:idx val="7"/>
          <c:order val="7"/>
          <c:tx>
            <c:strRef>
              <c:f>'Biological Terrorism'!$C$931</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Terrorism'!$J$932</c:f>
              <c:numCache>
                <c:formatCode>General</c:formatCode>
                <c:ptCount val="1"/>
                <c:pt idx="0">
                  <c:v>4</c:v>
                </c:pt>
              </c:numCache>
            </c:numRef>
          </c:xVal>
          <c:yVal>
            <c:numRef>
              <c:f>'Biological Terrorism'!$J$933</c:f>
              <c:numCache>
                <c:formatCode>General</c:formatCode>
                <c:ptCount val="1"/>
                <c:pt idx="0">
                  <c:v>0</c:v>
                </c:pt>
              </c:numCache>
            </c:numRef>
          </c:yVal>
          <c:smooth val="0"/>
          <c:extLst>
            <c:ext xmlns:c16="http://schemas.microsoft.com/office/drawing/2014/chart" uri="{C3380CC4-5D6E-409C-BE32-E72D297353CC}">
              <c16:uniqueId val="{00000009-F58D-455C-B0F3-3A852A6571EC}"/>
            </c:ext>
          </c:extLst>
        </c:ser>
        <c:ser>
          <c:idx val="14"/>
          <c:order val="8"/>
          <c:tx>
            <c:strRef>
              <c:f>'Biological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Terrorism'!$J$965</c:f>
            </c:numRef>
          </c:xVal>
          <c:yVal>
            <c:numRef>
              <c:f>'Biological Terrorism'!$J$966</c:f>
            </c:numRef>
          </c:yVal>
          <c:smooth val="0"/>
          <c:extLst>
            <c:ext xmlns:c16="http://schemas.microsoft.com/office/drawing/2014/chart" uri="{C3380CC4-5D6E-409C-BE32-E72D297353CC}">
              <c16:uniqueId val="{0000000A-F58D-455C-B0F3-3A852A6571EC}"/>
            </c:ext>
          </c:extLst>
        </c:ser>
        <c:dLbls>
          <c:showLegendKey val="0"/>
          <c:showVal val="1"/>
          <c:showCatName val="0"/>
          <c:showSerName val="0"/>
          <c:showPercent val="0"/>
          <c:showBubbleSize val="0"/>
        </c:dLbls>
        <c:axId val="143142912"/>
        <c:axId val="143144832"/>
      </c:scatterChart>
      <c:valAx>
        <c:axId val="14314291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3144832"/>
        <c:crosses val="autoZero"/>
        <c:crossBetween val="midCat"/>
        <c:majorUnit val="1"/>
        <c:minorUnit val="0.1"/>
      </c:valAx>
      <c:valAx>
        <c:axId val="14314483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314291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'Chemical Terrorism'!$C$793</c:f>
              <c:strCache>
                <c:ptCount val="1"/>
                <c:pt idx="0">
                  <c:v>Poverty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Terrorism'!$J$795</c:f>
              <c:numCache>
                <c:formatCode>General</c:formatCode>
                <c:ptCount val="1"/>
                <c:pt idx="0">
                  <c:v>3</c:v>
                </c:pt>
              </c:numCache>
            </c:numRef>
          </c:xVal>
          <c:yVal>
            <c:numRef>
              <c:f>'Chemical Terrorism'!$J$794</c:f>
              <c:numCache>
                <c:formatCode>General</c:formatCode>
                <c:ptCount val="1"/>
                <c:pt idx="0">
                  <c:v>0</c:v>
                </c:pt>
              </c:numCache>
            </c:numRef>
          </c:yVal>
          <c:smooth val="0"/>
          <c:extLst>
            <c:ext xmlns:c16="http://schemas.microsoft.com/office/drawing/2014/chart" uri="{C3380CC4-5D6E-409C-BE32-E72D297353CC}">
              <c16:uniqueId val="{00000000-45E3-49CE-B575-FB2D1828F600}"/>
            </c:ext>
          </c:extLst>
        </c:ser>
        <c:ser>
          <c:idx val="1"/>
          <c:order val="1"/>
          <c:tx>
            <c:strRef>
              <c:f>'Chemical Terrorism'!$C$797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Terrorism'!$J$799</c:f>
              <c:numCache>
                <c:formatCode>General</c:formatCode>
                <c:ptCount val="1"/>
                <c:pt idx="0">
                  <c:v>3</c:v>
                </c:pt>
              </c:numCache>
            </c:numRef>
          </c:xVal>
          <c:yVal>
            <c:numRef>
              <c:f>'Chemical Terrorism'!$J$798</c:f>
              <c:numCache>
                <c:formatCode>General</c:formatCode>
                <c:ptCount val="1"/>
                <c:pt idx="0">
                  <c:v>0</c:v>
                </c:pt>
              </c:numCache>
            </c:numRef>
          </c:yVal>
          <c:smooth val="0"/>
          <c:extLst>
            <c:ext xmlns:c16="http://schemas.microsoft.com/office/drawing/2014/chart" uri="{C3380CC4-5D6E-409C-BE32-E72D297353CC}">
              <c16:uniqueId val="{00000001-45E3-49CE-B575-FB2D1828F600}"/>
            </c:ext>
          </c:extLst>
        </c:ser>
        <c:ser>
          <c:idx val="2"/>
          <c:order val="2"/>
          <c:tx>
            <c:strRef>
              <c:f>'Chemical Terrorism'!$C$801</c:f>
              <c:strCache>
                <c:ptCount val="1"/>
                <c:pt idx="0">
                  <c:v>Children 18 and under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Terrorism'!$J$803</c:f>
              <c:numCache>
                <c:formatCode>General</c:formatCode>
                <c:ptCount val="1"/>
                <c:pt idx="0">
                  <c:v>4</c:v>
                </c:pt>
              </c:numCache>
            </c:numRef>
          </c:xVal>
          <c:yVal>
            <c:numRef>
              <c:f>'Chemical Terrorism'!$J$802</c:f>
              <c:numCache>
                <c:formatCode>General</c:formatCode>
                <c:ptCount val="1"/>
                <c:pt idx="0">
                  <c:v>0</c:v>
                </c:pt>
              </c:numCache>
            </c:numRef>
          </c:yVal>
          <c:smooth val="0"/>
          <c:extLst>
            <c:ext xmlns:c16="http://schemas.microsoft.com/office/drawing/2014/chart" uri="{C3380CC4-5D6E-409C-BE32-E72D297353CC}">
              <c16:uniqueId val="{00000002-45E3-49CE-B575-FB2D1828F600}"/>
            </c:ext>
          </c:extLst>
        </c:ser>
        <c:ser>
          <c:idx val="3"/>
          <c:order val="3"/>
          <c:tx>
            <c:strRef>
              <c:f>'Chemical Terrorism'!$C$805</c:f>
              <c:strCache>
                <c:ptCount val="1"/>
                <c:pt idx="0">
                  <c:v>Elderly 65 and older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Terrorism'!$J$806</c:f>
              <c:numCache>
                <c:formatCode>General</c:formatCode>
                <c:ptCount val="1"/>
                <c:pt idx="0">
                  <c:v>0</c:v>
                </c:pt>
              </c:numCache>
            </c:numRef>
          </c:xVal>
          <c:yVal>
            <c:numRef>
              <c:f>'Chemical Terrorism'!$J$806</c:f>
              <c:numCache>
                <c:formatCode>General</c:formatCode>
                <c:ptCount val="1"/>
                <c:pt idx="0">
                  <c:v>0</c:v>
                </c:pt>
              </c:numCache>
            </c:numRef>
          </c:yVal>
          <c:smooth val="0"/>
          <c:extLst>
            <c:ext xmlns:c16="http://schemas.microsoft.com/office/drawing/2014/chart" uri="{C3380CC4-5D6E-409C-BE32-E72D297353CC}">
              <c16:uniqueId val="{00000003-45E3-49CE-B575-FB2D1828F600}"/>
            </c:ext>
          </c:extLst>
        </c:ser>
        <c:ser>
          <c:idx val="4"/>
          <c:order val="4"/>
          <c:tx>
            <c:strRef>
              <c:f>'Chemical Terrorism'!$C$773</c:f>
              <c:strCache>
                <c:ptCount val="1"/>
                <c:pt idx="0">
                  <c:v>Hearing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Terrorism'!$J$775</c:f>
              <c:numCache>
                <c:formatCode>General</c:formatCode>
                <c:ptCount val="1"/>
                <c:pt idx="0">
                  <c:v>3</c:v>
                </c:pt>
              </c:numCache>
            </c:numRef>
          </c:xVal>
          <c:yVal>
            <c:numRef>
              <c:f>'Chemical Terrorism'!$J$774</c:f>
              <c:numCache>
                <c:formatCode>General</c:formatCode>
                <c:ptCount val="1"/>
                <c:pt idx="0">
                  <c:v>0</c:v>
                </c:pt>
              </c:numCache>
            </c:numRef>
          </c:yVal>
          <c:smooth val="0"/>
          <c:extLst>
            <c:ext xmlns:c16="http://schemas.microsoft.com/office/drawing/2014/chart" uri="{C3380CC4-5D6E-409C-BE32-E72D297353CC}">
              <c16:uniqueId val="{00000004-45E3-49CE-B575-FB2D1828F600}"/>
            </c:ext>
          </c:extLst>
        </c:ser>
        <c:ser>
          <c:idx val="5"/>
          <c:order val="5"/>
          <c:tx>
            <c:strRef>
              <c:f>'Chemical Terrorism'!$C$777</c:f>
              <c:strCache>
                <c:ptCount val="1"/>
                <c:pt idx="0">
                  <c:v>Vision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Terrorism'!$J$779</c:f>
              <c:numCache>
                <c:formatCode>General</c:formatCode>
                <c:ptCount val="1"/>
                <c:pt idx="0">
                  <c:v>4</c:v>
                </c:pt>
              </c:numCache>
            </c:numRef>
          </c:xVal>
          <c:yVal>
            <c:numRef>
              <c:f>'Chemical Terrorism'!$J$778</c:f>
              <c:numCache>
                <c:formatCode>General</c:formatCode>
                <c:ptCount val="1"/>
                <c:pt idx="0">
                  <c:v>0</c:v>
                </c:pt>
              </c:numCache>
            </c:numRef>
          </c:yVal>
          <c:smooth val="0"/>
          <c:extLst>
            <c:ext xmlns:c16="http://schemas.microsoft.com/office/drawing/2014/chart" uri="{C3380CC4-5D6E-409C-BE32-E72D297353CC}">
              <c16:uniqueId val="{00000005-45E3-49CE-B575-FB2D1828F600}"/>
            </c:ext>
          </c:extLst>
        </c:ser>
        <c:ser>
          <c:idx val="6"/>
          <c:order val="6"/>
          <c:tx>
            <c:strRef>
              <c:f>'Chemical Terrorism'!$C$781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Terrorism'!$J$783</c:f>
              <c:numCache>
                <c:formatCode>General</c:formatCode>
                <c:ptCount val="1"/>
                <c:pt idx="0">
                  <c:v>3</c:v>
                </c:pt>
              </c:numCache>
            </c:numRef>
          </c:xVal>
          <c:yVal>
            <c:numRef>
              <c:f>'Chemical Terrorism'!$J$782</c:f>
              <c:numCache>
                <c:formatCode>General</c:formatCode>
                <c:ptCount val="1"/>
                <c:pt idx="0">
                  <c:v>0</c:v>
                </c:pt>
              </c:numCache>
            </c:numRef>
          </c:yVal>
          <c:smooth val="0"/>
          <c:extLst>
            <c:ext xmlns:c16="http://schemas.microsoft.com/office/drawing/2014/chart" uri="{C3380CC4-5D6E-409C-BE32-E72D297353CC}">
              <c16:uniqueId val="{00000006-45E3-49CE-B575-FB2D1828F600}"/>
            </c:ext>
          </c:extLst>
        </c:ser>
        <c:ser>
          <c:idx val="7"/>
          <c:order val="7"/>
          <c:tx>
            <c:strRef>
              <c:f>'Chemical Terrorism'!$C$785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5E3-49CE-B575-FB2D1828F600}"/>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'Chemical Terrorism'!$J$787</c:f>
              <c:numCache>
                <c:formatCode>General</c:formatCode>
                <c:ptCount val="1"/>
                <c:pt idx="0">
                  <c:v>4</c:v>
                </c:pt>
              </c:numCache>
            </c:numRef>
          </c:xVal>
          <c:yVal>
            <c:numRef>
              <c:f>'Chemical Terrorism'!$J$786</c:f>
              <c:numCache>
                <c:formatCode>General</c:formatCode>
                <c:ptCount val="1"/>
                <c:pt idx="0">
                  <c:v>0</c:v>
                </c:pt>
              </c:numCache>
            </c:numRef>
          </c:yVal>
          <c:smooth val="0"/>
          <c:extLst>
            <c:ext xmlns:c16="http://schemas.microsoft.com/office/drawing/2014/chart" uri="{C3380CC4-5D6E-409C-BE32-E72D297353CC}">
              <c16:uniqueId val="{00000008-45E3-49CE-B575-FB2D1828F600}"/>
            </c:ext>
          </c:extLst>
        </c:ser>
        <c:ser>
          <c:idx val="8"/>
          <c:order val="8"/>
          <c:tx>
            <c:strRef>
              <c:f>'Chemical Terrorism'!$C$789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Terrorism'!$J$791</c:f>
              <c:numCache>
                <c:formatCode>General</c:formatCode>
                <c:ptCount val="1"/>
                <c:pt idx="0">
                  <c:v>3</c:v>
                </c:pt>
              </c:numCache>
            </c:numRef>
          </c:xVal>
          <c:yVal>
            <c:numRef>
              <c:f>'Chemical Terrorism'!$J$790</c:f>
              <c:numCache>
                <c:formatCode>General</c:formatCode>
                <c:ptCount val="1"/>
                <c:pt idx="0">
                  <c:v>0</c:v>
                </c:pt>
              </c:numCache>
            </c:numRef>
          </c:yVal>
          <c:smooth val="0"/>
          <c:extLst>
            <c:ext xmlns:c16="http://schemas.microsoft.com/office/drawing/2014/chart" uri="{C3380CC4-5D6E-409C-BE32-E72D297353CC}">
              <c16:uniqueId val="{00000009-45E3-49CE-B575-FB2D1828F600}"/>
            </c:ext>
          </c:extLst>
        </c:ser>
        <c:dLbls>
          <c:showLegendKey val="0"/>
          <c:showVal val="1"/>
          <c:showCatName val="0"/>
          <c:showSerName val="0"/>
          <c:showPercent val="0"/>
          <c:showBubbleSize val="0"/>
        </c:dLbls>
        <c:axId val="142882304"/>
        <c:axId val="142884224"/>
      </c:scatterChart>
      <c:valAx>
        <c:axId val="14288230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2884224"/>
        <c:crosses val="autoZero"/>
        <c:crossBetween val="midCat"/>
        <c:majorUnit val="1"/>
        <c:minorUnit val="0.1"/>
      </c:valAx>
      <c:valAx>
        <c:axId val="14288422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288230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('Chemical Terrorism'!$J$133,'Chemical Terrorism'!$J$261,'Chemical Terrorism'!$J$421,'Chemical Terrorism'!$J$539,'Chemical Terrorism'!$J$681)</c:f>
              <c:numCache>
                <c:formatCode>0.00</c:formatCode>
                <c:ptCount val="5"/>
                <c:pt idx="0">
                  <c:v>2</c:v>
                </c:pt>
                <c:pt idx="1">
                  <c:v>0</c:v>
                </c:pt>
                <c:pt idx="2">
                  <c:v>1.5</c:v>
                </c:pt>
                <c:pt idx="3">
                  <c:v>0.7857142857142857</c:v>
                </c:pt>
                <c:pt idx="4">
                  <c:v>0</c:v>
                </c:pt>
              </c:numCache>
            </c:numRef>
          </c:val>
          <c:extLst>
            <c:ext xmlns:c16="http://schemas.microsoft.com/office/drawing/2014/chart" uri="{C3380CC4-5D6E-409C-BE32-E72D297353CC}">
              <c16:uniqueId val="{00000000-40EF-499A-A39E-DE410C79B6B8}"/>
            </c:ext>
          </c:extLst>
        </c:ser>
        <c:dLbls>
          <c:showLegendKey val="0"/>
          <c:showVal val="1"/>
          <c:showCatName val="0"/>
          <c:showSerName val="0"/>
          <c:showPercent val="0"/>
          <c:showBubbleSize val="0"/>
        </c:dLbls>
        <c:gapWidth val="150"/>
        <c:axId val="142908032"/>
        <c:axId val="142927744"/>
      </c:barChart>
      <c:catAx>
        <c:axId val="14290803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2927744"/>
        <c:crosses val="autoZero"/>
        <c:auto val="1"/>
        <c:lblAlgn val="ctr"/>
        <c:lblOffset val="100"/>
        <c:noMultiLvlLbl val="0"/>
      </c:catAx>
      <c:valAx>
        <c:axId val="142927744"/>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290803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'Chemical Terrorism'!$C$853</c:f>
              <c:strCache>
                <c:ptCount val="1"/>
                <c:pt idx="0">
                  <c:v>Info Sharing</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Terrorism'!$J$854</c:f>
              <c:numCache>
                <c:formatCode>General</c:formatCode>
                <c:ptCount val="1"/>
                <c:pt idx="0">
                  <c:v>4</c:v>
                </c:pt>
              </c:numCache>
            </c:numRef>
          </c:xVal>
          <c:yVal>
            <c:numRef>
              <c:f>'Chemical Terrorism'!$J$855</c:f>
              <c:numCache>
                <c:formatCode>General</c:formatCode>
                <c:ptCount val="1"/>
                <c:pt idx="0">
                  <c:v>0</c:v>
                </c:pt>
              </c:numCache>
            </c:numRef>
          </c:yVal>
          <c:smooth val="0"/>
          <c:extLst>
            <c:ext xmlns:c16="http://schemas.microsoft.com/office/drawing/2014/chart" uri="{C3380CC4-5D6E-409C-BE32-E72D297353CC}">
              <c16:uniqueId val="{00000000-687E-4E58-8285-BFB8EA4C7734}"/>
            </c:ext>
          </c:extLst>
        </c:ser>
        <c:ser>
          <c:idx val="1"/>
          <c:order val="1"/>
          <c:tx>
            <c:strRef>
              <c:f>'Chemical Terrorism'!$C$857</c:f>
              <c:strCache>
                <c:ptCount val="1"/>
                <c:pt idx="0">
                  <c:v>Mass Care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Terrorism'!$J$858</c:f>
              <c:numCache>
                <c:formatCode>General</c:formatCode>
                <c:ptCount val="1"/>
                <c:pt idx="0">
                  <c:v>3</c:v>
                </c:pt>
              </c:numCache>
            </c:numRef>
          </c:xVal>
          <c:yVal>
            <c:numRef>
              <c:f>'Chemical Terrorism'!$J$859</c:f>
              <c:numCache>
                <c:formatCode>General</c:formatCode>
                <c:ptCount val="1"/>
                <c:pt idx="0">
                  <c:v>0</c:v>
                </c:pt>
              </c:numCache>
            </c:numRef>
          </c:yVal>
          <c:smooth val="0"/>
          <c:extLst>
            <c:ext xmlns:c16="http://schemas.microsoft.com/office/drawing/2014/chart" uri="{C3380CC4-5D6E-409C-BE32-E72D297353CC}">
              <c16:uniqueId val="{00000001-687E-4E58-8285-BFB8EA4C7734}"/>
            </c:ext>
          </c:extLst>
        </c:ser>
        <c:ser>
          <c:idx val="2"/>
          <c:order val="2"/>
          <c:tx>
            <c:strRef>
              <c:f>'Chemical Terrorism'!$C$861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Terrorism'!$J$862</c:f>
              <c:numCache>
                <c:formatCode>General</c:formatCode>
                <c:ptCount val="1"/>
                <c:pt idx="0">
                  <c:v>4</c:v>
                </c:pt>
              </c:numCache>
            </c:numRef>
          </c:xVal>
          <c:yVal>
            <c:numRef>
              <c:f>'Chemical Terrorism'!$J$863</c:f>
              <c:numCache>
                <c:formatCode>General</c:formatCode>
                <c:ptCount val="1"/>
                <c:pt idx="0">
                  <c:v>0</c:v>
                </c:pt>
              </c:numCache>
            </c:numRef>
          </c:yVal>
          <c:smooth val="0"/>
          <c:extLst>
            <c:ext xmlns:c16="http://schemas.microsoft.com/office/drawing/2014/chart" uri="{C3380CC4-5D6E-409C-BE32-E72D297353CC}">
              <c16:uniqueId val="{00000002-687E-4E58-8285-BFB8EA4C7734}"/>
            </c:ext>
          </c:extLst>
        </c:ser>
        <c:ser>
          <c:idx val="3"/>
          <c:order val="3"/>
          <c:tx>
            <c:strRef>
              <c:f>'Chemical Terrorism'!$C$865</c:f>
              <c:strCache>
                <c:ptCount val="1"/>
                <c:pt idx="0">
                  <c:v>Med Materiel Mgmt</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687E-4E58-8285-BFB8EA4C7734}"/>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Terrorism'!$J$866</c:f>
              <c:numCache>
                <c:formatCode>General</c:formatCode>
                <c:ptCount val="1"/>
                <c:pt idx="0">
                  <c:v>4</c:v>
                </c:pt>
              </c:numCache>
            </c:numRef>
          </c:xVal>
          <c:yVal>
            <c:numRef>
              <c:f>'Chemical Terrorism'!$J$867</c:f>
              <c:numCache>
                <c:formatCode>General</c:formatCode>
                <c:ptCount val="1"/>
                <c:pt idx="0">
                  <c:v>0</c:v>
                </c:pt>
              </c:numCache>
            </c:numRef>
          </c:yVal>
          <c:smooth val="0"/>
          <c:extLst>
            <c:ext xmlns:c16="http://schemas.microsoft.com/office/drawing/2014/chart" uri="{C3380CC4-5D6E-409C-BE32-E72D297353CC}">
              <c16:uniqueId val="{00000004-687E-4E58-8285-BFB8EA4C7734}"/>
            </c:ext>
          </c:extLst>
        </c:ser>
        <c:ser>
          <c:idx val="4"/>
          <c:order val="4"/>
          <c:tx>
            <c:strRef>
              <c:f>'Chemical Terrorism'!$C$869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Terrorism'!$J$870</c:f>
              <c:numCache>
                <c:formatCode>General</c:formatCode>
                <c:ptCount val="1"/>
                <c:pt idx="0">
                  <c:v>4</c:v>
                </c:pt>
              </c:numCache>
            </c:numRef>
          </c:xVal>
          <c:yVal>
            <c:numRef>
              <c:f>'Chemical Terrorism'!$J$871</c:f>
              <c:numCache>
                <c:formatCode>General</c:formatCode>
                <c:ptCount val="1"/>
                <c:pt idx="0">
                  <c:v>0</c:v>
                </c:pt>
              </c:numCache>
            </c:numRef>
          </c:yVal>
          <c:smooth val="0"/>
          <c:extLst>
            <c:ext xmlns:c16="http://schemas.microsoft.com/office/drawing/2014/chart" uri="{C3380CC4-5D6E-409C-BE32-E72D297353CC}">
              <c16:uniqueId val="{00000005-687E-4E58-8285-BFB8EA4C7734}"/>
            </c:ext>
          </c:extLst>
        </c:ser>
        <c:ser>
          <c:idx val="5"/>
          <c:order val="5"/>
          <c:tx>
            <c:strRef>
              <c:f>'Chemical Terrorism'!$C$873</c:f>
              <c:strCache>
                <c:ptCount val="1"/>
                <c:pt idx="0">
                  <c:v>Non-Pharm Interv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Terrorism'!$J$874</c:f>
              <c:numCache>
                <c:formatCode>General</c:formatCode>
                <c:ptCount val="1"/>
                <c:pt idx="0">
                  <c:v>3</c:v>
                </c:pt>
              </c:numCache>
            </c:numRef>
          </c:xVal>
          <c:yVal>
            <c:numRef>
              <c:f>'Chemical Terrorism'!$J$875</c:f>
              <c:numCache>
                <c:formatCode>General</c:formatCode>
                <c:ptCount val="1"/>
                <c:pt idx="0">
                  <c:v>0</c:v>
                </c:pt>
              </c:numCache>
            </c:numRef>
          </c:yVal>
          <c:smooth val="0"/>
          <c:extLst>
            <c:ext xmlns:c16="http://schemas.microsoft.com/office/drawing/2014/chart" uri="{C3380CC4-5D6E-409C-BE32-E72D297353CC}">
              <c16:uniqueId val="{00000006-687E-4E58-8285-BFB8EA4C7734}"/>
            </c:ext>
          </c:extLst>
        </c:ser>
        <c:ser>
          <c:idx val="6"/>
          <c:order val="6"/>
          <c:tx>
            <c:strRef>
              <c:f>'Chemical Terrorism'!$C$877</c:f>
              <c:strCache>
                <c:ptCount val="1"/>
                <c:pt idx="0">
                  <c:v>PH Lab Testing</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Terrorism'!$J$878</c:f>
              <c:numCache>
                <c:formatCode>General</c:formatCode>
                <c:ptCount val="1"/>
                <c:pt idx="0">
                  <c:v>4</c:v>
                </c:pt>
              </c:numCache>
            </c:numRef>
          </c:xVal>
          <c:yVal>
            <c:numRef>
              <c:f>'Chemical Terrorism'!$J$879</c:f>
              <c:numCache>
                <c:formatCode>General</c:formatCode>
                <c:ptCount val="1"/>
                <c:pt idx="0">
                  <c:v>0</c:v>
                </c:pt>
              </c:numCache>
            </c:numRef>
          </c:yVal>
          <c:smooth val="0"/>
          <c:extLst>
            <c:ext xmlns:c16="http://schemas.microsoft.com/office/drawing/2014/chart" uri="{C3380CC4-5D6E-409C-BE32-E72D297353CC}">
              <c16:uniqueId val="{00000007-687E-4E58-8285-BFB8EA4C7734}"/>
            </c:ext>
          </c:extLst>
        </c:ser>
        <c:ser>
          <c:idx val="7"/>
          <c:order val="7"/>
          <c:tx>
            <c:strRef>
              <c:f>'Chemical Terrorism'!$C$881</c:f>
              <c:strCache>
                <c:ptCount val="1"/>
                <c:pt idx="0">
                  <c:v>PH Surv &amp; Epi</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Terrorism'!$J$882</c:f>
              <c:numCache>
                <c:formatCode>General</c:formatCode>
                <c:ptCount val="1"/>
                <c:pt idx="0">
                  <c:v>3</c:v>
                </c:pt>
              </c:numCache>
            </c:numRef>
          </c:xVal>
          <c:yVal>
            <c:numRef>
              <c:f>'Chemical Terrorism'!$J$883</c:f>
              <c:numCache>
                <c:formatCode>General</c:formatCode>
                <c:ptCount val="1"/>
                <c:pt idx="0">
                  <c:v>0</c:v>
                </c:pt>
              </c:numCache>
            </c:numRef>
          </c:yVal>
          <c:smooth val="0"/>
          <c:extLst>
            <c:ext xmlns:c16="http://schemas.microsoft.com/office/drawing/2014/chart" uri="{C3380CC4-5D6E-409C-BE32-E72D297353CC}">
              <c16:uniqueId val="{00000008-687E-4E58-8285-BFB8EA4C7734}"/>
            </c:ext>
          </c:extLst>
        </c:ser>
        <c:ser>
          <c:idx val="8"/>
          <c:order val="8"/>
          <c:tx>
            <c:strRef>
              <c:f>'Chemical Terrorism'!$C$885</c:f>
              <c:strCache>
                <c:ptCount val="1"/>
                <c:pt idx="0">
                  <c:v>Responder Safety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Terrorism'!$J$886</c:f>
              <c:numCache>
                <c:formatCode>General</c:formatCode>
                <c:ptCount val="1"/>
                <c:pt idx="0">
                  <c:v>4</c:v>
                </c:pt>
              </c:numCache>
            </c:numRef>
          </c:xVal>
          <c:yVal>
            <c:numRef>
              <c:f>'Chemical Terrorism'!$J$887</c:f>
              <c:numCache>
                <c:formatCode>General</c:formatCode>
                <c:ptCount val="1"/>
                <c:pt idx="0">
                  <c:v>0</c:v>
                </c:pt>
              </c:numCache>
            </c:numRef>
          </c:yVal>
          <c:smooth val="0"/>
          <c:extLst>
            <c:ext xmlns:c16="http://schemas.microsoft.com/office/drawing/2014/chart" uri="{C3380CC4-5D6E-409C-BE32-E72D297353CC}">
              <c16:uniqueId val="{00000009-687E-4E58-8285-BFB8EA4C7734}"/>
            </c:ext>
          </c:extLst>
        </c:ser>
        <c:ser>
          <c:idx val="9"/>
          <c:order val="9"/>
          <c:tx>
            <c:strRef>
              <c:f>'Chemical Terrorism'!$C$889</c:f>
              <c:strCache>
                <c:ptCount val="1"/>
                <c:pt idx="0">
                  <c:v>Volunteer Mgmt</c:v>
                </c:pt>
              </c:strCache>
            </c:strRef>
          </c:tx>
          <c:spPr>
            <a:ln w="66675">
              <a:noFill/>
            </a:ln>
          </c:spPr>
          <c:dLbls>
            <c:dLbl>
              <c:idx val="0"/>
              <c:layout>
                <c:manualLayout>
                  <c:x val="-0.14382605166302082"/>
                  <c:y val="7.2859744990892532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687E-4E58-8285-BFB8EA4C7734}"/>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Terrorism'!$J$890</c:f>
              <c:numCache>
                <c:formatCode>General</c:formatCode>
                <c:ptCount val="1"/>
                <c:pt idx="0">
                  <c:v>3</c:v>
                </c:pt>
              </c:numCache>
            </c:numRef>
          </c:xVal>
          <c:yVal>
            <c:numRef>
              <c:f>'Chemical Terrorism'!$J$891</c:f>
              <c:numCache>
                <c:formatCode>General</c:formatCode>
                <c:ptCount val="1"/>
                <c:pt idx="0">
                  <c:v>0</c:v>
                </c:pt>
              </c:numCache>
            </c:numRef>
          </c:yVal>
          <c:smooth val="0"/>
          <c:extLst>
            <c:ext xmlns:c16="http://schemas.microsoft.com/office/drawing/2014/chart" uri="{C3380CC4-5D6E-409C-BE32-E72D297353CC}">
              <c16:uniqueId val="{0000000B-687E-4E58-8285-BFB8EA4C7734}"/>
            </c:ext>
          </c:extLst>
        </c:ser>
        <c:ser>
          <c:idx val="10"/>
          <c:order val="10"/>
          <c:tx>
            <c:strRef>
              <c:f>'Chemical Terrorism'!$C$833</c:f>
              <c:strCache>
                <c:ptCount val="1"/>
                <c:pt idx="0">
                  <c:v>Community Prep</c:v>
                </c:pt>
              </c:strCache>
            </c:strRef>
          </c:tx>
          <c:spPr>
            <a:ln w="66675">
              <a:noFill/>
            </a:ln>
          </c:spPr>
          <c:dLbls>
            <c:dLbl>
              <c:idx val="0"/>
              <c:layout>
                <c:manualLayout>
                  <c:x val="0"/>
                  <c:y val="-2.185811473019424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687E-4E58-8285-BFB8EA4C773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Terrorism'!$J$834</c:f>
              <c:numCache>
                <c:formatCode>General</c:formatCode>
                <c:ptCount val="1"/>
                <c:pt idx="0">
                  <c:v>4</c:v>
                </c:pt>
              </c:numCache>
            </c:numRef>
          </c:xVal>
          <c:yVal>
            <c:numRef>
              <c:f>'Chemical Terrorism'!$J$835</c:f>
              <c:numCache>
                <c:formatCode>General</c:formatCode>
                <c:ptCount val="1"/>
                <c:pt idx="0">
                  <c:v>0</c:v>
                </c:pt>
              </c:numCache>
            </c:numRef>
          </c:yVal>
          <c:smooth val="0"/>
          <c:extLst>
            <c:ext xmlns:c16="http://schemas.microsoft.com/office/drawing/2014/chart" uri="{C3380CC4-5D6E-409C-BE32-E72D297353CC}">
              <c16:uniqueId val="{0000000D-687E-4E58-8285-BFB8EA4C7734}"/>
            </c:ext>
          </c:extLst>
        </c:ser>
        <c:ser>
          <c:idx val="11"/>
          <c:order val="11"/>
          <c:tx>
            <c:strRef>
              <c:f>'Chemical Terrorism'!$C$837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Terrorism'!$J$838</c:f>
              <c:numCache>
                <c:formatCode>General</c:formatCode>
                <c:ptCount val="1"/>
                <c:pt idx="0">
                  <c:v>4</c:v>
                </c:pt>
              </c:numCache>
            </c:numRef>
          </c:xVal>
          <c:yVal>
            <c:numRef>
              <c:f>'Chemical Terrorism'!$J$839</c:f>
              <c:numCache>
                <c:formatCode>General</c:formatCode>
                <c:ptCount val="1"/>
                <c:pt idx="0">
                  <c:v>0</c:v>
                </c:pt>
              </c:numCache>
            </c:numRef>
          </c:yVal>
          <c:smooth val="0"/>
          <c:extLst>
            <c:ext xmlns:c16="http://schemas.microsoft.com/office/drawing/2014/chart" uri="{C3380CC4-5D6E-409C-BE32-E72D297353CC}">
              <c16:uniqueId val="{0000000E-687E-4E58-8285-BFB8EA4C7734}"/>
            </c:ext>
          </c:extLst>
        </c:ser>
        <c:ser>
          <c:idx val="12"/>
          <c:order val="12"/>
          <c:tx>
            <c:strRef>
              <c:f>'Chemical Terrorism'!$C$841</c:f>
              <c:strCache>
                <c:ptCount val="1"/>
                <c:pt idx="0">
                  <c:v>Emerg Ops Coord</c:v>
                </c:pt>
              </c:strCache>
            </c:strRef>
          </c:tx>
          <c:spPr>
            <a:ln w="66675">
              <a:noFill/>
            </a:ln>
          </c:spPr>
          <c:dLbls>
            <c:dLbl>
              <c:idx val="0"/>
              <c:layout>
                <c:manualLayout>
                  <c:x val="-0.14219141459843437"/>
                  <c:y val="-1.967844183411499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87E-4E58-8285-BFB8EA4C7734}"/>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Terrorism'!$J$842</c:f>
              <c:numCache>
                <c:formatCode>General</c:formatCode>
                <c:ptCount val="1"/>
                <c:pt idx="0">
                  <c:v>4</c:v>
                </c:pt>
              </c:numCache>
            </c:numRef>
          </c:xVal>
          <c:yVal>
            <c:numRef>
              <c:f>'Chemical Terrorism'!$J$843</c:f>
              <c:numCache>
                <c:formatCode>General</c:formatCode>
                <c:ptCount val="1"/>
                <c:pt idx="0">
                  <c:v>0</c:v>
                </c:pt>
              </c:numCache>
            </c:numRef>
          </c:yVal>
          <c:smooth val="0"/>
          <c:extLst>
            <c:ext xmlns:c16="http://schemas.microsoft.com/office/drawing/2014/chart" uri="{C3380CC4-5D6E-409C-BE32-E72D297353CC}">
              <c16:uniqueId val="{00000010-687E-4E58-8285-BFB8EA4C7734}"/>
            </c:ext>
          </c:extLst>
        </c:ser>
        <c:ser>
          <c:idx val="13"/>
          <c:order val="13"/>
          <c:tx>
            <c:strRef>
              <c:f>'Chemical Terrorism'!$C$845</c:f>
              <c:strCache>
                <c:ptCount val="1"/>
                <c:pt idx="0">
                  <c:v>Emerg Public Info</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87E-4E58-8285-BFB8EA4C7734}"/>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Terrorism'!$J$846</c:f>
              <c:numCache>
                <c:formatCode>General</c:formatCode>
                <c:ptCount val="1"/>
                <c:pt idx="0">
                  <c:v>4</c:v>
                </c:pt>
              </c:numCache>
            </c:numRef>
          </c:xVal>
          <c:yVal>
            <c:numRef>
              <c:f>'Chemical Terrorism'!$J$847</c:f>
              <c:numCache>
                <c:formatCode>General</c:formatCode>
                <c:ptCount val="1"/>
                <c:pt idx="0">
                  <c:v>0</c:v>
                </c:pt>
              </c:numCache>
            </c:numRef>
          </c:yVal>
          <c:smooth val="0"/>
          <c:extLst>
            <c:ext xmlns:c16="http://schemas.microsoft.com/office/drawing/2014/chart" uri="{C3380CC4-5D6E-409C-BE32-E72D297353CC}">
              <c16:uniqueId val="{00000012-687E-4E58-8285-BFB8EA4C7734}"/>
            </c:ext>
          </c:extLst>
        </c:ser>
        <c:ser>
          <c:idx val="14"/>
          <c:order val="14"/>
          <c:tx>
            <c:strRef>
              <c:f>'Biological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Terrorism'!$J$965</c:f>
            </c:numRef>
          </c:xVal>
          <c:yVal>
            <c:numRef>
              <c:f>'Biological Terrorism'!$J$966</c:f>
            </c:numRef>
          </c:yVal>
          <c:smooth val="0"/>
          <c:extLst>
            <c:ext xmlns:c16="http://schemas.microsoft.com/office/drawing/2014/chart" uri="{C3380CC4-5D6E-409C-BE32-E72D297353CC}">
              <c16:uniqueId val="{00000013-687E-4E58-8285-BFB8EA4C7734}"/>
            </c:ext>
          </c:extLst>
        </c:ser>
        <c:dLbls>
          <c:showLegendKey val="0"/>
          <c:showVal val="1"/>
          <c:showCatName val="0"/>
          <c:showSerName val="0"/>
          <c:showPercent val="0"/>
          <c:showBubbleSize val="0"/>
        </c:dLbls>
        <c:axId val="119344128"/>
        <c:axId val="119350400"/>
      </c:scatterChart>
      <c:valAx>
        <c:axId val="11934412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19350400"/>
        <c:crosses val="autoZero"/>
        <c:crossBetween val="midCat"/>
        <c:majorUnit val="1"/>
        <c:minorUnit val="0.1"/>
      </c:valAx>
      <c:valAx>
        <c:axId val="11935040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1934412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'Chemical Terrorism'!$C$903</c:f>
              <c:strCache>
                <c:ptCount val="1"/>
                <c:pt idx="0">
                  <c:v>HC System Prep</c:v>
                </c:pt>
              </c:strCache>
            </c:strRef>
          </c:tx>
          <c:spPr>
            <a:ln w="66675">
              <a:noFill/>
            </a:ln>
          </c:spPr>
          <c:dLbls>
            <c:dLbl>
              <c:idx val="0"/>
              <c:layout>
                <c:manualLayout>
                  <c:x val="0"/>
                  <c:y val="-7.2859744990892532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05F6-4B04-B93E-6BFC4B8734F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Terrorism'!$J$904</c:f>
              <c:numCache>
                <c:formatCode>General</c:formatCode>
                <c:ptCount val="1"/>
                <c:pt idx="0">
                  <c:v>4</c:v>
                </c:pt>
              </c:numCache>
            </c:numRef>
          </c:xVal>
          <c:yVal>
            <c:numRef>
              <c:f>'Chemical Terrorism'!$J$905</c:f>
              <c:numCache>
                <c:formatCode>General</c:formatCode>
                <c:ptCount val="1"/>
                <c:pt idx="0">
                  <c:v>0</c:v>
                </c:pt>
              </c:numCache>
            </c:numRef>
          </c:yVal>
          <c:smooth val="0"/>
          <c:extLst>
            <c:ext xmlns:c16="http://schemas.microsoft.com/office/drawing/2014/chart" uri="{C3380CC4-5D6E-409C-BE32-E72D297353CC}">
              <c16:uniqueId val="{00000001-05F6-4B04-B93E-6BFC4B8734F8}"/>
            </c:ext>
          </c:extLst>
        </c:ser>
        <c:ser>
          <c:idx val="1"/>
          <c:order val="1"/>
          <c:tx>
            <c:strRef>
              <c:f>'Chemical Terrorism'!$C$907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Terrorism'!$J$908</c:f>
              <c:numCache>
                <c:formatCode>General</c:formatCode>
                <c:ptCount val="1"/>
                <c:pt idx="0">
                  <c:v>4</c:v>
                </c:pt>
              </c:numCache>
            </c:numRef>
          </c:xVal>
          <c:yVal>
            <c:numRef>
              <c:f>'Chemical Terrorism'!$J$909</c:f>
              <c:numCache>
                <c:formatCode>General</c:formatCode>
                <c:ptCount val="1"/>
                <c:pt idx="0">
                  <c:v>0</c:v>
                </c:pt>
              </c:numCache>
            </c:numRef>
          </c:yVal>
          <c:smooth val="0"/>
          <c:extLst>
            <c:ext xmlns:c16="http://schemas.microsoft.com/office/drawing/2014/chart" uri="{C3380CC4-5D6E-409C-BE32-E72D297353CC}">
              <c16:uniqueId val="{00000002-05F6-4B04-B93E-6BFC4B8734F8}"/>
            </c:ext>
          </c:extLst>
        </c:ser>
        <c:ser>
          <c:idx val="2"/>
          <c:order val="2"/>
          <c:tx>
            <c:strRef>
              <c:f>'Chemical Terrorism'!$C$911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Terrorism'!$J$912</c:f>
              <c:numCache>
                <c:formatCode>General</c:formatCode>
                <c:ptCount val="1"/>
                <c:pt idx="0">
                  <c:v>4</c:v>
                </c:pt>
              </c:numCache>
            </c:numRef>
          </c:xVal>
          <c:yVal>
            <c:numRef>
              <c:f>'Chemical Terrorism'!$J$913</c:f>
              <c:numCache>
                <c:formatCode>General</c:formatCode>
                <c:ptCount val="1"/>
                <c:pt idx="0">
                  <c:v>0</c:v>
                </c:pt>
              </c:numCache>
            </c:numRef>
          </c:yVal>
          <c:smooth val="0"/>
          <c:extLst>
            <c:ext xmlns:c16="http://schemas.microsoft.com/office/drawing/2014/chart" uri="{C3380CC4-5D6E-409C-BE32-E72D297353CC}">
              <c16:uniqueId val="{00000003-05F6-4B04-B93E-6BFC4B8734F8}"/>
            </c:ext>
          </c:extLst>
        </c:ser>
        <c:ser>
          <c:idx val="3"/>
          <c:order val="3"/>
          <c:tx>
            <c:strRef>
              <c:f>'Chemical Terrorism'!$C$915</c:f>
              <c:strCache>
                <c:ptCount val="1"/>
                <c:pt idx="0">
                  <c:v>Fatality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Terrorism'!$J$916</c:f>
              <c:numCache>
                <c:formatCode>General</c:formatCode>
                <c:ptCount val="1"/>
                <c:pt idx="0">
                  <c:v>4</c:v>
                </c:pt>
              </c:numCache>
            </c:numRef>
          </c:xVal>
          <c:yVal>
            <c:numRef>
              <c:f>'Chemical Terrorism'!$J$917</c:f>
              <c:numCache>
                <c:formatCode>General</c:formatCode>
                <c:ptCount val="1"/>
                <c:pt idx="0">
                  <c:v>0</c:v>
                </c:pt>
              </c:numCache>
            </c:numRef>
          </c:yVal>
          <c:smooth val="0"/>
          <c:extLst>
            <c:ext xmlns:c16="http://schemas.microsoft.com/office/drawing/2014/chart" uri="{C3380CC4-5D6E-409C-BE32-E72D297353CC}">
              <c16:uniqueId val="{00000004-05F6-4B04-B93E-6BFC4B8734F8}"/>
            </c:ext>
          </c:extLst>
        </c:ser>
        <c:ser>
          <c:idx val="4"/>
          <c:order val="4"/>
          <c:tx>
            <c:strRef>
              <c:f>'Chemical Terrorism'!$C$919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Terrorism'!$J$920</c:f>
              <c:numCache>
                <c:formatCode>General</c:formatCode>
                <c:ptCount val="1"/>
                <c:pt idx="0">
                  <c:v>4</c:v>
                </c:pt>
              </c:numCache>
            </c:numRef>
          </c:xVal>
          <c:yVal>
            <c:numRef>
              <c:f>'Chemical Terrorism'!$J$921</c:f>
              <c:numCache>
                <c:formatCode>General</c:formatCode>
                <c:ptCount val="1"/>
                <c:pt idx="0">
                  <c:v>0</c:v>
                </c:pt>
              </c:numCache>
            </c:numRef>
          </c:yVal>
          <c:smooth val="0"/>
          <c:extLst>
            <c:ext xmlns:c16="http://schemas.microsoft.com/office/drawing/2014/chart" uri="{C3380CC4-5D6E-409C-BE32-E72D297353CC}">
              <c16:uniqueId val="{00000005-05F6-4B04-B93E-6BFC4B8734F8}"/>
            </c:ext>
          </c:extLst>
        </c:ser>
        <c:ser>
          <c:idx val="5"/>
          <c:order val="5"/>
          <c:tx>
            <c:strRef>
              <c:f>'Chemical Terrorism'!$C$923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Terrorism'!$J$924</c:f>
              <c:numCache>
                <c:formatCode>General</c:formatCode>
                <c:ptCount val="1"/>
                <c:pt idx="0">
                  <c:v>4</c:v>
                </c:pt>
              </c:numCache>
            </c:numRef>
          </c:xVal>
          <c:yVal>
            <c:numRef>
              <c:f>'Chemical Terrorism'!$J$925</c:f>
              <c:numCache>
                <c:formatCode>General</c:formatCode>
                <c:ptCount val="1"/>
                <c:pt idx="0">
                  <c:v>0</c:v>
                </c:pt>
              </c:numCache>
            </c:numRef>
          </c:yVal>
          <c:smooth val="0"/>
          <c:extLst>
            <c:ext xmlns:c16="http://schemas.microsoft.com/office/drawing/2014/chart" uri="{C3380CC4-5D6E-409C-BE32-E72D297353CC}">
              <c16:uniqueId val="{00000006-05F6-4B04-B93E-6BFC4B8734F8}"/>
            </c:ext>
          </c:extLst>
        </c:ser>
        <c:ser>
          <c:idx val="6"/>
          <c:order val="6"/>
          <c:tx>
            <c:strRef>
              <c:f>'Chemical Terrorism'!$C$927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Terrorism'!$J$928</c:f>
              <c:numCache>
                <c:formatCode>General</c:formatCode>
                <c:ptCount val="1"/>
                <c:pt idx="0">
                  <c:v>4</c:v>
                </c:pt>
              </c:numCache>
            </c:numRef>
          </c:xVal>
          <c:yVal>
            <c:numRef>
              <c:f>'Chemical Terrorism'!$J$929</c:f>
              <c:numCache>
                <c:formatCode>General</c:formatCode>
                <c:ptCount val="1"/>
                <c:pt idx="0">
                  <c:v>0</c:v>
                </c:pt>
              </c:numCache>
            </c:numRef>
          </c:yVal>
          <c:smooth val="0"/>
          <c:extLst>
            <c:ext xmlns:c16="http://schemas.microsoft.com/office/drawing/2014/chart" uri="{C3380CC4-5D6E-409C-BE32-E72D297353CC}">
              <c16:uniqueId val="{00000007-05F6-4B04-B93E-6BFC4B8734F8}"/>
            </c:ext>
          </c:extLst>
        </c:ser>
        <c:ser>
          <c:idx val="7"/>
          <c:order val="7"/>
          <c:tx>
            <c:strRef>
              <c:f>'Chemical Terrorism'!$C$931</c:f>
              <c:strCache>
                <c:ptCount val="1"/>
                <c:pt idx="0">
                  <c:v>Volunteer Mgmt</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5F6-4B04-B93E-6BFC4B8734F8}"/>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'Chemical Terrorism'!$J$932</c:f>
              <c:numCache>
                <c:formatCode>General</c:formatCode>
                <c:ptCount val="1"/>
                <c:pt idx="0">
                  <c:v>3</c:v>
                </c:pt>
              </c:numCache>
            </c:numRef>
          </c:xVal>
          <c:yVal>
            <c:numRef>
              <c:f>'Chemical Terrorism'!$J$933</c:f>
              <c:numCache>
                <c:formatCode>General</c:formatCode>
                <c:ptCount val="1"/>
                <c:pt idx="0">
                  <c:v>0</c:v>
                </c:pt>
              </c:numCache>
            </c:numRef>
          </c:yVal>
          <c:smooth val="0"/>
          <c:extLst>
            <c:ext xmlns:c16="http://schemas.microsoft.com/office/drawing/2014/chart" uri="{C3380CC4-5D6E-409C-BE32-E72D297353CC}">
              <c16:uniqueId val="{00000009-05F6-4B04-B93E-6BFC4B8734F8}"/>
            </c:ext>
          </c:extLst>
        </c:ser>
        <c:ser>
          <c:idx val="14"/>
          <c:order val="8"/>
          <c:tx>
            <c:strRef>
              <c:f>'Biological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'Biological Terrorism'!$J$965</c:f>
            </c:numRef>
          </c:xVal>
          <c:yVal>
            <c:numRef>
              <c:f>'Biological Terrorism'!$J$966</c:f>
            </c:numRef>
          </c:yVal>
          <c:smooth val="0"/>
          <c:extLst>
            <c:ext xmlns:c16="http://schemas.microsoft.com/office/drawing/2014/chart" uri="{C3380CC4-5D6E-409C-BE32-E72D297353CC}">
              <c16:uniqueId val="{0000000A-05F6-4B04-B93E-6BFC4B8734F8}"/>
            </c:ext>
          </c:extLst>
        </c:ser>
        <c:dLbls>
          <c:showLegendKey val="0"/>
          <c:showVal val="1"/>
          <c:showCatName val="0"/>
          <c:showSerName val="0"/>
          <c:showPercent val="0"/>
          <c:showBubbleSize val="0"/>
        </c:dLbls>
        <c:axId val="143019008"/>
        <c:axId val="143033472"/>
      </c:scatterChart>
      <c:valAx>
        <c:axId val="14301900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3033472"/>
        <c:crosses val="autoZero"/>
        <c:crossBetween val="midCat"/>
        <c:majorUnit val="1"/>
        <c:minorUnit val="0.1"/>
      </c:valAx>
      <c:valAx>
        <c:axId val="14303347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301900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'Civil Disturbance'!$C$793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Disturbance'!$J$795</c:f>
              <c:numCache>
                <c:formatCode>General</c:formatCode>
                <c:ptCount val="1"/>
                <c:pt idx="0">
                  <c:v>2</c:v>
                </c:pt>
              </c:numCache>
            </c:numRef>
          </c:xVal>
          <c:yVal>
            <c:numRef>
              <c:f>'Civil Disturbance'!$J$794</c:f>
              <c:numCache>
                <c:formatCode>General</c:formatCode>
                <c:ptCount val="1"/>
                <c:pt idx="0">
                  <c:v>0</c:v>
                </c:pt>
              </c:numCache>
            </c:numRef>
          </c:yVal>
          <c:smooth val="0"/>
          <c:extLst>
            <c:ext xmlns:c16="http://schemas.microsoft.com/office/drawing/2014/chart" uri="{C3380CC4-5D6E-409C-BE32-E72D297353CC}">
              <c16:uniqueId val="{00000000-01BE-4767-8BEF-C0373DE39B78}"/>
            </c:ext>
          </c:extLst>
        </c:ser>
        <c:ser>
          <c:idx val="1"/>
          <c:order val="1"/>
          <c:tx>
            <c:strRef>
              <c:f>'Civil Disturbance'!$C$797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Disturbance'!$J$799</c:f>
              <c:numCache>
                <c:formatCode>General</c:formatCode>
                <c:ptCount val="1"/>
                <c:pt idx="0">
                  <c:v>1</c:v>
                </c:pt>
              </c:numCache>
            </c:numRef>
          </c:xVal>
          <c:yVal>
            <c:numRef>
              <c:f>'Civil Disturbance'!$J$798</c:f>
              <c:numCache>
                <c:formatCode>General</c:formatCode>
                <c:ptCount val="1"/>
                <c:pt idx="0">
                  <c:v>0</c:v>
                </c:pt>
              </c:numCache>
            </c:numRef>
          </c:yVal>
          <c:smooth val="0"/>
          <c:extLst>
            <c:ext xmlns:c16="http://schemas.microsoft.com/office/drawing/2014/chart" uri="{C3380CC4-5D6E-409C-BE32-E72D297353CC}">
              <c16:uniqueId val="{00000001-01BE-4767-8BEF-C0373DE39B78}"/>
            </c:ext>
          </c:extLst>
        </c:ser>
        <c:ser>
          <c:idx val="2"/>
          <c:order val="2"/>
          <c:tx>
            <c:strRef>
              <c:f>'Civil Disturbance'!$C$801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Disturbance'!$J$803</c:f>
              <c:numCache>
                <c:formatCode>General</c:formatCode>
                <c:ptCount val="1"/>
                <c:pt idx="0">
                  <c:v>2</c:v>
                </c:pt>
              </c:numCache>
            </c:numRef>
          </c:xVal>
          <c:yVal>
            <c:numRef>
              <c:f>'Civil Disturbance'!$J$802</c:f>
              <c:numCache>
                <c:formatCode>General</c:formatCode>
                <c:ptCount val="1"/>
                <c:pt idx="0">
                  <c:v>0</c:v>
                </c:pt>
              </c:numCache>
            </c:numRef>
          </c:yVal>
          <c:smooth val="0"/>
          <c:extLst>
            <c:ext xmlns:c16="http://schemas.microsoft.com/office/drawing/2014/chart" uri="{C3380CC4-5D6E-409C-BE32-E72D297353CC}">
              <c16:uniqueId val="{00000002-01BE-4767-8BEF-C0373DE39B78}"/>
            </c:ext>
          </c:extLst>
        </c:ser>
        <c:ser>
          <c:idx val="3"/>
          <c:order val="3"/>
          <c:tx>
            <c:strRef>
              <c:f>'Civil Disturbance'!$C$805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Disturbance'!$J$807</c:f>
              <c:numCache>
                <c:formatCode>General</c:formatCode>
                <c:ptCount val="1"/>
                <c:pt idx="0">
                  <c:v>1</c:v>
                </c:pt>
              </c:numCache>
            </c:numRef>
          </c:xVal>
          <c:yVal>
            <c:numRef>
              <c:f>'Civil Disturbance'!$J$806</c:f>
              <c:numCache>
                <c:formatCode>General</c:formatCode>
                <c:ptCount val="1"/>
                <c:pt idx="0">
                  <c:v>0</c:v>
                </c:pt>
              </c:numCache>
            </c:numRef>
          </c:yVal>
          <c:smooth val="0"/>
          <c:extLst>
            <c:ext xmlns:c16="http://schemas.microsoft.com/office/drawing/2014/chart" uri="{C3380CC4-5D6E-409C-BE32-E72D297353CC}">
              <c16:uniqueId val="{00000003-01BE-4767-8BEF-C0373DE39B78}"/>
            </c:ext>
          </c:extLst>
        </c:ser>
        <c:ser>
          <c:idx val="4"/>
          <c:order val="4"/>
          <c:tx>
            <c:strRef>
              <c:f>'Civil Disturbance'!$C$773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Disturbance'!$J$775</c:f>
              <c:numCache>
                <c:formatCode>General</c:formatCode>
                <c:ptCount val="1"/>
                <c:pt idx="0">
                  <c:v>2</c:v>
                </c:pt>
              </c:numCache>
            </c:numRef>
          </c:xVal>
          <c:yVal>
            <c:numRef>
              <c:f>'Civil Disturbance'!$J$774</c:f>
              <c:numCache>
                <c:formatCode>General</c:formatCode>
                <c:ptCount val="1"/>
                <c:pt idx="0">
                  <c:v>0</c:v>
                </c:pt>
              </c:numCache>
            </c:numRef>
          </c:yVal>
          <c:smooth val="0"/>
          <c:extLst>
            <c:ext xmlns:c16="http://schemas.microsoft.com/office/drawing/2014/chart" uri="{C3380CC4-5D6E-409C-BE32-E72D297353CC}">
              <c16:uniqueId val="{00000004-01BE-4767-8BEF-C0373DE39B78}"/>
            </c:ext>
          </c:extLst>
        </c:ser>
        <c:ser>
          <c:idx val="5"/>
          <c:order val="5"/>
          <c:tx>
            <c:strRef>
              <c:f>'Civil Disturbance'!$C$777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Disturbance'!$J$779</c:f>
              <c:numCache>
                <c:formatCode>General</c:formatCode>
                <c:ptCount val="1"/>
                <c:pt idx="0">
                  <c:v>2</c:v>
                </c:pt>
              </c:numCache>
            </c:numRef>
          </c:xVal>
          <c:yVal>
            <c:numRef>
              <c:f>'Civil Disturbance'!$J$778</c:f>
              <c:numCache>
                <c:formatCode>General</c:formatCode>
                <c:ptCount val="1"/>
                <c:pt idx="0">
                  <c:v>0</c:v>
                </c:pt>
              </c:numCache>
            </c:numRef>
          </c:yVal>
          <c:smooth val="0"/>
          <c:extLst>
            <c:ext xmlns:c16="http://schemas.microsoft.com/office/drawing/2014/chart" uri="{C3380CC4-5D6E-409C-BE32-E72D297353CC}">
              <c16:uniqueId val="{00000005-01BE-4767-8BEF-C0373DE39B78}"/>
            </c:ext>
          </c:extLst>
        </c:ser>
        <c:ser>
          <c:idx val="6"/>
          <c:order val="6"/>
          <c:tx>
            <c:strRef>
              <c:f>'Civil Disturbance'!$C$781</c:f>
              <c:strCache>
                <c:ptCount val="1"/>
                <c:pt idx="0">
                  <c:v>Ambulatory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Disturbance'!$J$783</c:f>
              <c:numCache>
                <c:formatCode>General</c:formatCode>
                <c:ptCount val="1"/>
                <c:pt idx="0">
                  <c:v>1</c:v>
                </c:pt>
              </c:numCache>
            </c:numRef>
          </c:xVal>
          <c:yVal>
            <c:numRef>
              <c:f>'Civil Disturbance'!$J$782</c:f>
              <c:numCache>
                <c:formatCode>General</c:formatCode>
                <c:ptCount val="1"/>
                <c:pt idx="0">
                  <c:v>0</c:v>
                </c:pt>
              </c:numCache>
            </c:numRef>
          </c:yVal>
          <c:smooth val="0"/>
          <c:extLst>
            <c:ext xmlns:c16="http://schemas.microsoft.com/office/drawing/2014/chart" uri="{C3380CC4-5D6E-409C-BE32-E72D297353CC}">
              <c16:uniqueId val="{00000006-01BE-4767-8BEF-C0373DE39B78}"/>
            </c:ext>
          </c:extLst>
        </c:ser>
        <c:ser>
          <c:idx val="7"/>
          <c:order val="7"/>
          <c:tx>
            <c:strRef>
              <c:f>'Civil Disturbance'!$C$785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01BE-4767-8BEF-C0373DE39B7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'Civil Disturbance'!$J$787</c:f>
              <c:numCache>
                <c:formatCode>General</c:formatCode>
                <c:ptCount val="1"/>
                <c:pt idx="0">
                  <c:v>2</c:v>
                </c:pt>
              </c:numCache>
            </c:numRef>
          </c:xVal>
          <c:yVal>
            <c:numRef>
              <c:f>'Civil Disturbance'!$J$786</c:f>
              <c:numCache>
                <c:formatCode>General</c:formatCode>
                <c:ptCount val="1"/>
                <c:pt idx="0">
                  <c:v>0</c:v>
                </c:pt>
              </c:numCache>
            </c:numRef>
          </c:yVal>
          <c:smooth val="0"/>
          <c:extLst>
            <c:ext xmlns:c16="http://schemas.microsoft.com/office/drawing/2014/chart" uri="{C3380CC4-5D6E-409C-BE32-E72D297353CC}">
              <c16:uniqueId val="{00000008-01BE-4767-8BEF-C0373DE39B78}"/>
            </c:ext>
          </c:extLst>
        </c:ser>
        <c:ser>
          <c:idx val="8"/>
          <c:order val="8"/>
          <c:tx>
            <c:strRef>
              <c:f>'Civil Disturbance'!$C$789</c:f>
              <c:strCache>
                <c:ptCount val="1"/>
                <c:pt idx="0">
                  <c:v>Limited English Proficiency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Disturbance'!$J$791</c:f>
              <c:numCache>
                <c:formatCode>General</c:formatCode>
                <c:ptCount val="1"/>
                <c:pt idx="0">
                  <c:v>2</c:v>
                </c:pt>
              </c:numCache>
            </c:numRef>
          </c:xVal>
          <c:yVal>
            <c:numRef>
              <c:f>'Civil Disturbance'!$J$1025</c:f>
              <c:numCache>
                <c:formatCode>General</c:formatCode>
                <c:ptCount val="1"/>
              </c:numCache>
            </c:numRef>
          </c:yVal>
          <c:smooth val="0"/>
          <c:extLst>
            <c:ext xmlns:c16="http://schemas.microsoft.com/office/drawing/2014/chart" uri="{C3380CC4-5D6E-409C-BE32-E72D297353CC}">
              <c16:uniqueId val="{00000009-01BE-4767-8BEF-C0373DE39B78}"/>
            </c:ext>
          </c:extLst>
        </c:ser>
        <c:dLbls>
          <c:showLegendKey val="0"/>
          <c:showVal val="1"/>
          <c:showCatName val="0"/>
          <c:showSerName val="0"/>
          <c:showPercent val="0"/>
          <c:showBubbleSize val="0"/>
        </c:dLbls>
        <c:axId val="143557376"/>
        <c:axId val="143559296"/>
      </c:scatterChart>
      <c:valAx>
        <c:axId val="14355737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3559296"/>
        <c:crosses val="autoZero"/>
        <c:crossBetween val="midCat"/>
        <c:majorUnit val="1"/>
        <c:minorUnit val="0.1"/>
      </c:valAx>
      <c:valAx>
        <c:axId val="14355929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355737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'Civil Disturbance'!$C$853</c:f>
              <c:strCache>
                <c:ptCount val="1"/>
                <c:pt idx="0">
                  <c:v>Info Sharing</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Disturbance'!$J$854</c:f>
              <c:numCache>
                <c:formatCode>General</c:formatCode>
                <c:ptCount val="1"/>
                <c:pt idx="0">
                  <c:v>4</c:v>
                </c:pt>
              </c:numCache>
            </c:numRef>
          </c:xVal>
          <c:yVal>
            <c:numRef>
              <c:f>'Civil Disturbance'!$J$855</c:f>
              <c:numCache>
                <c:formatCode>General</c:formatCode>
                <c:ptCount val="1"/>
                <c:pt idx="0">
                  <c:v>0</c:v>
                </c:pt>
              </c:numCache>
            </c:numRef>
          </c:yVal>
          <c:smooth val="0"/>
          <c:extLst>
            <c:ext xmlns:c16="http://schemas.microsoft.com/office/drawing/2014/chart" uri="{C3380CC4-5D6E-409C-BE32-E72D297353CC}">
              <c16:uniqueId val="{00000000-12E9-41CC-AB4C-8187E13A02E4}"/>
            </c:ext>
          </c:extLst>
        </c:ser>
        <c:ser>
          <c:idx val="1"/>
          <c:order val="1"/>
          <c:tx>
            <c:strRef>
              <c:f>'Civil Disturbance'!$C$857</c:f>
              <c:strCache>
                <c:ptCount val="1"/>
                <c:pt idx="0">
                  <c:v>Mass Care</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Disturbance'!$J$858</c:f>
              <c:numCache>
                <c:formatCode>General</c:formatCode>
                <c:ptCount val="1"/>
                <c:pt idx="0">
                  <c:v>0</c:v>
                </c:pt>
              </c:numCache>
            </c:numRef>
          </c:xVal>
          <c:yVal>
            <c:numRef>
              <c:f>'Civil Disturbance'!$J$859</c:f>
              <c:numCache>
                <c:formatCode>General</c:formatCode>
                <c:ptCount val="1"/>
                <c:pt idx="0">
                  <c:v>0</c:v>
                </c:pt>
              </c:numCache>
            </c:numRef>
          </c:yVal>
          <c:smooth val="0"/>
          <c:extLst>
            <c:ext xmlns:c16="http://schemas.microsoft.com/office/drawing/2014/chart" uri="{C3380CC4-5D6E-409C-BE32-E72D297353CC}">
              <c16:uniqueId val="{00000001-12E9-41CC-AB4C-8187E13A02E4}"/>
            </c:ext>
          </c:extLst>
        </c:ser>
        <c:ser>
          <c:idx val="2"/>
          <c:order val="2"/>
          <c:tx>
            <c:strRef>
              <c:f>'Civil Disturbance'!$C$861</c:f>
              <c:strCache>
                <c:ptCount val="1"/>
                <c:pt idx="0">
                  <c:v>MCM Dispens</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Disturbance'!$J$862</c:f>
              <c:numCache>
                <c:formatCode>General</c:formatCode>
                <c:ptCount val="1"/>
                <c:pt idx="0">
                  <c:v>0</c:v>
                </c:pt>
              </c:numCache>
            </c:numRef>
          </c:xVal>
          <c:yVal>
            <c:numRef>
              <c:f>'Civil Disturbance'!$J$863</c:f>
              <c:numCache>
                <c:formatCode>General</c:formatCode>
                <c:ptCount val="1"/>
                <c:pt idx="0">
                  <c:v>0</c:v>
                </c:pt>
              </c:numCache>
            </c:numRef>
          </c:yVal>
          <c:smooth val="0"/>
          <c:extLst>
            <c:ext xmlns:c16="http://schemas.microsoft.com/office/drawing/2014/chart" uri="{C3380CC4-5D6E-409C-BE32-E72D297353CC}">
              <c16:uniqueId val="{00000002-12E9-41CC-AB4C-8187E13A02E4}"/>
            </c:ext>
          </c:extLst>
        </c:ser>
        <c:ser>
          <c:idx val="3"/>
          <c:order val="3"/>
          <c:tx>
            <c:strRef>
              <c:f>'Civil Disturbance'!$C$865</c:f>
              <c:strCache>
                <c:ptCount val="1"/>
                <c:pt idx="0">
                  <c:v>Med Materiel Mgmt</c:v>
                </c:pt>
              </c:strCache>
            </c:strRef>
          </c:tx>
          <c:spPr>
            <a:ln w="66675">
              <a:noFill/>
            </a:ln>
          </c:spPr>
          <c:dLbls>
            <c:dLbl>
              <c:idx val="0"/>
              <c:layout>
                <c:manualLayout>
                  <c:x val="-1.5251807320995951E-1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2E9-41CC-AB4C-8187E13A02E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Disturbance'!$J$866</c:f>
              <c:numCache>
                <c:formatCode>General</c:formatCode>
                <c:ptCount val="1"/>
                <c:pt idx="0">
                  <c:v>0</c:v>
                </c:pt>
              </c:numCache>
            </c:numRef>
          </c:xVal>
          <c:yVal>
            <c:numRef>
              <c:f>'Civil Disturbance'!$J$867</c:f>
              <c:numCache>
                <c:formatCode>General</c:formatCode>
                <c:ptCount val="1"/>
                <c:pt idx="0">
                  <c:v>0</c:v>
                </c:pt>
              </c:numCache>
            </c:numRef>
          </c:yVal>
          <c:smooth val="0"/>
          <c:extLst>
            <c:ext xmlns:c16="http://schemas.microsoft.com/office/drawing/2014/chart" uri="{C3380CC4-5D6E-409C-BE32-E72D297353CC}">
              <c16:uniqueId val="{00000004-12E9-41CC-AB4C-8187E13A02E4}"/>
            </c:ext>
          </c:extLst>
        </c:ser>
        <c:ser>
          <c:idx val="4"/>
          <c:order val="4"/>
          <c:tx>
            <c:strRef>
              <c:f>'Civil Disturbance'!$C$869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Disturbance'!$J$870</c:f>
              <c:numCache>
                <c:formatCode>General</c:formatCode>
                <c:ptCount val="1"/>
                <c:pt idx="0">
                  <c:v>2</c:v>
                </c:pt>
              </c:numCache>
            </c:numRef>
          </c:xVal>
          <c:yVal>
            <c:numRef>
              <c:f>'Civil Disturbance'!$J$871</c:f>
              <c:numCache>
                <c:formatCode>General</c:formatCode>
                <c:ptCount val="1"/>
                <c:pt idx="0">
                  <c:v>0</c:v>
                </c:pt>
              </c:numCache>
            </c:numRef>
          </c:yVal>
          <c:smooth val="0"/>
          <c:extLst>
            <c:ext xmlns:c16="http://schemas.microsoft.com/office/drawing/2014/chart" uri="{C3380CC4-5D6E-409C-BE32-E72D297353CC}">
              <c16:uniqueId val="{00000005-12E9-41CC-AB4C-8187E13A02E4}"/>
            </c:ext>
          </c:extLst>
        </c:ser>
        <c:ser>
          <c:idx val="5"/>
          <c:order val="5"/>
          <c:tx>
            <c:strRef>
              <c:f>'Civil Disturbance'!$C$873</c:f>
              <c:strCache>
                <c:ptCount val="1"/>
                <c:pt idx="0">
                  <c:v>Non-Pharm Interv</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Disturbance'!$J$874</c:f>
              <c:numCache>
                <c:formatCode>General</c:formatCode>
                <c:ptCount val="1"/>
                <c:pt idx="0">
                  <c:v>0</c:v>
                </c:pt>
              </c:numCache>
            </c:numRef>
          </c:xVal>
          <c:yVal>
            <c:numRef>
              <c:f>'Civil Disturbance'!$J$875</c:f>
              <c:numCache>
                <c:formatCode>General</c:formatCode>
                <c:ptCount val="1"/>
                <c:pt idx="0">
                  <c:v>0</c:v>
                </c:pt>
              </c:numCache>
            </c:numRef>
          </c:yVal>
          <c:smooth val="0"/>
          <c:extLst>
            <c:ext xmlns:c16="http://schemas.microsoft.com/office/drawing/2014/chart" uri="{C3380CC4-5D6E-409C-BE32-E72D297353CC}">
              <c16:uniqueId val="{00000006-12E9-41CC-AB4C-8187E13A02E4}"/>
            </c:ext>
          </c:extLst>
        </c:ser>
        <c:ser>
          <c:idx val="6"/>
          <c:order val="6"/>
          <c:tx>
            <c:strRef>
              <c:f>'Civil Disturbance'!$C$877</c:f>
              <c:strCache>
                <c:ptCount val="1"/>
                <c:pt idx="0">
                  <c:v>PH Lab Testing</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Disturbance'!$J$878</c:f>
              <c:numCache>
                <c:formatCode>General</c:formatCode>
                <c:ptCount val="1"/>
                <c:pt idx="0">
                  <c:v>0</c:v>
                </c:pt>
              </c:numCache>
            </c:numRef>
          </c:xVal>
          <c:yVal>
            <c:numRef>
              <c:f>'Civil Disturbance'!$J$879</c:f>
              <c:numCache>
                <c:formatCode>General</c:formatCode>
                <c:ptCount val="1"/>
                <c:pt idx="0">
                  <c:v>0</c:v>
                </c:pt>
              </c:numCache>
            </c:numRef>
          </c:yVal>
          <c:smooth val="0"/>
          <c:extLst>
            <c:ext xmlns:c16="http://schemas.microsoft.com/office/drawing/2014/chart" uri="{C3380CC4-5D6E-409C-BE32-E72D297353CC}">
              <c16:uniqueId val="{00000007-12E9-41CC-AB4C-8187E13A02E4}"/>
            </c:ext>
          </c:extLst>
        </c:ser>
        <c:ser>
          <c:idx val="7"/>
          <c:order val="7"/>
          <c:tx>
            <c:strRef>
              <c:f>'Civil Disturbance'!$C$881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Disturbance'!$J$882</c:f>
              <c:numCache>
                <c:formatCode>General</c:formatCode>
                <c:ptCount val="1"/>
                <c:pt idx="0">
                  <c:v>0</c:v>
                </c:pt>
              </c:numCache>
            </c:numRef>
          </c:xVal>
          <c:yVal>
            <c:numRef>
              <c:f>'Civil Disturbance'!$J$883</c:f>
              <c:numCache>
                <c:formatCode>General</c:formatCode>
                <c:ptCount val="1"/>
                <c:pt idx="0">
                  <c:v>0</c:v>
                </c:pt>
              </c:numCache>
            </c:numRef>
          </c:yVal>
          <c:smooth val="0"/>
          <c:extLst>
            <c:ext xmlns:c16="http://schemas.microsoft.com/office/drawing/2014/chart" uri="{C3380CC4-5D6E-409C-BE32-E72D297353CC}">
              <c16:uniqueId val="{00000008-12E9-41CC-AB4C-8187E13A02E4}"/>
            </c:ext>
          </c:extLst>
        </c:ser>
        <c:ser>
          <c:idx val="8"/>
          <c:order val="8"/>
          <c:tx>
            <c:strRef>
              <c:f>'Civil Disturbance'!$C$885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Disturbance'!$J$886</c:f>
              <c:numCache>
                <c:formatCode>General</c:formatCode>
                <c:ptCount val="1"/>
                <c:pt idx="0">
                  <c:v>1</c:v>
                </c:pt>
              </c:numCache>
            </c:numRef>
          </c:xVal>
          <c:yVal>
            <c:numRef>
              <c:f>'Civil Disturbance'!$J$887</c:f>
              <c:numCache>
                <c:formatCode>General</c:formatCode>
                <c:ptCount val="1"/>
                <c:pt idx="0">
                  <c:v>0</c:v>
                </c:pt>
              </c:numCache>
            </c:numRef>
          </c:yVal>
          <c:smooth val="0"/>
          <c:extLst>
            <c:ext xmlns:c16="http://schemas.microsoft.com/office/drawing/2014/chart" uri="{C3380CC4-5D6E-409C-BE32-E72D297353CC}">
              <c16:uniqueId val="{00000009-12E9-41CC-AB4C-8187E13A02E4}"/>
            </c:ext>
          </c:extLst>
        </c:ser>
        <c:ser>
          <c:idx val="9"/>
          <c:order val="9"/>
          <c:tx>
            <c:strRef>
              <c:f>'Civil Disturbance'!$C$889</c:f>
              <c:strCache>
                <c:ptCount val="1"/>
                <c:pt idx="0">
                  <c:v>Volunteer Mgmt</c:v>
                </c:pt>
              </c:strCache>
            </c:strRef>
          </c:tx>
          <c:spPr>
            <a:ln w="66675">
              <a:noFill/>
            </a:ln>
          </c:spPr>
          <c:dLbls>
            <c:dLbl>
              <c:idx val="0"/>
              <c:layout>
                <c:manualLayout>
                  <c:x val="-1.5251807320995951E-17"/>
                  <c:y val="-1.214329083181542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12E9-41CC-AB4C-8187E13A02E4}"/>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Disturbance'!$J$890</c:f>
              <c:numCache>
                <c:formatCode>General</c:formatCode>
                <c:ptCount val="1"/>
                <c:pt idx="0">
                  <c:v>0</c:v>
                </c:pt>
              </c:numCache>
            </c:numRef>
          </c:xVal>
          <c:yVal>
            <c:numRef>
              <c:f>'Civil Disturbance'!$J$891</c:f>
              <c:numCache>
                <c:formatCode>General</c:formatCode>
                <c:ptCount val="1"/>
                <c:pt idx="0">
                  <c:v>0</c:v>
                </c:pt>
              </c:numCache>
            </c:numRef>
          </c:yVal>
          <c:smooth val="0"/>
          <c:extLst>
            <c:ext xmlns:c16="http://schemas.microsoft.com/office/drawing/2014/chart" uri="{C3380CC4-5D6E-409C-BE32-E72D297353CC}">
              <c16:uniqueId val="{0000000B-12E9-41CC-AB4C-8187E13A02E4}"/>
            </c:ext>
          </c:extLst>
        </c:ser>
        <c:ser>
          <c:idx val="10"/>
          <c:order val="10"/>
          <c:tx>
            <c:strRef>
              <c:f>'Civil Disturbance'!$C$833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Disturbance'!$J$834</c:f>
              <c:numCache>
                <c:formatCode>General</c:formatCode>
                <c:ptCount val="1"/>
                <c:pt idx="0">
                  <c:v>2</c:v>
                </c:pt>
              </c:numCache>
            </c:numRef>
          </c:xVal>
          <c:yVal>
            <c:numRef>
              <c:f>'Civil Disturbance'!$J$835</c:f>
              <c:numCache>
                <c:formatCode>General</c:formatCode>
                <c:ptCount val="1"/>
                <c:pt idx="0">
                  <c:v>0</c:v>
                </c:pt>
              </c:numCache>
            </c:numRef>
          </c:yVal>
          <c:smooth val="0"/>
          <c:extLst>
            <c:ext xmlns:c16="http://schemas.microsoft.com/office/drawing/2014/chart" uri="{C3380CC4-5D6E-409C-BE32-E72D297353CC}">
              <c16:uniqueId val="{0000000C-12E9-41CC-AB4C-8187E13A02E4}"/>
            </c:ext>
          </c:extLst>
        </c:ser>
        <c:ser>
          <c:idx val="11"/>
          <c:order val="11"/>
          <c:tx>
            <c:strRef>
              <c:f>'Civil Disturbance'!$C$837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Disturbance'!$J$838</c:f>
              <c:numCache>
                <c:formatCode>General</c:formatCode>
                <c:ptCount val="1"/>
                <c:pt idx="0">
                  <c:v>2</c:v>
                </c:pt>
              </c:numCache>
            </c:numRef>
          </c:xVal>
          <c:yVal>
            <c:numRef>
              <c:f>'Civil Disturbance'!$J$839</c:f>
              <c:numCache>
                <c:formatCode>General</c:formatCode>
                <c:ptCount val="1"/>
                <c:pt idx="0">
                  <c:v>0</c:v>
                </c:pt>
              </c:numCache>
            </c:numRef>
          </c:yVal>
          <c:smooth val="0"/>
          <c:extLst>
            <c:ext xmlns:c16="http://schemas.microsoft.com/office/drawing/2014/chart" uri="{C3380CC4-5D6E-409C-BE32-E72D297353CC}">
              <c16:uniqueId val="{0000000D-12E9-41CC-AB4C-8187E13A02E4}"/>
            </c:ext>
          </c:extLst>
        </c:ser>
        <c:ser>
          <c:idx val="12"/>
          <c:order val="12"/>
          <c:tx>
            <c:strRef>
              <c:f>'Civil Disturbance'!$C$841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Disturbance'!$J$842</c:f>
              <c:numCache>
                <c:formatCode>General</c:formatCode>
                <c:ptCount val="1"/>
                <c:pt idx="0">
                  <c:v>2</c:v>
                </c:pt>
              </c:numCache>
            </c:numRef>
          </c:xVal>
          <c:yVal>
            <c:numRef>
              <c:f>'Civil Disturbance'!$J$843</c:f>
              <c:numCache>
                <c:formatCode>General</c:formatCode>
                <c:ptCount val="1"/>
                <c:pt idx="0">
                  <c:v>0</c:v>
                </c:pt>
              </c:numCache>
            </c:numRef>
          </c:yVal>
          <c:smooth val="0"/>
          <c:extLst>
            <c:ext xmlns:c16="http://schemas.microsoft.com/office/drawing/2014/chart" uri="{C3380CC4-5D6E-409C-BE32-E72D297353CC}">
              <c16:uniqueId val="{0000000E-12E9-41CC-AB4C-8187E13A02E4}"/>
            </c:ext>
          </c:extLst>
        </c:ser>
        <c:ser>
          <c:idx val="13"/>
          <c:order val="13"/>
          <c:tx>
            <c:strRef>
              <c:f>'Civil Disturbance'!$C$845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Disturbance'!$J$846</c:f>
              <c:numCache>
                <c:formatCode>General</c:formatCode>
                <c:ptCount val="1"/>
                <c:pt idx="0">
                  <c:v>4</c:v>
                </c:pt>
              </c:numCache>
            </c:numRef>
          </c:xVal>
          <c:yVal>
            <c:numRef>
              <c:f>'Civil Disturbance'!$J$847</c:f>
              <c:numCache>
                <c:formatCode>General</c:formatCode>
                <c:ptCount val="1"/>
                <c:pt idx="0">
                  <c:v>0</c:v>
                </c:pt>
              </c:numCache>
            </c:numRef>
          </c:yVal>
          <c:smooth val="0"/>
          <c:extLst>
            <c:ext xmlns:c16="http://schemas.microsoft.com/office/drawing/2014/chart" uri="{C3380CC4-5D6E-409C-BE32-E72D297353CC}">
              <c16:uniqueId val="{0000000F-12E9-41CC-AB4C-8187E13A02E4}"/>
            </c:ext>
          </c:extLst>
        </c:ser>
        <c:ser>
          <c:idx val="14"/>
          <c:order val="14"/>
          <c:tx>
            <c:strRef>
              <c:f>'Civil Disturbance'!$C$964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Disturbance'!$J$965</c:f>
            </c:numRef>
          </c:xVal>
          <c:yVal>
            <c:numRef>
              <c:f>'Civil Disturbance'!$J$966</c:f>
            </c:numRef>
          </c:yVal>
          <c:smooth val="0"/>
          <c:extLst>
            <c:ext xmlns:c16="http://schemas.microsoft.com/office/drawing/2014/chart" uri="{C3380CC4-5D6E-409C-BE32-E72D297353CC}">
              <c16:uniqueId val="{00000010-12E9-41CC-AB4C-8187E13A02E4}"/>
            </c:ext>
          </c:extLst>
        </c:ser>
        <c:dLbls>
          <c:showLegendKey val="0"/>
          <c:showVal val="1"/>
          <c:showCatName val="0"/>
          <c:showSerName val="0"/>
          <c:showPercent val="0"/>
          <c:showBubbleSize val="0"/>
        </c:dLbls>
        <c:axId val="143978496"/>
        <c:axId val="143980416"/>
      </c:scatterChart>
      <c:valAx>
        <c:axId val="14397849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3980416"/>
        <c:crosses val="autoZero"/>
        <c:crossBetween val="midCat"/>
        <c:majorUnit val="1"/>
        <c:minorUnit val="0.1"/>
      </c:valAx>
      <c:valAx>
        <c:axId val="14398041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397849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('Civil Disturbance'!$J$133,'Civil Disturbance'!$J$261,'Civil Disturbance'!$J$421,'Civil Disturbance'!$J$539,'Civil Disturbance'!$J$681)</c:f>
              <c:numCache>
                <c:formatCode>0.00</c:formatCode>
                <c:ptCount val="5"/>
                <c:pt idx="0">
                  <c:v>1.8333333333333333</c:v>
                </c:pt>
                <c:pt idx="1">
                  <c:v>0</c:v>
                </c:pt>
                <c:pt idx="2">
                  <c:v>1.375</c:v>
                </c:pt>
                <c:pt idx="3">
                  <c:v>1.1428571428571428</c:v>
                </c:pt>
                <c:pt idx="4">
                  <c:v>0</c:v>
                </c:pt>
              </c:numCache>
            </c:numRef>
          </c:val>
          <c:extLst>
            <c:ext xmlns:c16="http://schemas.microsoft.com/office/drawing/2014/chart" uri="{C3380CC4-5D6E-409C-BE32-E72D297353CC}">
              <c16:uniqueId val="{00000000-812A-40F5-BC4F-C394CD11464C}"/>
            </c:ext>
          </c:extLst>
        </c:ser>
        <c:dLbls>
          <c:showLegendKey val="0"/>
          <c:showVal val="1"/>
          <c:showCatName val="0"/>
          <c:showSerName val="0"/>
          <c:showPercent val="0"/>
          <c:showBubbleSize val="0"/>
        </c:dLbls>
        <c:gapWidth val="150"/>
        <c:axId val="143688832"/>
        <c:axId val="143700352"/>
      </c:barChart>
      <c:catAx>
        <c:axId val="14368883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3700352"/>
        <c:crosses val="autoZero"/>
        <c:auto val="1"/>
        <c:lblAlgn val="ctr"/>
        <c:lblOffset val="100"/>
        <c:noMultiLvlLbl val="0"/>
      </c:catAx>
      <c:valAx>
        <c:axId val="143700352"/>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368883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'Civil Disturbance'!$C$903</c:f>
              <c:strCache>
                <c:ptCount val="1"/>
                <c:pt idx="0">
                  <c:v>HC System Prep</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Disturbance'!$J$904</c:f>
              <c:numCache>
                <c:formatCode>General</c:formatCode>
                <c:ptCount val="1"/>
                <c:pt idx="0">
                  <c:v>2</c:v>
                </c:pt>
              </c:numCache>
            </c:numRef>
          </c:xVal>
          <c:yVal>
            <c:numRef>
              <c:f>'Civil Disturbance'!$J$905</c:f>
              <c:numCache>
                <c:formatCode>General</c:formatCode>
                <c:ptCount val="1"/>
                <c:pt idx="0">
                  <c:v>0</c:v>
                </c:pt>
              </c:numCache>
            </c:numRef>
          </c:yVal>
          <c:smooth val="0"/>
          <c:extLst>
            <c:ext xmlns:c16="http://schemas.microsoft.com/office/drawing/2014/chart" uri="{C3380CC4-5D6E-409C-BE32-E72D297353CC}">
              <c16:uniqueId val="{00000000-3ECF-4702-9ADA-8F63C84E52AC}"/>
            </c:ext>
          </c:extLst>
        </c:ser>
        <c:ser>
          <c:idx val="1"/>
          <c:order val="1"/>
          <c:tx>
            <c:strRef>
              <c:f>'Civil Disturbance'!$C$907</c:f>
              <c:strCache>
                <c:ptCount val="1"/>
                <c:pt idx="0">
                  <c:v>HC System Recov</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Disturbance'!$J$908</c:f>
              <c:numCache>
                <c:formatCode>General</c:formatCode>
                <c:ptCount val="1"/>
                <c:pt idx="0">
                  <c:v>2</c:v>
                </c:pt>
              </c:numCache>
            </c:numRef>
          </c:xVal>
          <c:yVal>
            <c:numRef>
              <c:f>'Civil Disturbance'!$J$909</c:f>
              <c:numCache>
                <c:formatCode>General</c:formatCode>
                <c:ptCount val="1"/>
                <c:pt idx="0">
                  <c:v>0</c:v>
                </c:pt>
              </c:numCache>
            </c:numRef>
          </c:yVal>
          <c:smooth val="0"/>
          <c:extLst>
            <c:ext xmlns:c16="http://schemas.microsoft.com/office/drawing/2014/chart" uri="{C3380CC4-5D6E-409C-BE32-E72D297353CC}">
              <c16:uniqueId val="{00000001-3ECF-4702-9ADA-8F63C84E52AC}"/>
            </c:ext>
          </c:extLst>
        </c:ser>
        <c:ser>
          <c:idx val="2"/>
          <c:order val="2"/>
          <c:tx>
            <c:strRef>
              <c:f>'Civil Disturbance'!$C$911</c:f>
              <c:strCache>
                <c:ptCount val="1"/>
                <c:pt idx="0">
                  <c:v>Emerg Ops Coord</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Disturbance'!$J$912</c:f>
              <c:numCache>
                <c:formatCode>General</c:formatCode>
                <c:ptCount val="1"/>
                <c:pt idx="0">
                  <c:v>2</c:v>
                </c:pt>
              </c:numCache>
            </c:numRef>
          </c:xVal>
          <c:yVal>
            <c:numRef>
              <c:f>'Civil Disturbance'!$J$913</c:f>
              <c:numCache>
                <c:formatCode>General</c:formatCode>
                <c:ptCount val="1"/>
                <c:pt idx="0">
                  <c:v>0</c:v>
                </c:pt>
              </c:numCache>
            </c:numRef>
          </c:yVal>
          <c:smooth val="0"/>
          <c:extLst>
            <c:ext xmlns:c16="http://schemas.microsoft.com/office/drawing/2014/chart" uri="{C3380CC4-5D6E-409C-BE32-E72D297353CC}">
              <c16:uniqueId val="{00000002-3ECF-4702-9ADA-8F63C84E52AC}"/>
            </c:ext>
          </c:extLst>
        </c:ser>
        <c:ser>
          <c:idx val="3"/>
          <c:order val="3"/>
          <c:tx>
            <c:strRef>
              <c:f>'Civil Disturbance'!$C$915</c:f>
              <c:strCache>
                <c:ptCount val="1"/>
                <c:pt idx="0">
                  <c:v>Fatality Mgmt</c:v>
                </c:pt>
              </c:strCache>
            </c:strRef>
          </c:tx>
          <c:spPr>
            <a:ln w="66675">
              <a:noFill/>
            </a:ln>
          </c:spPr>
          <c:dLbls>
            <c:dLbl>
              <c:idx val="0"/>
              <c:layout>
                <c:manualLayout>
                  <c:x val="-1.5251807320995951E-1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3ECF-4702-9ADA-8F63C84E52A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Disturbance'!$J$916</c:f>
              <c:numCache>
                <c:formatCode>General</c:formatCode>
                <c:ptCount val="1"/>
                <c:pt idx="0">
                  <c:v>1</c:v>
                </c:pt>
              </c:numCache>
            </c:numRef>
          </c:xVal>
          <c:yVal>
            <c:numRef>
              <c:f>'Civil Disturbance'!$J$917</c:f>
              <c:numCache>
                <c:formatCode>General</c:formatCode>
                <c:ptCount val="1"/>
                <c:pt idx="0">
                  <c:v>0</c:v>
                </c:pt>
              </c:numCache>
            </c:numRef>
          </c:yVal>
          <c:smooth val="0"/>
          <c:extLst>
            <c:ext xmlns:c16="http://schemas.microsoft.com/office/drawing/2014/chart" uri="{C3380CC4-5D6E-409C-BE32-E72D297353CC}">
              <c16:uniqueId val="{00000004-3ECF-4702-9ADA-8F63C84E52AC}"/>
            </c:ext>
          </c:extLst>
        </c:ser>
        <c:ser>
          <c:idx val="4"/>
          <c:order val="4"/>
          <c:tx>
            <c:strRef>
              <c:f>'Civil Disturbance'!$C$919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Disturbance'!$J$920</c:f>
              <c:numCache>
                <c:formatCode>General</c:formatCode>
                <c:ptCount val="1"/>
                <c:pt idx="0">
                  <c:v>4</c:v>
                </c:pt>
              </c:numCache>
            </c:numRef>
          </c:xVal>
          <c:yVal>
            <c:numRef>
              <c:f>'Civil Disturbance'!$J$921</c:f>
              <c:numCache>
                <c:formatCode>General</c:formatCode>
                <c:ptCount val="1"/>
                <c:pt idx="0">
                  <c:v>0</c:v>
                </c:pt>
              </c:numCache>
            </c:numRef>
          </c:yVal>
          <c:smooth val="0"/>
          <c:extLst>
            <c:ext xmlns:c16="http://schemas.microsoft.com/office/drawing/2014/chart" uri="{C3380CC4-5D6E-409C-BE32-E72D297353CC}">
              <c16:uniqueId val="{00000005-3ECF-4702-9ADA-8F63C84E52AC}"/>
            </c:ext>
          </c:extLst>
        </c:ser>
        <c:ser>
          <c:idx val="5"/>
          <c:order val="5"/>
          <c:tx>
            <c:strRef>
              <c:f>'Civil Disturbance'!$C$923</c:f>
              <c:strCache>
                <c:ptCount val="1"/>
                <c:pt idx="0">
                  <c:v>Medical Surge</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Disturbance'!$J$924</c:f>
              <c:numCache>
                <c:formatCode>General</c:formatCode>
                <c:ptCount val="1"/>
                <c:pt idx="0">
                  <c:v>2</c:v>
                </c:pt>
              </c:numCache>
            </c:numRef>
          </c:xVal>
          <c:yVal>
            <c:numRef>
              <c:f>'Civil Disturbance'!$J$925</c:f>
              <c:numCache>
                <c:formatCode>General</c:formatCode>
                <c:ptCount val="1"/>
                <c:pt idx="0">
                  <c:v>0</c:v>
                </c:pt>
              </c:numCache>
            </c:numRef>
          </c:yVal>
          <c:smooth val="0"/>
          <c:extLst>
            <c:ext xmlns:c16="http://schemas.microsoft.com/office/drawing/2014/chart" uri="{C3380CC4-5D6E-409C-BE32-E72D297353CC}">
              <c16:uniqueId val="{00000006-3ECF-4702-9ADA-8F63C84E52AC}"/>
            </c:ext>
          </c:extLst>
        </c:ser>
        <c:ser>
          <c:idx val="6"/>
          <c:order val="6"/>
          <c:tx>
            <c:strRef>
              <c:f>'Civil Disturbance'!$C$927</c:f>
              <c:strCache>
                <c:ptCount val="1"/>
                <c:pt idx="0">
                  <c:v>Responder Safety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Disturbance'!$J$928</c:f>
              <c:numCache>
                <c:formatCode>General</c:formatCode>
                <c:ptCount val="1"/>
                <c:pt idx="0">
                  <c:v>1</c:v>
                </c:pt>
              </c:numCache>
            </c:numRef>
          </c:xVal>
          <c:yVal>
            <c:numRef>
              <c:f>'Civil Disturbance'!$J$929</c:f>
              <c:numCache>
                <c:formatCode>General</c:formatCode>
                <c:ptCount val="1"/>
                <c:pt idx="0">
                  <c:v>0</c:v>
                </c:pt>
              </c:numCache>
            </c:numRef>
          </c:yVal>
          <c:smooth val="0"/>
          <c:extLst>
            <c:ext xmlns:c16="http://schemas.microsoft.com/office/drawing/2014/chart" uri="{C3380CC4-5D6E-409C-BE32-E72D297353CC}">
              <c16:uniqueId val="{00000007-3ECF-4702-9ADA-8F63C84E52AC}"/>
            </c:ext>
          </c:extLst>
        </c:ser>
        <c:ser>
          <c:idx val="7"/>
          <c:order val="7"/>
          <c:tx>
            <c:strRef>
              <c:f>'Civil Disturbance'!$C$931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Disturbance'!$J$932</c:f>
              <c:numCache>
                <c:formatCode>General</c:formatCode>
                <c:ptCount val="1"/>
                <c:pt idx="0">
                  <c:v>0</c:v>
                </c:pt>
              </c:numCache>
            </c:numRef>
          </c:xVal>
          <c:yVal>
            <c:numRef>
              <c:f>'Civil Disturbance'!$J$933</c:f>
              <c:numCache>
                <c:formatCode>General</c:formatCode>
                <c:ptCount val="1"/>
                <c:pt idx="0">
                  <c:v>0</c:v>
                </c:pt>
              </c:numCache>
            </c:numRef>
          </c:yVal>
          <c:smooth val="0"/>
          <c:extLst>
            <c:ext xmlns:c16="http://schemas.microsoft.com/office/drawing/2014/chart" uri="{C3380CC4-5D6E-409C-BE32-E72D297353CC}">
              <c16:uniqueId val="{00000008-3ECF-4702-9ADA-8F63C84E52AC}"/>
            </c:ext>
          </c:extLst>
        </c:ser>
        <c:ser>
          <c:idx val="14"/>
          <c:order val="8"/>
          <c:tx>
            <c:strRef>
              <c:f>'Civil Disturbance'!$C$964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'Civil Disturbance'!$J$965</c:f>
            </c:numRef>
          </c:xVal>
          <c:yVal>
            <c:numRef>
              <c:f>'Civil Disturbance'!$J$966</c:f>
            </c:numRef>
          </c:yVal>
          <c:smooth val="0"/>
          <c:extLst>
            <c:ext xmlns:c16="http://schemas.microsoft.com/office/drawing/2014/chart" uri="{C3380CC4-5D6E-409C-BE32-E72D297353CC}">
              <c16:uniqueId val="{00000009-3ECF-4702-9ADA-8F63C84E52AC}"/>
            </c:ext>
          </c:extLst>
        </c:ser>
        <c:dLbls>
          <c:showLegendKey val="0"/>
          <c:showVal val="1"/>
          <c:showCatName val="0"/>
          <c:showSerName val="0"/>
          <c:showPercent val="0"/>
          <c:showBubbleSize val="0"/>
        </c:dLbls>
        <c:axId val="143767808"/>
        <c:axId val="143851904"/>
      </c:scatterChart>
      <c:valAx>
        <c:axId val="14376780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3851904"/>
        <c:crosses val="autoZero"/>
        <c:crossBetween val="midCat"/>
        <c:majorUnit val="1"/>
        <c:minorUnit val="0.1"/>
      </c:valAx>
      <c:valAx>
        <c:axId val="14385190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376780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('Coastal Storm'!$J$133,'Coastal Storm'!$J$261,'Coastal Storm'!$J$421,'Coastal Storm'!$J$539,'Coastal Storm'!$J$681)</c:f>
              <c:numCache>
                <c:formatCode>0.00</c:formatCode>
                <c:ptCount val="5"/>
                <c:pt idx="0">
                  <c:v>1.4166666666666667</c:v>
                </c:pt>
                <c:pt idx="1">
                  <c:v>0</c:v>
                </c:pt>
                <c:pt idx="2">
                  <c:v>2.1875</c:v>
                </c:pt>
                <c:pt idx="3">
                  <c:v>2.5</c:v>
                </c:pt>
                <c:pt idx="4">
                  <c:v>0</c:v>
                </c:pt>
              </c:numCache>
            </c:numRef>
          </c:val>
          <c:extLst>
            <c:ext xmlns:c16="http://schemas.microsoft.com/office/drawing/2014/chart" uri="{C3380CC4-5D6E-409C-BE32-E72D297353CC}">
              <c16:uniqueId val="{00000000-386D-487A-81CB-A6D0626D3F96}"/>
            </c:ext>
          </c:extLst>
        </c:ser>
        <c:dLbls>
          <c:showLegendKey val="0"/>
          <c:showVal val="1"/>
          <c:showCatName val="0"/>
          <c:showSerName val="0"/>
          <c:showPercent val="0"/>
          <c:showBubbleSize val="0"/>
        </c:dLbls>
        <c:gapWidth val="150"/>
        <c:axId val="143881344"/>
        <c:axId val="143888768"/>
      </c:barChart>
      <c:catAx>
        <c:axId val="143881344"/>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3888768"/>
        <c:crosses val="autoZero"/>
        <c:auto val="1"/>
        <c:lblAlgn val="ctr"/>
        <c:lblOffset val="100"/>
        <c:noMultiLvlLbl val="0"/>
      </c:catAx>
      <c:valAx>
        <c:axId val="14388876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388134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'Coastal Storm'!$C$793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Storm'!$J$795</c:f>
              <c:numCache>
                <c:formatCode>General</c:formatCode>
                <c:ptCount val="1"/>
                <c:pt idx="0">
                  <c:v>3</c:v>
                </c:pt>
              </c:numCache>
            </c:numRef>
          </c:xVal>
          <c:yVal>
            <c:numRef>
              <c:f>'Coastal Storm'!$J$794</c:f>
              <c:numCache>
                <c:formatCode>General</c:formatCode>
                <c:ptCount val="1"/>
                <c:pt idx="0">
                  <c:v>0</c:v>
                </c:pt>
              </c:numCache>
            </c:numRef>
          </c:yVal>
          <c:smooth val="0"/>
          <c:extLst>
            <c:ext xmlns:c16="http://schemas.microsoft.com/office/drawing/2014/chart" uri="{C3380CC4-5D6E-409C-BE32-E72D297353CC}">
              <c16:uniqueId val="{00000000-CAE6-4999-B6FC-5CF90746752A}"/>
            </c:ext>
          </c:extLst>
        </c:ser>
        <c:ser>
          <c:idx val="1"/>
          <c:order val="1"/>
          <c:tx>
            <c:strRef>
              <c:f>'Coastal Storm'!$C$797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Storm'!$J$799</c:f>
              <c:numCache>
                <c:formatCode>General</c:formatCode>
                <c:ptCount val="1"/>
                <c:pt idx="0">
                  <c:v>3</c:v>
                </c:pt>
              </c:numCache>
            </c:numRef>
          </c:xVal>
          <c:yVal>
            <c:numRef>
              <c:f>'Coastal Storm'!$J$798</c:f>
              <c:numCache>
                <c:formatCode>General</c:formatCode>
                <c:ptCount val="1"/>
                <c:pt idx="0">
                  <c:v>0</c:v>
                </c:pt>
              </c:numCache>
            </c:numRef>
          </c:yVal>
          <c:smooth val="0"/>
          <c:extLst>
            <c:ext xmlns:c16="http://schemas.microsoft.com/office/drawing/2014/chart" uri="{C3380CC4-5D6E-409C-BE32-E72D297353CC}">
              <c16:uniqueId val="{00000001-CAE6-4999-B6FC-5CF90746752A}"/>
            </c:ext>
          </c:extLst>
        </c:ser>
        <c:ser>
          <c:idx val="2"/>
          <c:order val="2"/>
          <c:tx>
            <c:strRef>
              <c:f>'Coastal Storm'!$C$801</c:f>
              <c:strCache>
                <c:ptCount val="1"/>
                <c:pt idx="0">
                  <c:v>Children 18 and under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Storm'!$J$803</c:f>
              <c:numCache>
                <c:formatCode>General</c:formatCode>
                <c:ptCount val="1"/>
                <c:pt idx="0">
                  <c:v>4</c:v>
                </c:pt>
              </c:numCache>
            </c:numRef>
          </c:xVal>
          <c:yVal>
            <c:numRef>
              <c:f>'Coastal Storm'!$J$802</c:f>
              <c:numCache>
                <c:formatCode>General</c:formatCode>
                <c:ptCount val="1"/>
                <c:pt idx="0">
                  <c:v>0</c:v>
                </c:pt>
              </c:numCache>
            </c:numRef>
          </c:yVal>
          <c:smooth val="0"/>
          <c:extLst>
            <c:ext xmlns:c16="http://schemas.microsoft.com/office/drawing/2014/chart" uri="{C3380CC4-5D6E-409C-BE32-E72D297353CC}">
              <c16:uniqueId val="{00000002-CAE6-4999-B6FC-5CF90746752A}"/>
            </c:ext>
          </c:extLst>
        </c:ser>
        <c:ser>
          <c:idx val="3"/>
          <c:order val="3"/>
          <c:tx>
            <c:strRef>
              <c:f>'Coastal Storm'!$C$805</c:f>
              <c:strCache>
                <c:ptCount val="1"/>
                <c:pt idx="0">
                  <c:v>Elderly 65 and older</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AE6-4999-B6FC-5CF90746752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Storm'!$J$807</c:f>
              <c:numCache>
                <c:formatCode>General</c:formatCode>
                <c:ptCount val="1"/>
                <c:pt idx="0">
                  <c:v>3</c:v>
                </c:pt>
              </c:numCache>
            </c:numRef>
          </c:xVal>
          <c:yVal>
            <c:numRef>
              <c:f>'Coastal Storm'!$J$806</c:f>
              <c:numCache>
                <c:formatCode>General</c:formatCode>
                <c:ptCount val="1"/>
                <c:pt idx="0">
                  <c:v>0</c:v>
                </c:pt>
              </c:numCache>
            </c:numRef>
          </c:yVal>
          <c:smooth val="0"/>
          <c:extLst>
            <c:ext xmlns:c16="http://schemas.microsoft.com/office/drawing/2014/chart" uri="{C3380CC4-5D6E-409C-BE32-E72D297353CC}">
              <c16:uniqueId val="{00000004-CAE6-4999-B6FC-5CF90746752A}"/>
            </c:ext>
          </c:extLst>
        </c:ser>
        <c:ser>
          <c:idx val="4"/>
          <c:order val="4"/>
          <c:tx>
            <c:strRef>
              <c:f>'Coastal Storm'!$C$773</c:f>
              <c:strCache>
                <c:ptCount val="1"/>
                <c:pt idx="0">
                  <c:v>Hearing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Storm'!$J$775</c:f>
              <c:numCache>
                <c:formatCode>General</c:formatCode>
                <c:ptCount val="1"/>
                <c:pt idx="0">
                  <c:v>3</c:v>
                </c:pt>
              </c:numCache>
            </c:numRef>
          </c:xVal>
          <c:yVal>
            <c:numRef>
              <c:f>'Coastal Storm'!$J$774</c:f>
              <c:numCache>
                <c:formatCode>General</c:formatCode>
                <c:ptCount val="1"/>
                <c:pt idx="0">
                  <c:v>0</c:v>
                </c:pt>
              </c:numCache>
            </c:numRef>
          </c:yVal>
          <c:smooth val="0"/>
          <c:extLst>
            <c:ext xmlns:c16="http://schemas.microsoft.com/office/drawing/2014/chart" uri="{C3380CC4-5D6E-409C-BE32-E72D297353CC}">
              <c16:uniqueId val="{00000005-CAE6-4999-B6FC-5CF90746752A}"/>
            </c:ext>
          </c:extLst>
        </c:ser>
        <c:ser>
          <c:idx val="5"/>
          <c:order val="5"/>
          <c:tx>
            <c:strRef>
              <c:f>'Coastal Storm'!$C$777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Storm'!$J$779</c:f>
              <c:numCache>
                <c:formatCode>General</c:formatCode>
                <c:ptCount val="1"/>
                <c:pt idx="0">
                  <c:v>4</c:v>
                </c:pt>
              </c:numCache>
            </c:numRef>
          </c:xVal>
          <c:yVal>
            <c:numRef>
              <c:f>'Coastal Storm'!$J$778</c:f>
              <c:numCache>
                <c:formatCode>General</c:formatCode>
                <c:ptCount val="1"/>
                <c:pt idx="0">
                  <c:v>0</c:v>
                </c:pt>
              </c:numCache>
            </c:numRef>
          </c:yVal>
          <c:smooth val="0"/>
          <c:extLst>
            <c:ext xmlns:c16="http://schemas.microsoft.com/office/drawing/2014/chart" uri="{C3380CC4-5D6E-409C-BE32-E72D297353CC}">
              <c16:uniqueId val="{00000006-CAE6-4999-B6FC-5CF90746752A}"/>
            </c:ext>
          </c:extLst>
        </c:ser>
        <c:ser>
          <c:idx val="6"/>
          <c:order val="6"/>
          <c:tx>
            <c:strRef>
              <c:f>'Coastal Storm'!$C$781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Storm'!$J$783</c:f>
              <c:numCache>
                <c:formatCode>General</c:formatCode>
                <c:ptCount val="1"/>
                <c:pt idx="0">
                  <c:v>3</c:v>
                </c:pt>
              </c:numCache>
            </c:numRef>
          </c:xVal>
          <c:yVal>
            <c:numRef>
              <c:f>'Coastal Storm'!$J$782</c:f>
              <c:numCache>
                <c:formatCode>General</c:formatCode>
                <c:ptCount val="1"/>
                <c:pt idx="0">
                  <c:v>0</c:v>
                </c:pt>
              </c:numCache>
            </c:numRef>
          </c:yVal>
          <c:smooth val="0"/>
          <c:extLst>
            <c:ext xmlns:c16="http://schemas.microsoft.com/office/drawing/2014/chart" uri="{C3380CC4-5D6E-409C-BE32-E72D297353CC}">
              <c16:uniqueId val="{00000007-CAE6-4999-B6FC-5CF90746752A}"/>
            </c:ext>
          </c:extLst>
        </c:ser>
        <c:ser>
          <c:idx val="7"/>
          <c:order val="7"/>
          <c:tx>
            <c:strRef>
              <c:f>'Coastal Storm'!$C$785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AE6-4999-B6FC-5CF90746752A}"/>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'Coastal Storm'!$J$787</c:f>
              <c:numCache>
                <c:formatCode>General</c:formatCode>
                <c:ptCount val="1"/>
                <c:pt idx="0">
                  <c:v>4</c:v>
                </c:pt>
              </c:numCache>
            </c:numRef>
          </c:xVal>
          <c:yVal>
            <c:numRef>
              <c:f>'Coastal Storm'!$J$786</c:f>
              <c:numCache>
                <c:formatCode>General</c:formatCode>
                <c:ptCount val="1"/>
                <c:pt idx="0">
                  <c:v>0</c:v>
                </c:pt>
              </c:numCache>
            </c:numRef>
          </c:yVal>
          <c:smooth val="0"/>
          <c:extLst>
            <c:ext xmlns:c16="http://schemas.microsoft.com/office/drawing/2014/chart" uri="{C3380CC4-5D6E-409C-BE32-E72D297353CC}">
              <c16:uniqueId val="{00000009-CAE6-4999-B6FC-5CF90746752A}"/>
            </c:ext>
          </c:extLst>
        </c:ser>
        <c:ser>
          <c:idx val="8"/>
          <c:order val="8"/>
          <c:tx>
            <c:strRef>
              <c:f>'Coastal Storm'!$C$789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Storm'!$J$791</c:f>
              <c:numCache>
                <c:formatCode>General</c:formatCode>
                <c:ptCount val="1"/>
                <c:pt idx="0">
                  <c:v>3</c:v>
                </c:pt>
              </c:numCache>
            </c:numRef>
          </c:xVal>
          <c:yVal>
            <c:numRef>
              <c:f>'Coastal Storm'!$J$790</c:f>
              <c:numCache>
                <c:formatCode>General</c:formatCode>
                <c:ptCount val="1"/>
                <c:pt idx="0">
                  <c:v>0</c:v>
                </c:pt>
              </c:numCache>
            </c:numRef>
          </c:yVal>
          <c:smooth val="0"/>
          <c:extLst>
            <c:ext xmlns:c16="http://schemas.microsoft.com/office/drawing/2014/chart" uri="{C3380CC4-5D6E-409C-BE32-E72D297353CC}">
              <c16:uniqueId val="{0000000A-CAE6-4999-B6FC-5CF90746752A}"/>
            </c:ext>
          </c:extLst>
        </c:ser>
        <c:dLbls>
          <c:showLegendKey val="0"/>
          <c:showVal val="1"/>
          <c:showCatName val="0"/>
          <c:showSerName val="0"/>
          <c:showPercent val="0"/>
          <c:showBubbleSize val="0"/>
        </c:dLbls>
        <c:axId val="144435456"/>
        <c:axId val="144056704"/>
      </c:scatterChart>
      <c:valAx>
        <c:axId val="14443545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4056704"/>
        <c:crosses val="autoZero"/>
        <c:crossBetween val="midCat"/>
        <c:majorUnit val="1"/>
        <c:minorUnit val="0.1"/>
      </c:valAx>
      <c:valAx>
        <c:axId val="14405670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443545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'Coastal Storm'!$C$853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Storm'!$J$854</c:f>
              <c:numCache>
                <c:formatCode>General</c:formatCode>
                <c:ptCount val="1"/>
                <c:pt idx="0">
                  <c:v>4</c:v>
                </c:pt>
              </c:numCache>
            </c:numRef>
          </c:xVal>
          <c:yVal>
            <c:numRef>
              <c:f>'Coastal Storm'!$J$855</c:f>
              <c:numCache>
                <c:formatCode>General</c:formatCode>
                <c:ptCount val="1"/>
                <c:pt idx="0">
                  <c:v>0</c:v>
                </c:pt>
              </c:numCache>
            </c:numRef>
          </c:yVal>
          <c:smooth val="0"/>
          <c:extLst>
            <c:ext xmlns:c16="http://schemas.microsoft.com/office/drawing/2014/chart" uri="{C3380CC4-5D6E-409C-BE32-E72D297353CC}">
              <c16:uniqueId val="{00000000-12D2-4ADF-B758-B7CE64C1DACE}"/>
            </c:ext>
          </c:extLst>
        </c:ser>
        <c:ser>
          <c:idx val="1"/>
          <c:order val="1"/>
          <c:tx>
            <c:strRef>
              <c:f>'Coastal Storm'!$C$857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Storm'!$J$858</c:f>
              <c:numCache>
                <c:formatCode>General</c:formatCode>
                <c:ptCount val="1"/>
                <c:pt idx="0">
                  <c:v>3</c:v>
                </c:pt>
              </c:numCache>
            </c:numRef>
          </c:xVal>
          <c:yVal>
            <c:numRef>
              <c:f>'Coastal Storm'!$J$859</c:f>
              <c:numCache>
                <c:formatCode>General</c:formatCode>
                <c:ptCount val="1"/>
                <c:pt idx="0">
                  <c:v>0</c:v>
                </c:pt>
              </c:numCache>
            </c:numRef>
          </c:yVal>
          <c:smooth val="0"/>
          <c:extLst>
            <c:ext xmlns:c16="http://schemas.microsoft.com/office/drawing/2014/chart" uri="{C3380CC4-5D6E-409C-BE32-E72D297353CC}">
              <c16:uniqueId val="{00000001-12D2-4ADF-B758-B7CE64C1DACE}"/>
            </c:ext>
          </c:extLst>
        </c:ser>
        <c:ser>
          <c:idx val="2"/>
          <c:order val="2"/>
          <c:tx>
            <c:strRef>
              <c:f>'Coastal Storm'!$C$861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Storm'!$J$862</c:f>
              <c:numCache>
                <c:formatCode>General</c:formatCode>
                <c:ptCount val="1"/>
                <c:pt idx="0">
                  <c:v>0</c:v>
                </c:pt>
              </c:numCache>
            </c:numRef>
          </c:xVal>
          <c:yVal>
            <c:numRef>
              <c:f>'Coastal Storm'!$J$863</c:f>
              <c:numCache>
                <c:formatCode>General</c:formatCode>
                <c:ptCount val="1"/>
                <c:pt idx="0">
                  <c:v>0</c:v>
                </c:pt>
              </c:numCache>
            </c:numRef>
          </c:yVal>
          <c:smooth val="0"/>
          <c:extLst>
            <c:ext xmlns:c16="http://schemas.microsoft.com/office/drawing/2014/chart" uri="{C3380CC4-5D6E-409C-BE32-E72D297353CC}">
              <c16:uniqueId val="{00000002-12D2-4ADF-B758-B7CE64C1DACE}"/>
            </c:ext>
          </c:extLst>
        </c:ser>
        <c:ser>
          <c:idx val="3"/>
          <c:order val="3"/>
          <c:tx>
            <c:strRef>
              <c:f>'Coastal Storm'!$C$865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Storm'!$J$866</c:f>
              <c:numCache>
                <c:formatCode>General</c:formatCode>
                <c:ptCount val="1"/>
                <c:pt idx="0">
                  <c:v>2</c:v>
                </c:pt>
              </c:numCache>
            </c:numRef>
          </c:xVal>
          <c:yVal>
            <c:numRef>
              <c:f>'Coastal Storm'!$J$867</c:f>
              <c:numCache>
                <c:formatCode>General</c:formatCode>
                <c:ptCount val="1"/>
                <c:pt idx="0">
                  <c:v>0</c:v>
                </c:pt>
              </c:numCache>
            </c:numRef>
          </c:yVal>
          <c:smooth val="0"/>
          <c:extLst>
            <c:ext xmlns:c16="http://schemas.microsoft.com/office/drawing/2014/chart" uri="{C3380CC4-5D6E-409C-BE32-E72D297353CC}">
              <c16:uniqueId val="{00000003-12D2-4ADF-B758-B7CE64C1DACE}"/>
            </c:ext>
          </c:extLst>
        </c:ser>
        <c:ser>
          <c:idx val="4"/>
          <c:order val="4"/>
          <c:tx>
            <c:strRef>
              <c:f>'Coastal Storm'!$C$869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Storm'!$J$870</c:f>
              <c:numCache>
                <c:formatCode>General</c:formatCode>
                <c:ptCount val="1"/>
                <c:pt idx="0">
                  <c:v>2</c:v>
                </c:pt>
              </c:numCache>
            </c:numRef>
          </c:xVal>
          <c:yVal>
            <c:numRef>
              <c:f>'Coastal Storm'!$J$871</c:f>
              <c:numCache>
                <c:formatCode>General</c:formatCode>
                <c:ptCount val="1"/>
                <c:pt idx="0">
                  <c:v>0</c:v>
                </c:pt>
              </c:numCache>
            </c:numRef>
          </c:yVal>
          <c:smooth val="0"/>
          <c:extLst>
            <c:ext xmlns:c16="http://schemas.microsoft.com/office/drawing/2014/chart" uri="{C3380CC4-5D6E-409C-BE32-E72D297353CC}">
              <c16:uniqueId val="{00000004-12D2-4ADF-B758-B7CE64C1DACE}"/>
            </c:ext>
          </c:extLst>
        </c:ser>
        <c:ser>
          <c:idx val="5"/>
          <c:order val="5"/>
          <c:tx>
            <c:strRef>
              <c:f>'Coastal Storm'!$C$873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Storm'!$J$874</c:f>
              <c:numCache>
                <c:formatCode>General</c:formatCode>
                <c:ptCount val="1"/>
                <c:pt idx="0">
                  <c:v>0</c:v>
                </c:pt>
              </c:numCache>
            </c:numRef>
          </c:xVal>
          <c:yVal>
            <c:numRef>
              <c:f>'Coastal Storm'!$J$875</c:f>
              <c:numCache>
                <c:formatCode>General</c:formatCode>
                <c:ptCount val="1"/>
                <c:pt idx="0">
                  <c:v>0</c:v>
                </c:pt>
              </c:numCache>
            </c:numRef>
          </c:yVal>
          <c:smooth val="0"/>
          <c:extLst>
            <c:ext xmlns:c16="http://schemas.microsoft.com/office/drawing/2014/chart" uri="{C3380CC4-5D6E-409C-BE32-E72D297353CC}">
              <c16:uniqueId val="{00000005-12D2-4ADF-B758-B7CE64C1DACE}"/>
            </c:ext>
          </c:extLst>
        </c:ser>
        <c:ser>
          <c:idx val="6"/>
          <c:order val="6"/>
          <c:tx>
            <c:strRef>
              <c:f>'Coastal Storm'!$C$877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Storm'!$J$878</c:f>
              <c:numCache>
                <c:formatCode>General</c:formatCode>
                <c:ptCount val="1"/>
                <c:pt idx="0">
                  <c:v>1</c:v>
                </c:pt>
              </c:numCache>
            </c:numRef>
          </c:xVal>
          <c:yVal>
            <c:numRef>
              <c:f>'Coastal Storm'!$J$879</c:f>
              <c:numCache>
                <c:formatCode>General</c:formatCode>
                <c:ptCount val="1"/>
                <c:pt idx="0">
                  <c:v>0</c:v>
                </c:pt>
              </c:numCache>
            </c:numRef>
          </c:yVal>
          <c:smooth val="0"/>
          <c:extLst>
            <c:ext xmlns:c16="http://schemas.microsoft.com/office/drawing/2014/chart" uri="{C3380CC4-5D6E-409C-BE32-E72D297353CC}">
              <c16:uniqueId val="{00000006-12D2-4ADF-B758-B7CE64C1DACE}"/>
            </c:ext>
          </c:extLst>
        </c:ser>
        <c:ser>
          <c:idx val="7"/>
          <c:order val="7"/>
          <c:tx>
            <c:strRef>
              <c:f>'Coastal Storm'!$C$881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Storm'!$J$882</c:f>
              <c:numCache>
                <c:formatCode>General</c:formatCode>
                <c:ptCount val="1"/>
                <c:pt idx="0">
                  <c:v>2</c:v>
                </c:pt>
              </c:numCache>
            </c:numRef>
          </c:xVal>
          <c:yVal>
            <c:numRef>
              <c:f>'Coastal Storm'!$J$883</c:f>
              <c:numCache>
                <c:formatCode>General</c:formatCode>
                <c:ptCount val="1"/>
                <c:pt idx="0">
                  <c:v>0</c:v>
                </c:pt>
              </c:numCache>
            </c:numRef>
          </c:yVal>
          <c:smooth val="0"/>
          <c:extLst>
            <c:ext xmlns:c16="http://schemas.microsoft.com/office/drawing/2014/chart" uri="{C3380CC4-5D6E-409C-BE32-E72D297353CC}">
              <c16:uniqueId val="{00000007-12D2-4ADF-B758-B7CE64C1DACE}"/>
            </c:ext>
          </c:extLst>
        </c:ser>
        <c:ser>
          <c:idx val="8"/>
          <c:order val="8"/>
          <c:tx>
            <c:strRef>
              <c:f>'Coastal Storm'!$C$885</c:f>
              <c:strCache>
                <c:ptCount val="1"/>
                <c:pt idx="0">
                  <c:v>Responder Safety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Storm'!$J$886</c:f>
              <c:numCache>
                <c:formatCode>General</c:formatCode>
                <c:ptCount val="1"/>
                <c:pt idx="0">
                  <c:v>2</c:v>
                </c:pt>
              </c:numCache>
            </c:numRef>
          </c:xVal>
          <c:yVal>
            <c:numRef>
              <c:f>'Coastal Storm'!$J$887</c:f>
              <c:numCache>
                <c:formatCode>General</c:formatCode>
                <c:ptCount val="1"/>
                <c:pt idx="0">
                  <c:v>0</c:v>
                </c:pt>
              </c:numCache>
            </c:numRef>
          </c:yVal>
          <c:smooth val="0"/>
          <c:extLst>
            <c:ext xmlns:c16="http://schemas.microsoft.com/office/drawing/2014/chart" uri="{C3380CC4-5D6E-409C-BE32-E72D297353CC}">
              <c16:uniqueId val="{00000008-12D2-4ADF-B758-B7CE64C1DACE}"/>
            </c:ext>
          </c:extLst>
        </c:ser>
        <c:ser>
          <c:idx val="9"/>
          <c:order val="9"/>
          <c:tx>
            <c:strRef>
              <c:f>'Coastal Storm'!$C$889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Storm'!$J$890</c:f>
              <c:numCache>
                <c:formatCode>General</c:formatCode>
                <c:ptCount val="1"/>
                <c:pt idx="0">
                  <c:v>3</c:v>
                </c:pt>
              </c:numCache>
            </c:numRef>
          </c:xVal>
          <c:yVal>
            <c:numRef>
              <c:f>'Coastal Storm'!$J$891</c:f>
              <c:numCache>
                <c:formatCode>General</c:formatCode>
                <c:ptCount val="1"/>
                <c:pt idx="0">
                  <c:v>0</c:v>
                </c:pt>
              </c:numCache>
            </c:numRef>
          </c:yVal>
          <c:smooth val="0"/>
          <c:extLst>
            <c:ext xmlns:c16="http://schemas.microsoft.com/office/drawing/2014/chart" uri="{C3380CC4-5D6E-409C-BE32-E72D297353CC}">
              <c16:uniqueId val="{00000009-12D2-4ADF-B758-B7CE64C1DACE}"/>
            </c:ext>
          </c:extLst>
        </c:ser>
        <c:ser>
          <c:idx val="10"/>
          <c:order val="10"/>
          <c:tx>
            <c:strRef>
              <c:f>'Coastal Storm'!$C$833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Storm'!$J$834</c:f>
              <c:numCache>
                <c:formatCode>General</c:formatCode>
                <c:ptCount val="1"/>
                <c:pt idx="0">
                  <c:v>4</c:v>
                </c:pt>
              </c:numCache>
            </c:numRef>
          </c:xVal>
          <c:yVal>
            <c:numRef>
              <c:f>'Coastal Storm'!$J$835</c:f>
              <c:numCache>
                <c:formatCode>General</c:formatCode>
                <c:ptCount val="1"/>
                <c:pt idx="0">
                  <c:v>0</c:v>
                </c:pt>
              </c:numCache>
            </c:numRef>
          </c:yVal>
          <c:smooth val="0"/>
          <c:extLst>
            <c:ext xmlns:c16="http://schemas.microsoft.com/office/drawing/2014/chart" uri="{C3380CC4-5D6E-409C-BE32-E72D297353CC}">
              <c16:uniqueId val="{0000000A-12D2-4ADF-B758-B7CE64C1DACE}"/>
            </c:ext>
          </c:extLst>
        </c:ser>
        <c:ser>
          <c:idx val="11"/>
          <c:order val="11"/>
          <c:tx>
            <c:strRef>
              <c:f>'Coastal Storm'!$C$837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Storm'!$J$838</c:f>
              <c:numCache>
                <c:formatCode>General</c:formatCode>
                <c:ptCount val="1"/>
                <c:pt idx="0">
                  <c:v>4</c:v>
                </c:pt>
              </c:numCache>
            </c:numRef>
          </c:xVal>
          <c:yVal>
            <c:numRef>
              <c:f>'Coastal Storm'!$J$839</c:f>
              <c:numCache>
                <c:formatCode>General</c:formatCode>
                <c:ptCount val="1"/>
                <c:pt idx="0">
                  <c:v>0</c:v>
                </c:pt>
              </c:numCache>
            </c:numRef>
          </c:yVal>
          <c:smooth val="0"/>
          <c:extLst>
            <c:ext xmlns:c16="http://schemas.microsoft.com/office/drawing/2014/chart" uri="{C3380CC4-5D6E-409C-BE32-E72D297353CC}">
              <c16:uniqueId val="{0000000B-12D2-4ADF-B758-B7CE64C1DACE}"/>
            </c:ext>
          </c:extLst>
        </c:ser>
        <c:ser>
          <c:idx val="12"/>
          <c:order val="12"/>
          <c:tx>
            <c:strRef>
              <c:f>'Coastal Storm'!$C$841</c:f>
              <c:strCache>
                <c:ptCount val="1"/>
                <c:pt idx="0">
                  <c:v>Emerg Ops Coord</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Storm'!$J$842</c:f>
              <c:numCache>
                <c:formatCode>General</c:formatCode>
                <c:ptCount val="1"/>
                <c:pt idx="0">
                  <c:v>4</c:v>
                </c:pt>
              </c:numCache>
            </c:numRef>
          </c:xVal>
          <c:yVal>
            <c:numRef>
              <c:f>'Coastal Storm'!$J$843</c:f>
              <c:numCache>
                <c:formatCode>General</c:formatCode>
                <c:ptCount val="1"/>
                <c:pt idx="0">
                  <c:v>0</c:v>
                </c:pt>
              </c:numCache>
            </c:numRef>
          </c:yVal>
          <c:smooth val="0"/>
          <c:extLst>
            <c:ext xmlns:c16="http://schemas.microsoft.com/office/drawing/2014/chart" uri="{C3380CC4-5D6E-409C-BE32-E72D297353CC}">
              <c16:uniqueId val="{0000000C-12D2-4ADF-B758-B7CE64C1DACE}"/>
            </c:ext>
          </c:extLst>
        </c:ser>
        <c:ser>
          <c:idx val="13"/>
          <c:order val="13"/>
          <c:tx>
            <c:strRef>
              <c:f>'Coastal Storm'!$C$845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Storm'!$J$846</c:f>
              <c:numCache>
                <c:formatCode>General</c:formatCode>
                <c:ptCount val="1"/>
                <c:pt idx="0">
                  <c:v>4</c:v>
                </c:pt>
              </c:numCache>
            </c:numRef>
          </c:xVal>
          <c:yVal>
            <c:numRef>
              <c:f>'Coastal Storm'!$J$847</c:f>
              <c:numCache>
                <c:formatCode>General</c:formatCode>
                <c:ptCount val="1"/>
                <c:pt idx="0">
                  <c:v>0</c:v>
                </c:pt>
              </c:numCache>
            </c:numRef>
          </c:yVal>
          <c:smooth val="0"/>
          <c:extLst>
            <c:ext xmlns:c16="http://schemas.microsoft.com/office/drawing/2014/chart" uri="{C3380CC4-5D6E-409C-BE32-E72D297353CC}">
              <c16:uniqueId val="{0000000D-12D2-4ADF-B758-B7CE64C1DACE}"/>
            </c:ext>
          </c:extLst>
        </c:ser>
        <c:ser>
          <c:idx val="14"/>
          <c:order val="14"/>
          <c:tx>
            <c:strRef>
              <c:f>'Coastal Storm'!$C$964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Storm'!$J$965</c:f>
            </c:numRef>
          </c:xVal>
          <c:yVal>
            <c:numRef>
              <c:f>'Coastal Storm'!$J$966</c:f>
            </c:numRef>
          </c:yVal>
          <c:smooth val="0"/>
          <c:extLst>
            <c:ext xmlns:c16="http://schemas.microsoft.com/office/drawing/2014/chart" uri="{C3380CC4-5D6E-409C-BE32-E72D297353CC}">
              <c16:uniqueId val="{0000000E-12D2-4ADF-B758-B7CE64C1DACE}"/>
            </c:ext>
          </c:extLst>
        </c:ser>
        <c:dLbls>
          <c:showLegendKey val="0"/>
          <c:showVal val="1"/>
          <c:showCatName val="0"/>
          <c:showSerName val="0"/>
          <c:showPercent val="0"/>
          <c:showBubbleSize val="0"/>
        </c:dLbls>
        <c:axId val="144262656"/>
        <c:axId val="144264576"/>
      </c:scatterChart>
      <c:valAx>
        <c:axId val="14426265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264576"/>
        <c:crosses val="autoZero"/>
        <c:crossBetween val="midCat"/>
        <c:majorUnit val="1"/>
        <c:minorUnit val="0.1"/>
      </c:valAx>
      <c:valAx>
        <c:axId val="14426457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26265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186075596297969"/>
          <c:y val="1.3244983721297133E-2"/>
        </c:manualLayout>
      </c:layout>
      <c:overlay val="0"/>
    </c:title>
    <c:autoTitleDeleted val="0"/>
    <c:plotArea>
      <c:layout/>
      <c:scatterChart>
        <c:scatterStyle val="lineMarker"/>
        <c:varyColors val="0"/>
        <c:ser>
          <c:idx val="0"/>
          <c:order val="0"/>
          <c:tx>
            <c:strRef>
              <c:f>'Coastal Storm'!$C$903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Storm'!$J$904</c:f>
              <c:numCache>
                <c:formatCode>General</c:formatCode>
                <c:ptCount val="1"/>
                <c:pt idx="0">
                  <c:v>4</c:v>
                </c:pt>
              </c:numCache>
            </c:numRef>
          </c:xVal>
          <c:yVal>
            <c:numRef>
              <c:f>'Coastal Storm'!$J$905</c:f>
              <c:numCache>
                <c:formatCode>General</c:formatCode>
                <c:ptCount val="1"/>
                <c:pt idx="0">
                  <c:v>0</c:v>
                </c:pt>
              </c:numCache>
            </c:numRef>
          </c:yVal>
          <c:smooth val="0"/>
          <c:extLst>
            <c:ext xmlns:c16="http://schemas.microsoft.com/office/drawing/2014/chart" uri="{C3380CC4-5D6E-409C-BE32-E72D297353CC}">
              <c16:uniqueId val="{00000000-A76A-4377-B2D5-841ECC7A5919}"/>
            </c:ext>
          </c:extLst>
        </c:ser>
        <c:ser>
          <c:idx val="1"/>
          <c:order val="1"/>
          <c:tx>
            <c:strRef>
              <c:f>'Coastal Storm'!$C$907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Storm'!$J$908</c:f>
              <c:numCache>
                <c:formatCode>General</c:formatCode>
                <c:ptCount val="1"/>
                <c:pt idx="0">
                  <c:v>4</c:v>
                </c:pt>
              </c:numCache>
            </c:numRef>
          </c:xVal>
          <c:yVal>
            <c:numRef>
              <c:f>'Coastal Storm'!$J$909</c:f>
              <c:numCache>
                <c:formatCode>General</c:formatCode>
                <c:ptCount val="1"/>
                <c:pt idx="0">
                  <c:v>0</c:v>
                </c:pt>
              </c:numCache>
            </c:numRef>
          </c:yVal>
          <c:smooth val="0"/>
          <c:extLst>
            <c:ext xmlns:c16="http://schemas.microsoft.com/office/drawing/2014/chart" uri="{C3380CC4-5D6E-409C-BE32-E72D297353CC}">
              <c16:uniqueId val="{00000001-A76A-4377-B2D5-841ECC7A5919}"/>
            </c:ext>
          </c:extLst>
        </c:ser>
        <c:ser>
          <c:idx val="2"/>
          <c:order val="2"/>
          <c:tx>
            <c:strRef>
              <c:f>'Coastal Storm'!$C$911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Storm'!$J$912</c:f>
              <c:numCache>
                <c:formatCode>General</c:formatCode>
                <c:ptCount val="1"/>
                <c:pt idx="0">
                  <c:v>4</c:v>
                </c:pt>
              </c:numCache>
            </c:numRef>
          </c:xVal>
          <c:yVal>
            <c:numRef>
              <c:f>'Coastal Storm'!$J$913</c:f>
              <c:numCache>
                <c:formatCode>General</c:formatCode>
                <c:ptCount val="1"/>
                <c:pt idx="0">
                  <c:v>0</c:v>
                </c:pt>
              </c:numCache>
            </c:numRef>
          </c:yVal>
          <c:smooth val="0"/>
          <c:extLst>
            <c:ext xmlns:c16="http://schemas.microsoft.com/office/drawing/2014/chart" uri="{C3380CC4-5D6E-409C-BE32-E72D297353CC}">
              <c16:uniqueId val="{00000002-A76A-4377-B2D5-841ECC7A5919}"/>
            </c:ext>
          </c:extLst>
        </c:ser>
        <c:ser>
          <c:idx val="3"/>
          <c:order val="3"/>
          <c:tx>
            <c:strRef>
              <c:f>'Coastal Storm'!$C$915</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Storm'!$J$916</c:f>
              <c:numCache>
                <c:formatCode>General</c:formatCode>
                <c:ptCount val="1"/>
                <c:pt idx="0">
                  <c:v>1</c:v>
                </c:pt>
              </c:numCache>
            </c:numRef>
          </c:xVal>
          <c:yVal>
            <c:numRef>
              <c:f>'Coastal Storm'!$J$917</c:f>
              <c:numCache>
                <c:formatCode>General</c:formatCode>
                <c:ptCount val="1"/>
                <c:pt idx="0">
                  <c:v>0</c:v>
                </c:pt>
              </c:numCache>
            </c:numRef>
          </c:yVal>
          <c:smooth val="0"/>
          <c:extLst>
            <c:ext xmlns:c16="http://schemas.microsoft.com/office/drawing/2014/chart" uri="{C3380CC4-5D6E-409C-BE32-E72D297353CC}">
              <c16:uniqueId val="{00000003-A76A-4377-B2D5-841ECC7A5919}"/>
            </c:ext>
          </c:extLst>
        </c:ser>
        <c:ser>
          <c:idx val="4"/>
          <c:order val="4"/>
          <c:tx>
            <c:strRef>
              <c:f>'Coastal Storm'!$C$919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Storm'!$J$920</c:f>
              <c:numCache>
                <c:formatCode>General</c:formatCode>
                <c:ptCount val="1"/>
                <c:pt idx="0">
                  <c:v>4</c:v>
                </c:pt>
              </c:numCache>
            </c:numRef>
          </c:xVal>
          <c:yVal>
            <c:numRef>
              <c:f>'Coastal Storm'!$J$921</c:f>
              <c:numCache>
                <c:formatCode>General</c:formatCode>
                <c:ptCount val="1"/>
                <c:pt idx="0">
                  <c:v>0</c:v>
                </c:pt>
              </c:numCache>
            </c:numRef>
          </c:yVal>
          <c:smooth val="0"/>
          <c:extLst>
            <c:ext xmlns:c16="http://schemas.microsoft.com/office/drawing/2014/chart" uri="{C3380CC4-5D6E-409C-BE32-E72D297353CC}">
              <c16:uniqueId val="{00000004-A76A-4377-B2D5-841ECC7A5919}"/>
            </c:ext>
          </c:extLst>
        </c:ser>
        <c:ser>
          <c:idx val="5"/>
          <c:order val="5"/>
          <c:tx>
            <c:strRef>
              <c:f>'Coastal Storm'!$C$923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Storm'!$J$924</c:f>
              <c:numCache>
                <c:formatCode>General</c:formatCode>
                <c:ptCount val="1"/>
                <c:pt idx="0">
                  <c:v>2</c:v>
                </c:pt>
              </c:numCache>
            </c:numRef>
          </c:xVal>
          <c:yVal>
            <c:numRef>
              <c:f>'Coastal Storm'!$J$925</c:f>
              <c:numCache>
                <c:formatCode>General</c:formatCode>
                <c:ptCount val="1"/>
                <c:pt idx="0">
                  <c:v>0</c:v>
                </c:pt>
              </c:numCache>
            </c:numRef>
          </c:yVal>
          <c:smooth val="0"/>
          <c:extLst>
            <c:ext xmlns:c16="http://schemas.microsoft.com/office/drawing/2014/chart" uri="{C3380CC4-5D6E-409C-BE32-E72D297353CC}">
              <c16:uniqueId val="{00000005-A76A-4377-B2D5-841ECC7A5919}"/>
            </c:ext>
          </c:extLst>
        </c:ser>
        <c:ser>
          <c:idx val="6"/>
          <c:order val="6"/>
          <c:tx>
            <c:strRef>
              <c:f>'Coastal Storm'!$C$927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Storm'!$J$928</c:f>
              <c:numCache>
                <c:formatCode>General</c:formatCode>
                <c:ptCount val="1"/>
                <c:pt idx="0">
                  <c:v>2</c:v>
                </c:pt>
              </c:numCache>
            </c:numRef>
          </c:xVal>
          <c:yVal>
            <c:numRef>
              <c:f>'Coastal Storm'!$J$929</c:f>
              <c:numCache>
                <c:formatCode>General</c:formatCode>
                <c:ptCount val="1"/>
                <c:pt idx="0">
                  <c:v>0</c:v>
                </c:pt>
              </c:numCache>
            </c:numRef>
          </c:yVal>
          <c:smooth val="0"/>
          <c:extLst>
            <c:ext xmlns:c16="http://schemas.microsoft.com/office/drawing/2014/chart" uri="{C3380CC4-5D6E-409C-BE32-E72D297353CC}">
              <c16:uniqueId val="{00000006-A76A-4377-B2D5-841ECC7A5919}"/>
            </c:ext>
          </c:extLst>
        </c:ser>
        <c:ser>
          <c:idx val="7"/>
          <c:order val="7"/>
          <c:tx>
            <c:strRef>
              <c:f>'Coastal Storm'!$C$931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Storm'!$J$932</c:f>
              <c:numCache>
                <c:formatCode>General</c:formatCode>
                <c:ptCount val="1"/>
                <c:pt idx="0">
                  <c:v>3</c:v>
                </c:pt>
              </c:numCache>
            </c:numRef>
          </c:xVal>
          <c:yVal>
            <c:numRef>
              <c:f>'Coastal Storm'!$J$933</c:f>
              <c:numCache>
                <c:formatCode>General</c:formatCode>
                <c:ptCount val="1"/>
                <c:pt idx="0">
                  <c:v>0</c:v>
                </c:pt>
              </c:numCache>
            </c:numRef>
          </c:yVal>
          <c:smooth val="0"/>
          <c:extLst>
            <c:ext xmlns:c16="http://schemas.microsoft.com/office/drawing/2014/chart" uri="{C3380CC4-5D6E-409C-BE32-E72D297353CC}">
              <c16:uniqueId val="{00000007-A76A-4377-B2D5-841ECC7A5919}"/>
            </c:ext>
          </c:extLst>
        </c:ser>
        <c:ser>
          <c:idx val="14"/>
          <c:order val="8"/>
          <c:tx>
            <c:strRef>
              <c:f>'Coastal Storm'!$C$964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'Coastal Storm'!$J$965</c:f>
            </c:numRef>
          </c:xVal>
          <c:yVal>
            <c:numRef>
              <c:f>'Coastal Storm'!$J$966</c:f>
            </c:numRef>
          </c:yVal>
          <c:smooth val="0"/>
          <c:extLst>
            <c:ext xmlns:c16="http://schemas.microsoft.com/office/drawing/2014/chart" uri="{C3380CC4-5D6E-409C-BE32-E72D297353CC}">
              <c16:uniqueId val="{00000008-A76A-4377-B2D5-841ECC7A5919}"/>
            </c:ext>
          </c:extLst>
        </c:ser>
        <c:dLbls>
          <c:showLegendKey val="0"/>
          <c:showVal val="1"/>
          <c:showCatName val="0"/>
          <c:showSerName val="0"/>
          <c:showPercent val="0"/>
          <c:showBubbleSize val="0"/>
        </c:dLbls>
        <c:axId val="144729600"/>
        <c:axId val="144731520"/>
      </c:scatterChart>
      <c:valAx>
        <c:axId val="14472960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731520"/>
        <c:crosses val="autoZero"/>
        <c:crossBetween val="midCat"/>
        <c:majorUnit val="1"/>
        <c:minorUnit val="0.1"/>
      </c:valAx>
      <c:valAx>
        <c:axId val="14473152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72960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('Conventional Explosive'!$J$133,'Conventional Explosive'!$J$261,'Conventional Explosive'!$J$421,'Conventional Explosive'!$J$539,'Conventional Explosive'!$J$681)</c:f>
              <c:numCache>
                <c:formatCode>0.00</c:formatCode>
                <c:ptCount val="5"/>
                <c:pt idx="0">
                  <c:v>1.4166666666666667</c:v>
                </c:pt>
                <c:pt idx="1">
                  <c:v>0</c:v>
                </c:pt>
                <c:pt idx="2">
                  <c:v>1.4375</c:v>
                </c:pt>
                <c:pt idx="3">
                  <c:v>0.7857142857142857</c:v>
                </c:pt>
                <c:pt idx="4">
                  <c:v>0</c:v>
                </c:pt>
              </c:numCache>
            </c:numRef>
          </c:val>
          <c:extLst>
            <c:ext xmlns:c16="http://schemas.microsoft.com/office/drawing/2014/chart" uri="{C3380CC4-5D6E-409C-BE32-E72D297353CC}">
              <c16:uniqueId val="{00000000-441D-4AFE-83B0-8693FEF69096}"/>
            </c:ext>
          </c:extLst>
        </c:ser>
        <c:dLbls>
          <c:showLegendKey val="0"/>
          <c:showVal val="1"/>
          <c:showCatName val="0"/>
          <c:showSerName val="0"/>
          <c:showPercent val="0"/>
          <c:showBubbleSize val="0"/>
        </c:dLbls>
        <c:gapWidth val="150"/>
        <c:axId val="143323904"/>
        <c:axId val="143396864"/>
      </c:barChart>
      <c:catAx>
        <c:axId val="143323904"/>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3396864"/>
        <c:crosses val="autoZero"/>
        <c:auto val="1"/>
        <c:lblAlgn val="ctr"/>
        <c:lblOffset val="100"/>
        <c:noMultiLvlLbl val="0"/>
      </c:catAx>
      <c:valAx>
        <c:axId val="143396864"/>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332390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'Conventional Explosive'!$C$793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Explosive'!$J$795</c:f>
              <c:numCache>
                <c:formatCode>General</c:formatCode>
                <c:ptCount val="1"/>
                <c:pt idx="0">
                  <c:v>3</c:v>
                </c:pt>
              </c:numCache>
            </c:numRef>
          </c:xVal>
          <c:yVal>
            <c:numRef>
              <c:f>'Conventional Explosive'!$J$794</c:f>
              <c:numCache>
                <c:formatCode>General</c:formatCode>
                <c:ptCount val="1"/>
                <c:pt idx="0">
                  <c:v>0</c:v>
                </c:pt>
              </c:numCache>
            </c:numRef>
          </c:yVal>
          <c:smooth val="0"/>
          <c:extLst>
            <c:ext xmlns:c16="http://schemas.microsoft.com/office/drawing/2014/chart" uri="{C3380CC4-5D6E-409C-BE32-E72D297353CC}">
              <c16:uniqueId val="{00000000-BADA-4307-ADD1-98E7BFE38DF7}"/>
            </c:ext>
          </c:extLst>
        </c:ser>
        <c:ser>
          <c:idx val="1"/>
          <c:order val="1"/>
          <c:tx>
            <c:strRef>
              <c:f>'Active Shooter'!$C$777</c:f>
              <c:strCache>
                <c:ptCount val="1"/>
                <c:pt idx="0">
                  <c:v>Vision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Explosive'!$J$799</c:f>
              <c:numCache>
                <c:formatCode>General</c:formatCode>
                <c:ptCount val="1"/>
                <c:pt idx="0">
                  <c:v>3</c:v>
                </c:pt>
              </c:numCache>
            </c:numRef>
          </c:xVal>
          <c:yVal>
            <c:numRef>
              <c:f>'Conventional Explosive'!$J$798</c:f>
              <c:numCache>
                <c:formatCode>General</c:formatCode>
                <c:ptCount val="1"/>
                <c:pt idx="0">
                  <c:v>0</c:v>
                </c:pt>
              </c:numCache>
            </c:numRef>
          </c:yVal>
          <c:smooth val="0"/>
          <c:extLst>
            <c:ext xmlns:c16="http://schemas.microsoft.com/office/drawing/2014/chart" uri="{C3380CC4-5D6E-409C-BE32-E72D297353CC}">
              <c16:uniqueId val="{00000001-BADA-4307-ADD1-98E7BFE38DF7}"/>
            </c:ext>
          </c:extLst>
        </c:ser>
        <c:ser>
          <c:idx val="2"/>
          <c:order val="2"/>
          <c:tx>
            <c:strRef>
              <c:f>'Conventional Explosive'!$C$801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Explosive'!$J$803</c:f>
              <c:numCache>
                <c:formatCode>General</c:formatCode>
                <c:ptCount val="1"/>
                <c:pt idx="0">
                  <c:v>4</c:v>
                </c:pt>
              </c:numCache>
            </c:numRef>
          </c:xVal>
          <c:yVal>
            <c:numRef>
              <c:f>'Conventional Explosive'!$J$802</c:f>
              <c:numCache>
                <c:formatCode>General</c:formatCode>
                <c:ptCount val="1"/>
                <c:pt idx="0">
                  <c:v>0</c:v>
                </c:pt>
              </c:numCache>
            </c:numRef>
          </c:yVal>
          <c:smooth val="0"/>
          <c:extLst>
            <c:ext xmlns:c16="http://schemas.microsoft.com/office/drawing/2014/chart" uri="{C3380CC4-5D6E-409C-BE32-E72D297353CC}">
              <c16:uniqueId val="{00000002-BADA-4307-ADD1-98E7BFE38DF7}"/>
            </c:ext>
          </c:extLst>
        </c:ser>
        <c:ser>
          <c:idx val="3"/>
          <c:order val="3"/>
          <c:tx>
            <c:strRef>
              <c:f>'Conventional Explosive'!$C$805</c:f>
              <c:strCache>
                <c:ptCount val="1"/>
                <c:pt idx="0">
                  <c:v>Elderly 65 and older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Explosive'!$J$807</c:f>
              <c:numCache>
                <c:formatCode>General</c:formatCode>
                <c:ptCount val="1"/>
                <c:pt idx="0">
                  <c:v>3</c:v>
                </c:pt>
              </c:numCache>
            </c:numRef>
          </c:xVal>
          <c:yVal>
            <c:numRef>
              <c:f>'Conventional Explosive'!$J$806</c:f>
              <c:numCache>
                <c:formatCode>General</c:formatCode>
                <c:ptCount val="1"/>
                <c:pt idx="0">
                  <c:v>0</c:v>
                </c:pt>
              </c:numCache>
            </c:numRef>
          </c:yVal>
          <c:smooth val="0"/>
          <c:extLst>
            <c:ext xmlns:c16="http://schemas.microsoft.com/office/drawing/2014/chart" uri="{C3380CC4-5D6E-409C-BE32-E72D297353CC}">
              <c16:uniqueId val="{00000003-BADA-4307-ADD1-98E7BFE38DF7}"/>
            </c:ext>
          </c:extLst>
        </c:ser>
        <c:ser>
          <c:idx val="4"/>
          <c:order val="4"/>
          <c:tx>
            <c:strRef>
              <c:f>'Conventional Explosive'!$C$773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Explosive'!$J$775</c:f>
              <c:numCache>
                <c:formatCode>General</c:formatCode>
                <c:ptCount val="1"/>
                <c:pt idx="0">
                  <c:v>3</c:v>
                </c:pt>
              </c:numCache>
            </c:numRef>
          </c:xVal>
          <c:yVal>
            <c:numRef>
              <c:f>'Conventional Explosive'!$J$774</c:f>
              <c:numCache>
                <c:formatCode>General</c:formatCode>
                <c:ptCount val="1"/>
                <c:pt idx="0">
                  <c:v>0</c:v>
                </c:pt>
              </c:numCache>
            </c:numRef>
          </c:yVal>
          <c:smooth val="0"/>
          <c:extLst>
            <c:ext xmlns:c16="http://schemas.microsoft.com/office/drawing/2014/chart" uri="{C3380CC4-5D6E-409C-BE32-E72D297353CC}">
              <c16:uniqueId val="{00000004-BADA-4307-ADD1-98E7BFE38DF7}"/>
            </c:ext>
          </c:extLst>
        </c:ser>
        <c:ser>
          <c:idx val="5"/>
          <c:order val="5"/>
          <c:tx>
            <c:strRef>
              <c:f>'Conventional Explosive'!$C$777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Explosive'!$J$779</c:f>
              <c:numCache>
                <c:formatCode>General</c:formatCode>
                <c:ptCount val="1"/>
                <c:pt idx="0">
                  <c:v>4</c:v>
                </c:pt>
              </c:numCache>
            </c:numRef>
          </c:xVal>
          <c:yVal>
            <c:numRef>
              <c:f>'Conventional Explosive'!$J$778</c:f>
              <c:numCache>
                <c:formatCode>General</c:formatCode>
                <c:ptCount val="1"/>
                <c:pt idx="0">
                  <c:v>0</c:v>
                </c:pt>
              </c:numCache>
            </c:numRef>
          </c:yVal>
          <c:smooth val="0"/>
          <c:extLst>
            <c:ext xmlns:c16="http://schemas.microsoft.com/office/drawing/2014/chart" uri="{C3380CC4-5D6E-409C-BE32-E72D297353CC}">
              <c16:uniqueId val="{00000005-BADA-4307-ADD1-98E7BFE38DF7}"/>
            </c:ext>
          </c:extLst>
        </c:ser>
        <c:ser>
          <c:idx val="6"/>
          <c:order val="6"/>
          <c:tx>
            <c:strRef>
              <c:f>'Conventional Explosive'!$C$781</c:f>
              <c:strCache>
                <c:ptCount val="1"/>
                <c:pt idx="0">
                  <c:v>Ambulatory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Explosive'!$J$783</c:f>
              <c:numCache>
                <c:formatCode>General</c:formatCode>
                <c:ptCount val="1"/>
                <c:pt idx="0">
                  <c:v>4</c:v>
                </c:pt>
              </c:numCache>
            </c:numRef>
          </c:xVal>
          <c:yVal>
            <c:numRef>
              <c:f>'Conventional Explosive'!$J$782</c:f>
              <c:numCache>
                <c:formatCode>General</c:formatCode>
                <c:ptCount val="1"/>
                <c:pt idx="0">
                  <c:v>0</c:v>
                </c:pt>
              </c:numCache>
            </c:numRef>
          </c:yVal>
          <c:smooth val="0"/>
          <c:extLst>
            <c:ext xmlns:c16="http://schemas.microsoft.com/office/drawing/2014/chart" uri="{C3380CC4-5D6E-409C-BE32-E72D297353CC}">
              <c16:uniqueId val="{00000006-BADA-4307-ADD1-98E7BFE38DF7}"/>
            </c:ext>
          </c:extLst>
        </c:ser>
        <c:ser>
          <c:idx val="7"/>
          <c:order val="7"/>
          <c:tx>
            <c:strRef>
              <c:f>'Conventional Explosive'!$C$785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BADA-4307-ADD1-98E7BFE38DF7}"/>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'Conventional Explosive'!$J$787</c:f>
              <c:numCache>
                <c:formatCode>General</c:formatCode>
                <c:ptCount val="1"/>
                <c:pt idx="0">
                  <c:v>4</c:v>
                </c:pt>
              </c:numCache>
            </c:numRef>
          </c:xVal>
          <c:yVal>
            <c:numRef>
              <c:f>'Conventional Explosive'!$J$786</c:f>
              <c:numCache>
                <c:formatCode>General</c:formatCode>
                <c:ptCount val="1"/>
                <c:pt idx="0">
                  <c:v>0</c:v>
                </c:pt>
              </c:numCache>
            </c:numRef>
          </c:yVal>
          <c:smooth val="0"/>
          <c:extLst>
            <c:ext xmlns:c16="http://schemas.microsoft.com/office/drawing/2014/chart" uri="{C3380CC4-5D6E-409C-BE32-E72D297353CC}">
              <c16:uniqueId val="{00000008-BADA-4307-ADD1-98E7BFE38DF7}"/>
            </c:ext>
          </c:extLst>
        </c:ser>
        <c:ser>
          <c:idx val="8"/>
          <c:order val="8"/>
          <c:tx>
            <c:strRef>
              <c:f>'Conventional Explosive'!$C$789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Explosive'!$J$791</c:f>
              <c:numCache>
                <c:formatCode>General</c:formatCode>
                <c:ptCount val="1"/>
                <c:pt idx="0">
                  <c:v>3</c:v>
                </c:pt>
              </c:numCache>
            </c:numRef>
          </c:xVal>
          <c:yVal>
            <c:numRef>
              <c:f>'Conventional Explosive'!$J$790</c:f>
              <c:numCache>
                <c:formatCode>General</c:formatCode>
                <c:ptCount val="1"/>
                <c:pt idx="0">
                  <c:v>0</c:v>
                </c:pt>
              </c:numCache>
            </c:numRef>
          </c:yVal>
          <c:smooth val="0"/>
          <c:extLst>
            <c:ext xmlns:c16="http://schemas.microsoft.com/office/drawing/2014/chart" uri="{C3380CC4-5D6E-409C-BE32-E72D297353CC}">
              <c16:uniqueId val="{00000009-BADA-4307-ADD1-98E7BFE38DF7}"/>
            </c:ext>
          </c:extLst>
        </c:ser>
        <c:dLbls>
          <c:showLegendKey val="0"/>
          <c:showVal val="1"/>
          <c:showCatName val="0"/>
          <c:showSerName val="0"/>
          <c:showPercent val="0"/>
          <c:showBubbleSize val="0"/>
        </c:dLbls>
        <c:axId val="143476224"/>
        <c:axId val="143478144"/>
      </c:scatterChart>
      <c:valAx>
        <c:axId val="14347622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3478144"/>
        <c:crosses val="autoZero"/>
        <c:crossBetween val="midCat"/>
        <c:majorUnit val="1"/>
        <c:minorUnit val="0.1"/>
      </c:valAx>
      <c:valAx>
        <c:axId val="14347814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347622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'Conventional Explosive'!$C$833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Explosive'!$J$834</c:f>
              <c:numCache>
                <c:formatCode>General</c:formatCode>
                <c:ptCount val="1"/>
                <c:pt idx="0">
                  <c:v>4</c:v>
                </c:pt>
              </c:numCache>
            </c:numRef>
          </c:xVal>
          <c:yVal>
            <c:numRef>
              <c:f>'Conventional Explosive'!$J$835</c:f>
              <c:numCache>
                <c:formatCode>General</c:formatCode>
                <c:ptCount val="1"/>
                <c:pt idx="0">
                  <c:v>0</c:v>
                </c:pt>
              </c:numCache>
            </c:numRef>
          </c:yVal>
          <c:smooth val="0"/>
          <c:extLst>
            <c:ext xmlns:c16="http://schemas.microsoft.com/office/drawing/2014/chart" uri="{C3380CC4-5D6E-409C-BE32-E72D297353CC}">
              <c16:uniqueId val="{00000000-609C-43DC-9964-E42A53A543C5}"/>
            </c:ext>
          </c:extLst>
        </c:ser>
        <c:ser>
          <c:idx val="1"/>
          <c:order val="1"/>
          <c:tx>
            <c:strRef>
              <c:f>'Conventional Explosive'!$C$837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Explosive'!$J$838</c:f>
              <c:numCache>
                <c:formatCode>General</c:formatCode>
                <c:ptCount val="1"/>
                <c:pt idx="0">
                  <c:v>4</c:v>
                </c:pt>
              </c:numCache>
            </c:numRef>
          </c:xVal>
          <c:yVal>
            <c:numRef>
              <c:f>'Conventional Explosive'!$J$839</c:f>
              <c:numCache>
                <c:formatCode>General</c:formatCode>
                <c:ptCount val="1"/>
                <c:pt idx="0">
                  <c:v>0</c:v>
                </c:pt>
              </c:numCache>
            </c:numRef>
          </c:yVal>
          <c:smooth val="0"/>
          <c:extLst>
            <c:ext xmlns:c16="http://schemas.microsoft.com/office/drawing/2014/chart" uri="{C3380CC4-5D6E-409C-BE32-E72D297353CC}">
              <c16:uniqueId val="{00000001-609C-43DC-9964-E42A53A543C5}"/>
            </c:ext>
          </c:extLst>
        </c:ser>
        <c:ser>
          <c:idx val="2"/>
          <c:order val="2"/>
          <c:tx>
            <c:strRef>
              <c:f>'Conventional Explosive'!$C$841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Explosive'!$J$842</c:f>
              <c:numCache>
                <c:formatCode>General</c:formatCode>
                <c:ptCount val="1"/>
                <c:pt idx="0">
                  <c:v>2</c:v>
                </c:pt>
              </c:numCache>
            </c:numRef>
          </c:xVal>
          <c:yVal>
            <c:numRef>
              <c:f>'Conventional Explosive'!$J$843</c:f>
              <c:numCache>
                <c:formatCode>General</c:formatCode>
                <c:ptCount val="1"/>
                <c:pt idx="0">
                  <c:v>0</c:v>
                </c:pt>
              </c:numCache>
            </c:numRef>
          </c:yVal>
          <c:smooth val="0"/>
          <c:extLst>
            <c:ext xmlns:c16="http://schemas.microsoft.com/office/drawing/2014/chart" uri="{C3380CC4-5D6E-409C-BE32-E72D297353CC}">
              <c16:uniqueId val="{00000002-609C-43DC-9964-E42A53A543C5}"/>
            </c:ext>
          </c:extLst>
        </c:ser>
        <c:ser>
          <c:idx val="3"/>
          <c:order val="3"/>
          <c:tx>
            <c:strRef>
              <c:f>'Conventional Explosive'!$C$845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Explosive'!$J$846</c:f>
              <c:numCache>
                <c:formatCode>General</c:formatCode>
                <c:ptCount val="1"/>
                <c:pt idx="0">
                  <c:v>4</c:v>
                </c:pt>
              </c:numCache>
            </c:numRef>
          </c:xVal>
          <c:yVal>
            <c:numRef>
              <c:f>'Conventional Explosive'!$J$847</c:f>
              <c:numCache>
                <c:formatCode>General</c:formatCode>
                <c:ptCount val="1"/>
                <c:pt idx="0">
                  <c:v>0</c:v>
                </c:pt>
              </c:numCache>
            </c:numRef>
          </c:yVal>
          <c:smooth val="0"/>
          <c:extLst>
            <c:ext xmlns:c16="http://schemas.microsoft.com/office/drawing/2014/chart" uri="{C3380CC4-5D6E-409C-BE32-E72D297353CC}">
              <c16:uniqueId val="{00000003-609C-43DC-9964-E42A53A543C5}"/>
            </c:ext>
          </c:extLst>
        </c:ser>
        <c:ser>
          <c:idx val="4"/>
          <c:order val="4"/>
          <c:tx>
            <c:strRef>
              <c:f>'Conventional Explosive'!$C$849</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Explosive'!$J$850</c:f>
              <c:numCache>
                <c:formatCode>General</c:formatCode>
                <c:ptCount val="1"/>
                <c:pt idx="0">
                  <c:v>4</c:v>
                </c:pt>
              </c:numCache>
            </c:numRef>
          </c:xVal>
          <c:yVal>
            <c:numRef>
              <c:f>'Conventional Explosive'!$J$851</c:f>
              <c:numCache>
                <c:formatCode>General</c:formatCode>
                <c:ptCount val="1"/>
                <c:pt idx="0">
                  <c:v>0</c:v>
                </c:pt>
              </c:numCache>
            </c:numRef>
          </c:yVal>
          <c:smooth val="0"/>
          <c:extLst>
            <c:ext xmlns:c16="http://schemas.microsoft.com/office/drawing/2014/chart" uri="{C3380CC4-5D6E-409C-BE32-E72D297353CC}">
              <c16:uniqueId val="{00000004-609C-43DC-9964-E42A53A543C5}"/>
            </c:ext>
          </c:extLst>
        </c:ser>
        <c:ser>
          <c:idx val="5"/>
          <c:order val="5"/>
          <c:tx>
            <c:strRef>
              <c:f>'Conventional Explosive'!$C$853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Explosive'!$J$854</c:f>
              <c:numCache>
                <c:formatCode>General</c:formatCode>
                <c:ptCount val="1"/>
                <c:pt idx="0">
                  <c:v>4</c:v>
                </c:pt>
              </c:numCache>
            </c:numRef>
          </c:xVal>
          <c:yVal>
            <c:numRef>
              <c:f>'Conventional Explosive'!$J$855</c:f>
              <c:numCache>
                <c:formatCode>General</c:formatCode>
                <c:ptCount val="1"/>
                <c:pt idx="0">
                  <c:v>0</c:v>
                </c:pt>
              </c:numCache>
            </c:numRef>
          </c:yVal>
          <c:smooth val="0"/>
          <c:extLst>
            <c:ext xmlns:c16="http://schemas.microsoft.com/office/drawing/2014/chart" uri="{C3380CC4-5D6E-409C-BE32-E72D297353CC}">
              <c16:uniqueId val="{00000005-609C-43DC-9964-E42A53A543C5}"/>
            </c:ext>
          </c:extLst>
        </c:ser>
        <c:ser>
          <c:idx val="6"/>
          <c:order val="6"/>
          <c:tx>
            <c:strRef>
              <c:f>'Conventional Explosive'!$C$857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Explosive'!$J$858</c:f>
              <c:numCache>
                <c:formatCode>General</c:formatCode>
                <c:ptCount val="1"/>
                <c:pt idx="0">
                  <c:v>1</c:v>
                </c:pt>
              </c:numCache>
            </c:numRef>
          </c:xVal>
          <c:yVal>
            <c:numRef>
              <c:f>'Conventional Explosive'!$J$859</c:f>
              <c:numCache>
                <c:formatCode>General</c:formatCode>
                <c:ptCount val="1"/>
                <c:pt idx="0">
                  <c:v>0</c:v>
                </c:pt>
              </c:numCache>
            </c:numRef>
          </c:yVal>
          <c:smooth val="0"/>
          <c:extLst>
            <c:ext xmlns:c16="http://schemas.microsoft.com/office/drawing/2014/chart" uri="{C3380CC4-5D6E-409C-BE32-E72D297353CC}">
              <c16:uniqueId val="{00000006-609C-43DC-9964-E42A53A543C5}"/>
            </c:ext>
          </c:extLst>
        </c:ser>
        <c:ser>
          <c:idx val="7"/>
          <c:order val="7"/>
          <c:tx>
            <c:strRef>
              <c:f>'Conventional Explosive'!$C$861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Explosive'!$J$862</c:f>
              <c:numCache>
                <c:formatCode>General</c:formatCode>
                <c:ptCount val="1"/>
                <c:pt idx="0">
                  <c:v>0</c:v>
                </c:pt>
              </c:numCache>
            </c:numRef>
          </c:xVal>
          <c:yVal>
            <c:numRef>
              <c:f>'Conventional Explosive'!$J$863</c:f>
              <c:numCache>
                <c:formatCode>General</c:formatCode>
                <c:ptCount val="1"/>
                <c:pt idx="0">
                  <c:v>0</c:v>
                </c:pt>
              </c:numCache>
            </c:numRef>
          </c:yVal>
          <c:smooth val="0"/>
          <c:extLst>
            <c:ext xmlns:c16="http://schemas.microsoft.com/office/drawing/2014/chart" uri="{C3380CC4-5D6E-409C-BE32-E72D297353CC}">
              <c16:uniqueId val="{00000007-609C-43DC-9964-E42A53A543C5}"/>
            </c:ext>
          </c:extLst>
        </c:ser>
        <c:ser>
          <c:idx val="8"/>
          <c:order val="8"/>
          <c:tx>
            <c:strRef>
              <c:f>'Conventional Explosive'!$C$865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Explosive'!$J$866</c:f>
              <c:numCache>
                <c:formatCode>General</c:formatCode>
                <c:ptCount val="1"/>
                <c:pt idx="0">
                  <c:v>2</c:v>
                </c:pt>
              </c:numCache>
            </c:numRef>
          </c:xVal>
          <c:yVal>
            <c:numRef>
              <c:f>'Conventional Explosive'!$J$867</c:f>
              <c:numCache>
                <c:formatCode>General</c:formatCode>
                <c:ptCount val="1"/>
                <c:pt idx="0">
                  <c:v>0</c:v>
                </c:pt>
              </c:numCache>
            </c:numRef>
          </c:yVal>
          <c:smooth val="0"/>
          <c:extLst>
            <c:ext xmlns:c16="http://schemas.microsoft.com/office/drawing/2014/chart" uri="{C3380CC4-5D6E-409C-BE32-E72D297353CC}">
              <c16:uniqueId val="{00000008-609C-43DC-9964-E42A53A543C5}"/>
            </c:ext>
          </c:extLst>
        </c:ser>
        <c:ser>
          <c:idx val="9"/>
          <c:order val="9"/>
          <c:tx>
            <c:strRef>
              <c:f>'Conventional Explosive'!$C$869</c:f>
              <c:strCache>
                <c:ptCount val="1"/>
                <c:pt idx="0">
                  <c:v>Medical Surge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Explosive'!$J$870</c:f>
              <c:numCache>
                <c:formatCode>General</c:formatCode>
                <c:ptCount val="1"/>
                <c:pt idx="0">
                  <c:v>4</c:v>
                </c:pt>
              </c:numCache>
            </c:numRef>
          </c:xVal>
          <c:yVal>
            <c:numRef>
              <c:f>'Conventional Explosive'!$J$871</c:f>
              <c:numCache>
                <c:formatCode>General</c:formatCode>
                <c:ptCount val="1"/>
                <c:pt idx="0">
                  <c:v>0</c:v>
                </c:pt>
              </c:numCache>
            </c:numRef>
          </c:yVal>
          <c:smooth val="0"/>
          <c:extLst>
            <c:ext xmlns:c16="http://schemas.microsoft.com/office/drawing/2014/chart" uri="{C3380CC4-5D6E-409C-BE32-E72D297353CC}">
              <c16:uniqueId val="{00000009-609C-43DC-9964-E42A53A543C5}"/>
            </c:ext>
          </c:extLst>
        </c:ser>
        <c:ser>
          <c:idx val="10"/>
          <c:order val="10"/>
          <c:tx>
            <c:strRef>
              <c:f>'Conventional Explosive'!$C$873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Explosive'!$J$874</c:f>
              <c:numCache>
                <c:formatCode>General</c:formatCode>
                <c:ptCount val="1"/>
                <c:pt idx="0">
                  <c:v>0</c:v>
                </c:pt>
              </c:numCache>
            </c:numRef>
          </c:xVal>
          <c:yVal>
            <c:numRef>
              <c:f>'Conventional Explosive'!$J$875</c:f>
              <c:numCache>
                <c:formatCode>General</c:formatCode>
                <c:ptCount val="1"/>
                <c:pt idx="0">
                  <c:v>0</c:v>
                </c:pt>
              </c:numCache>
            </c:numRef>
          </c:yVal>
          <c:smooth val="0"/>
          <c:extLst>
            <c:ext xmlns:c16="http://schemas.microsoft.com/office/drawing/2014/chart" uri="{C3380CC4-5D6E-409C-BE32-E72D297353CC}">
              <c16:uniqueId val="{0000000A-609C-43DC-9964-E42A53A543C5}"/>
            </c:ext>
          </c:extLst>
        </c:ser>
        <c:ser>
          <c:idx val="11"/>
          <c:order val="11"/>
          <c:tx>
            <c:strRef>
              <c:f>'Conventional Explosive'!$C$877</c:f>
              <c:strCache>
                <c:ptCount val="1"/>
                <c:pt idx="0">
                  <c:v>PH Lab Testing</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Explosive'!$J$878</c:f>
              <c:numCache>
                <c:formatCode>General</c:formatCode>
                <c:ptCount val="1"/>
                <c:pt idx="0">
                  <c:v>1</c:v>
                </c:pt>
              </c:numCache>
            </c:numRef>
          </c:xVal>
          <c:yVal>
            <c:numRef>
              <c:f>'Conventional Explosive'!$J$879</c:f>
              <c:numCache>
                <c:formatCode>General</c:formatCode>
                <c:ptCount val="1"/>
                <c:pt idx="0">
                  <c:v>0</c:v>
                </c:pt>
              </c:numCache>
            </c:numRef>
          </c:yVal>
          <c:smooth val="0"/>
          <c:extLst>
            <c:ext xmlns:c16="http://schemas.microsoft.com/office/drawing/2014/chart" uri="{C3380CC4-5D6E-409C-BE32-E72D297353CC}">
              <c16:uniqueId val="{0000000B-609C-43DC-9964-E42A53A543C5}"/>
            </c:ext>
          </c:extLst>
        </c:ser>
        <c:ser>
          <c:idx val="12"/>
          <c:order val="12"/>
          <c:tx>
            <c:strRef>
              <c:f>'Conventional Explosive'!$C$881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Explosive'!$J$882</c:f>
              <c:numCache>
                <c:formatCode>General</c:formatCode>
                <c:ptCount val="1"/>
                <c:pt idx="0">
                  <c:v>4</c:v>
                </c:pt>
              </c:numCache>
            </c:numRef>
          </c:xVal>
          <c:yVal>
            <c:numRef>
              <c:f>'Conventional Explosive'!$J$883</c:f>
              <c:numCache>
                <c:formatCode>General</c:formatCode>
                <c:ptCount val="1"/>
                <c:pt idx="0">
                  <c:v>0</c:v>
                </c:pt>
              </c:numCache>
            </c:numRef>
          </c:yVal>
          <c:smooth val="0"/>
          <c:extLst>
            <c:ext xmlns:c16="http://schemas.microsoft.com/office/drawing/2014/chart" uri="{C3380CC4-5D6E-409C-BE32-E72D297353CC}">
              <c16:uniqueId val="{0000000C-609C-43DC-9964-E42A53A543C5}"/>
            </c:ext>
          </c:extLst>
        </c:ser>
        <c:ser>
          <c:idx val="13"/>
          <c:order val="13"/>
          <c:tx>
            <c:strRef>
              <c:f>'Conventional Explosive'!$C$885</c:f>
              <c:strCache>
                <c:ptCount val="1"/>
                <c:pt idx="0">
                  <c:v>Responder Safety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Explosive'!$J$886</c:f>
              <c:numCache>
                <c:formatCode>General</c:formatCode>
                <c:ptCount val="1"/>
                <c:pt idx="0">
                  <c:v>3</c:v>
                </c:pt>
              </c:numCache>
            </c:numRef>
          </c:xVal>
          <c:yVal>
            <c:numRef>
              <c:f>'Conventional Explosive'!$J$887</c:f>
              <c:numCache>
                <c:formatCode>General</c:formatCode>
                <c:ptCount val="1"/>
                <c:pt idx="0">
                  <c:v>0</c:v>
                </c:pt>
              </c:numCache>
            </c:numRef>
          </c:yVal>
          <c:smooth val="0"/>
          <c:extLst>
            <c:ext xmlns:c16="http://schemas.microsoft.com/office/drawing/2014/chart" uri="{C3380CC4-5D6E-409C-BE32-E72D297353CC}">
              <c16:uniqueId val="{0000000D-609C-43DC-9964-E42A53A543C5}"/>
            </c:ext>
          </c:extLst>
        </c:ser>
        <c:ser>
          <c:idx val="14"/>
          <c:order val="14"/>
          <c:tx>
            <c:strRef>
              <c:f>'Conventional Explosive'!$C$964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Explosive'!$J$965</c:f>
            </c:numRef>
          </c:xVal>
          <c:yVal>
            <c:numRef>
              <c:f>'Conventional Explosive'!$J$966</c:f>
            </c:numRef>
          </c:yVal>
          <c:smooth val="0"/>
          <c:extLst>
            <c:ext xmlns:c16="http://schemas.microsoft.com/office/drawing/2014/chart" uri="{C3380CC4-5D6E-409C-BE32-E72D297353CC}">
              <c16:uniqueId val="{0000000E-609C-43DC-9964-E42A53A543C5}"/>
            </c:ext>
          </c:extLst>
        </c:ser>
        <c:ser>
          <c:idx val="15"/>
          <c:order val="15"/>
          <c:tx>
            <c:strRef>
              <c:f>'Conventional Explosive'!$C$889</c:f>
              <c:strCache>
                <c:ptCount val="1"/>
                <c:pt idx="0">
                  <c:v>Volunteer Mgmt</c:v>
                </c:pt>
              </c:strCache>
            </c:strRef>
          </c:tx>
          <c:spPr>
            <a:ln w="66675">
              <a:noFill/>
            </a:ln>
          </c:spP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'Conventional Explosive'!$J$890</c:f>
              <c:numCache>
                <c:formatCode>General</c:formatCode>
                <c:ptCount val="1"/>
                <c:pt idx="0">
                  <c:v>1</c:v>
                </c:pt>
              </c:numCache>
            </c:numRef>
          </c:xVal>
          <c:yVal>
            <c:numRef>
              <c:f>'Conventional Explosive'!$J$891</c:f>
              <c:numCache>
                <c:formatCode>General</c:formatCode>
                <c:ptCount val="1"/>
                <c:pt idx="0">
                  <c:v>0</c:v>
                </c:pt>
              </c:numCache>
            </c:numRef>
          </c:yVal>
          <c:smooth val="0"/>
          <c:extLst>
            <c:ext xmlns:c16="http://schemas.microsoft.com/office/drawing/2014/chart" uri="{C3380CC4-5D6E-409C-BE32-E72D297353CC}">
              <c16:uniqueId val="{0000000F-609C-43DC-9964-E42A53A543C5}"/>
            </c:ext>
          </c:extLst>
        </c:ser>
        <c:dLbls>
          <c:showLegendKey val="0"/>
          <c:showVal val="1"/>
          <c:showCatName val="0"/>
          <c:showSerName val="0"/>
          <c:showPercent val="0"/>
          <c:showBubbleSize val="0"/>
        </c:dLbls>
        <c:axId val="144816384"/>
        <c:axId val="144822656"/>
      </c:scatterChart>
      <c:valAx>
        <c:axId val="14481638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822656"/>
        <c:crosses val="autoZero"/>
        <c:crossBetween val="midCat"/>
        <c:majorUnit val="1"/>
        <c:minorUnit val="0.1"/>
      </c:valAx>
      <c:valAx>
        <c:axId val="14482265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81638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'Conventional Explosive'!$C$919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Explosive'!$J$920</c:f>
              <c:numCache>
                <c:formatCode>General</c:formatCode>
                <c:ptCount val="1"/>
                <c:pt idx="0">
                  <c:v>4</c:v>
                </c:pt>
              </c:numCache>
            </c:numRef>
          </c:xVal>
          <c:yVal>
            <c:numRef>
              <c:f>'Conventional Explosive'!$J$921</c:f>
              <c:numCache>
                <c:formatCode>General</c:formatCode>
                <c:ptCount val="1"/>
                <c:pt idx="0">
                  <c:v>0</c:v>
                </c:pt>
              </c:numCache>
            </c:numRef>
          </c:yVal>
          <c:smooth val="0"/>
          <c:extLst>
            <c:ext xmlns:c16="http://schemas.microsoft.com/office/drawing/2014/chart" uri="{C3380CC4-5D6E-409C-BE32-E72D297353CC}">
              <c16:uniqueId val="{00000000-944E-4DD5-AFFD-D621FB3B682E}"/>
            </c:ext>
          </c:extLst>
        </c:ser>
        <c:ser>
          <c:idx val="4"/>
          <c:order val="1"/>
          <c:tx>
            <c:strRef>
              <c:f>'Conventional Explosive'!$C$923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Explosive'!$J$924</c:f>
              <c:numCache>
                <c:formatCode>General</c:formatCode>
                <c:ptCount val="1"/>
                <c:pt idx="0">
                  <c:v>4</c:v>
                </c:pt>
              </c:numCache>
            </c:numRef>
          </c:xVal>
          <c:yVal>
            <c:numRef>
              <c:f>'Conventional Explosive'!$J$925</c:f>
              <c:numCache>
                <c:formatCode>General</c:formatCode>
                <c:ptCount val="1"/>
                <c:pt idx="0">
                  <c:v>0</c:v>
                </c:pt>
              </c:numCache>
            </c:numRef>
          </c:yVal>
          <c:smooth val="0"/>
          <c:extLst>
            <c:ext xmlns:c16="http://schemas.microsoft.com/office/drawing/2014/chart" uri="{C3380CC4-5D6E-409C-BE32-E72D297353CC}">
              <c16:uniqueId val="{00000001-944E-4DD5-AFFD-D621FB3B682E}"/>
            </c:ext>
          </c:extLst>
        </c:ser>
        <c:ser>
          <c:idx val="8"/>
          <c:order val="2"/>
          <c:tx>
            <c:strRef>
              <c:f>'Conventional Explosive'!$C$927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Explosive'!$J$928</c:f>
              <c:numCache>
                <c:formatCode>General</c:formatCode>
                <c:ptCount val="1"/>
                <c:pt idx="0">
                  <c:v>3</c:v>
                </c:pt>
              </c:numCache>
            </c:numRef>
          </c:xVal>
          <c:yVal>
            <c:numRef>
              <c:f>'Conventional Explosive'!$J$929</c:f>
              <c:numCache>
                <c:formatCode>General</c:formatCode>
                <c:ptCount val="1"/>
                <c:pt idx="0">
                  <c:v>0</c:v>
                </c:pt>
              </c:numCache>
            </c:numRef>
          </c:yVal>
          <c:smooth val="0"/>
          <c:extLst>
            <c:ext xmlns:c16="http://schemas.microsoft.com/office/drawing/2014/chart" uri="{C3380CC4-5D6E-409C-BE32-E72D297353CC}">
              <c16:uniqueId val="{00000002-944E-4DD5-AFFD-D621FB3B682E}"/>
            </c:ext>
          </c:extLst>
        </c:ser>
        <c:ser>
          <c:idx val="9"/>
          <c:order val="3"/>
          <c:tx>
            <c:strRef>
              <c:f>'Conventional Explosive'!$C$931</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Explosive'!$J$932</c:f>
              <c:numCache>
                <c:formatCode>General</c:formatCode>
                <c:ptCount val="1"/>
                <c:pt idx="0">
                  <c:v>1</c:v>
                </c:pt>
              </c:numCache>
            </c:numRef>
          </c:xVal>
          <c:yVal>
            <c:numRef>
              <c:f>'Conventional Explosive'!$J$933</c:f>
              <c:numCache>
                <c:formatCode>General</c:formatCode>
                <c:ptCount val="1"/>
                <c:pt idx="0">
                  <c:v>0</c:v>
                </c:pt>
              </c:numCache>
            </c:numRef>
          </c:yVal>
          <c:smooth val="0"/>
          <c:extLst>
            <c:ext xmlns:c16="http://schemas.microsoft.com/office/drawing/2014/chart" uri="{C3380CC4-5D6E-409C-BE32-E72D297353CC}">
              <c16:uniqueId val="{00000003-944E-4DD5-AFFD-D621FB3B682E}"/>
            </c:ext>
          </c:extLst>
        </c:ser>
        <c:ser>
          <c:idx val="10"/>
          <c:order val="4"/>
          <c:tx>
            <c:strRef>
              <c:f>'Conventional Explosive'!$C$903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Explosive'!$J$904</c:f>
              <c:numCache>
                <c:formatCode>General</c:formatCode>
                <c:ptCount val="1"/>
                <c:pt idx="0">
                  <c:v>4</c:v>
                </c:pt>
              </c:numCache>
            </c:numRef>
          </c:xVal>
          <c:yVal>
            <c:numRef>
              <c:f>'Conventional Explosive'!$J$905</c:f>
              <c:numCache>
                <c:formatCode>General</c:formatCode>
                <c:ptCount val="1"/>
                <c:pt idx="0">
                  <c:v>0</c:v>
                </c:pt>
              </c:numCache>
            </c:numRef>
          </c:yVal>
          <c:smooth val="0"/>
          <c:extLst>
            <c:ext xmlns:c16="http://schemas.microsoft.com/office/drawing/2014/chart" uri="{C3380CC4-5D6E-409C-BE32-E72D297353CC}">
              <c16:uniqueId val="{00000004-944E-4DD5-AFFD-D621FB3B682E}"/>
            </c:ext>
          </c:extLst>
        </c:ser>
        <c:ser>
          <c:idx val="11"/>
          <c:order val="5"/>
          <c:tx>
            <c:strRef>
              <c:f>'Conventional Explosive'!$C$907</c:f>
              <c:strCache>
                <c:ptCount val="1"/>
                <c:pt idx="0">
                  <c:v>HC System Recov</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Explosive'!$J$908</c:f>
              <c:numCache>
                <c:formatCode>General</c:formatCode>
                <c:ptCount val="1"/>
                <c:pt idx="0">
                  <c:v>4</c:v>
                </c:pt>
              </c:numCache>
            </c:numRef>
          </c:xVal>
          <c:yVal>
            <c:numRef>
              <c:f>'Conventional Explosive'!$J$909</c:f>
              <c:numCache>
                <c:formatCode>General</c:formatCode>
                <c:ptCount val="1"/>
                <c:pt idx="0">
                  <c:v>0</c:v>
                </c:pt>
              </c:numCache>
            </c:numRef>
          </c:yVal>
          <c:smooth val="0"/>
          <c:extLst>
            <c:ext xmlns:c16="http://schemas.microsoft.com/office/drawing/2014/chart" uri="{C3380CC4-5D6E-409C-BE32-E72D297353CC}">
              <c16:uniqueId val="{00000005-944E-4DD5-AFFD-D621FB3B682E}"/>
            </c:ext>
          </c:extLst>
        </c:ser>
        <c:ser>
          <c:idx val="12"/>
          <c:order val="6"/>
          <c:tx>
            <c:strRef>
              <c:f>'Conventional Explosive'!$C$911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Explosive'!$J$912</c:f>
              <c:numCache>
                <c:formatCode>General</c:formatCode>
                <c:ptCount val="1"/>
                <c:pt idx="0">
                  <c:v>2</c:v>
                </c:pt>
              </c:numCache>
            </c:numRef>
          </c:xVal>
          <c:yVal>
            <c:numRef>
              <c:f>'Conventional Explosive'!$J$913</c:f>
              <c:numCache>
                <c:formatCode>General</c:formatCode>
                <c:ptCount val="1"/>
                <c:pt idx="0">
                  <c:v>0</c:v>
                </c:pt>
              </c:numCache>
            </c:numRef>
          </c:yVal>
          <c:smooth val="0"/>
          <c:extLst>
            <c:ext xmlns:c16="http://schemas.microsoft.com/office/drawing/2014/chart" uri="{C3380CC4-5D6E-409C-BE32-E72D297353CC}">
              <c16:uniqueId val="{00000006-944E-4DD5-AFFD-D621FB3B682E}"/>
            </c:ext>
          </c:extLst>
        </c:ser>
        <c:ser>
          <c:idx val="14"/>
          <c:order val="7"/>
          <c:tx>
            <c:strRef>
              <c:f>'Conventional Explosive'!$C$964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'Conventional Explosive'!$J$965</c:f>
            </c:numRef>
          </c:xVal>
          <c:yVal>
            <c:numRef>
              <c:f>'Conventional Explosive'!$J$966</c:f>
            </c:numRef>
          </c:yVal>
          <c:smooth val="0"/>
          <c:extLst>
            <c:ext xmlns:c16="http://schemas.microsoft.com/office/drawing/2014/chart" uri="{C3380CC4-5D6E-409C-BE32-E72D297353CC}">
              <c16:uniqueId val="{00000007-944E-4DD5-AFFD-D621FB3B682E}"/>
            </c:ext>
          </c:extLst>
        </c:ser>
        <c:dLbls>
          <c:showLegendKey val="0"/>
          <c:showVal val="1"/>
          <c:showCatName val="0"/>
          <c:showSerName val="0"/>
          <c:showPercent val="0"/>
          <c:showBubbleSize val="0"/>
        </c:dLbls>
        <c:axId val="144897152"/>
        <c:axId val="144899072"/>
      </c:scatterChart>
      <c:valAx>
        <c:axId val="14489715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899072"/>
        <c:crosses val="autoZero"/>
        <c:crossBetween val="midCat"/>
        <c:majorUnit val="1"/>
        <c:minorUnit val="0.1"/>
      </c:valAx>
      <c:valAx>
        <c:axId val="14489907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89715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('Cyber Terrorism'!$J$133,'Cyber Terrorism'!$J$261,'Cyber Terrorism'!$J$421,'Cyber Terrorism'!$J$539,'Cyber Terrorism'!$J$681)</c:f>
              <c:numCache>
                <c:formatCode>0.00</c:formatCode>
                <c:ptCount val="5"/>
                <c:pt idx="0">
                  <c:v>0.5</c:v>
                </c:pt>
                <c:pt idx="1">
                  <c:v>0</c:v>
                </c:pt>
                <c:pt idx="2">
                  <c:v>1.5</c:v>
                </c:pt>
                <c:pt idx="3">
                  <c:v>0</c:v>
                </c:pt>
                <c:pt idx="4">
                  <c:v>0</c:v>
                </c:pt>
              </c:numCache>
            </c:numRef>
          </c:val>
          <c:extLst>
            <c:ext xmlns:c16="http://schemas.microsoft.com/office/drawing/2014/chart" uri="{C3380CC4-5D6E-409C-BE32-E72D297353CC}">
              <c16:uniqueId val="{00000000-759E-47D2-B441-1BAE1EB15509}"/>
            </c:ext>
          </c:extLst>
        </c:ser>
        <c:dLbls>
          <c:showLegendKey val="0"/>
          <c:showVal val="1"/>
          <c:showCatName val="0"/>
          <c:showSerName val="0"/>
          <c:showPercent val="0"/>
          <c:showBubbleSize val="0"/>
        </c:dLbls>
        <c:gapWidth val="150"/>
        <c:axId val="145002496"/>
        <c:axId val="145005568"/>
      </c:barChart>
      <c:catAx>
        <c:axId val="145002496"/>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5005568"/>
        <c:crosses val="autoZero"/>
        <c:auto val="1"/>
        <c:lblAlgn val="ctr"/>
        <c:lblOffset val="100"/>
        <c:noMultiLvlLbl val="0"/>
      </c:catAx>
      <c:valAx>
        <c:axId val="14500556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5002496"/>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'Cyber Terrorism'!$C$793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Terrorism'!$J$795</c:f>
              <c:numCache>
                <c:formatCode>General</c:formatCode>
                <c:ptCount val="1"/>
                <c:pt idx="0">
                  <c:v>1</c:v>
                </c:pt>
              </c:numCache>
            </c:numRef>
          </c:xVal>
          <c:yVal>
            <c:numRef>
              <c:f>'Cyber Terrorism'!$J$794</c:f>
              <c:numCache>
                <c:formatCode>General</c:formatCode>
                <c:ptCount val="1"/>
                <c:pt idx="0">
                  <c:v>0</c:v>
                </c:pt>
              </c:numCache>
            </c:numRef>
          </c:yVal>
          <c:smooth val="0"/>
          <c:extLst>
            <c:ext xmlns:c16="http://schemas.microsoft.com/office/drawing/2014/chart" uri="{C3380CC4-5D6E-409C-BE32-E72D297353CC}">
              <c16:uniqueId val="{00000000-4C67-4099-91E5-AA6B18F32BFF}"/>
            </c:ext>
          </c:extLst>
        </c:ser>
        <c:ser>
          <c:idx val="1"/>
          <c:order val="1"/>
          <c:tx>
            <c:strRef>
              <c:f>'Cyber Terrorism'!$C$797</c:f>
              <c:strCache>
                <c:ptCount val="1"/>
                <c:pt idx="0">
                  <c:v>Chronic Diseases (Diabetes)</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Terrorism'!$J$799</c:f>
              <c:numCache>
                <c:formatCode>General</c:formatCode>
                <c:ptCount val="1"/>
                <c:pt idx="0">
                  <c:v>0</c:v>
                </c:pt>
              </c:numCache>
            </c:numRef>
          </c:xVal>
          <c:yVal>
            <c:numRef>
              <c:f>'Cyber Terrorism'!$J$798</c:f>
              <c:numCache>
                <c:formatCode>General</c:formatCode>
                <c:ptCount val="1"/>
                <c:pt idx="0">
                  <c:v>0</c:v>
                </c:pt>
              </c:numCache>
            </c:numRef>
          </c:yVal>
          <c:smooth val="0"/>
          <c:extLst>
            <c:ext xmlns:c16="http://schemas.microsoft.com/office/drawing/2014/chart" uri="{C3380CC4-5D6E-409C-BE32-E72D297353CC}">
              <c16:uniqueId val="{00000001-4C67-4099-91E5-AA6B18F32BFF}"/>
            </c:ext>
          </c:extLst>
        </c:ser>
        <c:ser>
          <c:idx val="2"/>
          <c:order val="2"/>
          <c:tx>
            <c:strRef>
              <c:f>'Cyber Terrorism'!$C$801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Terrorism'!$J$803</c:f>
              <c:numCache>
                <c:formatCode>General</c:formatCode>
                <c:ptCount val="1"/>
                <c:pt idx="0">
                  <c:v>1</c:v>
                </c:pt>
              </c:numCache>
            </c:numRef>
          </c:xVal>
          <c:yVal>
            <c:numRef>
              <c:f>'Cyber Terrorism'!$J$802</c:f>
              <c:numCache>
                <c:formatCode>General</c:formatCode>
                <c:ptCount val="1"/>
                <c:pt idx="0">
                  <c:v>0</c:v>
                </c:pt>
              </c:numCache>
            </c:numRef>
          </c:yVal>
          <c:smooth val="0"/>
          <c:extLst>
            <c:ext xmlns:c16="http://schemas.microsoft.com/office/drawing/2014/chart" uri="{C3380CC4-5D6E-409C-BE32-E72D297353CC}">
              <c16:uniqueId val="{00000002-4C67-4099-91E5-AA6B18F32BFF}"/>
            </c:ext>
          </c:extLst>
        </c:ser>
        <c:ser>
          <c:idx val="3"/>
          <c:order val="3"/>
          <c:tx>
            <c:strRef>
              <c:f>'Cyber Terrorism'!$C$805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Terrorism'!$J$807</c:f>
              <c:numCache>
                <c:formatCode>General</c:formatCode>
                <c:ptCount val="1"/>
                <c:pt idx="0">
                  <c:v>0</c:v>
                </c:pt>
              </c:numCache>
            </c:numRef>
          </c:xVal>
          <c:yVal>
            <c:numRef>
              <c:f>'Cyber Terrorism'!$J$806</c:f>
              <c:numCache>
                <c:formatCode>General</c:formatCode>
                <c:ptCount val="1"/>
                <c:pt idx="0">
                  <c:v>0</c:v>
                </c:pt>
              </c:numCache>
            </c:numRef>
          </c:yVal>
          <c:smooth val="0"/>
          <c:extLst>
            <c:ext xmlns:c16="http://schemas.microsoft.com/office/drawing/2014/chart" uri="{C3380CC4-5D6E-409C-BE32-E72D297353CC}">
              <c16:uniqueId val="{00000003-4C67-4099-91E5-AA6B18F32BFF}"/>
            </c:ext>
          </c:extLst>
        </c:ser>
        <c:ser>
          <c:idx val="4"/>
          <c:order val="4"/>
          <c:tx>
            <c:strRef>
              <c:f>'Cyber Terrorism'!$C$773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Terrorism'!$J$775</c:f>
              <c:numCache>
                <c:formatCode>General</c:formatCode>
                <c:ptCount val="1"/>
                <c:pt idx="0">
                  <c:v>1</c:v>
                </c:pt>
              </c:numCache>
            </c:numRef>
          </c:xVal>
          <c:yVal>
            <c:numRef>
              <c:f>'Cyber Terrorism'!$J$774</c:f>
              <c:numCache>
                <c:formatCode>General</c:formatCode>
                <c:ptCount val="1"/>
                <c:pt idx="0">
                  <c:v>0</c:v>
                </c:pt>
              </c:numCache>
            </c:numRef>
          </c:yVal>
          <c:smooth val="0"/>
          <c:extLst>
            <c:ext xmlns:c16="http://schemas.microsoft.com/office/drawing/2014/chart" uri="{C3380CC4-5D6E-409C-BE32-E72D297353CC}">
              <c16:uniqueId val="{00000004-4C67-4099-91E5-AA6B18F32BFF}"/>
            </c:ext>
          </c:extLst>
        </c:ser>
        <c:ser>
          <c:idx val="5"/>
          <c:order val="5"/>
          <c:tx>
            <c:strRef>
              <c:f>'Cyber Terrorism'!$C$777</c:f>
              <c:strCache>
                <c:ptCount val="1"/>
                <c:pt idx="0">
                  <c:v>Vision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Terrorism'!$J$779</c:f>
              <c:numCache>
                <c:formatCode>General</c:formatCode>
                <c:ptCount val="1"/>
                <c:pt idx="0">
                  <c:v>1</c:v>
                </c:pt>
              </c:numCache>
            </c:numRef>
          </c:xVal>
          <c:yVal>
            <c:numRef>
              <c:f>'Cyber Terrorism'!$J$778</c:f>
              <c:numCache>
                <c:formatCode>General</c:formatCode>
                <c:ptCount val="1"/>
                <c:pt idx="0">
                  <c:v>0</c:v>
                </c:pt>
              </c:numCache>
            </c:numRef>
          </c:yVal>
          <c:smooth val="0"/>
          <c:extLst>
            <c:ext xmlns:c16="http://schemas.microsoft.com/office/drawing/2014/chart" uri="{C3380CC4-5D6E-409C-BE32-E72D297353CC}">
              <c16:uniqueId val="{00000005-4C67-4099-91E5-AA6B18F32BFF}"/>
            </c:ext>
          </c:extLst>
        </c:ser>
        <c:ser>
          <c:idx val="6"/>
          <c:order val="6"/>
          <c:tx>
            <c:strRef>
              <c:f>'Cyber Terrorism'!$C$781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Terrorism'!$J$783</c:f>
              <c:numCache>
                <c:formatCode>General</c:formatCode>
                <c:ptCount val="1"/>
                <c:pt idx="0">
                  <c:v>0</c:v>
                </c:pt>
              </c:numCache>
            </c:numRef>
          </c:xVal>
          <c:yVal>
            <c:numRef>
              <c:f>'Cyber Terrorism'!$J$782</c:f>
              <c:numCache>
                <c:formatCode>General</c:formatCode>
                <c:ptCount val="1"/>
                <c:pt idx="0">
                  <c:v>0</c:v>
                </c:pt>
              </c:numCache>
            </c:numRef>
          </c:yVal>
          <c:smooth val="0"/>
          <c:extLst>
            <c:ext xmlns:c16="http://schemas.microsoft.com/office/drawing/2014/chart" uri="{C3380CC4-5D6E-409C-BE32-E72D297353CC}">
              <c16:uniqueId val="{00000006-4C67-4099-91E5-AA6B18F32BFF}"/>
            </c:ext>
          </c:extLst>
        </c:ser>
        <c:ser>
          <c:idx val="7"/>
          <c:order val="7"/>
          <c:tx>
            <c:strRef>
              <c:f>'Cyber Terrorism'!$C$785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C67-4099-91E5-AA6B18F32BFF}"/>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'Cyber Terrorism'!$J$787</c:f>
              <c:numCache>
                <c:formatCode>General</c:formatCode>
                <c:ptCount val="1"/>
                <c:pt idx="0">
                  <c:v>1</c:v>
                </c:pt>
              </c:numCache>
            </c:numRef>
          </c:xVal>
          <c:yVal>
            <c:numRef>
              <c:f>'Cyber Terrorism'!$J$786</c:f>
              <c:numCache>
                <c:formatCode>General</c:formatCode>
                <c:ptCount val="1"/>
                <c:pt idx="0">
                  <c:v>0</c:v>
                </c:pt>
              </c:numCache>
            </c:numRef>
          </c:yVal>
          <c:smooth val="0"/>
          <c:extLst>
            <c:ext xmlns:c16="http://schemas.microsoft.com/office/drawing/2014/chart" uri="{C3380CC4-5D6E-409C-BE32-E72D297353CC}">
              <c16:uniqueId val="{00000008-4C67-4099-91E5-AA6B18F32BFF}"/>
            </c:ext>
          </c:extLst>
        </c:ser>
        <c:ser>
          <c:idx val="8"/>
          <c:order val="8"/>
          <c:tx>
            <c:strRef>
              <c:f>'Cyber Terrorism'!$C$789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Terrorism'!$J$791</c:f>
              <c:numCache>
                <c:formatCode>General</c:formatCode>
                <c:ptCount val="1"/>
                <c:pt idx="0">
                  <c:v>1</c:v>
                </c:pt>
              </c:numCache>
            </c:numRef>
          </c:xVal>
          <c:yVal>
            <c:numRef>
              <c:f>'Cyber Terrorism'!$J$790</c:f>
              <c:numCache>
                <c:formatCode>General</c:formatCode>
                <c:ptCount val="1"/>
                <c:pt idx="0">
                  <c:v>0</c:v>
                </c:pt>
              </c:numCache>
            </c:numRef>
          </c:yVal>
          <c:smooth val="0"/>
          <c:extLst>
            <c:ext xmlns:c16="http://schemas.microsoft.com/office/drawing/2014/chart" uri="{C3380CC4-5D6E-409C-BE32-E72D297353CC}">
              <c16:uniqueId val="{00000009-4C67-4099-91E5-AA6B18F32BFF}"/>
            </c:ext>
          </c:extLst>
        </c:ser>
        <c:dLbls>
          <c:showLegendKey val="0"/>
          <c:showVal val="1"/>
          <c:showCatName val="0"/>
          <c:showSerName val="0"/>
          <c:showPercent val="0"/>
          <c:showBubbleSize val="0"/>
        </c:dLbls>
        <c:axId val="145486976"/>
        <c:axId val="145488896"/>
      </c:scatterChart>
      <c:valAx>
        <c:axId val="14548697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5488896"/>
        <c:crosses val="autoZero"/>
        <c:crossBetween val="midCat"/>
        <c:majorUnit val="1"/>
        <c:minorUnit val="0.1"/>
      </c:valAx>
      <c:valAx>
        <c:axId val="14548889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548697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'Cyber Terrorism'!$C$853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Terrorism'!$J$854</c:f>
              <c:numCache>
                <c:formatCode>General</c:formatCode>
                <c:ptCount val="1"/>
                <c:pt idx="0">
                  <c:v>4</c:v>
                </c:pt>
              </c:numCache>
            </c:numRef>
          </c:xVal>
          <c:yVal>
            <c:numRef>
              <c:f>'Cyber Terrorism'!$J$855</c:f>
              <c:numCache>
                <c:formatCode>General</c:formatCode>
                <c:ptCount val="1"/>
                <c:pt idx="0">
                  <c:v>0</c:v>
                </c:pt>
              </c:numCache>
            </c:numRef>
          </c:yVal>
          <c:smooth val="0"/>
          <c:extLst>
            <c:ext xmlns:c16="http://schemas.microsoft.com/office/drawing/2014/chart" uri="{C3380CC4-5D6E-409C-BE32-E72D297353CC}">
              <c16:uniqueId val="{00000000-76FA-47B9-8B7C-9ABF944F7183}"/>
            </c:ext>
          </c:extLst>
        </c:ser>
        <c:ser>
          <c:idx val="1"/>
          <c:order val="1"/>
          <c:tx>
            <c:strRef>
              <c:f>'Cyber Terrorism'!$C$857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Terrorism'!$J$858</c:f>
              <c:numCache>
                <c:formatCode>General</c:formatCode>
                <c:ptCount val="1"/>
                <c:pt idx="0">
                  <c:v>0</c:v>
                </c:pt>
              </c:numCache>
            </c:numRef>
          </c:xVal>
          <c:yVal>
            <c:numRef>
              <c:f>'Cyber Terrorism'!$J$859</c:f>
              <c:numCache>
                <c:formatCode>General</c:formatCode>
                <c:ptCount val="1"/>
                <c:pt idx="0">
                  <c:v>0</c:v>
                </c:pt>
              </c:numCache>
            </c:numRef>
          </c:yVal>
          <c:smooth val="0"/>
          <c:extLst>
            <c:ext xmlns:c16="http://schemas.microsoft.com/office/drawing/2014/chart" uri="{C3380CC4-5D6E-409C-BE32-E72D297353CC}">
              <c16:uniqueId val="{00000001-76FA-47B9-8B7C-9ABF944F7183}"/>
            </c:ext>
          </c:extLst>
        </c:ser>
        <c:ser>
          <c:idx val="2"/>
          <c:order val="2"/>
          <c:tx>
            <c:strRef>
              <c:f>'Cyber Terrorism'!$C$861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Terrorism'!$J$862</c:f>
              <c:numCache>
                <c:formatCode>General</c:formatCode>
                <c:ptCount val="1"/>
                <c:pt idx="0">
                  <c:v>0</c:v>
                </c:pt>
              </c:numCache>
            </c:numRef>
          </c:xVal>
          <c:yVal>
            <c:numRef>
              <c:f>'Cyber Terrorism'!$J$863</c:f>
              <c:numCache>
                <c:formatCode>General</c:formatCode>
                <c:ptCount val="1"/>
                <c:pt idx="0">
                  <c:v>0</c:v>
                </c:pt>
              </c:numCache>
            </c:numRef>
          </c:yVal>
          <c:smooth val="0"/>
          <c:extLst>
            <c:ext xmlns:c16="http://schemas.microsoft.com/office/drawing/2014/chart" uri="{C3380CC4-5D6E-409C-BE32-E72D297353CC}">
              <c16:uniqueId val="{00000002-76FA-47B9-8B7C-9ABF944F7183}"/>
            </c:ext>
          </c:extLst>
        </c:ser>
        <c:ser>
          <c:idx val="3"/>
          <c:order val="3"/>
          <c:tx>
            <c:strRef>
              <c:f>'Cyber Terrorism'!$C$865</c:f>
              <c:strCache>
                <c:ptCount val="1"/>
                <c:pt idx="0">
                  <c:v>Med Materiel Mgmt</c:v>
                </c:pt>
              </c:strCache>
            </c:strRef>
          </c:tx>
          <c:spPr>
            <a:ln w="66675">
              <a:noFill/>
            </a:ln>
          </c:spPr>
          <c:dLbls>
            <c:dLbl>
              <c:idx val="0"/>
              <c:layout>
                <c:manualLayout>
                  <c:x val="-1.5251807320995951E-1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6FA-47B9-8B7C-9ABF944F718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Terrorism'!$J$866</c:f>
              <c:numCache>
                <c:formatCode>General</c:formatCode>
                <c:ptCount val="1"/>
                <c:pt idx="0">
                  <c:v>0</c:v>
                </c:pt>
              </c:numCache>
            </c:numRef>
          </c:xVal>
          <c:yVal>
            <c:numRef>
              <c:f>'Cyber Terrorism'!$J$867</c:f>
              <c:numCache>
                <c:formatCode>General</c:formatCode>
                <c:ptCount val="1"/>
                <c:pt idx="0">
                  <c:v>0</c:v>
                </c:pt>
              </c:numCache>
            </c:numRef>
          </c:yVal>
          <c:smooth val="0"/>
          <c:extLst>
            <c:ext xmlns:c16="http://schemas.microsoft.com/office/drawing/2014/chart" uri="{C3380CC4-5D6E-409C-BE32-E72D297353CC}">
              <c16:uniqueId val="{00000004-76FA-47B9-8B7C-9ABF944F7183}"/>
            </c:ext>
          </c:extLst>
        </c:ser>
        <c:ser>
          <c:idx val="4"/>
          <c:order val="4"/>
          <c:tx>
            <c:strRef>
              <c:f>'Cyber Terrorism'!$C$869</c:f>
              <c:strCache>
                <c:ptCount val="1"/>
                <c:pt idx="0">
                  <c:v>Medical Surge</c:v>
                </c:pt>
              </c:strCache>
            </c:strRef>
          </c:tx>
          <c:spPr>
            <a:ln w="66675">
              <a:noFill/>
            </a:ln>
          </c:spPr>
          <c:dLbls>
            <c:dLbl>
              <c:idx val="0"/>
              <c:layout>
                <c:manualLayout>
                  <c:x val="-3.3278365053747028E-3"/>
                  <c:y val="1.94292653309046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76FA-47B9-8B7C-9ABF944F718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Terrorism'!$J$870</c:f>
              <c:numCache>
                <c:formatCode>General</c:formatCode>
                <c:ptCount val="1"/>
                <c:pt idx="0">
                  <c:v>0</c:v>
                </c:pt>
              </c:numCache>
            </c:numRef>
          </c:xVal>
          <c:yVal>
            <c:numRef>
              <c:f>'Cyber Terrorism'!$J$871</c:f>
              <c:numCache>
                <c:formatCode>General</c:formatCode>
                <c:ptCount val="1"/>
                <c:pt idx="0">
                  <c:v>0</c:v>
                </c:pt>
              </c:numCache>
            </c:numRef>
          </c:yVal>
          <c:smooth val="0"/>
          <c:extLst>
            <c:ext xmlns:c16="http://schemas.microsoft.com/office/drawing/2014/chart" uri="{C3380CC4-5D6E-409C-BE32-E72D297353CC}">
              <c16:uniqueId val="{00000006-76FA-47B9-8B7C-9ABF944F7183}"/>
            </c:ext>
          </c:extLst>
        </c:ser>
        <c:ser>
          <c:idx val="5"/>
          <c:order val="5"/>
          <c:tx>
            <c:strRef>
              <c:f>'Cyber Terrorism'!$C$873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Terrorism'!$J$874</c:f>
              <c:numCache>
                <c:formatCode>General</c:formatCode>
                <c:ptCount val="1"/>
                <c:pt idx="0">
                  <c:v>0</c:v>
                </c:pt>
              </c:numCache>
            </c:numRef>
          </c:xVal>
          <c:yVal>
            <c:numRef>
              <c:f>'Cyber Terrorism'!$J$875</c:f>
              <c:numCache>
                <c:formatCode>General</c:formatCode>
                <c:ptCount val="1"/>
                <c:pt idx="0">
                  <c:v>0</c:v>
                </c:pt>
              </c:numCache>
            </c:numRef>
          </c:yVal>
          <c:smooth val="0"/>
          <c:extLst>
            <c:ext xmlns:c16="http://schemas.microsoft.com/office/drawing/2014/chart" uri="{C3380CC4-5D6E-409C-BE32-E72D297353CC}">
              <c16:uniqueId val="{00000007-76FA-47B9-8B7C-9ABF944F7183}"/>
            </c:ext>
          </c:extLst>
        </c:ser>
        <c:ser>
          <c:idx val="6"/>
          <c:order val="6"/>
          <c:tx>
            <c:strRef>
              <c:f>'Cyber Terrorism'!$C$877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Terrorism'!$J$878</c:f>
              <c:numCache>
                <c:formatCode>General</c:formatCode>
                <c:ptCount val="1"/>
                <c:pt idx="0">
                  <c:v>0</c:v>
                </c:pt>
              </c:numCache>
            </c:numRef>
          </c:xVal>
          <c:yVal>
            <c:numRef>
              <c:f>'Cyber Terrorism'!$J$879</c:f>
              <c:numCache>
                <c:formatCode>General</c:formatCode>
                <c:ptCount val="1"/>
                <c:pt idx="0">
                  <c:v>0</c:v>
                </c:pt>
              </c:numCache>
            </c:numRef>
          </c:yVal>
          <c:smooth val="0"/>
          <c:extLst>
            <c:ext xmlns:c16="http://schemas.microsoft.com/office/drawing/2014/chart" uri="{C3380CC4-5D6E-409C-BE32-E72D297353CC}">
              <c16:uniqueId val="{00000008-76FA-47B9-8B7C-9ABF944F7183}"/>
            </c:ext>
          </c:extLst>
        </c:ser>
        <c:ser>
          <c:idx val="7"/>
          <c:order val="7"/>
          <c:tx>
            <c:strRef>
              <c:f>'Cyber Terrorism'!$C$881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Terrorism'!$J$882</c:f>
              <c:numCache>
                <c:formatCode>General</c:formatCode>
                <c:ptCount val="1"/>
                <c:pt idx="0">
                  <c:v>3</c:v>
                </c:pt>
              </c:numCache>
            </c:numRef>
          </c:xVal>
          <c:yVal>
            <c:numRef>
              <c:f>'Cyber Terrorism'!$J$883</c:f>
              <c:numCache>
                <c:formatCode>General</c:formatCode>
                <c:ptCount val="1"/>
                <c:pt idx="0">
                  <c:v>0</c:v>
                </c:pt>
              </c:numCache>
            </c:numRef>
          </c:yVal>
          <c:smooth val="0"/>
          <c:extLst>
            <c:ext xmlns:c16="http://schemas.microsoft.com/office/drawing/2014/chart" uri="{C3380CC4-5D6E-409C-BE32-E72D297353CC}">
              <c16:uniqueId val="{00000009-76FA-47B9-8B7C-9ABF944F7183}"/>
            </c:ext>
          </c:extLst>
        </c:ser>
        <c:ser>
          <c:idx val="8"/>
          <c:order val="8"/>
          <c:tx>
            <c:strRef>
              <c:f>'Cyber Terrorism'!$C$885</c:f>
              <c:strCache>
                <c:ptCount val="1"/>
                <c:pt idx="0">
                  <c:v>Responder Safety</c:v>
                </c:pt>
              </c:strCache>
            </c:strRef>
          </c:tx>
          <c:spPr>
            <a:ln w="66675">
              <a:noFill/>
            </a:ln>
          </c:spPr>
          <c:dLbls>
            <c:dLbl>
              <c:idx val="0"/>
              <c:layout>
                <c:manualLayout>
                  <c:x val="-1.5251807320995951E-1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76FA-47B9-8B7C-9ABF944F718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Terrorism'!$J$886</c:f>
              <c:numCache>
                <c:formatCode>General</c:formatCode>
                <c:ptCount val="1"/>
                <c:pt idx="0">
                  <c:v>0</c:v>
                </c:pt>
              </c:numCache>
            </c:numRef>
          </c:xVal>
          <c:yVal>
            <c:numRef>
              <c:f>'Cyber Terrorism'!$J$887</c:f>
              <c:numCache>
                <c:formatCode>General</c:formatCode>
                <c:ptCount val="1"/>
                <c:pt idx="0">
                  <c:v>0</c:v>
                </c:pt>
              </c:numCache>
            </c:numRef>
          </c:yVal>
          <c:smooth val="0"/>
          <c:extLst>
            <c:ext xmlns:c16="http://schemas.microsoft.com/office/drawing/2014/chart" uri="{C3380CC4-5D6E-409C-BE32-E72D297353CC}">
              <c16:uniqueId val="{0000000B-76FA-47B9-8B7C-9ABF944F7183}"/>
            </c:ext>
          </c:extLst>
        </c:ser>
        <c:ser>
          <c:idx val="9"/>
          <c:order val="9"/>
          <c:tx>
            <c:strRef>
              <c:f>'Cyber Terrorism'!$C$889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Terrorism'!$J$890</c:f>
              <c:numCache>
                <c:formatCode>General</c:formatCode>
                <c:ptCount val="1"/>
                <c:pt idx="0">
                  <c:v>2</c:v>
                </c:pt>
              </c:numCache>
            </c:numRef>
          </c:xVal>
          <c:yVal>
            <c:numRef>
              <c:f>'Cyber Terrorism'!$J$891</c:f>
              <c:numCache>
                <c:formatCode>General</c:formatCode>
                <c:ptCount val="1"/>
                <c:pt idx="0">
                  <c:v>0</c:v>
                </c:pt>
              </c:numCache>
            </c:numRef>
          </c:yVal>
          <c:smooth val="0"/>
          <c:extLst>
            <c:ext xmlns:c16="http://schemas.microsoft.com/office/drawing/2014/chart" uri="{C3380CC4-5D6E-409C-BE32-E72D297353CC}">
              <c16:uniqueId val="{0000000C-76FA-47B9-8B7C-9ABF944F7183}"/>
            </c:ext>
          </c:extLst>
        </c:ser>
        <c:ser>
          <c:idx val="10"/>
          <c:order val="10"/>
          <c:tx>
            <c:strRef>
              <c:f>'Cyber Terrorism'!$C$833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Terrorism'!$J$834</c:f>
              <c:numCache>
                <c:formatCode>General</c:formatCode>
                <c:ptCount val="1"/>
                <c:pt idx="0">
                  <c:v>4</c:v>
                </c:pt>
              </c:numCache>
            </c:numRef>
          </c:xVal>
          <c:yVal>
            <c:numRef>
              <c:f>'Cyber Terrorism'!$J$835</c:f>
              <c:numCache>
                <c:formatCode>General</c:formatCode>
                <c:ptCount val="1"/>
                <c:pt idx="0">
                  <c:v>0</c:v>
                </c:pt>
              </c:numCache>
            </c:numRef>
          </c:yVal>
          <c:smooth val="0"/>
          <c:extLst>
            <c:ext xmlns:c16="http://schemas.microsoft.com/office/drawing/2014/chart" uri="{C3380CC4-5D6E-409C-BE32-E72D297353CC}">
              <c16:uniqueId val="{0000000D-76FA-47B9-8B7C-9ABF944F7183}"/>
            </c:ext>
          </c:extLst>
        </c:ser>
        <c:ser>
          <c:idx val="11"/>
          <c:order val="11"/>
          <c:tx>
            <c:strRef>
              <c:f>'Cyber Terrorism'!$C$837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Terrorism'!$J$838</c:f>
              <c:numCache>
                <c:formatCode>General</c:formatCode>
                <c:ptCount val="1"/>
                <c:pt idx="0">
                  <c:v>4</c:v>
                </c:pt>
              </c:numCache>
            </c:numRef>
          </c:xVal>
          <c:yVal>
            <c:numRef>
              <c:f>'Cyber Terrorism'!$J$839</c:f>
              <c:numCache>
                <c:formatCode>General</c:formatCode>
                <c:ptCount val="1"/>
                <c:pt idx="0">
                  <c:v>0</c:v>
                </c:pt>
              </c:numCache>
            </c:numRef>
          </c:yVal>
          <c:smooth val="0"/>
          <c:extLst>
            <c:ext xmlns:c16="http://schemas.microsoft.com/office/drawing/2014/chart" uri="{C3380CC4-5D6E-409C-BE32-E72D297353CC}">
              <c16:uniqueId val="{0000000E-76FA-47B9-8B7C-9ABF944F7183}"/>
            </c:ext>
          </c:extLst>
        </c:ser>
        <c:ser>
          <c:idx val="12"/>
          <c:order val="12"/>
          <c:tx>
            <c:strRef>
              <c:f>'Cyber Terrorism'!$C$841</c:f>
              <c:strCache>
                <c:ptCount val="1"/>
                <c:pt idx="0">
                  <c:v>Emerg Ops Coord</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Terrorism'!$J$842</c:f>
              <c:numCache>
                <c:formatCode>General</c:formatCode>
                <c:ptCount val="1"/>
                <c:pt idx="0">
                  <c:v>3</c:v>
                </c:pt>
              </c:numCache>
            </c:numRef>
          </c:xVal>
          <c:yVal>
            <c:numRef>
              <c:f>'Cyber Terrorism'!$J$843</c:f>
              <c:numCache>
                <c:formatCode>General</c:formatCode>
                <c:ptCount val="1"/>
                <c:pt idx="0">
                  <c:v>0</c:v>
                </c:pt>
              </c:numCache>
            </c:numRef>
          </c:yVal>
          <c:smooth val="0"/>
          <c:extLst>
            <c:ext xmlns:c16="http://schemas.microsoft.com/office/drawing/2014/chart" uri="{C3380CC4-5D6E-409C-BE32-E72D297353CC}">
              <c16:uniqueId val="{0000000F-76FA-47B9-8B7C-9ABF944F7183}"/>
            </c:ext>
          </c:extLst>
        </c:ser>
        <c:ser>
          <c:idx val="13"/>
          <c:order val="13"/>
          <c:tx>
            <c:strRef>
              <c:f>'Cyber Terrorism'!$C$845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Terrorism'!$J$846</c:f>
              <c:numCache>
                <c:formatCode>General</c:formatCode>
                <c:ptCount val="1"/>
                <c:pt idx="0">
                  <c:v>4</c:v>
                </c:pt>
              </c:numCache>
            </c:numRef>
          </c:xVal>
          <c:yVal>
            <c:numRef>
              <c:f>'Cyber Terrorism'!$J$847</c:f>
              <c:numCache>
                <c:formatCode>General</c:formatCode>
                <c:ptCount val="1"/>
                <c:pt idx="0">
                  <c:v>0</c:v>
                </c:pt>
              </c:numCache>
            </c:numRef>
          </c:yVal>
          <c:smooth val="0"/>
          <c:extLst>
            <c:ext xmlns:c16="http://schemas.microsoft.com/office/drawing/2014/chart" uri="{C3380CC4-5D6E-409C-BE32-E72D297353CC}">
              <c16:uniqueId val="{00000010-76FA-47B9-8B7C-9ABF944F7183}"/>
            </c:ext>
          </c:extLst>
        </c:ser>
        <c:ser>
          <c:idx val="14"/>
          <c:order val="14"/>
          <c:tx>
            <c:strRef>
              <c:f>'Cyber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Terrorism'!$J$965</c:f>
            </c:numRef>
          </c:xVal>
          <c:yVal>
            <c:numRef>
              <c:f>'Cyber Terrorism'!$J$966</c:f>
            </c:numRef>
          </c:yVal>
          <c:smooth val="0"/>
          <c:extLst>
            <c:ext xmlns:c16="http://schemas.microsoft.com/office/drawing/2014/chart" uri="{C3380CC4-5D6E-409C-BE32-E72D297353CC}">
              <c16:uniqueId val="{00000011-76FA-47B9-8B7C-9ABF944F7183}"/>
            </c:ext>
          </c:extLst>
        </c:ser>
        <c:dLbls>
          <c:showLegendKey val="0"/>
          <c:showVal val="1"/>
          <c:showCatName val="0"/>
          <c:showSerName val="0"/>
          <c:showPercent val="0"/>
          <c:showBubbleSize val="0"/>
        </c:dLbls>
        <c:axId val="145310080"/>
        <c:axId val="145312000"/>
      </c:scatterChart>
      <c:valAx>
        <c:axId val="14531008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5312000"/>
        <c:crosses val="autoZero"/>
        <c:crossBetween val="midCat"/>
        <c:majorUnit val="1"/>
        <c:minorUnit val="0.1"/>
      </c:valAx>
      <c:valAx>
        <c:axId val="14531200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531008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a:t>
            </a:r>
            <a:r>
              <a:rPr lang="en-US" b="0" u="sng" baseline="0">
                <a:latin typeface="+mj-lt"/>
              </a:rPr>
              <a:t> </a:t>
            </a:r>
            <a:r>
              <a:rPr lang="en-US" b="0" u="sng">
                <a:latin typeface="+mj-lt"/>
              </a:rPr>
              <a:t>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'Cyber Terrorism'!$C$903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Terrorism'!$J$904</c:f>
              <c:numCache>
                <c:formatCode>General</c:formatCode>
                <c:ptCount val="1"/>
                <c:pt idx="0">
                  <c:v>4</c:v>
                </c:pt>
              </c:numCache>
            </c:numRef>
          </c:xVal>
          <c:yVal>
            <c:numRef>
              <c:f>'Cyber Terrorism'!$J$905</c:f>
              <c:numCache>
                <c:formatCode>General</c:formatCode>
                <c:ptCount val="1"/>
                <c:pt idx="0">
                  <c:v>0</c:v>
                </c:pt>
              </c:numCache>
            </c:numRef>
          </c:yVal>
          <c:smooth val="0"/>
          <c:extLst>
            <c:ext xmlns:c16="http://schemas.microsoft.com/office/drawing/2014/chart" uri="{C3380CC4-5D6E-409C-BE32-E72D297353CC}">
              <c16:uniqueId val="{00000000-B39C-4691-A400-8A03AA2315CF}"/>
            </c:ext>
          </c:extLst>
        </c:ser>
        <c:ser>
          <c:idx val="1"/>
          <c:order val="1"/>
          <c:tx>
            <c:strRef>
              <c:f>'Cyber Terrorism'!$C$907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Terrorism'!$J$908</c:f>
              <c:numCache>
                <c:formatCode>General</c:formatCode>
                <c:ptCount val="1"/>
                <c:pt idx="0">
                  <c:v>4</c:v>
                </c:pt>
              </c:numCache>
            </c:numRef>
          </c:xVal>
          <c:yVal>
            <c:numRef>
              <c:f>'Cyber Terrorism'!$J$909</c:f>
              <c:numCache>
                <c:formatCode>General</c:formatCode>
                <c:ptCount val="1"/>
                <c:pt idx="0">
                  <c:v>0</c:v>
                </c:pt>
              </c:numCache>
            </c:numRef>
          </c:yVal>
          <c:smooth val="0"/>
          <c:extLst>
            <c:ext xmlns:c16="http://schemas.microsoft.com/office/drawing/2014/chart" uri="{C3380CC4-5D6E-409C-BE32-E72D297353CC}">
              <c16:uniqueId val="{00000001-B39C-4691-A400-8A03AA2315CF}"/>
            </c:ext>
          </c:extLst>
        </c:ser>
        <c:ser>
          <c:idx val="2"/>
          <c:order val="2"/>
          <c:tx>
            <c:strRef>
              <c:f>'Cyber Terrorism'!$C$911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Terrorism'!$J$912</c:f>
              <c:numCache>
                <c:formatCode>General</c:formatCode>
                <c:ptCount val="1"/>
                <c:pt idx="0">
                  <c:v>3</c:v>
                </c:pt>
              </c:numCache>
            </c:numRef>
          </c:xVal>
          <c:yVal>
            <c:numRef>
              <c:f>'Cyber Terrorism'!$J$913</c:f>
              <c:numCache>
                <c:formatCode>General</c:formatCode>
                <c:ptCount val="1"/>
                <c:pt idx="0">
                  <c:v>0</c:v>
                </c:pt>
              </c:numCache>
            </c:numRef>
          </c:yVal>
          <c:smooth val="0"/>
          <c:extLst>
            <c:ext xmlns:c16="http://schemas.microsoft.com/office/drawing/2014/chart" uri="{C3380CC4-5D6E-409C-BE32-E72D297353CC}">
              <c16:uniqueId val="{00000002-B39C-4691-A400-8A03AA2315CF}"/>
            </c:ext>
          </c:extLst>
        </c:ser>
        <c:ser>
          <c:idx val="3"/>
          <c:order val="3"/>
          <c:tx>
            <c:strRef>
              <c:f>'Cyber Terrorism'!$C$915</c:f>
              <c:strCache>
                <c:ptCount val="1"/>
                <c:pt idx="0">
                  <c:v>Fatality Mgmt</c:v>
                </c:pt>
              </c:strCache>
            </c:strRef>
          </c:tx>
          <c:spPr>
            <a:ln w="66675">
              <a:noFill/>
            </a:ln>
          </c:spPr>
          <c:dLbls>
            <c:dLbl>
              <c:idx val="0"/>
              <c:layout>
                <c:manualLayout>
                  <c:x val="-1.5251807320995951E-1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B39C-4691-A400-8A03AA2315C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Terrorism'!$J$916</c:f>
              <c:numCache>
                <c:formatCode>General</c:formatCode>
                <c:ptCount val="1"/>
                <c:pt idx="0">
                  <c:v>0</c:v>
                </c:pt>
              </c:numCache>
            </c:numRef>
          </c:xVal>
          <c:yVal>
            <c:numRef>
              <c:f>'Cyber Terrorism'!$J$917</c:f>
              <c:numCache>
                <c:formatCode>General</c:formatCode>
                <c:ptCount val="1"/>
                <c:pt idx="0">
                  <c:v>0</c:v>
                </c:pt>
              </c:numCache>
            </c:numRef>
          </c:yVal>
          <c:smooth val="0"/>
          <c:extLst>
            <c:ext xmlns:c16="http://schemas.microsoft.com/office/drawing/2014/chart" uri="{C3380CC4-5D6E-409C-BE32-E72D297353CC}">
              <c16:uniqueId val="{00000004-B39C-4691-A400-8A03AA2315CF}"/>
            </c:ext>
          </c:extLst>
        </c:ser>
        <c:ser>
          <c:idx val="4"/>
          <c:order val="4"/>
          <c:tx>
            <c:strRef>
              <c:f>'Cyber Terrorism'!$C$919</c:f>
              <c:strCache>
                <c:ptCount val="1"/>
                <c:pt idx="0">
                  <c:v>Info Sharing</c:v>
                </c:pt>
              </c:strCache>
            </c:strRef>
          </c:tx>
          <c:spPr>
            <a:ln w="66675">
              <a:noFill/>
            </a:ln>
          </c:spPr>
          <c:dLbls>
            <c:dLbl>
              <c:idx val="0"/>
              <c:layout>
                <c:manualLayout>
                  <c:x val="-3.3278365053747028E-3"/>
                  <c:y val="1.94292653309046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B39C-4691-A400-8A03AA2315C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Terrorism'!$J$920</c:f>
              <c:numCache>
                <c:formatCode>General</c:formatCode>
                <c:ptCount val="1"/>
                <c:pt idx="0">
                  <c:v>4</c:v>
                </c:pt>
              </c:numCache>
            </c:numRef>
          </c:xVal>
          <c:yVal>
            <c:numRef>
              <c:f>'Cyber Terrorism'!$J$921</c:f>
              <c:numCache>
                <c:formatCode>General</c:formatCode>
                <c:ptCount val="1"/>
                <c:pt idx="0">
                  <c:v>0</c:v>
                </c:pt>
              </c:numCache>
            </c:numRef>
          </c:yVal>
          <c:smooth val="0"/>
          <c:extLst>
            <c:ext xmlns:c16="http://schemas.microsoft.com/office/drawing/2014/chart" uri="{C3380CC4-5D6E-409C-BE32-E72D297353CC}">
              <c16:uniqueId val="{00000006-B39C-4691-A400-8A03AA2315CF}"/>
            </c:ext>
          </c:extLst>
        </c:ser>
        <c:ser>
          <c:idx val="5"/>
          <c:order val="5"/>
          <c:tx>
            <c:strRef>
              <c:f>'Cyber Terrorism'!$C$923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Terrorism'!$J$924</c:f>
              <c:numCache>
                <c:formatCode>General</c:formatCode>
                <c:ptCount val="1"/>
                <c:pt idx="0">
                  <c:v>0</c:v>
                </c:pt>
              </c:numCache>
            </c:numRef>
          </c:xVal>
          <c:yVal>
            <c:numRef>
              <c:f>'Cyber Terrorism'!$J$925</c:f>
              <c:numCache>
                <c:formatCode>General</c:formatCode>
                <c:ptCount val="1"/>
                <c:pt idx="0">
                  <c:v>0</c:v>
                </c:pt>
              </c:numCache>
            </c:numRef>
          </c:yVal>
          <c:smooth val="0"/>
          <c:extLst>
            <c:ext xmlns:c16="http://schemas.microsoft.com/office/drawing/2014/chart" uri="{C3380CC4-5D6E-409C-BE32-E72D297353CC}">
              <c16:uniqueId val="{00000007-B39C-4691-A400-8A03AA2315CF}"/>
            </c:ext>
          </c:extLst>
        </c:ser>
        <c:ser>
          <c:idx val="6"/>
          <c:order val="6"/>
          <c:tx>
            <c:strRef>
              <c:f>'Cyber Terrorism'!$C$927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Terrorism'!$J$928</c:f>
              <c:numCache>
                <c:formatCode>General</c:formatCode>
                <c:ptCount val="1"/>
                <c:pt idx="0">
                  <c:v>0</c:v>
                </c:pt>
              </c:numCache>
            </c:numRef>
          </c:xVal>
          <c:yVal>
            <c:numRef>
              <c:f>'Cyber Terrorism'!$J$929</c:f>
              <c:numCache>
                <c:formatCode>General</c:formatCode>
                <c:ptCount val="1"/>
                <c:pt idx="0">
                  <c:v>0</c:v>
                </c:pt>
              </c:numCache>
            </c:numRef>
          </c:yVal>
          <c:smooth val="0"/>
          <c:extLst>
            <c:ext xmlns:c16="http://schemas.microsoft.com/office/drawing/2014/chart" uri="{C3380CC4-5D6E-409C-BE32-E72D297353CC}">
              <c16:uniqueId val="{00000008-B39C-4691-A400-8A03AA2315CF}"/>
            </c:ext>
          </c:extLst>
        </c:ser>
        <c:ser>
          <c:idx val="7"/>
          <c:order val="7"/>
          <c:tx>
            <c:strRef>
              <c:f>'Cyber Terrorism'!$C$931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Terrorism'!$J$932</c:f>
              <c:numCache>
                <c:formatCode>General</c:formatCode>
                <c:ptCount val="1"/>
                <c:pt idx="0">
                  <c:v>2</c:v>
                </c:pt>
              </c:numCache>
            </c:numRef>
          </c:xVal>
          <c:yVal>
            <c:numRef>
              <c:f>'Cyber Terrorism'!$J$933</c:f>
              <c:numCache>
                <c:formatCode>General</c:formatCode>
                <c:ptCount val="1"/>
                <c:pt idx="0">
                  <c:v>0</c:v>
                </c:pt>
              </c:numCache>
            </c:numRef>
          </c:yVal>
          <c:smooth val="0"/>
          <c:extLst>
            <c:ext xmlns:c16="http://schemas.microsoft.com/office/drawing/2014/chart" uri="{C3380CC4-5D6E-409C-BE32-E72D297353CC}">
              <c16:uniqueId val="{00000009-B39C-4691-A400-8A03AA2315CF}"/>
            </c:ext>
          </c:extLst>
        </c:ser>
        <c:ser>
          <c:idx val="14"/>
          <c:order val="8"/>
          <c:tx>
            <c:strRef>
              <c:f>'Cyber Terrorism'!$C$964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'Cyber Terrorism'!$J$965</c:f>
            </c:numRef>
          </c:xVal>
          <c:yVal>
            <c:numRef>
              <c:f>'Cyber Terrorism'!$J$966</c:f>
            </c:numRef>
          </c:yVal>
          <c:smooth val="0"/>
          <c:extLst>
            <c:ext xmlns:c16="http://schemas.microsoft.com/office/drawing/2014/chart" uri="{C3380CC4-5D6E-409C-BE32-E72D297353CC}">
              <c16:uniqueId val="{0000000A-B39C-4691-A400-8A03AA2315CF}"/>
            </c:ext>
          </c:extLst>
        </c:ser>
        <c:dLbls>
          <c:showLegendKey val="0"/>
          <c:showVal val="1"/>
          <c:showCatName val="0"/>
          <c:showSerName val="0"/>
          <c:showPercent val="0"/>
          <c:showBubbleSize val="0"/>
        </c:dLbls>
        <c:axId val="145404288"/>
        <c:axId val="145406208"/>
      </c:scatterChart>
      <c:valAx>
        <c:axId val="14540428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5406208"/>
        <c:crosses val="autoZero"/>
        <c:crossBetween val="midCat"/>
        <c:majorUnit val="1"/>
        <c:minorUnit val="0.1"/>
      </c:valAx>
      <c:valAx>
        <c:axId val="14540620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540428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(Drought!$J$133,Drought!$J$261,Drought!$J$421,Drought!$J$539,Drought!$J$681)</c:f>
              <c:numCache>
                <c:formatCode>0.00</c:formatCode>
                <c:ptCount val="5"/>
                <c:pt idx="0">
                  <c:v>1.1666666666666667</c:v>
                </c:pt>
                <c:pt idx="1">
                  <c:v>0</c:v>
                </c:pt>
                <c:pt idx="2">
                  <c:v>1.25</c:v>
                </c:pt>
                <c:pt idx="3">
                  <c:v>1</c:v>
                </c:pt>
                <c:pt idx="4">
                  <c:v>0</c:v>
                </c:pt>
              </c:numCache>
            </c:numRef>
          </c:val>
          <c:extLst>
            <c:ext xmlns:c16="http://schemas.microsoft.com/office/drawing/2014/chart" uri="{C3380CC4-5D6E-409C-BE32-E72D297353CC}">
              <c16:uniqueId val="{00000000-5602-4C39-A06B-9D75395A9FA0}"/>
            </c:ext>
          </c:extLst>
        </c:ser>
        <c:dLbls>
          <c:showLegendKey val="0"/>
          <c:showVal val="1"/>
          <c:showCatName val="0"/>
          <c:showSerName val="0"/>
          <c:showPercent val="0"/>
          <c:showBubbleSize val="0"/>
        </c:dLbls>
        <c:gapWidth val="150"/>
        <c:axId val="145497088"/>
        <c:axId val="145889536"/>
      </c:barChart>
      <c:catAx>
        <c:axId val="145497088"/>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5889536"/>
        <c:crosses val="autoZero"/>
        <c:auto val="1"/>
        <c:lblAlgn val="ctr"/>
        <c:lblOffset val="100"/>
        <c:noMultiLvlLbl val="0"/>
      </c:catAx>
      <c:valAx>
        <c:axId val="145889536"/>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5497088"/>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Drought!$C$793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Drought!$J$795</c:f>
              <c:numCache>
                <c:formatCode>General</c:formatCode>
                <c:ptCount val="1"/>
                <c:pt idx="0">
                  <c:v>2</c:v>
                </c:pt>
              </c:numCache>
            </c:numRef>
          </c:xVal>
          <c:yVal>
            <c:numRef>
              <c:f>Drought!$J$794</c:f>
              <c:numCache>
                <c:formatCode>General</c:formatCode>
                <c:ptCount val="1"/>
                <c:pt idx="0">
                  <c:v>0</c:v>
                </c:pt>
              </c:numCache>
            </c:numRef>
          </c:yVal>
          <c:smooth val="0"/>
          <c:extLst>
            <c:ext xmlns:c16="http://schemas.microsoft.com/office/drawing/2014/chart" uri="{C3380CC4-5D6E-409C-BE32-E72D297353CC}">
              <c16:uniqueId val="{00000000-C48F-4160-8D1E-1383A0D2C211}"/>
            </c:ext>
          </c:extLst>
        </c:ser>
        <c:ser>
          <c:idx val="1"/>
          <c:order val="1"/>
          <c:tx>
            <c:strRef>
              <c:f>Drought!$C$797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Drought!$J$799</c:f>
              <c:numCache>
                <c:formatCode>General</c:formatCode>
                <c:ptCount val="1"/>
                <c:pt idx="0">
                  <c:v>1</c:v>
                </c:pt>
              </c:numCache>
            </c:numRef>
          </c:xVal>
          <c:yVal>
            <c:numRef>
              <c:f>Drought!$J$798</c:f>
              <c:numCache>
                <c:formatCode>General</c:formatCode>
                <c:ptCount val="1"/>
                <c:pt idx="0">
                  <c:v>0</c:v>
                </c:pt>
              </c:numCache>
            </c:numRef>
          </c:yVal>
          <c:smooth val="0"/>
          <c:extLst>
            <c:ext xmlns:c16="http://schemas.microsoft.com/office/drawing/2014/chart" uri="{C3380CC4-5D6E-409C-BE32-E72D297353CC}">
              <c16:uniqueId val="{00000001-C48F-4160-8D1E-1383A0D2C211}"/>
            </c:ext>
          </c:extLst>
        </c:ser>
        <c:ser>
          <c:idx val="2"/>
          <c:order val="2"/>
          <c:tx>
            <c:strRef>
              <c:f>Drought!$C$801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Drought!$J$803</c:f>
              <c:numCache>
                <c:formatCode>General</c:formatCode>
                <c:ptCount val="1"/>
                <c:pt idx="0">
                  <c:v>2</c:v>
                </c:pt>
              </c:numCache>
            </c:numRef>
          </c:xVal>
          <c:yVal>
            <c:numRef>
              <c:f>Drought!$J$802</c:f>
              <c:numCache>
                <c:formatCode>General</c:formatCode>
                <c:ptCount val="1"/>
                <c:pt idx="0">
                  <c:v>0</c:v>
                </c:pt>
              </c:numCache>
            </c:numRef>
          </c:yVal>
          <c:smooth val="0"/>
          <c:extLst>
            <c:ext xmlns:c16="http://schemas.microsoft.com/office/drawing/2014/chart" uri="{C3380CC4-5D6E-409C-BE32-E72D297353CC}">
              <c16:uniqueId val="{00000002-C48F-4160-8D1E-1383A0D2C211}"/>
            </c:ext>
          </c:extLst>
        </c:ser>
        <c:ser>
          <c:idx val="3"/>
          <c:order val="3"/>
          <c:tx>
            <c:strRef>
              <c:f>Drought!$C$805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Drought!$J$807</c:f>
              <c:numCache>
                <c:formatCode>General</c:formatCode>
                <c:ptCount val="1"/>
                <c:pt idx="0">
                  <c:v>1</c:v>
                </c:pt>
              </c:numCache>
            </c:numRef>
          </c:xVal>
          <c:yVal>
            <c:numRef>
              <c:f>Drought!$J$806</c:f>
              <c:numCache>
                <c:formatCode>General</c:formatCode>
                <c:ptCount val="1"/>
                <c:pt idx="0">
                  <c:v>0</c:v>
                </c:pt>
              </c:numCache>
            </c:numRef>
          </c:yVal>
          <c:smooth val="0"/>
          <c:extLst>
            <c:ext xmlns:c16="http://schemas.microsoft.com/office/drawing/2014/chart" uri="{C3380CC4-5D6E-409C-BE32-E72D297353CC}">
              <c16:uniqueId val="{00000003-C48F-4160-8D1E-1383A0D2C211}"/>
            </c:ext>
          </c:extLst>
        </c:ser>
        <c:ser>
          <c:idx val="4"/>
          <c:order val="4"/>
          <c:tx>
            <c:strRef>
              <c:f>Drought!$C$773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Drought!$J$775</c:f>
              <c:numCache>
                <c:formatCode>General</c:formatCode>
                <c:ptCount val="1"/>
                <c:pt idx="0">
                  <c:v>2</c:v>
                </c:pt>
              </c:numCache>
            </c:numRef>
          </c:xVal>
          <c:yVal>
            <c:numRef>
              <c:f>Drought!$J$774</c:f>
              <c:numCache>
                <c:formatCode>General</c:formatCode>
                <c:ptCount val="1"/>
                <c:pt idx="0">
                  <c:v>0</c:v>
                </c:pt>
              </c:numCache>
            </c:numRef>
          </c:yVal>
          <c:smooth val="0"/>
          <c:extLst>
            <c:ext xmlns:c16="http://schemas.microsoft.com/office/drawing/2014/chart" uri="{C3380CC4-5D6E-409C-BE32-E72D297353CC}">
              <c16:uniqueId val="{00000004-C48F-4160-8D1E-1383A0D2C211}"/>
            </c:ext>
          </c:extLst>
        </c:ser>
        <c:ser>
          <c:idx val="5"/>
          <c:order val="5"/>
          <c:tx>
            <c:strRef>
              <c:f>Drought!$C$777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Drought!$J$779</c:f>
              <c:numCache>
                <c:formatCode>General</c:formatCode>
                <c:ptCount val="1"/>
                <c:pt idx="0">
                  <c:v>2</c:v>
                </c:pt>
              </c:numCache>
            </c:numRef>
          </c:xVal>
          <c:yVal>
            <c:numRef>
              <c:f>Drought!$J$778</c:f>
              <c:numCache>
                <c:formatCode>General</c:formatCode>
                <c:ptCount val="1"/>
                <c:pt idx="0">
                  <c:v>0</c:v>
                </c:pt>
              </c:numCache>
            </c:numRef>
          </c:yVal>
          <c:smooth val="0"/>
          <c:extLst>
            <c:ext xmlns:c16="http://schemas.microsoft.com/office/drawing/2014/chart" uri="{C3380CC4-5D6E-409C-BE32-E72D297353CC}">
              <c16:uniqueId val="{00000005-C48F-4160-8D1E-1383A0D2C211}"/>
            </c:ext>
          </c:extLst>
        </c:ser>
        <c:ser>
          <c:idx val="6"/>
          <c:order val="6"/>
          <c:tx>
            <c:strRef>
              <c:f>Drought!$C$781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Drought!$J$783</c:f>
              <c:numCache>
                <c:formatCode>General</c:formatCode>
                <c:ptCount val="1"/>
                <c:pt idx="0">
                  <c:v>1</c:v>
                </c:pt>
              </c:numCache>
            </c:numRef>
          </c:xVal>
          <c:yVal>
            <c:numRef>
              <c:f>Drought!$J$782</c:f>
              <c:numCache>
                <c:formatCode>General</c:formatCode>
                <c:ptCount val="1"/>
                <c:pt idx="0">
                  <c:v>0</c:v>
                </c:pt>
              </c:numCache>
            </c:numRef>
          </c:yVal>
          <c:smooth val="0"/>
          <c:extLst>
            <c:ext xmlns:c16="http://schemas.microsoft.com/office/drawing/2014/chart" uri="{C3380CC4-5D6E-409C-BE32-E72D297353CC}">
              <c16:uniqueId val="{00000006-C48F-4160-8D1E-1383A0D2C211}"/>
            </c:ext>
          </c:extLst>
        </c:ser>
        <c:ser>
          <c:idx val="7"/>
          <c:order val="7"/>
          <c:tx>
            <c:strRef>
              <c:f>Drought!$C$785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C48F-4160-8D1E-1383A0D2C211}"/>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Drought!$J$787</c:f>
              <c:numCache>
                <c:formatCode>General</c:formatCode>
                <c:ptCount val="1"/>
                <c:pt idx="0">
                  <c:v>2</c:v>
                </c:pt>
              </c:numCache>
            </c:numRef>
          </c:xVal>
          <c:yVal>
            <c:numRef>
              <c:f>Drought!$J$786</c:f>
              <c:numCache>
                <c:formatCode>General</c:formatCode>
                <c:ptCount val="1"/>
                <c:pt idx="0">
                  <c:v>0</c:v>
                </c:pt>
              </c:numCache>
            </c:numRef>
          </c:yVal>
          <c:smooth val="0"/>
          <c:extLst>
            <c:ext xmlns:c16="http://schemas.microsoft.com/office/drawing/2014/chart" uri="{C3380CC4-5D6E-409C-BE32-E72D297353CC}">
              <c16:uniqueId val="{00000008-C48F-4160-8D1E-1383A0D2C211}"/>
            </c:ext>
          </c:extLst>
        </c:ser>
        <c:ser>
          <c:idx val="8"/>
          <c:order val="8"/>
          <c:tx>
            <c:strRef>
              <c:f>Drought!$C$789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Drought!$J$791</c:f>
              <c:numCache>
                <c:formatCode>General</c:formatCode>
                <c:ptCount val="1"/>
                <c:pt idx="0">
                  <c:v>2</c:v>
                </c:pt>
              </c:numCache>
            </c:numRef>
          </c:xVal>
          <c:yVal>
            <c:numRef>
              <c:f>Drought!$J$790</c:f>
              <c:numCache>
                <c:formatCode>General</c:formatCode>
                <c:ptCount val="1"/>
                <c:pt idx="0">
                  <c:v>0</c:v>
                </c:pt>
              </c:numCache>
            </c:numRef>
          </c:yVal>
          <c:smooth val="0"/>
          <c:extLst>
            <c:ext xmlns:c16="http://schemas.microsoft.com/office/drawing/2014/chart" uri="{C3380CC4-5D6E-409C-BE32-E72D297353CC}">
              <c16:uniqueId val="{00000009-C48F-4160-8D1E-1383A0D2C211}"/>
            </c:ext>
          </c:extLst>
        </c:ser>
        <c:dLbls>
          <c:showLegendKey val="0"/>
          <c:showVal val="1"/>
          <c:showCatName val="0"/>
          <c:showSerName val="0"/>
          <c:showPercent val="0"/>
          <c:showBubbleSize val="0"/>
        </c:dLbls>
        <c:axId val="145584512"/>
        <c:axId val="145586432"/>
      </c:scatterChart>
      <c:valAx>
        <c:axId val="145584512"/>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5586432"/>
        <c:crosses val="autoZero"/>
        <c:crossBetween val="midCat"/>
        <c:majorUnit val="1"/>
        <c:minorUnit val="0.1"/>
      </c:valAx>
      <c:valAx>
        <c:axId val="145586432"/>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5584512"/>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Drought!$C$853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Drought!$J$854</c:f>
              <c:numCache>
                <c:formatCode>General</c:formatCode>
                <c:ptCount val="1"/>
                <c:pt idx="0">
                  <c:v>3</c:v>
                </c:pt>
              </c:numCache>
            </c:numRef>
          </c:xVal>
          <c:yVal>
            <c:numRef>
              <c:f>Drought!$J$855</c:f>
              <c:numCache>
                <c:formatCode>General</c:formatCode>
                <c:ptCount val="1"/>
                <c:pt idx="0">
                  <c:v>0</c:v>
                </c:pt>
              </c:numCache>
            </c:numRef>
          </c:yVal>
          <c:smooth val="0"/>
          <c:extLst>
            <c:ext xmlns:c16="http://schemas.microsoft.com/office/drawing/2014/chart" uri="{C3380CC4-5D6E-409C-BE32-E72D297353CC}">
              <c16:uniqueId val="{00000000-58EA-41F9-9FF1-79B665C90F9C}"/>
            </c:ext>
          </c:extLst>
        </c:ser>
        <c:ser>
          <c:idx val="1"/>
          <c:order val="1"/>
          <c:tx>
            <c:strRef>
              <c:f>Drought!$C$857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Drought!$J$858</c:f>
              <c:numCache>
                <c:formatCode>General</c:formatCode>
                <c:ptCount val="1"/>
                <c:pt idx="0">
                  <c:v>0</c:v>
                </c:pt>
              </c:numCache>
            </c:numRef>
          </c:xVal>
          <c:yVal>
            <c:numRef>
              <c:f>Drought!$J$859</c:f>
              <c:numCache>
                <c:formatCode>General</c:formatCode>
                <c:ptCount val="1"/>
                <c:pt idx="0">
                  <c:v>0</c:v>
                </c:pt>
              </c:numCache>
            </c:numRef>
          </c:yVal>
          <c:smooth val="0"/>
          <c:extLst>
            <c:ext xmlns:c16="http://schemas.microsoft.com/office/drawing/2014/chart" uri="{C3380CC4-5D6E-409C-BE32-E72D297353CC}">
              <c16:uniqueId val="{00000001-58EA-41F9-9FF1-79B665C90F9C}"/>
            </c:ext>
          </c:extLst>
        </c:ser>
        <c:ser>
          <c:idx val="2"/>
          <c:order val="2"/>
          <c:tx>
            <c:strRef>
              <c:f>Drought!$C$861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Drought!$J$862</c:f>
              <c:numCache>
                <c:formatCode>General</c:formatCode>
                <c:ptCount val="1"/>
                <c:pt idx="0">
                  <c:v>0</c:v>
                </c:pt>
              </c:numCache>
            </c:numRef>
          </c:xVal>
          <c:yVal>
            <c:numRef>
              <c:f>Drought!$J$863</c:f>
              <c:numCache>
                <c:formatCode>General</c:formatCode>
                <c:ptCount val="1"/>
                <c:pt idx="0">
                  <c:v>0</c:v>
                </c:pt>
              </c:numCache>
            </c:numRef>
          </c:yVal>
          <c:smooth val="0"/>
          <c:extLst>
            <c:ext xmlns:c16="http://schemas.microsoft.com/office/drawing/2014/chart" uri="{C3380CC4-5D6E-409C-BE32-E72D297353CC}">
              <c16:uniqueId val="{00000002-58EA-41F9-9FF1-79B665C90F9C}"/>
            </c:ext>
          </c:extLst>
        </c:ser>
        <c:ser>
          <c:idx val="3"/>
          <c:order val="3"/>
          <c:tx>
            <c:strRef>
              <c:f>Drought!$C$865</c:f>
              <c:strCache>
                <c:ptCount val="1"/>
                <c:pt idx="0">
                  <c:v>Med Materiel Mgmt</c:v>
                </c:pt>
              </c:strCache>
            </c:strRef>
          </c:tx>
          <c:spPr>
            <a:ln w="66675">
              <a:noFill/>
            </a:ln>
          </c:spPr>
          <c:dLbls>
            <c:dLbl>
              <c:idx val="0"/>
              <c:layout>
                <c:manualLayout>
                  <c:x val="-1.5251807320995951E-17"/>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58EA-41F9-9FF1-79B665C90F9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Drought!$J$866</c:f>
              <c:numCache>
                <c:formatCode>General</c:formatCode>
                <c:ptCount val="1"/>
                <c:pt idx="0">
                  <c:v>0</c:v>
                </c:pt>
              </c:numCache>
            </c:numRef>
          </c:xVal>
          <c:yVal>
            <c:numRef>
              <c:f>Drought!$J$867</c:f>
              <c:numCache>
                <c:formatCode>General</c:formatCode>
                <c:ptCount val="1"/>
                <c:pt idx="0">
                  <c:v>0</c:v>
                </c:pt>
              </c:numCache>
            </c:numRef>
          </c:yVal>
          <c:smooth val="0"/>
          <c:extLst>
            <c:ext xmlns:c16="http://schemas.microsoft.com/office/drawing/2014/chart" uri="{C3380CC4-5D6E-409C-BE32-E72D297353CC}">
              <c16:uniqueId val="{00000004-58EA-41F9-9FF1-79B665C90F9C}"/>
            </c:ext>
          </c:extLst>
        </c:ser>
        <c:ser>
          <c:idx val="4"/>
          <c:order val="4"/>
          <c:tx>
            <c:strRef>
              <c:f>Drought!$C$869</c:f>
              <c:strCache>
                <c:ptCount val="1"/>
                <c:pt idx="0">
                  <c:v>Medical Surge</c:v>
                </c:pt>
              </c:strCache>
            </c:strRef>
          </c:tx>
          <c:spPr>
            <a:ln w="66675">
              <a:noFill/>
            </a:ln>
          </c:spPr>
          <c:dLbls>
            <c:dLbl>
              <c:idx val="0"/>
              <c:layout>
                <c:manualLayout>
                  <c:x val="-1.3101202729714196E-7"/>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58EA-41F9-9FF1-79B665C90F9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Drought!$J$870</c:f>
              <c:numCache>
                <c:formatCode>General</c:formatCode>
                <c:ptCount val="1"/>
                <c:pt idx="0">
                  <c:v>0</c:v>
                </c:pt>
              </c:numCache>
            </c:numRef>
          </c:xVal>
          <c:yVal>
            <c:numRef>
              <c:f>Drought!$J$871</c:f>
              <c:numCache>
                <c:formatCode>General</c:formatCode>
                <c:ptCount val="1"/>
                <c:pt idx="0">
                  <c:v>0</c:v>
                </c:pt>
              </c:numCache>
            </c:numRef>
          </c:yVal>
          <c:smooth val="0"/>
          <c:extLst>
            <c:ext xmlns:c16="http://schemas.microsoft.com/office/drawing/2014/chart" uri="{C3380CC4-5D6E-409C-BE32-E72D297353CC}">
              <c16:uniqueId val="{00000006-58EA-41F9-9FF1-79B665C90F9C}"/>
            </c:ext>
          </c:extLst>
        </c:ser>
        <c:ser>
          <c:idx val="5"/>
          <c:order val="5"/>
          <c:tx>
            <c:strRef>
              <c:f>Drought!$C$873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Drought!$J$874</c:f>
              <c:numCache>
                <c:formatCode>General</c:formatCode>
                <c:ptCount val="1"/>
                <c:pt idx="0">
                  <c:v>0</c:v>
                </c:pt>
              </c:numCache>
            </c:numRef>
          </c:xVal>
          <c:yVal>
            <c:numRef>
              <c:f>Drought!$J$875</c:f>
              <c:numCache>
                <c:formatCode>General</c:formatCode>
                <c:ptCount val="1"/>
                <c:pt idx="0">
                  <c:v>0</c:v>
                </c:pt>
              </c:numCache>
            </c:numRef>
          </c:yVal>
          <c:smooth val="0"/>
          <c:extLst>
            <c:ext xmlns:c16="http://schemas.microsoft.com/office/drawing/2014/chart" uri="{C3380CC4-5D6E-409C-BE32-E72D297353CC}">
              <c16:uniqueId val="{00000007-58EA-41F9-9FF1-79B665C90F9C}"/>
            </c:ext>
          </c:extLst>
        </c:ser>
        <c:ser>
          <c:idx val="6"/>
          <c:order val="6"/>
          <c:tx>
            <c:strRef>
              <c:f>Drought!$C$877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Drought!$J$878</c:f>
              <c:numCache>
                <c:formatCode>General</c:formatCode>
                <c:ptCount val="1"/>
                <c:pt idx="0">
                  <c:v>0</c:v>
                </c:pt>
              </c:numCache>
            </c:numRef>
          </c:xVal>
          <c:yVal>
            <c:numRef>
              <c:f>Drought!$J$879</c:f>
              <c:numCache>
                <c:formatCode>General</c:formatCode>
                <c:ptCount val="1"/>
                <c:pt idx="0">
                  <c:v>0</c:v>
                </c:pt>
              </c:numCache>
            </c:numRef>
          </c:yVal>
          <c:smooth val="0"/>
          <c:extLst>
            <c:ext xmlns:c16="http://schemas.microsoft.com/office/drawing/2014/chart" uri="{C3380CC4-5D6E-409C-BE32-E72D297353CC}">
              <c16:uniqueId val="{00000008-58EA-41F9-9FF1-79B665C90F9C}"/>
            </c:ext>
          </c:extLst>
        </c:ser>
        <c:ser>
          <c:idx val="7"/>
          <c:order val="7"/>
          <c:tx>
            <c:strRef>
              <c:f>Drought!$C$881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Drought!$J$882</c:f>
              <c:numCache>
                <c:formatCode>General</c:formatCode>
                <c:ptCount val="1"/>
                <c:pt idx="0">
                  <c:v>3</c:v>
                </c:pt>
              </c:numCache>
            </c:numRef>
          </c:xVal>
          <c:yVal>
            <c:numRef>
              <c:f>Drought!$J$883</c:f>
              <c:numCache>
                <c:formatCode>General</c:formatCode>
                <c:ptCount val="1"/>
                <c:pt idx="0">
                  <c:v>0</c:v>
                </c:pt>
              </c:numCache>
            </c:numRef>
          </c:yVal>
          <c:smooth val="0"/>
          <c:extLst>
            <c:ext xmlns:c16="http://schemas.microsoft.com/office/drawing/2014/chart" uri="{C3380CC4-5D6E-409C-BE32-E72D297353CC}">
              <c16:uniqueId val="{00000009-58EA-41F9-9FF1-79B665C90F9C}"/>
            </c:ext>
          </c:extLst>
        </c:ser>
        <c:ser>
          <c:idx val="8"/>
          <c:order val="8"/>
          <c:tx>
            <c:strRef>
              <c:f>Drought!$C$885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Drought!$J$886</c:f>
              <c:numCache>
                <c:formatCode>General</c:formatCode>
                <c:ptCount val="1"/>
                <c:pt idx="0">
                  <c:v>0</c:v>
                </c:pt>
              </c:numCache>
            </c:numRef>
          </c:xVal>
          <c:yVal>
            <c:numRef>
              <c:f>Drought!$J$887</c:f>
              <c:numCache>
                <c:formatCode>General</c:formatCode>
                <c:ptCount val="1"/>
                <c:pt idx="0">
                  <c:v>0</c:v>
                </c:pt>
              </c:numCache>
            </c:numRef>
          </c:yVal>
          <c:smooth val="0"/>
          <c:extLst>
            <c:ext xmlns:c16="http://schemas.microsoft.com/office/drawing/2014/chart" uri="{C3380CC4-5D6E-409C-BE32-E72D297353CC}">
              <c16:uniqueId val="{0000000A-58EA-41F9-9FF1-79B665C90F9C}"/>
            </c:ext>
          </c:extLst>
        </c:ser>
        <c:ser>
          <c:idx val="9"/>
          <c:order val="9"/>
          <c:tx>
            <c:strRef>
              <c:f>Drought!$C$889</c:f>
              <c:strCache>
                <c:ptCount val="1"/>
                <c:pt idx="0">
                  <c:v>Volunteer Mgmt</c:v>
                </c:pt>
              </c:strCache>
            </c:strRef>
          </c:tx>
          <c:spPr>
            <a:ln w="66675">
              <a:noFill/>
            </a:ln>
          </c:spPr>
          <c:dLbls>
            <c:dLbl>
              <c:idx val="0"/>
              <c:layout>
                <c:manualLayout>
                  <c:x val="-1.5251807320995951E-17"/>
                  <c:y val="1.7000607164541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8EA-41F9-9FF1-79B665C90F9C}"/>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Drought!$J$890</c:f>
              <c:numCache>
                <c:formatCode>General</c:formatCode>
                <c:ptCount val="1"/>
                <c:pt idx="0">
                  <c:v>0</c:v>
                </c:pt>
              </c:numCache>
            </c:numRef>
          </c:xVal>
          <c:yVal>
            <c:numRef>
              <c:f>Drought!$J$891</c:f>
              <c:numCache>
                <c:formatCode>General</c:formatCode>
                <c:ptCount val="1"/>
                <c:pt idx="0">
                  <c:v>0</c:v>
                </c:pt>
              </c:numCache>
            </c:numRef>
          </c:yVal>
          <c:smooth val="0"/>
          <c:extLst>
            <c:ext xmlns:c16="http://schemas.microsoft.com/office/drawing/2014/chart" uri="{C3380CC4-5D6E-409C-BE32-E72D297353CC}">
              <c16:uniqueId val="{0000000C-58EA-41F9-9FF1-79B665C90F9C}"/>
            </c:ext>
          </c:extLst>
        </c:ser>
        <c:ser>
          <c:idx val="10"/>
          <c:order val="10"/>
          <c:tx>
            <c:strRef>
              <c:f>Drought!$C$833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Drought!$J$834</c:f>
              <c:numCache>
                <c:formatCode>General</c:formatCode>
                <c:ptCount val="1"/>
                <c:pt idx="0">
                  <c:v>4</c:v>
                </c:pt>
              </c:numCache>
            </c:numRef>
          </c:xVal>
          <c:yVal>
            <c:numRef>
              <c:f>Drought!$J$835</c:f>
              <c:numCache>
                <c:formatCode>General</c:formatCode>
                <c:ptCount val="1"/>
                <c:pt idx="0">
                  <c:v>0</c:v>
                </c:pt>
              </c:numCache>
            </c:numRef>
          </c:yVal>
          <c:smooth val="0"/>
          <c:extLst>
            <c:ext xmlns:c16="http://schemas.microsoft.com/office/drawing/2014/chart" uri="{C3380CC4-5D6E-409C-BE32-E72D297353CC}">
              <c16:uniqueId val="{0000000D-58EA-41F9-9FF1-79B665C90F9C}"/>
            </c:ext>
          </c:extLst>
        </c:ser>
        <c:ser>
          <c:idx val="11"/>
          <c:order val="11"/>
          <c:tx>
            <c:strRef>
              <c:f>Drought!$C$837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Drought!$J$838</c:f>
              <c:numCache>
                <c:formatCode>General</c:formatCode>
                <c:ptCount val="1"/>
                <c:pt idx="0">
                  <c:v>4</c:v>
                </c:pt>
              </c:numCache>
            </c:numRef>
          </c:xVal>
          <c:yVal>
            <c:numRef>
              <c:f>Drought!$J$839</c:f>
              <c:numCache>
                <c:formatCode>General</c:formatCode>
                <c:ptCount val="1"/>
                <c:pt idx="0">
                  <c:v>0</c:v>
                </c:pt>
              </c:numCache>
            </c:numRef>
          </c:yVal>
          <c:smooth val="0"/>
          <c:extLst>
            <c:ext xmlns:c16="http://schemas.microsoft.com/office/drawing/2014/chart" uri="{C3380CC4-5D6E-409C-BE32-E72D297353CC}">
              <c16:uniqueId val="{0000000E-58EA-41F9-9FF1-79B665C90F9C}"/>
            </c:ext>
          </c:extLst>
        </c:ser>
        <c:ser>
          <c:idx val="12"/>
          <c:order val="12"/>
          <c:tx>
            <c:strRef>
              <c:f>Drought!$C$841</c:f>
              <c:strCache>
                <c:ptCount val="1"/>
                <c:pt idx="0">
                  <c:v>Emerg Ops Coord</c:v>
                </c:pt>
              </c:strCache>
            </c:strRef>
          </c:tx>
          <c:spPr>
            <a:ln w="66675">
              <a:noFill/>
            </a:ln>
          </c:spPr>
          <c:dLbls>
            <c:dLbl>
              <c:idx val="0"/>
              <c:layout>
                <c:manualLayout>
                  <c:x val="-1.3101202729714196E-7"/>
                  <c:y val="-1.94294565638311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58EA-41F9-9FF1-79B665C90F9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Drought!$J$842</c:f>
              <c:numCache>
                <c:formatCode>General</c:formatCode>
                <c:ptCount val="1"/>
                <c:pt idx="0">
                  <c:v>0</c:v>
                </c:pt>
              </c:numCache>
            </c:numRef>
          </c:xVal>
          <c:yVal>
            <c:numRef>
              <c:f>Drought!$J$843</c:f>
              <c:numCache>
                <c:formatCode>General</c:formatCode>
                <c:ptCount val="1"/>
                <c:pt idx="0">
                  <c:v>0</c:v>
                </c:pt>
              </c:numCache>
            </c:numRef>
          </c:yVal>
          <c:smooth val="0"/>
          <c:extLst>
            <c:ext xmlns:c16="http://schemas.microsoft.com/office/drawing/2014/chart" uri="{C3380CC4-5D6E-409C-BE32-E72D297353CC}">
              <c16:uniqueId val="{00000010-58EA-41F9-9FF1-79B665C90F9C}"/>
            </c:ext>
          </c:extLst>
        </c:ser>
        <c:ser>
          <c:idx val="13"/>
          <c:order val="13"/>
          <c:tx>
            <c:strRef>
              <c:f>Drought!$C$845</c:f>
              <c:strCache>
                <c:ptCount val="1"/>
                <c:pt idx="0">
                  <c:v>Emerg Public Info</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Drought!$J$846</c:f>
              <c:numCache>
                <c:formatCode>General</c:formatCode>
                <c:ptCount val="1"/>
                <c:pt idx="0">
                  <c:v>3</c:v>
                </c:pt>
              </c:numCache>
            </c:numRef>
          </c:xVal>
          <c:yVal>
            <c:numRef>
              <c:f>Drought!$J$847</c:f>
              <c:numCache>
                <c:formatCode>General</c:formatCode>
                <c:ptCount val="1"/>
                <c:pt idx="0">
                  <c:v>0</c:v>
                </c:pt>
              </c:numCache>
            </c:numRef>
          </c:yVal>
          <c:smooth val="0"/>
          <c:extLst>
            <c:ext xmlns:c16="http://schemas.microsoft.com/office/drawing/2014/chart" uri="{C3380CC4-5D6E-409C-BE32-E72D297353CC}">
              <c16:uniqueId val="{00000011-58EA-41F9-9FF1-79B665C90F9C}"/>
            </c:ext>
          </c:extLst>
        </c:ser>
        <c:ser>
          <c:idx val="14"/>
          <c:order val="14"/>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12-58EA-41F9-9FF1-79B665C90F9C}"/>
            </c:ext>
          </c:extLst>
        </c:ser>
        <c:dLbls>
          <c:showLegendKey val="0"/>
          <c:showVal val="1"/>
          <c:showCatName val="0"/>
          <c:showSerName val="0"/>
          <c:showPercent val="0"/>
          <c:showBubbleSize val="0"/>
        </c:dLbls>
        <c:axId val="145526144"/>
        <c:axId val="2848256"/>
      </c:scatterChart>
      <c:valAx>
        <c:axId val="14552614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2848256"/>
        <c:crosses val="autoZero"/>
        <c:crossBetween val="midCat"/>
        <c:majorUnit val="1"/>
        <c:minorUnit val="0.1"/>
      </c:valAx>
      <c:valAx>
        <c:axId val="284825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552614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a:t>
            </a:r>
            <a:r>
              <a:rPr lang="en-US" b="0" u="sng" baseline="0">
                <a:latin typeface="+mj-lt"/>
              </a:rPr>
              <a:t> </a:t>
            </a:r>
            <a:r>
              <a:rPr lang="en-US" b="0" u="sng">
                <a:latin typeface="+mj-lt"/>
              </a:rPr>
              <a:t>Preparedness</a:t>
            </a:r>
          </a:p>
        </c:rich>
      </c:tx>
      <c:layout>
        <c:manualLayout>
          <c:xMode val="edge"/>
          <c:yMode val="edge"/>
          <c:x val="0.39517157793636931"/>
          <c:y val="1.3244983721297133E-2"/>
        </c:manualLayout>
      </c:layout>
      <c:overlay val="0"/>
    </c:title>
    <c:autoTitleDeleted val="0"/>
    <c:plotArea>
      <c:layout/>
      <c:scatterChart>
        <c:scatterStyle val="lineMarker"/>
        <c:varyColors val="0"/>
        <c:ser>
          <c:idx val="0"/>
          <c:order val="0"/>
          <c:tx>
            <c:strRef>
              <c:f>Drought!$C$903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Drought!$J$904</c:f>
              <c:numCache>
                <c:formatCode>General</c:formatCode>
                <c:ptCount val="1"/>
                <c:pt idx="0">
                  <c:v>4</c:v>
                </c:pt>
              </c:numCache>
            </c:numRef>
          </c:xVal>
          <c:yVal>
            <c:numRef>
              <c:f>Drought!$J$905</c:f>
              <c:numCache>
                <c:formatCode>General</c:formatCode>
                <c:ptCount val="1"/>
                <c:pt idx="0">
                  <c:v>0</c:v>
                </c:pt>
              </c:numCache>
            </c:numRef>
          </c:yVal>
          <c:smooth val="0"/>
          <c:extLst>
            <c:ext xmlns:c16="http://schemas.microsoft.com/office/drawing/2014/chart" uri="{C3380CC4-5D6E-409C-BE32-E72D297353CC}">
              <c16:uniqueId val="{00000000-A8A0-4EA6-BD42-76FFC4059813}"/>
            </c:ext>
          </c:extLst>
        </c:ser>
        <c:ser>
          <c:idx val="1"/>
          <c:order val="1"/>
          <c:tx>
            <c:strRef>
              <c:f>Drought!$C$907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Drought!$J$908</c:f>
              <c:numCache>
                <c:formatCode>General</c:formatCode>
                <c:ptCount val="1"/>
                <c:pt idx="0">
                  <c:v>4</c:v>
                </c:pt>
              </c:numCache>
            </c:numRef>
          </c:xVal>
          <c:yVal>
            <c:numRef>
              <c:f>Drought!$J$909</c:f>
              <c:numCache>
                <c:formatCode>General</c:formatCode>
                <c:ptCount val="1"/>
                <c:pt idx="0">
                  <c:v>0</c:v>
                </c:pt>
              </c:numCache>
            </c:numRef>
          </c:yVal>
          <c:smooth val="0"/>
          <c:extLst>
            <c:ext xmlns:c16="http://schemas.microsoft.com/office/drawing/2014/chart" uri="{C3380CC4-5D6E-409C-BE32-E72D297353CC}">
              <c16:uniqueId val="{00000001-A8A0-4EA6-BD42-76FFC4059813}"/>
            </c:ext>
          </c:extLst>
        </c:ser>
        <c:ser>
          <c:idx val="2"/>
          <c:order val="2"/>
          <c:tx>
            <c:strRef>
              <c:f>Drought!$C$911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Drought!$J$912</c:f>
              <c:numCache>
                <c:formatCode>General</c:formatCode>
                <c:ptCount val="1"/>
                <c:pt idx="0">
                  <c:v>0</c:v>
                </c:pt>
              </c:numCache>
            </c:numRef>
          </c:xVal>
          <c:yVal>
            <c:numRef>
              <c:f>Drought!$J$913</c:f>
              <c:numCache>
                <c:formatCode>General</c:formatCode>
                <c:ptCount val="1"/>
                <c:pt idx="0">
                  <c:v>0</c:v>
                </c:pt>
              </c:numCache>
            </c:numRef>
          </c:yVal>
          <c:smooth val="0"/>
          <c:extLst>
            <c:ext xmlns:c16="http://schemas.microsoft.com/office/drawing/2014/chart" uri="{C3380CC4-5D6E-409C-BE32-E72D297353CC}">
              <c16:uniqueId val="{00000002-A8A0-4EA6-BD42-76FFC4059813}"/>
            </c:ext>
          </c:extLst>
        </c:ser>
        <c:ser>
          <c:idx val="3"/>
          <c:order val="3"/>
          <c:tx>
            <c:strRef>
              <c:f>Drought!$C$915</c:f>
              <c:strCache>
                <c:ptCount val="1"/>
                <c:pt idx="0">
                  <c:v>Fatality Mgmt</c:v>
                </c:pt>
              </c:strCache>
            </c:strRef>
          </c:tx>
          <c:spPr>
            <a:ln w="66675">
              <a:noFill/>
            </a:ln>
          </c:spPr>
          <c:dLbls>
            <c:dLbl>
              <c:idx val="0"/>
              <c:layout>
                <c:manualLayout>
                  <c:x val="-1.5251807320995951E-17"/>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A8A0-4EA6-BD42-76FFC405981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Drought!$J$916</c:f>
              <c:numCache>
                <c:formatCode>General</c:formatCode>
                <c:ptCount val="1"/>
                <c:pt idx="0">
                  <c:v>0</c:v>
                </c:pt>
              </c:numCache>
            </c:numRef>
          </c:xVal>
          <c:yVal>
            <c:numRef>
              <c:f>Drought!$J$917</c:f>
              <c:numCache>
                <c:formatCode>General</c:formatCode>
                <c:ptCount val="1"/>
                <c:pt idx="0">
                  <c:v>0</c:v>
                </c:pt>
              </c:numCache>
            </c:numRef>
          </c:yVal>
          <c:smooth val="0"/>
          <c:extLst>
            <c:ext xmlns:c16="http://schemas.microsoft.com/office/drawing/2014/chart" uri="{C3380CC4-5D6E-409C-BE32-E72D297353CC}">
              <c16:uniqueId val="{00000004-A8A0-4EA6-BD42-76FFC4059813}"/>
            </c:ext>
          </c:extLst>
        </c:ser>
        <c:ser>
          <c:idx val="4"/>
          <c:order val="4"/>
          <c:tx>
            <c:strRef>
              <c:f>Drought!$C$919</c:f>
              <c:strCache>
                <c:ptCount val="1"/>
                <c:pt idx="0">
                  <c:v>Info Sharing</c:v>
                </c:pt>
              </c:strCache>
            </c:strRef>
          </c:tx>
          <c:spPr>
            <a:ln w="66675">
              <a:noFill/>
            </a:ln>
          </c:spPr>
          <c:dLbls>
            <c:dLbl>
              <c:idx val="0"/>
              <c:layout>
                <c:manualLayout>
                  <c:x val="-1.3101202729714196E-7"/>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A8A0-4EA6-BD42-76FFC405981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Drought!$J$920</c:f>
              <c:numCache>
                <c:formatCode>General</c:formatCode>
                <c:ptCount val="1"/>
                <c:pt idx="0">
                  <c:v>3</c:v>
                </c:pt>
              </c:numCache>
            </c:numRef>
          </c:xVal>
          <c:yVal>
            <c:numRef>
              <c:f>Drought!$J$921</c:f>
              <c:numCache>
                <c:formatCode>General</c:formatCode>
                <c:ptCount val="1"/>
                <c:pt idx="0">
                  <c:v>0</c:v>
                </c:pt>
              </c:numCache>
            </c:numRef>
          </c:yVal>
          <c:smooth val="0"/>
          <c:extLst>
            <c:ext xmlns:c16="http://schemas.microsoft.com/office/drawing/2014/chart" uri="{C3380CC4-5D6E-409C-BE32-E72D297353CC}">
              <c16:uniqueId val="{00000006-A8A0-4EA6-BD42-76FFC4059813}"/>
            </c:ext>
          </c:extLst>
        </c:ser>
        <c:ser>
          <c:idx val="5"/>
          <c:order val="5"/>
          <c:tx>
            <c:strRef>
              <c:f>Drought!$C$923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Drought!$J$924</c:f>
              <c:numCache>
                <c:formatCode>General</c:formatCode>
                <c:ptCount val="1"/>
                <c:pt idx="0">
                  <c:v>0</c:v>
                </c:pt>
              </c:numCache>
            </c:numRef>
          </c:xVal>
          <c:yVal>
            <c:numRef>
              <c:f>Drought!$J$925</c:f>
              <c:numCache>
                <c:formatCode>General</c:formatCode>
                <c:ptCount val="1"/>
                <c:pt idx="0">
                  <c:v>0</c:v>
                </c:pt>
              </c:numCache>
            </c:numRef>
          </c:yVal>
          <c:smooth val="0"/>
          <c:extLst>
            <c:ext xmlns:c16="http://schemas.microsoft.com/office/drawing/2014/chart" uri="{C3380CC4-5D6E-409C-BE32-E72D297353CC}">
              <c16:uniqueId val="{00000007-A8A0-4EA6-BD42-76FFC4059813}"/>
            </c:ext>
          </c:extLst>
        </c:ser>
        <c:ser>
          <c:idx val="6"/>
          <c:order val="6"/>
          <c:tx>
            <c:strRef>
              <c:f>Drought!$C$927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Drought!$J$928</c:f>
              <c:numCache>
                <c:formatCode>General</c:formatCode>
                <c:ptCount val="1"/>
                <c:pt idx="0">
                  <c:v>0</c:v>
                </c:pt>
              </c:numCache>
            </c:numRef>
          </c:xVal>
          <c:yVal>
            <c:numRef>
              <c:f>Drought!$J$929</c:f>
              <c:numCache>
                <c:formatCode>General</c:formatCode>
                <c:ptCount val="1"/>
                <c:pt idx="0">
                  <c:v>0</c:v>
                </c:pt>
              </c:numCache>
            </c:numRef>
          </c:yVal>
          <c:smooth val="0"/>
          <c:extLst>
            <c:ext xmlns:c16="http://schemas.microsoft.com/office/drawing/2014/chart" uri="{C3380CC4-5D6E-409C-BE32-E72D297353CC}">
              <c16:uniqueId val="{00000008-A8A0-4EA6-BD42-76FFC4059813}"/>
            </c:ext>
          </c:extLst>
        </c:ser>
        <c:ser>
          <c:idx val="7"/>
          <c:order val="7"/>
          <c:tx>
            <c:strRef>
              <c:f>Drought!$C$931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Drought!$J$932</c:f>
              <c:numCache>
                <c:formatCode>General</c:formatCode>
                <c:ptCount val="1"/>
                <c:pt idx="0">
                  <c:v>0</c:v>
                </c:pt>
              </c:numCache>
            </c:numRef>
          </c:xVal>
          <c:yVal>
            <c:numRef>
              <c:f>Drought!$J$933</c:f>
              <c:numCache>
                <c:formatCode>General</c:formatCode>
                <c:ptCount val="1"/>
                <c:pt idx="0">
                  <c:v>0</c:v>
                </c:pt>
              </c:numCache>
            </c:numRef>
          </c:yVal>
          <c:smooth val="0"/>
          <c:extLst>
            <c:ext xmlns:c16="http://schemas.microsoft.com/office/drawing/2014/chart" uri="{C3380CC4-5D6E-409C-BE32-E72D297353CC}">
              <c16:uniqueId val="{00000009-A8A0-4EA6-BD42-76FFC4059813}"/>
            </c:ext>
          </c:extLst>
        </c:ser>
        <c:ser>
          <c:idx val="14"/>
          <c:order val="8"/>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0A-A8A0-4EA6-BD42-76FFC4059813}"/>
            </c:ext>
          </c:extLst>
        </c:ser>
        <c:dLbls>
          <c:showLegendKey val="0"/>
          <c:showVal val="1"/>
          <c:showCatName val="0"/>
          <c:showSerName val="0"/>
          <c:showPercent val="0"/>
          <c:showBubbleSize val="0"/>
        </c:dLbls>
        <c:axId val="145853824"/>
        <c:axId val="145872384"/>
      </c:scatterChart>
      <c:valAx>
        <c:axId val="14585382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5872384"/>
        <c:crosses val="autoZero"/>
        <c:crossBetween val="midCat"/>
        <c:majorUnit val="1"/>
        <c:minorUnit val="0.1"/>
      </c:valAx>
      <c:valAx>
        <c:axId val="14587238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585382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(Earthquake!$J$133,Earthquake!$J$261,Earthquake!$J$421,Earthquake!$J$539,Earthquake!$J$681)</c:f>
              <c:numCache>
                <c:formatCode>0.00</c:formatCode>
                <c:ptCount val="5"/>
                <c:pt idx="0">
                  <c:v>0.33333333333333331</c:v>
                </c:pt>
                <c:pt idx="1">
                  <c:v>0</c:v>
                </c:pt>
                <c:pt idx="2">
                  <c:v>1.25</c:v>
                </c:pt>
                <c:pt idx="3">
                  <c:v>0.2857142857142857</c:v>
                </c:pt>
                <c:pt idx="4">
                  <c:v>0</c:v>
                </c:pt>
              </c:numCache>
            </c:numRef>
          </c:val>
          <c:extLst>
            <c:ext xmlns:c16="http://schemas.microsoft.com/office/drawing/2014/chart" uri="{C3380CC4-5D6E-409C-BE32-E72D297353CC}">
              <c16:uniqueId val="{00000000-19C8-4186-AF64-7C507AE2F0B5}"/>
            </c:ext>
          </c:extLst>
        </c:ser>
        <c:dLbls>
          <c:showLegendKey val="0"/>
          <c:showVal val="1"/>
          <c:showCatName val="0"/>
          <c:showSerName val="0"/>
          <c:showPercent val="0"/>
          <c:showBubbleSize val="0"/>
        </c:dLbls>
        <c:gapWidth val="150"/>
        <c:axId val="146381056"/>
        <c:axId val="146400768"/>
      </c:barChart>
      <c:catAx>
        <c:axId val="146381056"/>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6400768"/>
        <c:crosses val="autoZero"/>
        <c:auto val="1"/>
        <c:lblAlgn val="ctr"/>
        <c:lblOffset val="100"/>
        <c:noMultiLvlLbl val="0"/>
      </c:catAx>
      <c:valAx>
        <c:axId val="14640076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6381056"/>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Earthquake!$C$793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Earthquake!$J$795</c:f>
              <c:numCache>
                <c:formatCode>General</c:formatCode>
                <c:ptCount val="1"/>
                <c:pt idx="0">
                  <c:v>1</c:v>
                </c:pt>
              </c:numCache>
            </c:numRef>
          </c:xVal>
          <c:yVal>
            <c:numRef>
              <c:f>Earthquake!$J$794</c:f>
              <c:numCache>
                <c:formatCode>General</c:formatCode>
                <c:ptCount val="1"/>
                <c:pt idx="0">
                  <c:v>0</c:v>
                </c:pt>
              </c:numCache>
            </c:numRef>
          </c:yVal>
          <c:smooth val="0"/>
          <c:extLst>
            <c:ext xmlns:c16="http://schemas.microsoft.com/office/drawing/2014/chart" uri="{C3380CC4-5D6E-409C-BE32-E72D297353CC}">
              <c16:uniqueId val="{00000000-339B-412B-9531-0EAF5A1395E6}"/>
            </c:ext>
          </c:extLst>
        </c:ser>
        <c:ser>
          <c:idx val="1"/>
          <c:order val="1"/>
          <c:tx>
            <c:strRef>
              <c:f>Earthquake!$C$797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Earthquake!$J$799</c:f>
              <c:numCache>
                <c:formatCode>General</c:formatCode>
                <c:ptCount val="1"/>
                <c:pt idx="0">
                  <c:v>0</c:v>
                </c:pt>
              </c:numCache>
            </c:numRef>
          </c:xVal>
          <c:yVal>
            <c:numRef>
              <c:f>Earthquake!$J$798</c:f>
              <c:numCache>
                <c:formatCode>General</c:formatCode>
                <c:ptCount val="1"/>
                <c:pt idx="0">
                  <c:v>0</c:v>
                </c:pt>
              </c:numCache>
            </c:numRef>
          </c:yVal>
          <c:smooth val="0"/>
          <c:extLst>
            <c:ext xmlns:c16="http://schemas.microsoft.com/office/drawing/2014/chart" uri="{C3380CC4-5D6E-409C-BE32-E72D297353CC}">
              <c16:uniqueId val="{00000001-339B-412B-9531-0EAF5A1395E6}"/>
            </c:ext>
          </c:extLst>
        </c:ser>
        <c:ser>
          <c:idx val="2"/>
          <c:order val="2"/>
          <c:tx>
            <c:strRef>
              <c:f>Earthquake!$C$801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Earthquake!$J$803</c:f>
              <c:numCache>
                <c:formatCode>General</c:formatCode>
                <c:ptCount val="1"/>
                <c:pt idx="0">
                  <c:v>1</c:v>
                </c:pt>
              </c:numCache>
            </c:numRef>
          </c:xVal>
          <c:yVal>
            <c:numRef>
              <c:f>Earthquake!$J$802</c:f>
              <c:numCache>
                <c:formatCode>General</c:formatCode>
                <c:ptCount val="1"/>
                <c:pt idx="0">
                  <c:v>0</c:v>
                </c:pt>
              </c:numCache>
            </c:numRef>
          </c:yVal>
          <c:smooth val="0"/>
          <c:extLst>
            <c:ext xmlns:c16="http://schemas.microsoft.com/office/drawing/2014/chart" uri="{C3380CC4-5D6E-409C-BE32-E72D297353CC}">
              <c16:uniqueId val="{00000002-339B-412B-9531-0EAF5A1395E6}"/>
            </c:ext>
          </c:extLst>
        </c:ser>
        <c:ser>
          <c:idx val="3"/>
          <c:order val="3"/>
          <c:tx>
            <c:strRef>
              <c:f>Earthquake!$C$805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Earthquake!$J$807</c:f>
              <c:numCache>
                <c:formatCode>General</c:formatCode>
                <c:ptCount val="1"/>
                <c:pt idx="0">
                  <c:v>0</c:v>
                </c:pt>
              </c:numCache>
            </c:numRef>
          </c:xVal>
          <c:yVal>
            <c:numRef>
              <c:f>Earthquake!$J$806</c:f>
              <c:numCache>
                <c:formatCode>General</c:formatCode>
                <c:ptCount val="1"/>
                <c:pt idx="0">
                  <c:v>0</c:v>
                </c:pt>
              </c:numCache>
            </c:numRef>
          </c:yVal>
          <c:smooth val="0"/>
          <c:extLst>
            <c:ext xmlns:c16="http://schemas.microsoft.com/office/drawing/2014/chart" uri="{C3380CC4-5D6E-409C-BE32-E72D297353CC}">
              <c16:uniqueId val="{00000003-339B-412B-9531-0EAF5A1395E6}"/>
            </c:ext>
          </c:extLst>
        </c:ser>
        <c:ser>
          <c:idx val="4"/>
          <c:order val="4"/>
          <c:tx>
            <c:strRef>
              <c:f>Earthquake!$C$773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Earthquake!$J$775</c:f>
              <c:numCache>
                <c:formatCode>General</c:formatCode>
                <c:ptCount val="1"/>
                <c:pt idx="0">
                  <c:v>1</c:v>
                </c:pt>
              </c:numCache>
            </c:numRef>
          </c:xVal>
          <c:yVal>
            <c:numRef>
              <c:f>Earthquake!$J$774</c:f>
              <c:numCache>
                <c:formatCode>General</c:formatCode>
                <c:ptCount val="1"/>
                <c:pt idx="0">
                  <c:v>0</c:v>
                </c:pt>
              </c:numCache>
            </c:numRef>
          </c:yVal>
          <c:smooth val="0"/>
          <c:extLst>
            <c:ext xmlns:c16="http://schemas.microsoft.com/office/drawing/2014/chart" uri="{C3380CC4-5D6E-409C-BE32-E72D297353CC}">
              <c16:uniqueId val="{00000004-339B-412B-9531-0EAF5A1395E6}"/>
            </c:ext>
          </c:extLst>
        </c:ser>
        <c:ser>
          <c:idx val="5"/>
          <c:order val="5"/>
          <c:tx>
            <c:strRef>
              <c:f>Earthquake!$C$777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Earthquake!$J$779</c:f>
              <c:numCache>
                <c:formatCode>General</c:formatCode>
                <c:ptCount val="1"/>
                <c:pt idx="0">
                  <c:v>1</c:v>
                </c:pt>
              </c:numCache>
            </c:numRef>
          </c:xVal>
          <c:yVal>
            <c:numRef>
              <c:f>Earthquake!$J$778</c:f>
              <c:numCache>
                <c:formatCode>General</c:formatCode>
                <c:ptCount val="1"/>
                <c:pt idx="0">
                  <c:v>0</c:v>
                </c:pt>
              </c:numCache>
            </c:numRef>
          </c:yVal>
          <c:smooth val="0"/>
          <c:extLst>
            <c:ext xmlns:c16="http://schemas.microsoft.com/office/drawing/2014/chart" uri="{C3380CC4-5D6E-409C-BE32-E72D297353CC}">
              <c16:uniqueId val="{00000005-339B-412B-9531-0EAF5A1395E6}"/>
            </c:ext>
          </c:extLst>
        </c:ser>
        <c:ser>
          <c:idx val="6"/>
          <c:order val="6"/>
          <c:tx>
            <c:strRef>
              <c:f>Earthquake!$C$781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Earthquake!$J$783</c:f>
              <c:numCache>
                <c:formatCode>General</c:formatCode>
                <c:ptCount val="1"/>
                <c:pt idx="0">
                  <c:v>0</c:v>
                </c:pt>
              </c:numCache>
            </c:numRef>
          </c:xVal>
          <c:yVal>
            <c:numRef>
              <c:f>Earthquake!$J$782</c:f>
              <c:numCache>
                <c:formatCode>General</c:formatCode>
                <c:ptCount val="1"/>
                <c:pt idx="0">
                  <c:v>0</c:v>
                </c:pt>
              </c:numCache>
            </c:numRef>
          </c:yVal>
          <c:smooth val="0"/>
          <c:extLst>
            <c:ext xmlns:c16="http://schemas.microsoft.com/office/drawing/2014/chart" uri="{C3380CC4-5D6E-409C-BE32-E72D297353CC}">
              <c16:uniqueId val="{00000006-339B-412B-9531-0EAF5A1395E6}"/>
            </c:ext>
          </c:extLst>
        </c:ser>
        <c:ser>
          <c:idx val="7"/>
          <c:order val="7"/>
          <c:tx>
            <c:strRef>
              <c:f>Earthquake!$C$785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39B-412B-9531-0EAF5A1395E6}"/>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Earthquake!$J$787</c:f>
              <c:numCache>
                <c:formatCode>General</c:formatCode>
                <c:ptCount val="1"/>
                <c:pt idx="0">
                  <c:v>1</c:v>
                </c:pt>
              </c:numCache>
            </c:numRef>
          </c:xVal>
          <c:yVal>
            <c:numRef>
              <c:f>Earthquake!$J$786</c:f>
              <c:numCache>
                <c:formatCode>General</c:formatCode>
                <c:ptCount val="1"/>
                <c:pt idx="0">
                  <c:v>0</c:v>
                </c:pt>
              </c:numCache>
            </c:numRef>
          </c:yVal>
          <c:smooth val="0"/>
          <c:extLst>
            <c:ext xmlns:c16="http://schemas.microsoft.com/office/drawing/2014/chart" uri="{C3380CC4-5D6E-409C-BE32-E72D297353CC}">
              <c16:uniqueId val="{00000008-339B-412B-9531-0EAF5A1395E6}"/>
            </c:ext>
          </c:extLst>
        </c:ser>
        <c:ser>
          <c:idx val="8"/>
          <c:order val="8"/>
          <c:tx>
            <c:strRef>
              <c:f>Earthquake!$C$789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Earthquake!$J$791</c:f>
              <c:numCache>
                <c:formatCode>General</c:formatCode>
                <c:ptCount val="1"/>
                <c:pt idx="0">
                  <c:v>1</c:v>
                </c:pt>
              </c:numCache>
            </c:numRef>
          </c:xVal>
          <c:yVal>
            <c:numRef>
              <c:f>Earthquake!$J$790</c:f>
              <c:numCache>
                <c:formatCode>General</c:formatCode>
                <c:ptCount val="1"/>
                <c:pt idx="0">
                  <c:v>0</c:v>
                </c:pt>
              </c:numCache>
            </c:numRef>
          </c:yVal>
          <c:smooth val="0"/>
          <c:extLst>
            <c:ext xmlns:c16="http://schemas.microsoft.com/office/drawing/2014/chart" uri="{C3380CC4-5D6E-409C-BE32-E72D297353CC}">
              <c16:uniqueId val="{00000009-339B-412B-9531-0EAF5A1395E6}"/>
            </c:ext>
          </c:extLst>
        </c:ser>
        <c:dLbls>
          <c:showLegendKey val="0"/>
          <c:showVal val="1"/>
          <c:showCatName val="0"/>
          <c:showSerName val="0"/>
          <c:showPercent val="0"/>
          <c:showBubbleSize val="0"/>
        </c:dLbls>
        <c:axId val="144645504"/>
        <c:axId val="144651776"/>
      </c:scatterChart>
      <c:valAx>
        <c:axId val="14464550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4651776"/>
        <c:crosses val="autoZero"/>
        <c:crossBetween val="midCat"/>
        <c:majorUnit val="1"/>
        <c:minorUnit val="0.1"/>
      </c:valAx>
      <c:valAx>
        <c:axId val="14465177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464550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Earthquake!$C$853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Earthquake!$J$854</c:f>
              <c:numCache>
                <c:formatCode>General</c:formatCode>
                <c:ptCount val="1"/>
                <c:pt idx="0">
                  <c:v>4</c:v>
                </c:pt>
              </c:numCache>
            </c:numRef>
          </c:xVal>
          <c:yVal>
            <c:numRef>
              <c:f>Earthquake!$J$855</c:f>
              <c:numCache>
                <c:formatCode>General</c:formatCode>
                <c:ptCount val="1"/>
                <c:pt idx="0">
                  <c:v>0</c:v>
                </c:pt>
              </c:numCache>
            </c:numRef>
          </c:yVal>
          <c:smooth val="0"/>
          <c:extLst>
            <c:ext xmlns:c16="http://schemas.microsoft.com/office/drawing/2014/chart" uri="{C3380CC4-5D6E-409C-BE32-E72D297353CC}">
              <c16:uniqueId val="{00000000-5F86-4D68-9630-756CAE0CFF70}"/>
            </c:ext>
          </c:extLst>
        </c:ser>
        <c:ser>
          <c:idx val="1"/>
          <c:order val="1"/>
          <c:tx>
            <c:strRef>
              <c:f>Earthquake!$C$857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Earthquake!$J$858</c:f>
              <c:numCache>
                <c:formatCode>General</c:formatCode>
                <c:ptCount val="1"/>
                <c:pt idx="0">
                  <c:v>0</c:v>
                </c:pt>
              </c:numCache>
            </c:numRef>
          </c:xVal>
          <c:yVal>
            <c:numRef>
              <c:f>Earthquake!$J$859</c:f>
              <c:numCache>
                <c:formatCode>General</c:formatCode>
                <c:ptCount val="1"/>
                <c:pt idx="0">
                  <c:v>0</c:v>
                </c:pt>
              </c:numCache>
            </c:numRef>
          </c:yVal>
          <c:smooth val="0"/>
          <c:extLst>
            <c:ext xmlns:c16="http://schemas.microsoft.com/office/drawing/2014/chart" uri="{C3380CC4-5D6E-409C-BE32-E72D297353CC}">
              <c16:uniqueId val="{00000001-5F86-4D68-9630-756CAE0CFF70}"/>
            </c:ext>
          </c:extLst>
        </c:ser>
        <c:ser>
          <c:idx val="2"/>
          <c:order val="2"/>
          <c:tx>
            <c:strRef>
              <c:f>Earthquake!$C$861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Earthquake!$J$862</c:f>
              <c:numCache>
                <c:formatCode>General</c:formatCode>
                <c:ptCount val="1"/>
                <c:pt idx="0">
                  <c:v>0</c:v>
                </c:pt>
              </c:numCache>
            </c:numRef>
          </c:xVal>
          <c:yVal>
            <c:numRef>
              <c:f>Earthquake!$J$863</c:f>
              <c:numCache>
                <c:formatCode>General</c:formatCode>
                <c:ptCount val="1"/>
                <c:pt idx="0">
                  <c:v>0</c:v>
                </c:pt>
              </c:numCache>
            </c:numRef>
          </c:yVal>
          <c:smooth val="0"/>
          <c:extLst>
            <c:ext xmlns:c16="http://schemas.microsoft.com/office/drawing/2014/chart" uri="{C3380CC4-5D6E-409C-BE32-E72D297353CC}">
              <c16:uniqueId val="{00000002-5F86-4D68-9630-756CAE0CFF70}"/>
            </c:ext>
          </c:extLst>
        </c:ser>
        <c:ser>
          <c:idx val="3"/>
          <c:order val="3"/>
          <c:tx>
            <c:strRef>
              <c:f>Earthquake!$C$865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Earthquake!$J$866</c:f>
              <c:numCache>
                <c:formatCode>General</c:formatCode>
                <c:ptCount val="1"/>
                <c:pt idx="0">
                  <c:v>0</c:v>
                </c:pt>
              </c:numCache>
            </c:numRef>
          </c:xVal>
          <c:yVal>
            <c:numRef>
              <c:f>Earthquake!$J$867</c:f>
              <c:numCache>
                <c:formatCode>General</c:formatCode>
                <c:ptCount val="1"/>
                <c:pt idx="0">
                  <c:v>0</c:v>
                </c:pt>
              </c:numCache>
            </c:numRef>
          </c:yVal>
          <c:smooth val="0"/>
          <c:extLst>
            <c:ext xmlns:c16="http://schemas.microsoft.com/office/drawing/2014/chart" uri="{C3380CC4-5D6E-409C-BE32-E72D297353CC}">
              <c16:uniqueId val="{00000003-5F86-4D68-9630-756CAE0CFF70}"/>
            </c:ext>
          </c:extLst>
        </c:ser>
        <c:ser>
          <c:idx val="4"/>
          <c:order val="4"/>
          <c:tx>
            <c:strRef>
              <c:f>Earthquake!$C$869</c:f>
              <c:strCache>
                <c:ptCount val="1"/>
                <c:pt idx="0">
                  <c:v>Medical Surge</c:v>
                </c:pt>
              </c:strCache>
            </c:strRef>
          </c:tx>
          <c:spPr>
            <a:ln w="66675">
              <a:noFill/>
            </a:ln>
          </c:spPr>
          <c:dLbls>
            <c:dLbl>
              <c:idx val="0"/>
              <c:layout>
                <c:manualLayout>
                  <c:x val="-3.3278365053747028E-3"/>
                  <c:y val="2.1857923497267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F86-4D68-9630-756CAE0CFF7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Earthquake!$J$870</c:f>
              <c:numCache>
                <c:formatCode>General</c:formatCode>
                <c:ptCount val="1"/>
                <c:pt idx="0">
                  <c:v>0</c:v>
                </c:pt>
              </c:numCache>
            </c:numRef>
          </c:xVal>
          <c:yVal>
            <c:numRef>
              <c:f>Earthquake!$J$871</c:f>
              <c:numCache>
                <c:formatCode>General</c:formatCode>
                <c:ptCount val="1"/>
                <c:pt idx="0">
                  <c:v>0</c:v>
                </c:pt>
              </c:numCache>
            </c:numRef>
          </c:yVal>
          <c:smooth val="0"/>
          <c:extLst>
            <c:ext xmlns:c16="http://schemas.microsoft.com/office/drawing/2014/chart" uri="{C3380CC4-5D6E-409C-BE32-E72D297353CC}">
              <c16:uniqueId val="{00000005-5F86-4D68-9630-756CAE0CFF70}"/>
            </c:ext>
          </c:extLst>
        </c:ser>
        <c:ser>
          <c:idx val="5"/>
          <c:order val="5"/>
          <c:tx>
            <c:strRef>
              <c:f>Earthquake!$C$873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Earthquake!$J$874</c:f>
              <c:numCache>
                <c:formatCode>General</c:formatCode>
                <c:ptCount val="1"/>
                <c:pt idx="0">
                  <c:v>0</c:v>
                </c:pt>
              </c:numCache>
            </c:numRef>
          </c:xVal>
          <c:yVal>
            <c:numRef>
              <c:f>Earthquake!$J$875</c:f>
              <c:numCache>
                <c:formatCode>General</c:formatCode>
                <c:ptCount val="1"/>
                <c:pt idx="0">
                  <c:v>0</c:v>
                </c:pt>
              </c:numCache>
            </c:numRef>
          </c:yVal>
          <c:smooth val="0"/>
          <c:extLst>
            <c:ext xmlns:c16="http://schemas.microsoft.com/office/drawing/2014/chart" uri="{C3380CC4-5D6E-409C-BE32-E72D297353CC}">
              <c16:uniqueId val="{00000006-5F86-4D68-9630-756CAE0CFF70}"/>
            </c:ext>
          </c:extLst>
        </c:ser>
        <c:ser>
          <c:idx val="6"/>
          <c:order val="6"/>
          <c:tx>
            <c:strRef>
              <c:f>Earthquake!$C$877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Earthquake!$J$878</c:f>
              <c:numCache>
                <c:formatCode>General</c:formatCode>
                <c:ptCount val="1"/>
                <c:pt idx="0">
                  <c:v>2</c:v>
                </c:pt>
              </c:numCache>
            </c:numRef>
          </c:xVal>
          <c:yVal>
            <c:numRef>
              <c:f>Earthquake!$J$879</c:f>
              <c:numCache>
                <c:formatCode>General</c:formatCode>
                <c:ptCount val="1"/>
                <c:pt idx="0">
                  <c:v>0</c:v>
                </c:pt>
              </c:numCache>
            </c:numRef>
          </c:yVal>
          <c:smooth val="0"/>
          <c:extLst>
            <c:ext xmlns:c16="http://schemas.microsoft.com/office/drawing/2014/chart" uri="{C3380CC4-5D6E-409C-BE32-E72D297353CC}">
              <c16:uniqueId val="{00000007-5F86-4D68-9630-756CAE0CFF70}"/>
            </c:ext>
          </c:extLst>
        </c:ser>
        <c:ser>
          <c:idx val="7"/>
          <c:order val="7"/>
          <c:tx>
            <c:strRef>
              <c:f>Earthquake!$C$881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Earthquake!$J$882</c:f>
              <c:numCache>
                <c:formatCode>General</c:formatCode>
                <c:ptCount val="1"/>
                <c:pt idx="0">
                  <c:v>2</c:v>
                </c:pt>
              </c:numCache>
            </c:numRef>
          </c:xVal>
          <c:yVal>
            <c:numRef>
              <c:f>Earthquake!$J$883</c:f>
              <c:numCache>
                <c:formatCode>General</c:formatCode>
                <c:ptCount val="1"/>
                <c:pt idx="0">
                  <c:v>0</c:v>
                </c:pt>
              </c:numCache>
            </c:numRef>
          </c:yVal>
          <c:smooth val="0"/>
          <c:extLst>
            <c:ext xmlns:c16="http://schemas.microsoft.com/office/drawing/2014/chart" uri="{C3380CC4-5D6E-409C-BE32-E72D297353CC}">
              <c16:uniqueId val="{00000008-5F86-4D68-9630-756CAE0CFF70}"/>
            </c:ext>
          </c:extLst>
        </c:ser>
        <c:ser>
          <c:idx val="8"/>
          <c:order val="8"/>
          <c:tx>
            <c:strRef>
              <c:f>Earthquake!$C$885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Earthquake!$J$886</c:f>
              <c:numCache>
                <c:formatCode>General</c:formatCode>
                <c:ptCount val="1"/>
                <c:pt idx="0">
                  <c:v>2</c:v>
                </c:pt>
              </c:numCache>
            </c:numRef>
          </c:xVal>
          <c:yVal>
            <c:numRef>
              <c:f>Earthquake!$J$887</c:f>
              <c:numCache>
                <c:formatCode>General</c:formatCode>
                <c:ptCount val="1"/>
                <c:pt idx="0">
                  <c:v>0</c:v>
                </c:pt>
              </c:numCache>
            </c:numRef>
          </c:yVal>
          <c:smooth val="0"/>
          <c:extLst>
            <c:ext xmlns:c16="http://schemas.microsoft.com/office/drawing/2014/chart" uri="{C3380CC4-5D6E-409C-BE32-E72D297353CC}">
              <c16:uniqueId val="{00000009-5F86-4D68-9630-756CAE0CFF70}"/>
            </c:ext>
          </c:extLst>
        </c:ser>
        <c:ser>
          <c:idx val="9"/>
          <c:order val="9"/>
          <c:tx>
            <c:strRef>
              <c:f>Earthquake!$C$889</c:f>
              <c:strCache>
                <c:ptCount val="1"/>
                <c:pt idx="0">
                  <c:v>Volunteer Mgmt</c:v>
                </c:pt>
              </c:strCache>
            </c:strRef>
          </c:tx>
          <c:spPr>
            <a:ln w="66675">
              <a:noFill/>
            </a:ln>
          </c:spPr>
          <c:dLbls>
            <c:dLbl>
              <c:idx val="0"/>
              <c:layout>
                <c:manualLayout>
                  <c:x val="-1.5251807320995951E-17"/>
                  <c:y val="1.7000607164541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5F86-4D68-9630-756CAE0CFF70}"/>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Earthquake!$J$890</c:f>
              <c:numCache>
                <c:formatCode>General</c:formatCode>
                <c:ptCount val="1"/>
                <c:pt idx="0">
                  <c:v>0</c:v>
                </c:pt>
              </c:numCache>
            </c:numRef>
          </c:xVal>
          <c:yVal>
            <c:numRef>
              <c:f>Earthquake!$J$891</c:f>
              <c:numCache>
                <c:formatCode>General</c:formatCode>
                <c:ptCount val="1"/>
                <c:pt idx="0">
                  <c:v>0</c:v>
                </c:pt>
              </c:numCache>
            </c:numRef>
          </c:yVal>
          <c:smooth val="0"/>
          <c:extLst>
            <c:ext xmlns:c16="http://schemas.microsoft.com/office/drawing/2014/chart" uri="{C3380CC4-5D6E-409C-BE32-E72D297353CC}">
              <c16:uniqueId val="{0000000B-5F86-4D68-9630-756CAE0CFF70}"/>
            </c:ext>
          </c:extLst>
        </c:ser>
        <c:ser>
          <c:idx val="10"/>
          <c:order val="10"/>
          <c:tx>
            <c:strRef>
              <c:f>Earthquake!$C$833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Earthquake!$J$834</c:f>
              <c:numCache>
                <c:formatCode>General</c:formatCode>
                <c:ptCount val="1"/>
                <c:pt idx="0">
                  <c:v>4</c:v>
                </c:pt>
              </c:numCache>
            </c:numRef>
          </c:xVal>
          <c:yVal>
            <c:numRef>
              <c:f>Earthquake!$J$835</c:f>
              <c:numCache>
                <c:formatCode>General</c:formatCode>
                <c:ptCount val="1"/>
                <c:pt idx="0">
                  <c:v>0</c:v>
                </c:pt>
              </c:numCache>
            </c:numRef>
          </c:yVal>
          <c:smooth val="0"/>
          <c:extLst>
            <c:ext xmlns:c16="http://schemas.microsoft.com/office/drawing/2014/chart" uri="{C3380CC4-5D6E-409C-BE32-E72D297353CC}">
              <c16:uniqueId val="{0000000C-5F86-4D68-9630-756CAE0CFF70}"/>
            </c:ext>
          </c:extLst>
        </c:ser>
        <c:ser>
          <c:idx val="11"/>
          <c:order val="11"/>
          <c:tx>
            <c:strRef>
              <c:f>Earthquake!$C$837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Earthquake!$J$838</c:f>
              <c:numCache>
                <c:formatCode>General</c:formatCode>
                <c:ptCount val="1"/>
                <c:pt idx="0">
                  <c:v>4</c:v>
                </c:pt>
              </c:numCache>
            </c:numRef>
          </c:xVal>
          <c:yVal>
            <c:numRef>
              <c:f>Earthquake!$J$839</c:f>
              <c:numCache>
                <c:formatCode>General</c:formatCode>
                <c:ptCount val="1"/>
                <c:pt idx="0">
                  <c:v>0</c:v>
                </c:pt>
              </c:numCache>
            </c:numRef>
          </c:yVal>
          <c:smooth val="0"/>
          <c:extLst>
            <c:ext xmlns:c16="http://schemas.microsoft.com/office/drawing/2014/chart" uri="{C3380CC4-5D6E-409C-BE32-E72D297353CC}">
              <c16:uniqueId val="{0000000D-5F86-4D68-9630-756CAE0CFF70}"/>
            </c:ext>
          </c:extLst>
        </c:ser>
        <c:ser>
          <c:idx val="12"/>
          <c:order val="12"/>
          <c:tx>
            <c:strRef>
              <c:f>Earthquake!$C$841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Earthquake!$J$842</c:f>
              <c:numCache>
                <c:formatCode>General</c:formatCode>
                <c:ptCount val="1"/>
                <c:pt idx="0">
                  <c:v>1</c:v>
                </c:pt>
              </c:numCache>
            </c:numRef>
          </c:xVal>
          <c:yVal>
            <c:numRef>
              <c:f>Earthquake!$J$843</c:f>
              <c:numCache>
                <c:formatCode>General</c:formatCode>
                <c:ptCount val="1"/>
                <c:pt idx="0">
                  <c:v>0</c:v>
                </c:pt>
              </c:numCache>
            </c:numRef>
          </c:yVal>
          <c:smooth val="0"/>
          <c:extLst>
            <c:ext xmlns:c16="http://schemas.microsoft.com/office/drawing/2014/chart" uri="{C3380CC4-5D6E-409C-BE32-E72D297353CC}">
              <c16:uniqueId val="{0000000E-5F86-4D68-9630-756CAE0CFF70}"/>
            </c:ext>
          </c:extLst>
        </c:ser>
        <c:ser>
          <c:idx val="13"/>
          <c:order val="13"/>
          <c:tx>
            <c:strRef>
              <c:f>Earthquake!$C$845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Earthquake!$J$846</c:f>
              <c:numCache>
                <c:formatCode>General</c:formatCode>
                <c:ptCount val="1"/>
                <c:pt idx="0">
                  <c:v>4</c:v>
                </c:pt>
              </c:numCache>
            </c:numRef>
          </c:xVal>
          <c:yVal>
            <c:numRef>
              <c:f>Earthquake!$J$847</c:f>
              <c:numCache>
                <c:formatCode>General</c:formatCode>
                <c:ptCount val="1"/>
                <c:pt idx="0">
                  <c:v>0</c:v>
                </c:pt>
              </c:numCache>
            </c:numRef>
          </c:yVal>
          <c:smooth val="0"/>
          <c:extLst>
            <c:ext xmlns:c16="http://schemas.microsoft.com/office/drawing/2014/chart" uri="{C3380CC4-5D6E-409C-BE32-E72D297353CC}">
              <c16:uniqueId val="{0000000F-5F86-4D68-9630-756CAE0CFF70}"/>
            </c:ext>
          </c:extLst>
        </c:ser>
        <c:ser>
          <c:idx val="14"/>
          <c:order val="14"/>
          <c:tx>
            <c:strRef>
              <c:f>Earthquake!$C$964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Earthquake!$J$965</c:f>
            </c:numRef>
          </c:xVal>
          <c:yVal>
            <c:numRef>
              <c:f>Earthquake!$J$966</c:f>
            </c:numRef>
          </c:yVal>
          <c:smooth val="0"/>
          <c:extLst>
            <c:ext xmlns:c16="http://schemas.microsoft.com/office/drawing/2014/chart" uri="{C3380CC4-5D6E-409C-BE32-E72D297353CC}">
              <c16:uniqueId val="{00000010-5F86-4D68-9630-756CAE0CFF70}"/>
            </c:ext>
          </c:extLst>
        </c:ser>
        <c:dLbls>
          <c:showLegendKey val="0"/>
          <c:showVal val="1"/>
          <c:showCatName val="0"/>
          <c:showSerName val="0"/>
          <c:showPercent val="0"/>
          <c:showBubbleSize val="0"/>
        </c:dLbls>
        <c:axId val="146426496"/>
        <c:axId val="146453248"/>
      </c:scatterChart>
      <c:valAx>
        <c:axId val="14642649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6453248"/>
        <c:crosses val="autoZero"/>
        <c:crossBetween val="midCat"/>
        <c:majorUnit val="1"/>
        <c:minorUnit val="0.1"/>
      </c:valAx>
      <c:valAx>
        <c:axId val="14645324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642649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40182698892306412"/>
          <c:y val="1.3244983721297133E-2"/>
        </c:manualLayout>
      </c:layout>
      <c:overlay val="0"/>
    </c:title>
    <c:autoTitleDeleted val="0"/>
    <c:plotArea>
      <c:layout/>
      <c:scatterChart>
        <c:scatterStyle val="lineMarker"/>
        <c:varyColors val="0"/>
        <c:ser>
          <c:idx val="0"/>
          <c:order val="0"/>
          <c:tx>
            <c:strRef>
              <c:f>Earthquake!$C$903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Earthquake!$J$904</c:f>
              <c:numCache>
                <c:formatCode>General</c:formatCode>
                <c:ptCount val="1"/>
                <c:pt idx="0">
                  <c:v>4</c:v>
                </c:pt>
              </c:numCache>
            </c:numRef>
          </c:xVal>
          <c:yVal>
            <c:numRef>
              <c:f>Earthquake!$J$905</c:f>
              <c:numCache>
                <c:formatCode>General</c:formatCode>
                <c:ptCount val="1"/>
                <c:pt idx="0">
                  <c:v>0</c:v>
                </c:pt>
              </c:numCache>
            </c:numRef>
          </c:yVal>
          <c:smooth val="0"/>
          <c:extLst>
            <c:ext xmlns:c16="http://schemas.microsoft.com/office/drawing/2014/chart" uri="{C3380CC4-5D6E-409C-BE32-E72D297353CC}">
              <c16:uniqueId val="{00000000-68EC-46C0-86C1-DADBAA3CA40D}"/>
            </c:ext>
          </c:extLst>
        </c:ser>
        <c:ser>
          <c:idx val="1"/>
          <c:order val="1"/>
          <c:tx>
            <c:strRef>
              <c:f>Earthquake!$C$907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Earthquake!$J$908</c:f>
              <c:numCache>
                <c:formatCode>General</c:formatCode>
                <c:ptCount val="1"/>
                <c:pt idx="0">
                  <c:v>4</c:v>
                </c:pt>
              </c:numCache>
            </c:numRef>
          </c:xVal>
          <c:yVal>
            <c:numRef>
              <c:f>Earthquake!$J$909</c:f>
              <c:numCache>
                <c:formatCode>General</c:formatCode>
                <c:ptCount val="1"/>
                <c:pt idx="0">
                  <c:v>0</c:v>
                </c:pt>
              </c:numCache>
            </c:numRef>
          </c:yVal>
          <c:smooth val="0"/>
          <c:extLst>
            <c:ext xmlns:c16="http://schemas.microsoft.com/office/drawing/2014/chart" uri="{C3380CC4-5D6E-409C-BE32-E72D297353CC}">
              <c16:uniqueId val="{00000001-68EC-46C0-86C1-DADBAA3CA40D}"/>
            </c:ext>
          </c:extLst>
        </c:ser>
        <c:ser>
          <c:idx val="2"/>
          <c:order val="2"/>
          <c:tx>
            <c:strRef>
              <c:f>Earthquake!$C$911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Earthquake!$J$912</c:f>
              <c:numCache>
                <c:formatCode>General</c:formatCode>
                <c:ptCount val="1"/>
                <c:pt idx="0">
                  <c:v>1</c:v>
                </c:pt>
              </c:numCache>
            </c:numRef>
          </c:xVal>
          <c:yVal>
            <c:numRef>
              <c:f>Earthquake!$J$913</c:f>
              <c:numCache>
                <c:formatCode>General</c:formatCode>
                <c:ptCount val="1"/>
                <c:pt idx="0">
                  <c:v>0</c:v>
                </c:pt>
              </c:numCache>
            </c:numRef>
          </c:yVal>
          <c:smooth val="0"/>
          <c:extLst>
            <c:ext xmlns:c16="http://schemas.microsoft.com/office/drawing/2014/chart" uri="{C3380CC4-5D6E-409C-BE32-E72D297353CC}">
              <c16:uniqueId val="{00000002-68EC-46C0-86C1-DADBAA3CA40D}"/>
            </c:ext>
          </c:extLst>
        </c:ser>
        <c:ser>
          <c:idx val="3"/>
          <c:order val="3"/>
          <c:tx>
            <c:strRef>
              <c:f>Earthquake!$C$915</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Earthquake!$J$916</c:f>
              <c:numCache>
                <c:formatCode>General</c:formatCode>
                <c:ptCount val="1"/>
                <c:pt idx="0">
                  <c:v>0</c:v>
                </c:pt>
              </c:numCache>
            </c:numRef>
          </c:xVal>
          <c:yVal>
            <c:numRef>
              <c:f>Earthquake!$J$917</c:f>
              <c:numCache>
                <c:formatCode>General</c:formatCode>
                <c:ptCount val="1"/>
                <c:pt idx="0">
                  <c:v>0</c:v>
                </c:pt>
              </c:numCache>
            </c:numRef>
          </c:yVal>
          <c:smooth val="0"/>
          <c:extLst>
            <c:ext xmlns:c16="http://schemas.microsoft.com/office/drawing/2014/chart" uri="{C3380CC4-5D6E-409C-BE32-E72D297353CC}">
              <c16:uniqueId val="{00000003-68EC-46C0-86C1-DADBAA3CA40D}"/>
            </c:ext>
          </c:extLst>
        </c:ser>
        <c:ser>
          <c:idx val="4"/>
          <c:order val="4"/>
          <c:tx>
            <c:strRef>
              <c:f>Earthquake!$C$919</c:f>
              <c:strCache>
                <c:ptCount val="1"/>
                <c:pt idx="0">
                  <c:v>Info Sharing</c:v>
                </c:pt>
              </c:strCache>
            </c:strRef>
          </c:tx>
          <c:spPr>
            <a:ln w="66675">
              <a:noFill/>
            </a:ln>
          </c:spPr>
          <c:dLbls>
            <c:dLbl>
              <c:idx val="0"/>
              <c:layout>
                <c:manualLayout>
                  <c:x val="-3.3278365053747028E-3"/>
                  <c:y val="2.1857923497267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8EC-46C0-86C1-DADBAA3CA40D}"/>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Earthquake!$J$920</c:f>
              <c:numCache>
                <c:formatCode>General</c:formatCode>
                <c:ptCount val="1"/>
                <c:pt idx="0">
                  <c:v>4</c:v>
                </c:pt>
              </c:numCache>
            </c:numRef>
          </c:xVal>
          <c:yVal>
            <c:numRef>
              <c:f>Earthquake!$J$921</c:f>
              <c:numCache>
                <c:formatCode>General</c:formatCode>
                <c:ptCount val="1"/>
                <c:pt idx="0">
                  <c:v>0</c:v>
                </c:pt>
              </c:numCache>
            </c:numRef>
          </c:yVal>
          <c:smooth val="0"/>
          <c:extLst>
            <c:ext xmlns:c16="http://schemas.microsoft.com/office/drawing/2014/chart" uri="{C3380CC4-5D6E-409C-BE32-E72D297353CC}">
              <c16:uniqueId val="{00000005-68EC-46C0-86C1-DADBAA3CA40D}"/>
            </c:ext>
          </c:extLst>
        </c:ser>
        <c:ser>
          <c:idx val="5"/>
          <c:order val="5"/>
          <c:tx>
            <c:strRef>
              <c:f>Earthquake!$C$923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Earthquake!$J$924</c:f>
              <c:numCache>
                <c:formatCode>General</c:formatCode>
                <c:ptCount val="1"/>
                <c:pt idx="0">
                  <c:v>0</c:v>
                </c:pt>
              </c:numCache>
            </c:numRef>
          </c:xVal>
          <c:yVal>
            <c:numRef>
              <c:f>Earthquake!$J$925</c:f>
              <c:numCache>
                <c:formatCode>General</c:formatCode>
                <c:ptCount val="1"/>
                <c:pt idx="0">
                  <c:v>0</c:v>
                </c:pt>
              </c:numCache>
            </c:numRef>
          </c:yVal>
          <c:smooth val="0"/>
          <c:extLst>
            <c:ext xmlns:c16="http://schemas.microsoft.com/office/drawing/2014/chart" uri="{C3380CC4-5D6E-409C-BE32-E72D297353CC}">
              <c16:uniqueId val="{00000006-68EC-46C0-86C1-DADBAA3CA40D}"/>
            </c:ext>
          </c:extLst>
        </c:ser>
        <c:ser>
          <c:idx val="6"/>
          <c:order val="6"/>
          <c:tx>
            <c:strRef>
              <c:f>Earthquake!$C$927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Earthquake!$J$928</c:f>
              <c:numCache>
                <c:formatCode>General</c:formatCode>
                <c:ptCount val="1"/>
                <c:pt idx="0">
                  <c:v>2</c:v>
                </c:pt>
              </c:numCache>
            </c:numRef>
          </c:xVal>
          <c:yVal>
            <c:numRef>
              <c:f>Earthquake!$J$929</c:f>
              <c:numCache>
                <c:formatCode>General</c:formatCode>
                <c:ptCount val="1"/>
                <c:pt idx="0">
                  <c:v>0</c:v>
                </c:pt>
              </c:numCache>
            </c:numRef>
          </c:yVal>
          <c:smooth val="0"/>
          <c:extLst>
            <c:ext xmlns:c16="http://schemas.microsoft.com/office/drawing/2014/chart" uri="{C3380CC4-5D6E-409C-BE32-E72D297353CC}">
              <c16:uniqueId val="{00000007-68EC-46C0-86C1-DADBAA3CA40D}"/>
            </c:ext>
          </c:extLst>
        </c:ser>
        <c:ser>
          <c:idx val="7"/>
          <c:order val="7"/>
          <c:tx>
            <c:strRef>
              <c:f>Earthquake!$C$931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Earthquake!$J$932</c:f>
              <c:numCache>
                <c:formatCode>General</c:formatCode>
                <c:ptCount val="1"/>
                <c:pt idx="0">
                  <c:v>0</c:v>
                </c:pt>
              </c:numCache>
            </c:numRef>
          </c:xVal>
          <c:yVal>
            <c:numRef>
              <c:f>Earthquake!$J$933</c:f>
              <c:numCache>
                <c:formatCode>General</c:formatCode>
                <c:ptCount val="1"/>
                <c:pt idx="0">
                  <c:v>0</c:v>
                </c:pt>
              </c:numCache>
            </c:numRef>
          </c:yVal>
          <c:smooth val="0"/>
          <c:extLst>
            <c:ext xmlns:c16="http://schemas.microsoft.com/office/drawing/2014/chart" uri="{C3380CC4-5D6E-409C-BE32-E72D297353CC}">
              <c16:uniqueId val="{00000008-68EC-46C0-86C1-DADBAA3CA40D}"/>
            </c:ext>
          </c:extLst>
        </c:ser>
        <c:ser>
          <c:idx val="14"/>
          <c:order val="8"/>
          <c:tx>
            <c:strRef>
              <c:f>Earthquake!$C$964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Earthquake!$J$965</c:f>
            </c:numRef>
          </c:xVal>
          <c:yVal>
            <c:numRef>
              <c:f>Earthquake!$J$966</c:f>
            </c:numRef>
          </c:yVal>
          <c:smooth val="0"/>
          <c:extLst>
            <c:ext xmlns:c16="http://schemas.microsoft.com/office/drawing/2014/chart" uri="{C3380CC4-5D6E-409C-BE32-E72D297353CC}">
              <c16:uniqueId val="{00000009-68EC-46C0-86C1-DADBAA3CA40D}"/>
            </c:ext>
          </c:extLst>
        </c:ser>
        <c:dLbls>
          <c:showLegendKey val="0"/>
          <c:showVal val="1"/>
          <c:showCatName val="0"/>
          <c:showSerName val="0"/>
          <c:showPercent val="0"/>
          <c:showBubbleSize val="0"/>
        </c:dLbls>
        <c:axId val="146590336"/>
        <c:axId val="146617088"/>
      </c:scatterChart>
      <c:valAx>
        <c:axId val="14659033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6617088"/>
        <c:crosses val="autoZero"/>
        <c:crossBetween val="midCat"/>
        <c:majorUnit val="1"/>
        <c:minorUnit val="0.1"/>
      </c:valAx>
      <c:valAx>
        <c:axId val="14661708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659033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(Fire!$J$133,Fire!$J$261,Fire!$J$421,Fire!$J$539,Fire!$J$681)</c:f>
              <c:numCache>
                <c:formatCode>0.00</c:formatCode>
                <c:ptCount val="5"/>
                <c:pt idx="0">
                  <c:v>0.33333333333333331</c:v>
                </c:pt>
                <c:pt idx="1">
                  <c:v>0</c:v>
                </c:pt>
                <c:pt idx="2">
                  <c:v>1.3125</c:v>
                </c:pt>
                <c:pt idx="3">
                  <c:v>0.5</c:v>
                </c:pt>
                <c:pt idx="4">
                  <c:v>0</c:v>
                </c:pt>
              </c:numCache>
            </c:numRef>
          </c:val>
          <c:extLst>
            <c:ext xmlns:c16="http://schemas.microsoft.com/office/drawing/2014/chart" uri="{C3380CC4-5D6E-409C-BE32-E72D297353CC}">
              <c16:uniqueId val="{00000000-FE20-4505-8ED2-4E994EF7B9C4}"/>
            </c:ext>
          </c:extLst>
        </c:ser>
        <c:dLbls>
          <c:showLegendKey val="0"/>
          <c:showVal val="1"/>
          <c:showCatName val="0"/>
          <c:showSerName val="0"/>
          <c:showPercent val="0"/>
          <c:showBubbleSize val="0"/>
        </c:dLbls>
        <c:gapWidth val="150"/>
        <c:axId val="146736640"/>
        <c:axId val="146752256"/>
      </c:barChart>
      <c:catAx>
        <c:axId val="146736640"/>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6752256"/>
        <c:crosses val="autoZero"/>
        <c:auto val="1"/>
        <c:lblAlgn val="ctr"/>
        <c:lblOffset val="100"/>
        <c:noMultiLvlLbl val="0"/>
      </c:catAx>
      <c:valAx>
        <c:axId val="146752256"/>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6736640"/>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Fire!$C$793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Fire!$J$795</c:f>
              <c:numCache>
                <c:formatCode>General</c:formatCode>
                <c:ptCount val="1"/>
                <c:pt idx="0">
                  <c:v>3</c:v>
                </c:pt>
              </c:numCache>
            </c:numRef>
          </c:xVal>
          <c:yVal>
            <c:numRef>
              <c:f>Fire!$J$794</c:f>
              <c:numCache>
                <c:formatCode>General</c:formatCode>
                <c:ptCount val="1"/>
                <c:pt idx="0">
                  <c:v>0</c:v>
                </c:pt>
              </c:numCache>
            </c:numRef>
          </c:yVal>
          <c:smooth val="0"/>
          <c:extLst>
            <c:ext xmlns:c16="http://schemas.microsoft.com/office/drawing/2014/chart" uri="{C3380CC4-5D6E-409C-BE32-E72D297353CC}">
              <c16:uniqueId val="{00000000-D173-4DED-A218-385B9A9FBEBD}"/>
            </c:ext>
          </c:extLst>
        </c:ser>
        <c:ser>
          <c:idx val="1"/>
          <c:order val="1"/>
          <c:tx>
            <c:strRef>
              <c:f>Fire!$C$797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Fire!$J$799</c:f>
              <c:numCache>
                <c:formatCode>General</c:formatCode>
                <c:ptCount val="1"/>
                <c:pt idx="0">
                  <c:v>3</c:v>
                </c:pt>
              </c:numCache>
            </c:numRef>
          </c:xVal>
          <c:yVal>
            <c:numRef>
              <c:f>Fire!$J$798</c:f>
              <c:numCache>
                <c:formatCode>General</c:formatCode>
                <c:ptCount val="1"/>
                <c:pt idx="0">
                  <c:v>0</c:v>
                </c:pt>
              </c:numCache>
            </c:numRef>
          </c:yVal>
          <c:smooth val="0"/>
          <c:extLst>
            <c:ext xmlns:c16="http://schemas.microsoft.com/office/drawing/2014/chart" uri="{C3380CC4-5D6E-409C-BE32-E72D297353CC}">
              <c16:uniqueId val="{00000001-D173-4DED-A218-385B9A9FBEBD}"/>
            </c:ext>
          </c:extLst>
        </c:ser>
        <c:ser>
          <c:idx val="2"/>
          <c:order val="2"/>
          <c:tx>
            <c:strRef>
              <c:f>Fire!$C$801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Fire!$J$803</c:f>
              <c:numCache>
                <c:formatCode>General</c:formatCode>
                <c:ptCount val="1"/>
                <c:pt idx="0">
                  <c:v>4</c:v>
                </c:pt>
              </c:numCache>
            </c:numRef>
          </c:xVal>
          <c:yVal>
            <c:numRef>
              <c:f>Fire!$J$802</c:f>
              <c:numCache>
                <c:formatCode>General</c:formatCode>
                <c:ptCount val="1"/>
                <c:pt idx="0">
                  <c:v>0</c:v>
                </c:pt>
              </c:numCache>
            </c:numRef>
          </c:yVal>
          <c:smooth val="0"/>
          <c:extLst>
            <c:ext xmlns:c16="http://schemas.microsoft.com/office/drawing/2014/chart" uri="{C3380CC4-5D6E-409C-BE32-E72D297353CC}">
              <c16:uniqueId val="{00000002-D173-4DED-A218-385B9A9FBEBD}"/>
            </c:ext>
          </c:extLst>
        </c:ser>
        <c:ser>
          <c:idx val="3"/>
          <c:order val="3"/>
          <c:tx>
            <c:strRef>
              <c:f>Fire!$C$805</c:f>
              <c:strCache>
                <c:ptCount val="1"/>
                <c:pt idx="0">
                  <c:v>Elderly 65 and older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Fire!$J$807</c:f>
              <c:numCache>
                <c:formatCode>General</c:formatCode>
                <c:ptCount val="1"/>
                <c:pt idx="0">
                  <c:v>3</c:v>
                </c:pt>
              </c:numCache>
            </c:numRef>
          </c:xVal>
          <c:yVal>
            <c:numRef>
              <c:f>Fire!$J$806</c:f>
              <c:numCache>
                <c:formatCode>General</c:formatCode>
                <c:ptCount val="1"/>
                <c:pt idx="0">
                  <c:v>0</c:v>
                </c:pt>
              </c:numCache>
            </c:numRef>
          </c:yVal>
          <c:smooth val="0"/>
          <c:extLst>
            <c:ext xmlns:c16="http://schemas.microsoft.com/office/drawing/2014/chart" uri="{C3380CC4-5D6E-409C-BE32-E72D297353CC}">
              <c16:uniqueId val="{00000003-D173-4DED-A218-385B9A9FBEBD}"/>
            </c:ext>
          </c:extLst>
        </c:ser>
        <c:ser>
          <c:idx val="4"/>
          <c:order val="4"/>
          <c:tx>
            <c:strRef>
              <c:f>Fire!$C$773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Fire!$J$775</c:f>
              <c:numCache>
                <c:formatCode>General</c:formatCode>
                <c:ptCount val="1"/>
                <c:pt idx="0">
                  <c:v>3</c:v>
                </c:pt>
              </c:numCache>
            </c:numRef>
          </c:xVal>
          <c:yVal>
            <c:numRef>
              <c:f>Fire!$J$774</c:f>
              <c:numCache>
                <c:formatCode>General</c:formatCode>
                <c:ptCount val="1"/>
                <c:pt idx="0">
                  <c:v>0</c:v>
                </c:pt>
              </c:numCache>
            </c:numRef>
          </c:yVal>
          <c:smooth val="0"/>
          <c:extLst>
            <c:ext xmlns:c16="http://schemas.microsoft.com/office/drawing/2014/chart" uri="{C3380CC4-5D6E-409C-BE32-E72D297353CC}">
              <c16:uniqueId val="{00000004-D173-4DED-A218-385B9A9FBEBD}"/>
            </c:ext>
          </c:extLst>
        </c:ser>
        <c:ser>
          <c:idx val="5"/>
          <c:order val="5"/>
          <c:tx>
            <c:strRef>
              <c:f>Fire!$C$777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Fire!$J$779</c:f>
              <c:numCache>
                <c:formatCode>General</c:formatCode>
                <c:ptCount val="1"/>
                <c:pt idx="0">
                  <c:v>4</c:v>
                </c:pt>
              </c:numCache>
            </c:numRef>
          </c:xVal>
          <c:yVal>
            <c:numRef>
              <c:f>Fire!$J$778</c:f>
              <c:numCache>
                <c:formatCode>General</c:formatCode>
                <c:ptCount val="1"/>
                <c:pt idx="0">
                  <c:v>0</c:v>
                </c:pt>
              </c:numCache>
            </c:numRef>
          </c:yVal>
          <c:smooth val="0"/>
          <c:extLst>
            <c:ext xmlns:c16="http://schemas.microsoft.com/office/drawing/2014/chart" uri="{C3380CC4-5D6E-409C-BE32-E72D297353CC}">
              <c16:uniqueId val="{00000005-D173-4DED-A218-385B9A9FBEBD}"/>
            </c:ext>
          </c:extLst>
        </c:ser>
        <c:ser>
          <c:idx val="6"/>
          <c:order val="6"/>
          <c:tx>
            <c:strRef>
              <c:f>Fire!$C$781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Fire!$J$783</c:f>
              <c:numCache>
                <c:formatCode>General</c:formatCode>
                <c:ptCount val="1"/>
                <c:pt idx="0">
                  <c:v>3</c:v>
                </c:pt>
              </c:numCache>
            </c:numRef>
          </c:xVal>
          <c:yVal>
            <c:numRef>
              <c:f>Fire!$J$782</c:f>
              <c:numCache>
                <c:formatCode>General</c:formatCode>
                <c:ptCount val="1"/>
                <c:pt idx="0">
                  <c:v>0</c:v>
                </c:pt>
              </c:numCache>
            </c:numRef>
          </c:yVal>
          <c:smooth val="0"/>
          <c:extLst>
            <c:ext xmlns:c16="http://schemas.microsoft.com/office/drawing/2014/chart" uri="{C3380CC4-5D6E-409C-BE32-E72D297353CC}">
              <c16:uniqueId val="{00000006-D173-4DED-A218-385B9A9FBEBD}"/>
            </c:ext>
          </c:extLst>
        </c:ser>
        <c:ser>
          <c:idx val="7"/>
          <c:order val="7"/>
          <c:tx>
            <c:strRef>
              <c:f>Fire!$C$785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D173-4DED-A218-385B9A9FBEBD}"/>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Fire!$J$787</c:f>
              <c:numCache>
                <c:formatCode>General</c:formatCode>
                <c:ptCount val="1"/>
                <c:pt idx="0">
                  <c:v>4</c:v>
                </c:pt>
              </c:numCache>
            </c:numRef>
          </c:xVal>
          <c:yVal>
            <c:numRef>
              <c:f>Fire!$J$786</c:f>
              <c:numCache>
                <c:formatCode>General</c:formatCode>
                <c:ptCount val="1"/>
                <c:pt idx="0">
                  <c:v>0</c:v>
                </c:pt>
              </c:numCache>
            </c:numRef>
          </c:yVal>
          <c:smooth val="0"/>
          <c:extLst>
            <c:ext xmlns:c16="http://schemas.microsoft.com/office/drawing/2014/chart" uri="{C3380CC4-5D6E-409C-BE32-E72D297353CC}">
              <c16:uniqueId val="{00000008-D173-4DED-A218-385B9A9FBEBD}"/>
            </c:ext>
          </c:extLst>
        </c:ser>
        <c:ser>
          <c:idx val="8"/>
          <c:order val="8"/>
          <c:tx>
            <c:strRef>
              <c:f>Fire!$C$789</c:f>
              <c:strCache>
                <c:ptCount val="1"/>
                <c:pt idx="0">
                  <c:v>Limited English Proficiency</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D173-4DED-A218-385B9A9FBEBD}"/>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Fire!$J$791</c:f>
              <c:numCache>
                <c:formatCode>General</c:formatCode>
                <c:ptCount val="1"/>
                <c:pt idx="0">
                  <c:v>3</c:v>
                </c:pt>
              </c:numCache>
            </c:numRef>
          </c:xVal>
          <c:yVal>
            <c:numRef>
              <c:f>Fire!$J$790</c:f>
              <c:numCache>
                <c:formatCode>General</c:formatCode>
                <c:ptCount val="1"/>
                <c:pt idx="0">
                  <c:v>0</c:v>
                </c:pt>
              </c:numCache>
            </c:numRef>
          </c:yVal>
          <c:smooth val="0"/>
          <c:extLst>
            <c:ext xmlns:c16="http://schemas.microsoft.com/office/drawing/2014/chart" uri="{C3380CC4-5D6E-409C-BE32-E72D297353CC}">
              <c16:uniqueId val="{0000000A-D173-4DED-A218-385B9A9FBEBD}"/>
            </c:ext>
          </c:extLst>
        </c:ser>
        <c:dLbls>
          <c:showLegendKey val="0"/>
          <c:showVal val="1"/>
          <c:showCatName val="0"/>
          <c:showSerName val="0"/>
          <c:showPercent val="0"/>
          <c:showBubbleSize val="0"/>
        </c:dLbls>
        <c:axId val="147102336"/>
        <c:axId val="147112704"/>
      </c:scatterChart>
      <c:valAx>
        <c:axId val="14710233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7112704"/>
        <c:crosses val="autoZero"/>
        <c:crossBetween val="midCat"/>
        <c:majorUnit val="1"/>
        <c:minorUnit val="0.1"/>
      </c:valAx>
      <c:valAx>
        <c:axId val="14711270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710233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Fire!$C$853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Fire!$J$854</c:f>
              <c:numCache>
                <c:formatCode>General</c:formatCode>
                <c:ptCount val="1"/>
                <c:pt idx="0">
                  <c:v>4</c:v>
                </c:pt>
              </c:numCache>
            </c:numRef>
          </c:xVal>
          <c:yVal>
            <c:numRef>
              <c:f>Fire!$J$855</c:f>
              <c:numCache>
                <c:formatCode>General</c:formatCode>
                <c:ptCount val="1"/>
                <c:pt idx="0">
                  <c:v>0</c:v>
                </c:pt>
              </c:numCache>
            </c:numRef>
          </c:yVal>
          <c:smooth val="0"/>
          <c:extLst>
            <c:ext xmlns:c16="http://schemas.microsoft.com/office/drawing/2014/chart" uri="{C3380CC4-5D6E-409C-BE32-E72D297353CC}">
              <c16:uniqueId val="{00000000-12FC-4470-9EEC-F4DA59E435CA}"/>
            </c:ext>
          </c:extLst>
        </c:ser>
        <c:ser>
          <c:idx val="1"/>
          <c:order val="1"/>
          <c:tx>
            <c:strRef>
              <c:f>Fire!$C$857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Fire!$J$858</c:f>
              <c:numCache>
                <c:formatCode>General</c:formatCode>
                <c:ptCount val="1"/>
                <c:pt idx="0">
                  <c:v>3</c:v>
                </c:pt>
              </c:numCache>
            </c:numRef>
          </c:xVal>
          <c:yVal>
            <c:numRef>
              <c:f>Fire!$J$859</c:f>
              <c:numCache>
                <c:formatCode>General</c:formatCode>
                <c:ptCount val="1"/>
                <c:pt idx="0">
                  <c:v>0</c:v>
                </c:pt>
              </c:numCache>
            </c:numRef>
          </c:yVal>
          <c:smooth val="0"/>
          <c:extLst>
            <c:ext xmlns:c16="http://schemas.microsoft.com/office/drawing/2014/chart" uri="{C3380CC4-5D6E-409C-BE32-E72D297353CC}">
              <c16:uniqueId val="{00000001-12FC-4470-9EEC-F4DA59E435CA}"/>
            </c:ext>
          </c:extLst>
        </c:ser>
        <c:ser>
          <c:idx val="2"/>
          <c:order val="2"/>
          <c:tx>
            <c:strRef>
              <c:f>Fire!$C$861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Fire!$J$862</c:f>
              <c:numCache>
                <c:formatCode>General</c:formatCode>
                <c:ptCount val="1"/>
                <c:pt idx="0">
                  <c:v>0</c:v>
                </c:pt>
              </c:numCache>
            </c:numRef>
          </c:xVal>
          <c:yVal>
            <c:numRef>
              <c:f>Fire!$J$863</c:f>
              <c:numCache>
                <c:formatCode>General</c:formatCode>
                <c:ptCount val="1"/>
                <c:pt idx="0">
                  <c:v>0</c:v>
                </c:pt>
              </c:numCache>
            </c:numRef>
          </c:yVal>
          <c:smooth val="0"/>
          <c:extLst>
            <c:ext xmlns:c16="http://schemas.microsoft.com/office/drawing/2014/chart" uri="{C3380CC4-5D6E-409C-BE32-E72D297353CC}">
              <c16:uniqueId val="{00000002-12FC-4470-9EEC-F4DA59E435CA}"/>
            </c:ext>
          </c:extLst>
        </c:ser>
        <c:ser>
          <c:idx val="3"/>
          <c:order val="3"/>
          <c:tx>
            <c:strRef>
              <c:f>Fire!$C$865</c:f>
              <c:strCache>
                <c:ptCount val="1"/>
                <c:pt idx="0">
                  <c:v>Med Materiel Mgmt</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Fire!$J$866</c:f>
              <c:numCache>
                <c:formatCode>General</c:formatCode>
                <c:ptCount val="1"/>
                <c:pt idx="0">
                  <c:v>2</c:v>
                </c:pt>
              </c:numCache>
            </c:numRef>
          </c:xVal>
          <c:yVal>
            <c:numRef>
              <c:f>Fire!$J$867</c:f>
              <c:numCache>
                <c:formatCode>General</c:formatCode>
                <c:ptCount val="1"/>
                <c:pt idx="0">
                  <c:v>0</c:v>
                </c:pt>
              </c:numCache>
            </c:numRef>
          </c:yVal>
          <c:smooth val="0"/>
          <c:extLst>
            <c:ext xmlns:c16="http://schemas.microsoft.com/office/drawing/2014/chart" uri="{C3380CC4-5D6E-409C-BE32-E72D297353CC}">
              <c16:uniqueId val="{00000003-12FC-4470-9EEC-F4DA59E435CA}"/>
            </c:ext>
          </c:extLst>
        </c:ser>
        <c:ser>
          <c:idx val="4"/>
          <c:order val="4"/>
          <c:tx>
            <c:strRef>
              <c:f>Fire!$C$869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Fire!$J$870</c:f>
              <c:numCache>
                <c:formatCode>General</c:formatCode>
                <c:ptCount val="1"/>
                <c:pt idx="0">
                  <c:v>0</c:v>
                </c:pt>
              </c:numCache>
            </c:numRef>
          </c:xVal>
          <c:yVal>
            <c:numRef>
              <c:f>Fire!$J$871</c:f>
              <c:numCache>
                <c:formatCode>General</c:formatCode>
                <c:ptCount val="1"/>
                <c:pt idx="0">
                  <c:v>0</c:v>
                </c:pt>
              </c:numCache>
            </c:numRef>
          </c:yVal>
          <c:smooth val="0"/>
          <c:extLst>
            <c:ext xmlns:c16="http://schemas.microsoft.com/office/drawing/2014/chart" uri="{C3380CC4-5D6E-409C-BE32-E72D297353CC}">
              <c16:uniqueId val="{00000004-12FC-4470-9EEC-F4DA59E435CA}"/>
            </c:ext>
          </c:extLst>
        </c:ser>
        <c:ser>
          <c:idx val="5"/>
          <c:order val="5"/>
          <c:tx>
            <c:strRef>
              <c:f>Fire!$C$873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Fire!$J$874</c:f>
              <c:numCache>
                <c:formatCode>General</c:formatCode>
                <c:ptCount val="1"/>
                <c:pt idx="0">
                  <c:v>0</c:v>
                </c:pt>
              </c:numCache>
            </c:numRef>
          </c:xVal>
          <c:yVal>
            <c:numRef>
              <c:f>Fire!$J$875</c:f>
              <c:numCache>
                <c:formatCode>General</c:formatCode>
                <c:ptCount val="1"/>
                <c:pt idx="0">
                  <c:v>0</c:v>
                </c:pt>
              </c:numCache>
            </c:numRef>
          </c:yVal>
          <c:smooth val="0"/>
          <c:extLst>
            <c:ext xmlns:c16="http://schemas.microsoft.com/office/drawing/2014/chart" uri="{C3380CC4-5D6E-409C-BE32-E72D297353CC}">
              <c16:uniqueId val="{00000005-12FC-4470-9EEC-F4DA59E435CA}"/>
            </c:ext>
          </c:extLst>
        </c:ser>
        <c:ser>
          <c:idx val="6"/>
          <c:order val="6"/>
          <c:tx>
            <c:strRef>
              <c:f>Fire!$C$877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Fire!$J$878</c:f>
              <c:numCache>
                <c:formatCode>General</c:formatCode>
                <c:ptCount val="1"/>
                <c:pt idx="0">
                  <c:v>0</c:v>
                </c:pt>
              </c:numCache>
            </c:numRef>
          </c:xVal>
          <c:yVal>
            <c:numRef>
              <c:f>Fire!$J$879</c:f>
              <c:numCache>
                <c:formatCode>General</c:formatCode>
                <c:ptCount val="1"/>
                <c:pt idx="0">
                  <c:v>0</c:v>
                </c:pt>
              </c:numCache>
            </c:numRef>
          </c:yVal>
          <c:smooth val="0"/>
          <c:extLst>
            <c:ext xmlns:c16="http://schemas.microsoft.com/office/drawing/2014/chart" uri="{C3380CC4-5D6E-409C-BE32-E72D297353CC}">
              <c16:uniqueId val="{00000006-12FC-4470-9EEC-F4DA59E435CA}"/>
            </c:ext>
          </c:extLst>
        </c:ser>
        <c:ser>
          <c:idx val="7"/>
          <c:order val="7"/>
          <c:tx>
            <c:strRef>
              <c:f>Fire!$C$881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Fire!$J$882</c:f>
              <c:numCache>
                <c:formatCode>General</c:formatCode>
                <c:ptCount val="1"/>
                <c:pt idx="0">
                  <c:v>2</c:v>
                </c:pt>
              </c:numCache>
            </c:numRef>
          </c:xVal>
          <c:yVal>
            <c:numRef>
              <c:f>Fire!$J$883</c:f>
              <c:numCache>
                <c:formatCode>General</c:formatCode>
                <c:ptCount val="1"/>
                <c:pt idx="0">
                  <c:v>0</c:v>
                </c:pt>
              </c:numCache>
            </c:numRef>
          </c:yVal>
          <c:smooth val="0"/>
          <c:extLst>
            <c:ext xmlns:c16="http://schemas.microsoft.com/office/drawing/2014/chart" uri="{C3380CC4-5D6E-409C-BE32-E72D297353CC}">
              <c16:uniqueId val="{00000007-12FC-4470-9EEC-F4DA59E435CA}"/>
            </c:ext>
          </c:extLst>
        </c:ser>
        <c:ser>
          <c:idx val="8"/>
          <c:order val="8"/>
          <c:tx>
            <c:strRef>
              <c:f>Fire!$C$885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Fire!$J$886</c:f>
              <c:numCache>
                <c:formatCode>General</c:formatCode>
                <c:ptCount val="1"/>
                <c:pt idx="0">
                  <c:v>0</c:v>
                </c:pt>
              </c:numCache>
            </c:numRef>
          </c:xVal>
          <c:yVal>
            <c:numRef>
              <c:f>Fire!$J$887</c:f>
              <c:numCache>
                <c:formatCode>General</c:formatCode>
                <c:ptCount val="1"/>
                <c:pt idx="0">
                  <c:v>0</c:v>
                </c:pt>
              </c:numCache>
            </c:numRef>
          </c:yVal>
          <c:smooth val="0"/>
          <c:extLst>
            <c:ext xmlns:c16="http://schemas.microsoft.com/office/drawing/2014/chart" uri="{C3380CC4-5D6E-409C-BE32-E72D297353CC}">
              <c16:uniqueId val="{00000008-12FC-4470-9EEC-F4DA59E435CA}"/>
            </c:ext>
          </c:extLst>
        </c:ser>
        <c:ser>
          <c:idx val="9"/>
          <c:order val="9"/>
          <c:tx>
            <c:strRef>
              <c:f>Fire!$C$889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Fire!$J$890</c:f>
              <c:numCache>
                <c:formatCode>General</c:formatCode>
                <c:ptCount val="1"/>
                <c:pt idx="0">
                  <c:v>2</c:v>
                </c:pt>
              </c:numCache>
            </c:numRef>
          </c:xVal>
          <c:yVal>
            <c:numRef>
              <c:f>Fire!$J$891</c:f>
              <c:numCache>
                <c:formatCode>General</c:formatCode>
                <c:ptCount val="1"/>
                <c:pt idx="0">
                  <c:v>0</c:v>
                </c:pt>
              </c:numCache>
            </c:numRef>
          </c:yVal>
          <c:smooth val="0"/>
          <c:extLst>
            <c:ext xmlns:c16="http://schemas.microsoft.com/office/drawing/2014/chart" uri="{C3380CC4-5D6E-409C-BE32-E72D297353CC}">
              <c16:uniqueId val="{00000009-12FC-4470-9EEC-F4DA59E435CA}"/>
            </c:ext>
          </c:extLst>
        </c:ser>
        <c:ser>
          <c:idx val="10"/>
          <c:order val="10"/>
          <c:tx>
            <c:strRef>
              <c:f>Fire!$C$833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Fire!$J$834</c:f>
              <c:numCache>
                <c:formatCode>General</c:formatCode>
                <c:ptCount val="1"/>
                <c:pt idx="0">
                  <c:v>4</c:v>
                </c:pt>
              </c:numCache>
            </c:numRef>
          </c:xVal>
          <c:yVal>
            <c:numRef>
              <c:f>Fire!$J$835</c:f>
              <c:numCache>
                <c:formatCode>General</c:formatCode>
                <c:ptCount val="1"/>
                <c:pt idx="0">
                  <c:v>0</c:v>
                </c:pt>
              </c:numCache>
            </c:numRef>
          </c:yVal>
          <c:smooth val="0"/>
          <c:extLst>
            <c:ext xmlns:c16="http://schemas.microsoft.com/office/drawing/2014/chart" uri="{C3380CC4-5D6E-409C-BE32-E72D297353CC}">
              <c16:uniqueId val="{0000000A-12FC-4470-9EEC-F4DA59E435CA}"/>
            </c:ext>
          </c:extLst>
        </c:ser>
        <c:ser>
          <c:idx val="11"/>
          <c:order val="11"/>
          <c:tx>
            <c:strRef>
              <c:f>Fire!$C$837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Fire!$J$838</c:f>
              <c:numCache>
                <c:formatCode>General</c:formatCode>
                <c:ptCount val="1"/>
                <c:pt idx="0">
                  <c:v>4</c:v>
                </c:pt>
              </c:numCache>
            </c:numRef>
          </c:xVal>
          <c:yVal>
            <c:numRef>
              <c:f>Fire!$J$839</c:f>
              <c:numCache>
                <c:formatCode>General</c:formatCode>
                <c:ptCount val="1"/>
                <c:pt idx="0">
                  <c:v>0</c:v>
                </c:pt>
              </c:numCache>
            </c:numRef>
          </c:yVal>
          <c:smooth val="0"/>
          <c:extLst>
            <c:ext xmlns:c16="http://schemas.microsoft.com/office/drawing/2014/chart" uri="{C3380CC4-5D6E-409C-BE32-E72D297353CC}">
              <c16:uniqueId val="{0000000B-12FC-4470-9EEC-F4DA59E435CA}"/>
            </c:ext>
          </c:extLst>
        </c:ser>
        <c:ser>
          <c:idx val="12"/>
          <c:order val="12"/>
          <c:tx>
            <c:strRef>
              <c:f>Fire!$C$841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Fire!$J$842</c:f>
              <c:numCache>
                <c:formatCode>General</c:formatCode>
                <c:ptCount val="1"/>
                <c:pt idx="0">
                  <c:v>4</c:v>
                </c:pt>
              </c:numCache>
            </c:numRef>
          </c:xVal>
          <c:yVal>
            <c:numRef>
              <c:f>Fire!$J$843</c:f>
              <c:numCache>
                <c:formatCode>General</c:formatCode>
                <c:ptCount val="1"/>
                <c:pt idx="0">
                  <c:v>0</c:v>
                </c:pt>
              </c:numCache>
            </c:numRef>
          </c:yVal>
          <c:smooth val="0"/>
          <c:extLst>
            <c:ext xmlns:c16="http://schemas.microsoft.com/office/drawing/2014/chart" uri="{C3380CC4-5D6E-409C-BE32-E72D297353CC}">
              <c16:uniqueId val="{0000000C-12FC-4470-9EEC-F4DA59E435CA}"/>
            </c:ext>
          </c:extLst>
        </c:ser>
        <c:ser>
          <c:idx val="13"/>
          <c:order val="13"/>
          <c:tx>
            <c:strRef>
              <c:f>Fire!$C$845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Fire!$J$846</c:f>
              <c:numCache>
                <c:formatCode>General</c:formatCode>
                <c:ptCount val="1"/>
                <c:pt idx="0">
                  <c:v>4</c:v>
                </c:pt>
              </c:numCache>
            </c:numRef>
          </c:xVal>
          <c:yVal>
            <c:numRef>
              <c:f>Fire!$J$847</c:f>
              <c:numCache>
                <c:formatCode>General</c:formatCode>
                <c:ptCount val="1"/>
                <c:pt idx="0">
                  <c:v>0</c:v>
                </c:pt>
              </c:numCache>
            </c:numRef>
          </c:yVal>
          <c:smooth val="0"/>
          <c:extLst>
            <c:ext xmlns:c16="http://schemas.microsoft.com/office/drawing/2014/chart" uri="{C3380CC4-5D6E-409C-BE32-E72D297353CC}">
              <c16:uniqueId val="{0000000D-12FC-4470-9EEC-F4DA59E435CA}"/>
            </c:ext>
          </c:extLst>
        </c:ser>
        <c:ser>
          <c:idx val="14"/>
          <c:order val="14"/>
          <c:tx>
            <c:strRef>
              <c:f>Fire!$C$964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Fire!$J$965</c:f>
            </c:numRef>
          </c:xVal>
          <c:yVal>
            <c:numRef>
              <c:f>Fire!$J$966</c:f>
            </c:numRef>
          </c:yVal>
          <c:smooth val="0"/>
          <c:extLst>
            <c:ext xmlns:c16="http://schemas.microsoft.com/office/drawing/2014/chart" uri="{C3380CC4-5D6E-409C-BE32-E72D297353CC}">
              <c16:uniqueId val="{0000000E-12FC-4470-9EEC-F4DA59E435CA}"/>
            </c:ext>
          </c:extLst>
        </c:ser>
        <c:dLbls>
          <c:showLegendKey val="0"/>
          <c:showVal val="1"/>
          <c:showCatName val="0"/>
          <c:showSerName val="0"/>
          <c:showPercent val="0"/>
          <c:showBubbleSize val="0"/>
        </c:dLbls>
        <c:axId val="146904960"/>
        <c:axId val="146931712"/>
      </c:scatterChart>
      <c:valAx>
        <c:axId val="14690496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6931712"/>
        <c:crosses val="autoZero"/>
        <c:crossBetween val="midCat"/>
        <c:majorUnit val="1"/>
        <c:minorUnit val="0.1"/>
      </c:valAx>
      <c:valAx>
        <c:axId val="14693171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690496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9018001969634819"/>
          <c:y val="1.3244983721297133E-2"/>
        </c:manualLayout>
      </c:layout>
      <c:overlay val="0"/>
    </c:title>
    <c:autoTitleDeleted val="0"/>
    <c:plotArea>
      <c:layout/>
      <c:scatterChart>
        <c:scatterStyle val="lineMarker"/>
        <c:varyColors val="0"/>
        <c:ser>
          <c:idx val="0"/>
          <c:order val="0"/>
          <c:tx>
            <c:strRef>
              <c:f>Fire!$C$903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Fire!$J$904</c:f>
              <c:numCache>
                <c:formatCode>General</c:formatCode>
                <c:ptCount val="1"/>
                <c:pt idx="0">
                  <c:v>4</c:v>
                </c:pt>
              </c:numCache>
            </c:numRef>
          </c:xVal>
          <c:yVal>
            <c:numRef>
              <c:f>Fire!$J$905</c:f>
              <c:numCache>
                <c:formatCode>General</c:formatCode>
                <c:ptCount val="1"/>
                <c:pt idx="0">
                  <c:v>0</c:v>
                </c:pt>
              </c:numCache>
            </c:numRef>
          </c:yVal>
          <c:smooth val="0"/>
          <c:extLst>
            <c:ext xmlns:c16="http://schemas.microsoft.com/office/drawing/2014/chart" uri="{C3380CC4-5D6E-409C-BE32-E72D297353CC}">
              <c16:uniqueId val="{00000000-1978-4743-B47A-829DC233F04A}"/>
            </c:ext>
          </c:extLst>
        </c:ser>
        <c:ser>
          <c:idx val="1"/>
          <c:order val="1"/>
          <c:tx>
            <c:strRef>
              <c:f>Fire!$C$907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Fire!$J$908</c:f>
              <c:numCache>
                <c:formatCode>General</c:formatCode>
                <c:ptCount val="1"/>
                <c:pt idx="0">
                  <c:v>4</c:v>
                </c:pt>
              </c:numCache>
            </c:numRef>
          </c:xVal>
          <c:yVal>
            <c:numRef>
              <c:f>Fire!$J$909</c:f>
              <c:numCache>
                <c:formatCode>General</c:formatCode>
                <c:ptCount val="1"/>
                <c:pt idx="0">
                  <c:v>0</c:v>
                </c:pt>
              </c:numCache>
            </c:numRef>
          </c:yVal>
          <c:smooth val="0"/>
          <c:extLst>
            <c:ext xmlns:c16="http://schemas.microsoft.com/office/drawing/2014/chart" uri="{C3380CC4-5D6E-409C-BE32-E72D297353CC}">
              <c16:uniqueId val="{00000001-1978-4743-B47A-829DC233F04A}"/>
            </c:ext>
          </c:extLst>
        </c:ser>
        <c:ser>
          <c:idx val="2"/>
          <c:order val="2"/>
          <c:tx>
            <c:strRef>
              <c:f>Fire!$C$911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Fire!$J$912</c:f>
              <c:numCache>
                <c:formatCode>General</c:formatCode>
                <c:ptCount val="1"/>
                <c:pt idx="0">
                  <c:v>4</c:v>
                </c:pt>
              </c:numCache>
            </c:numRef>
          </c:xVal>
          <c:yVal>
            <c:numRef>
              <c:f>Fire!$J$913</c:f>
              <c:numCache>
                <c:formatCode>General</c:formatCode>
                <c:ptCount val="1"/>
                <c:pt idx="0">
                  <c:v>0</c:v>
                </c:pt>
              </c:numCache>
            </c:numRef>
          </c:yVal>
          <c:smooth val="0"/>
          <c:extLst>
            <c:ext xmlns:c16="http://schemas.microsoft.com/office/drawing/2014/chart" uri="{C3380CC4-5D6E-409C-BE32-E72D297353CC}">
              <c16:uniqueId val="{00000002-1978-4743-B47A-829DC233F04A}"/>
            </c:ext>
          </c:extLst>
        </c:ser>
        <c:ser>
          <c:idx val="3"/>
          <c:order val="3"/>
          <c:tx>
            <c:strRef>
              <c:f>Fire!$C$915</c:f>
              <c:strCache>
                <c:ptCount val="1"/>
                <c:pt idx="0">
                  <c:v>Fatality Mgmt</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Fire!$J$916</c:f>
              <c:numCache>
                <c:formatCode>General</c:formatCode>
                <c:ptCount val="1"/>
                <c:pt idx="0">
                  <c:v>0</c:v>
                </c:pt>
              </c:numCache>
            </c:numRef>
          </c:xVal>
          <c:yVal>
            <c:numRef>
              <c:f>Fire!$J$917</c:f>
              <c:numCache>
                <c:formatCode>General</c:formatCode>
                <c:ptCount val="1"/>
                <c:pt idx="0">
                  <c:v>0</c:v>
                </c:pt>
              </c:numCache>
            </c:numRef>
          </c:yVal>
          <c:smooth val="0"/>
          <c:extLst>
            <c:ext xmlns:c16="http://schemas.microsoft.com/office/drawing/2014/chart" uri="{C3380CC4-5D6E-409C-BE32-E72D297353CC}">
              <c16:uniqueId val="{00000003-1978-4743-B47A-829DC233F04A}"/>
            </c:ext>
          </c:extLst>
        </c:ser>
        <c:ser>
          <c:idx val="4"/>
          <c:order val="4"/>
          <c:tx>
            <c:strRef>
              <c:f>Fire!$C$919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Fire!$J$920</c:f>
              <c:numCache>
                <c:formatCode>General</c:formatCode>
                <c:ptCount val="1"/>
                <c:pt idx="0">
                  <c:v>4</c:v>
                </c:pt>
              </c:numCache>
            </c:numRef>
          </c:xVal>
          <c:yVal>
            <c:numRef>
              <c:f>Fire!$J$921</c:f>
              <c:numCache>
                <c:formatCode>General</c:formatCode>
                <c:ptCount val="1"/>
                <c:pt idx="0">
                  <c:v>0</c:v>
                </c:pt>
              </c:numCache>
            </c:numRef>
          </c:yVal>
          <c:smooth val="0"/>
          <c:extLst>
            <c:ext xmlns:c16="http://schemas.microsoft.com/office/drawing/2014/chart" uri="{C3380CC4-5D6E-409C-BE32-E72D297353CC}">
              <c16:uniqueId val="{00000004-1978-4743-B47A-829DC233F04A}"/>
            </c:ext>
          </c:extLst>
        </c:ser>
        <c:ser>
          <c:idx val="5"/>
          <c:order val="5"/>
          <c:tx>
            <c:strRef>
              <c:f>Fire!$C$923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Fire!$J$924</c:f>
              <c:numCache>
                <c:formatCode>General</c:formatCode>
                <c:ptCount val="1"/>
                <c:pt idx="0">
                  <c:v>0</c:v>
                </c:pt>
              </c:numCache>
            </c:numRef>
          </c:xVal>
          <c:yVal>
            <c:numRef>
              <c:f>Fire!$J$925</c:f>
              <c:numCache>
                <c:formatCode>General</c:formatCode>
                <c:ptCount val="1"/>
                <c:pt idx="0">
                  <c:v>0</c:v>
                </c:pt>
              </c:numCache>
            </c:numRef>
          </c:yVal>
          <c:smooth val="0"/>
          <c:extLst>
            <c:ext xmlns:c16="http://schemas.microsoft.com/office/drawing/2014/chart" uri="{C3380CC4-5D6E-409C-BE32-E72D297353CC}">
              <c16:uniqueId val="{00000005-1978-4743-B47A-829DC233F04A}"/>
            </c:ext>
          </c:extLst>
        </c:ser>
        <c:ser>
          <c:idx val="6"/>
          <c:order val="6"/>
          <c:tx>
            <c:strRef>
              <c:f>Fire!$C$927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Fire!$J$928</c:f>
              <c:numCache>
                <c:formatCode>General</c:formatCode>
                <c:ptCount val="1"/>
                <c:pt idx="0">
                  <c:v>0</c:v>
                </c:pt>
              </c:numCache>
            </c:numRef>
          </c:xVal>
          <c:yVal>
            <c:numRef>
              <c:f>Fire!$J$929</c:f>
              <c:numCache>
                <c:formatCode>General</c:formatCode>
                <c:ptCount val="1"/>
                <c:pt idx="0">
                  <c:v>0</c:v>
                </c:pt>
              </c:numCache>
            </c:numRef>
          </c:yVal>
          <c:smooth val="0"/>
          <c:extLst>
            <c:ext xmlns:c16="http://schemas.microsoft.com/office/drawing/2014/chart" uri="{C3380CC4-5D6E-409C-BE32-E72D297353CC}">
              <c16:uniqueId val="{00000006-1978-4743-B47A-829DC233F04A}"/>
            </c:ext>
          </c:extLst>
        </c:ser>
        <c:ser>
          <c:idx val="7"/>
          <c:order val="7"/>
          <c:tx>
            <c:strRef>
              <c:f>Fire!$C$931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Fire!$J$932</c:f>
              <c:numCache>
                <c:formatCode>General</c:formatCode>
                <c:ptCount val="1"/>
                <c:pt idx="0">
                  <c:v>2</c:v>
                </c:pt>
              </c:numCache>
            </c:numRef>
          </c:xVal>
          <c:yVal>
            <c:numRef>
              <c:f>Fire!$J$933</c:f>
              <c:numCache>
                <c:formatCode>General</c:formatCode>
                <c:ptCount val="1"/>
                <c:pt idx="0">
                  <c:v>0</c:v>
                </c:pt>
              </c:numCache>
            </c:numRef>
          </c:yVal>
          <c:smooth val="0"/>
          <c:extLst>
            <c:ext xmlns:c16="http://schemas.microsoft.com/office/drawing/2014/chart" uri="{C3380CC4-5D6E-409C-BE32-E72D297353CC}">
              <c16:uniqueId val="{00000007-1978-4743-B47A-829DC233F04A}"/>
            </c:ext>
          </c:extLst>
        </c:ser>
        <c:ser>
          <c:idx val="14"/>
          <c:order val="8"/>
          <c:tx>
            <c:strRef>
              <c:f>Fire!$C$964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Fire!$J$965</c:f>
            </c:numRef>
          </c:xVal>
          <c:yVal>
            <c:numRef>
              <c:f>Fire!$J$966</c:f>
            </c:numRef>
          </c:yVal>
          <c:smooth val="0"/>
          <c:extLst>
            <c:ext xmlns:c16="http://schemas.microsoft.com/office/drawing/2014/chart" uri="{C3380CC4-5D6E-409C-BE32-E72D297353CC}">
              <c16:uniqueId val="{00000008-1978-4743-B47A-829DC233F04A}"/>
            </c:ext>
          </c:extLst>
        </c:ser>
        <c:dLbls>
          <c:showLegendKey val="0"/>
          <c:showVal val="1"/>
          <c:showCatName val="0"/>
          <c:showSerName val="0"/>
          <c:showPercent val="0"/>
          <c:showBubbleSize val="0"/>
        </c:dLbls>
        <c:axId val="147011456"/>
        <c:axId val="147017728"/>
      </c:scatterChart>
      <c:valAx>
        <c:axId val="14701145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7017728"/>
        <c:crosses val="autoZero"/>
        <c:crossBetween val="midCat"/>
        <c:majorUnit val="1"/>
        <c:minorUnit val="0.1"/>
      </c:valAx>
      <c:valAx>
        <c:axId val="14701772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701145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(Flood!$J$133,Flood!$J$261,Flood!$J$421,Flood!$J$539,Flood!$J$681)</c:f>
              <c:numCache>
                <c:formatCode>0.00</c:formatCode>
                <c:ptCount val="5"/>
                <c:pt idx="0">
                  <c:v>1.0833333333333333</c:v>
                </c:pt>
                <c:pt idx="1">
                  <c:v>0</c:v>
                </c:pt>
                <c:pt idx="2">
                  <c:v>1.4375</c:v>
                </c:pt>
                <c:pt idx="3">
                  <c:v>1.6428571428571428</c:v>
                </c:pt>
                <c:pt idx="4">
                  <c:v>0</c:v>
                </c:pt>
              </c:numCache>
            </c:numRef>
          </c:val>
          <c:extLst>
            <c:ext xmlns:c16="http://schemas.microsoft.com/office/drawing/2014/chart" uri="{C3380CC4-5D6E-409C-BE32-E72D297353CC}">
              <c16:uniqueId val="{00000000-49A2-4751-A129-D07E84F96B2C}"/>
            </c:ext>
          </c:extLst>
        </c:ser>
        <c:dLbls>
          <c:showLegendKey val="0"/>
          <c:showVal val="1"/>
          <c:showCatName val="0"/>
          <c:showSerName val="0"/>
          <c:showPercent val="0"/>
          <c:showBubbleSize val="0"/>
        </c:dLbls>
        <c:gapWidth val="150"/>
        <c:axId val="147038976"/>
        <c:axId val="147259392"/>
      </c:barChart>
      <c:catAx>
        <c:axId val="147038976"/>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7259392"/>
        <c:crosses val="autoZero"/>
        <c:auto val="1"/>
        <c:lblAlgn val="ctr"/>
        <c:lblOffset val="100"/>
        <c:noMultiLvlLbl val="0"/>
      </c:catAx>
      <c:valAx>
        <c:axId val="147259392"/>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7038976"/>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Flood!$C$793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Flood!$J$795</c:f>
              <c:numCache>
                <c:formatCode>General</c:formatCode>
                <c:ptCount val="1"/>
                <c:pt idx="0">
                  <c:v>3</c:v>
                </c:pt>
              </c:numCache>
            </c:numRef>
          </c:xVal>
          <c:yVal>
            <c:numRef>
              <c:f>Flood!$J$794</c:f>
              <c:numCache>
                <c:formatCode>General</c:formatCode>
                <c:ptCount val="1"/>
                <c:pt idx="0">
                  <c:v>0</c:v>
                </c:pt>
              </c:numCache>
            </c:numRef>
          </c:yVal>
          <c:smooth val="0"/>
          <c:extLst>
            <c:ext xmlns:c16="http://schemas.microsoft.com/office/drawing/2014/chart" uri="{C3380CC4-5D6E-409C-BE32-E72D297353CC}">
              <c16:uniqueId val="{00000000-152E-4907-A487-14F4ED0B09AA}"/>
            </c:ext>
          </c:extLst>
        </c:ser>
        <c:ser>
          <c:idx val="1"/>
          <c:order val="1"/>
          <c:tx>
            <c:strRef>
              <c:f>Flood!$C$797</c:f>
              <c:strCache>
                <c:ptCount val="1"/>
                <c:pt idx="0">
                  <c:v>Chronic Diseases (Diabetes)</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Flood!$J$799</c:f>
              <c:numCache>
                <c:formatCode>General</c:formatCode>
                <c:ptCount val="1"/>
                <c:pt idx="0">
                  <c:v>3</c:v>
                </c:pt>
              </c:numCache>
            </c:numRef>
          </c:xVal>
          <c:yVal>
            <c:numRef>
              <c:f>Flood!$J$798</c:f>
              <c:numCache>
                <c:formatCode>General</c:formatCode>
                <c:ptCount val="1"/>
                <c:pt idx="0">
                  <c:v>0</c:v>
                </c:pt>
              </c:numCache>
            </c:numRef>
          </c:yVal>
          <c:smooth val="0"/>
          <c:extLst>
            <c:ext xmlns:c16="http://schemas.microsoft.com/office/drawing/2014/chart" uri="{C3380CC4-5D6E-409C-BE32-E72D297353CC}">
              <c16:uniqueId val="{00000001-152E-4907-A487-14F4ED0B09AA}"/>
            </c:ext>
          </c:extLst>
        </c:ser>
        <c:ser>
          <c:idx val="2"/>
          <c:order val="2"/>
          <c:tx>
            <c:strRef>
              <c:f>Flood!$C$801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Flood!$J$803</c:f>
              <c:numCache>
                <c:formatCode>General</c:formatCode>
                <c:ptCount val="1"/>
                <c:pt idx="0">
                  <c:v>4</c:v>
                </c:pt>
              </c:numCache>
            </c:numRef>
          </c:xVal>
          <c:yVal>
            <c:numRef>
              <c:f>Flood!$J$802</c:f>
              <c:numCache>
                <c:formatCode>General</c:formatCode>
                <c:ptCount val="1"/>
                <c:pt idx="0">
                  <c:v>0</c:v>
                </c:pt>
              </c:numCache>
            </c:numRef>
          </c:yVal>
          <c:smooth val="0"/>
          <c:extLst>
            <c:ext xmlns:c16="http://schemas.microsoft.com/office/drawing/2014/chart" uri="{C3380CC4-5D6E-409C-BE32-E72D297353CC}">
              <c16:uniqueId val="{00000002-152E-4907-A487-14F4ED0B09AA}"/>
            </c:ext>
          </c:extLst>
        </c:ser>
        <c:ser>
          <c:idx val="3"/>
          <c:order val="3"/>
          <c:tx>
            <c:strRef>
              <c:f>Flood!$C$805</c:f>
              <c:strCache>
                <c:ptCount val="1"/>
                <c:pt idx="0">
                  <c:v>Elderly 65 and older</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Flood!$J$807</c:f>
              <c:numCache>
                <c:formatCode>General</c:formatCode>
                <c:ptCount val="1"/>
                <c:pt idx="0">
                  <c:v>3</c:v>
                </c:pt>
              </c:numCache>
            </c:numRef>
          </c:xVal>
          <c:yVal>
            <c:numRef>
              <c:f>Flood!$J$806</c:f>
              <c:numCache>
                <c:formatCode>General</c:formatCode>
                <c:ptCount val="1"/>
                <c:pt idx="0">
                  <c:v>0</c:v>
                </c:pt>
              </c:numCache>
            </c:numRef>
          </c:yVal>
          <c:smooth val="0"/>
          <c:extLst>
            <c:ext xmlns:c16="http://schemas.microsoft.com/office/drawing/2014/chart" uri="{C3380CC4-5D6E-409C-BE32-E72D297353CC}">
              <c16:uniqueId val="{00000003-152E-4907-A487-14F4ED0B09AA}"/>
            </c:ext>
          </c:extLst>
        </c:ser>
        <c:ser>
          <c:idx val="4"/>
          <c:order val="4"/>
          <c:tx>
            <c:strRef>
              <c:f>Flood!$C$773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Flood!$J$775</c:f>
              <c:numCache>
                <c:formatCode>General</c:formatCode>
                <c:ptCount val="1"/>
                <c:pt idx="0">
                  <c:v>3</c:v>
                </c:pt>
              </c:numCache>
            </c:numRef>
          </c:xVal>
          <c:yVal>
            <c:numRef>
              <c:f>Flood!$J$774</c:f>
              <c:numCache>
                <c:formatCode>General</c:formatCode>
                <c:ptCount val="1"/>
                <c:pt idx="0">
                  <c:v>0</c:v>
                </c:pt>
              </c:numCache>
            </c:numRef>
          </c:yVal>
          <c:smooth val="0"/>
          <c:extLst>
            <c:ext xmlns:c16="http://schemas.microsoft.com/office/drawing/2014/chart" uri="{C3380CC4-5D6E-409C-BE32-E72D297353CC}">
              <c16:uniqueId val="{00000004-152E-4907-A487-14F4ED0B09AA}"/>
            </c:ext>
          </c:extLst>
        </c:ser>
        <c:ser>
          <c:idx val="5"/>
          <c:order val="5"/>
          <c:tx>
            <c:strRef>
              <c:f>Flood!$C$777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Flood!$J$779</c:f>
              <c:numCache>
                <c:formatCode>General</c:formatCode>
                <c:ptCount val="1"/>
                <c:pt idx="0">
                  <c:v>4</c:v>
                </c:pt>
              </c:numCache>
            </c:numRef>
          </c:xVal>
          <c:yVal>
            <c:numRef>
              <c:f>Flood!$J$778</c:f>
              <c:numCache>
                <c:formatCode>General</c:formatCode>
                <c:ptCount val="1"/>
                <c:pt idx="0">
                  <c:v>0</c:v>
                </c:pt>
              </c:numCache>
            </c:numRef>
          </c:yVal>
          <c:smooth val="0"/>
          <c:extLst>
            <c:ext xmlns:c16="http://schemas.microsoft.com/office/drawing/2014/chart" uri="{C3380CC4-5D6E-409C-BE32-E72D297353CC}">
              <c16:uniqueId val="{00000005-152E-4907-A487-14F4ED0B09AA}"/>
            </c:ext>
          </c:extLst>
        </c:ser>
        <c:ser>
          <c:idx val="6"/>
          <c:order val="6"/>
          <c:tx>
            <c:strRef>
              <c:f>Flood!$C$781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Flood!$J$783</c:f>
              <c:numCache>
                <c:formatCode>General</c:formatCode>
                <c:ptCount val="1"/>
                <c:pt idx="0">
                  <c:v>3</c:v>
                </c:pt>
              </c:numCache>
            </c:numRef>
          </c:xVal>
          <c:yVal>
            <c:numRef>
              <c:f>Flood!$J$782</c:f>
              <c:numCache>
                <c:formatCode>General</c:formatCode>
                <c:ptCount val="1"/>
                <c:pt idx="0">
                  <c:v>0</c:v>
                </c:pt>
              </c:numCache>
            </c:numRef>
          </c:yVal>
          <c:smooth val="0"/>
          <c:extLst>
            <c:ext xmlns:c16="http://schemas.microsoft.com/office/drawing/2014/chart" uri="{C3380CC4-5D6E-409C-BE32-E72D297353CC}">
              <c16:uniqueId val="{00000006-152E-4907-A487-14F4ED0B09AA}"/>
            </c:ext>
          </c:extLst>
        </c:ser>
        <c:ser>
          <c:idx val="7"/>
          <c:order val="7"/>
          <c:tx>
            <c:strRef>
              <c:f>Flood!$C$785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52E-4907-A487-14F4ED0B09AA}"/>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Flood!$J$787</c:f>
              <c:numCache>
                <c:formatCode>General</c:formatCode>
                <c:ptCount val="1"/>
                <c:pt idx="0">
                  <c:v>4</c:v>
                </c:pt>
              </c:numCache>
            </c:numRef>
          </c:xVal>
          <c:yVal>
            <c:numRef>
              <c:f>Flood!$J$786</c:f>
              <c:numCache>
                <c:formatCode>General</c:formatCode>
                <c:ptCount val="1"/>
                <c:pt idx="0">
                  <c:v>0</c:v>
                </c:pt>
              </c:numCache>
            </c:numRef>
          </c:yVal>
          <c:smooth val="0"/>
          <c:extLst>
            <c:ext xmlns:c16="http://schemas.microsoft.com/office/drawing/2014/chart" uri="{C3380CC4-5D6E-409C-BE32-E72D297353CC}">
              <c16:uniqueId val="{00000008-152E-4907-A487-14F4ED0B09AA}"/>
            </c:ext>
          </c:extLst>
        </c:ser>
        <c:ser>
          <c:idx val="8"/>
          <c:order val="8"/>
          <c:tx>
            <c:strRef>
              <c:f>Flood!$C$789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Flood!$J$791</c:f>
              <c:numCache>
                <c:formatCode>General</c:formatCode>
                <c:ptCount val="1"/>
                <c:pt idx="0">
                  <c:v>3</c:v>
                </c:pt>
              </c:numCache>
            </c:numRef>
          </c:xVal>
          <c:yVal>
            <c:numRef>
              <c:f>Flood!$J$790</c:f>
              <c:numCache>
                <c:formatCode>General</c:formatCode>
                <c:ptCount val="1"/>
                <c:pt idx="0">
                  <c:v>0</c:v>
                </c:pt>
              </c:numCache>
            </c:numRef>
          </c:yVal>
          <c:smooth val="0"/>
          <c:extLst>
            <c:ext xmlns:c16="http://schemas.microsoft.com/office/drawing/2014/chart" uri="{C3380CC4-5D6E-409C-BE32-E72D297353CC}">
              <c16:uniqueId val="{00000009-152E-4907-A487-14F4ED0B09AA}"/>
            </c:ext>
          </c:extLst>
        </c:ser>
        <c:dLbls>
          <c:showLegendKey val="0"/>
          <c:showVal val="1"/>
          <c:showCatName val="0"/>
          <c:showSerName val="0"/>
          <c:showPercent val="0"/>
          <c:showBubbleSize val="0"/>
        </c:dLbls>
        <c:axId val="147609472"/>
        <c:axId val="147623936"/>
      </c:scatterChart>
      <c:valAx>
        <c:axId val="147609472"/>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7623936"/>
        <c:crosses val="autoZero"/>
        <c:crossBetween val="midCat"/>
        <c:majorUnit val="1"/>
        <c:minorUnit val="0.1"/>
      </c:valAx>
      <c:valAx>
        <c:axId val="14762393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7609472"/>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Flood!$C$853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Flood!$J$854</c:f>
              <c:numCache>
                <c:formatCode>General</c:formatCode>
                <c:ptCount val="1"/>
                <c:pt idx="0">
                  <c:v>4</c:v>
                </c:pt>
              </c:numCache>
            </c:numRef>
          </c:xVal>
          <c:yVal>
            <c:numRef>
              <c:f>Flood!$J$855</c:f>
              <c:numCache>
                <c:formatCode>General</c:formatCode>
                <c:ptCount val="1"/>
                <c:pt idx="0">
                  <c:v>0</c:v>
                </c:pt>
              </c:numCache>
            </c:numRef>
          </c:yVal>
          <c:smooth val="0"/>
          <c:extLst>
            <c:ext xmlns:c16="http://schemas.microsoft.com/office/drawing/2014/chart" uri="{C3380CC4-5D6E-409C-BE32-E72D297353CC}">
              <c16:uniqueId val="{00000000-F25E-4E1D-94F6-EAACCAF64625}"/>
            </c:ext>
          </c:extLst>
        </c:ser>
        <c:ser>
          <c:idx val="1"/>
          <c:order val="1"/>
          <c:tx>
            <c:strRef>
              <c:f>Flood!$C$857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Flood!$J$858</c:f>
              <c:numCache>
                <c:formatCode>General</c:formatCode>
                <c:ptCount val="1"/>
                <c:pt idx="0">
                  <c:v>3</c:v>
                </c:pt>
              </c:numCache>
            </c:numRef>
          </c:xVal>
          <c:yVal>
            <c:numRef>
              <c:f>Flood!$J$859</c:f>
              <c:numCache>
                <c:formatCode>General</c:formatCode>
                <c:ptCount val="1"/>
                <c:pt idx="0">
                  <c:v>0</c:v>
                </c:pt>
              </c:numCache>
            </c:numRef>
          </c:yVal>
          <c:smooth val="0"/>
          <c:extLst>
            <c:ext xmlns:c16="http://schemas.microsoft.com/office/drawing/2014/chart" uri="{C3380CC4-5D6E-409C-BE32-E72D297353CC}">
              <c16:uniqueId val="{00000001-F25E-4E1D-94F6-EAACCAF64625}"/>
            </c:ext>
          </c:extLst>
        </c:ser>
        <c:ser>
          <c:idx val="2"/>
          <c:order val="2"/>
          <c:tx>
            <c:strRef>
              <c:f>Flood!$C$861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Flood!$J$862</c:f>
              <c:numCache>
                <c:formatCode>General</c:formatCode>
                <c:ptCount val="1"/>
                <c:pt idx="0">
                  <c:v>0</c:v>
                </c:pt>
              </c:numCache>
            </c:numRef>
          </c:xVal>
          <c:yVal>
            <c:numRef>
              <c:f>Flood!$J$863</c:f>
              <c:numCache>
                <c:formatCode>General</c:formatCode>
                <c:ptCount val="1"/>
                <c:pt idx="0">
                  <c:v>0</c:v>
                </c:pt>
              </c:numCache>
            </c:numRef>
          </c:yVal>
          <c:smooth val="0"/>
          <c:extLst>
            <c:ext xmlns:c16="http://schemas.microsoft.com/office/drawing/2014/chart" uri="{C3380CC4-5D6E-409C-BE32-E72D297353CC}">
              <c16:uniqueId val="{00000002-F25E-4E1D-94F6-EAACCAF64625}"/>
            </c:ext>
          </c:extLst>
        </c:ser>
        <c:ser>
          <c:idx val="3"/>
          <c:order val="3"/>
          <c:tx>
            <c:strRef>
              <c:f>Flood!$C$865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Flood!$J$866</c:f>
              <c:numCache>
                <c:formatCode>General</c:formatCode>
                <c:ptCount val="1"/>
                <c:pt idx="0">
                  <c:v>2</c:v>
                </c:pt>
              </c:numCache>
            </c:numRef>
          </c:xVal>
          <c:yVal>
            <c:numRef>
              <c:f>Flood!$J$867</c:f>
              <c:numCache>
                <c:formatCode>General</c:formatCode>
                <c:ptCount val="1"/>
                <c:pt idx="0">
                  <c:v>0</c:v>
                </c:pt>
              </c:numCache>
            </c:numRef>
          </c:yVal>
          <c:smooth val="0"/>
          <c:extLst>
            <c:ext xmlns:c16="http://schemas.microsoft.com/office/drawing/2014/chart" uri="{C3380CC4-5D6E-409C-BE32-E72D297353CC}">
              <c16:uniqueId val="{00000003-F25E-4E1D-94F6-EAACCAF64625}"/>
            </c:ext>
          </c:extLst>
        </c:ser>
        <c:ser>
          <c:idx val="4"/>
          <c:order val="4"/>
          <c:tx>
            <c:strRef>
              <c:f>Flood!$C$869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Flood!$J$870</c:f>
              <c:numCache>
                <c:formatCode>General</c:formatCode>
                <c:ptCount val="1"/>
                <c:pt idx="0">
                  <c:v>2</c:v>
                </c:pt>
              </c:numCache>
            </c:numRef>
          </c:xVal>
          <c:yVal>
            <c:numRef>
              <c:f>Flood!$J$871</c:f>
              <c:numCache>
                <c:formatCode>General</c:formatCode>
                <c:ptCount val="1"/>
                <c:pt idx="0">
                  <c:v>0</c:v>
                </c:pt>
              </c:numCache>
            </c:numRef>
          </c:yVal>
          <c:smooth val="0"/>
          <c:extLst>
            <c:ext xmlns:c16="http://schemas.microsoft.com/office/drawing/2014/chart" uri="{C3380CC4-5D6E-409C-BE32-E72D297353CC}">
              <c16:uniqueId val="{00000004-F25E-4E1D-94F6-EAACCAF64625}"/>
            </c:ext>
          </c:extLst>
        </c:ser>
        <c:ser>
          <c:idx val="5"/>
          <c:order val="5"/>
          <c:tx>
            <c:strRef>
              <c:f>Flood!$C$873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Flood!$J$874</c:f>
              <c:numCache>
                <c:formatCode>General</c:formatCode>
                <c:ptCount val="1"/>
                <c:pt idx="0">
                  <c:v>0</c:v>
                </c:pt>
              </c:numCache>
            </c:numRef>
          </c:xVal>
          <c:yVal>
            <c:numRef>
              <c:f>Flood!$J$875</c:f>
              <c:numCache>
                <c:formatCode>General</c:formatCode>
                <c:ptCount val="1"/>
                <c:pt idx="0">
                  <c:v>0</c:v>
                </c:pt>
              </c:numCache>
            </c:numRef>
          </c:yVal>
          <c:smooth val="0"/>
          <c:extLst>
            <c:ext xmlns:c16="http://schemas.microsoft.com/office/drawing/2014/chart" uri="{C3380CC4-5D6E-409C-BE32-E72D297353CC}">
              <c16:uniqueId val="{00000005-F25E-4E1D-94F6-EAACCAF64625}"/>
            </c:ext>
          </c:extLst>
        </c:ser>
        <c:ser>
          <c:idx val="6"/>
          <c:order val="6"/>
          <c:tx>
            <c:strRef>
              <c:f>Flood!$C$877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Flood!$J$878</c:f>
              <c:numCache>
                <c:formatCode>General</c:formatCode>
                <c:ptCount val="1"/>
                <c:pt idx="0">
                  <c:v>1</c:v>
                </c:pt>
              </c:numCache>
            </c:numRef>
          </c:xVal>
          <c:yVal>
            <c:numRef>
              <c:f>Flood!$J$879</c:f>
              <c:numCache>
                <c:formatCode>General</c:formatCode>
                <c:ptCount val="1"/>
                <c:pt idx="0">
                  <c:v>0</c:v>
                </c:pt>
              </c:numCache>
            </c:numRef>
          </c:yVal>
          <c:smooth val="0"/>
          <c:extLst>
            <c:ext xmlns:c16="http://schemas.microsoft.com/office/drawing/2014/chart" uri="{C3380CC4-5D6E-409C-BE32-E72D297353CC}">
              <c16:uniqueId val="{00000006-F25E-4E1D-94F6-EAACCAF64625}"/>
            </c:ext>
          </c:extLst>
        </c:ser>
        <c:ser>
          <c:idx val="7"/>
          <c:order val="7"/>
          <c:tx>
            <c:strRef>
              <c:f>Flood!$C$881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Flood!$J$882</c:f>
              <c:numCache>
                <c:formatCode>General</c:formatCode>
                <c:ptCount val="1"/>
                <c:pt idx="0">
                  <c:v>2</c:v>
                </c:pt>
              </c:numCache>
            </c:numRef>
          </c:xVal>
          <c:yVal>
            <c:numRef>
              <c:f>Flood!$J$883</c:f>
              <c:numCache>
                <c:formatCode>General</c:formatCode>
                <c:ptCount val="1"/>
                <c:pt idx="0">
                  <c:v>0</c:v>
                </c:pt>
              </c:numCache>
            </c:numRef>
          </c:yVal>
          <c:smooth val="0"/>
          <c:extLst>
            <c:ext xmlns:c16="http://schemas.microsoft.com/office/drawing/2014/chart" uri="{C3380CC4-5D6E-409C-BE32-E72D297353CC}">
              <c16:uniqueId val="{00000007-F25E-4E1D-94F6-EAACCAF64625}"/>
            </c:ext>
          </c:extLst>
        </c:ser>
        <c:ser>
          <c:idx val="8"/>
          <c:order val="8"/>
          <c:tx>
            <c:strRef>
              <c:f>Flood!$C$885</c:f>
              <c:strCache>
                <c:ptCount val="1"/>
                <c:pt idx="0">
                  <c:v>Responder Safety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Flood!$J$886</c:f>
              <c:numCache>
                <c:formatCode>General</c:formatCode>
                <c:ptCount val="1"/>
                <c:pt idx="0">
                  <c:v>2</c:v>
                </c:pt>
              </c:numCache>
            </c:numRef>
          </c:xVal>
          <c:yVal>
            <c:numRef>
              <c:f>Flood!$J$887</c:f>
              <c:numCache>
                <c:formatCode>General</c:formatCode>
                <c:ptCount val="1"/>
                <c:pt idx="0">
                  <c:v>0</c:v>
                </c:pt>
              </c:numCache>
            </c:numRef>
          </c:yVal>
          <c:smooth val="0"/>
          <c:extLst>
            <c:ext xmlns:c16="http://schemas.microsoft.com/office/drawing/2014/chart" uri="{C3380CC4-5D6E-409C-BE32-E72D297353CC}">
              <c16:uniqueId val="{00000008-F25E-4E1D-94F6-EAACCAF64625}"/>
            </c:ext>
          </c:extLst>
        </c:ser>
        <c:ser>
          <c:idx val="9"/>
          <c:order val="9"/>
          <c:tx>
            <c:strRef>
              <c:f>Flood!$C$889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Flood!$J$890</c:f>
              <c:numCache>
                <c:formatCode>General</c:formatCode>
                <c:ptCount val="1"/>
                <c:pt idx="0">
                  <c:v>3</c:v>
                </c:pt>
              </c:numCache>
            </c:numRef>
          </c:xVal>
          <c:yVal>
            <c:numRef>
              <c:f>Flood!$J$891</c:f>
              <c:numCache>
                <c:formatCode>General</c:formatCode>
                <c:ptCount val="1"/>
                <c:pt idx="0">
                  <c:v>0</c:v>
                </c:pt>
              </c:numCache>
            </c:numRef>
          </c:yVal>
          <c:smooth val="0"/>
          <c:extLst>
            <c:ext xmlns:c16="http://schemas.microsoft.com/office/drawing/2014/chart" uri="{C3380CC4-5D6E-409C-BE32-E72D297353CC}">
              <c16:uniqueId val="{00000009-F25E-4E1D-94F6-EAACCAF64625}"/>
            </c:ext>
          </c:extLst>
        </c:ser>
        <c:ser>
          <c:idx val="10"/>
          <c:order val="10"/>
          <c:tx>
            <c:strRef>
              <c:f>Flood!$C$833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Flood!$J$834</c:f>
              <c:numCache>
                <c:formatCode>General</c:formatCode>
                <c:ptCount val="1"/>
                <c:pt idx="0">
                  <c:v>4</c:v>
                </c:pt>
              </c:numCache>
            </c:numRef>
          </c:xVal>
          <c:yVal>
            <c:numRef>
              <c:f>Flood!$J$835</c:f>
              <c:numCache>
                <c:formatCode>General</c:formatCode>
                <c:ptCount val="1"/>
                <c:pt idx="0">
                  <c:v>0</c:v>
                </c:pt>
              </c:numCache>
            </c:numRef>
          </c:yVal>
          <c:smooth val="0"/>
          <c:extLst>
            <c:ext xmlns:c16="http://schemas.microsoft.com/office/drawing/2014/chart" uri="{C3380CC4-5D6E-409C-BE32-E72D297353CC}">
              <c16:uniqueId val="{0000000A-F25E-4E1D-94F6-EAACCAF64625}"/>
            </c:ext>
          </c:extLst>
        </c:ser>
        <c:ser>
          <c:idx val="11"/>
          <c:order val="11"/>
          <c:tx>
            <c:strRef>
              <c:f>Flood!$C$837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Flood!$J$838</c:f>
              <c:numCache>
                <c:formatCode>General</c:formatCode>
                <c:ptCount val="1"/>
                <c:pt idx="0">
                  <c:v>4</c:v>
                </c:pt>
              </c:numCache>
            </c:numRef>
          </c:xVal>
          <c:yVal>
            <c:numRef>
              <c:f>Flood!$J$839</c:f>
              <c:numCache>
                <c:formatCode>General</c:formatCode>
                <c:ptCount val="1"/>
                <c:pt idx="0">
                  <c:v>0</c:v>
                </c:pt>
              </c:numCache>
            </c:numRef>
          </c:yVal>
          <c:smooth val="0"/>
          <c:extLst>
            <c:ext xmlns:c16="http://schemas.microsoft.com/office/drawing/2014/chart" uri="{C3380CC4-5D6E-409C-BE32-E72D297353CC}">
              <c16:uniqueId val="{0000000B-F25E-4E1D-94F6-EAACCAF64625}"/>
            </c:ext>
          </c:extLst>
        </c:ser>
        <c:ser>
          <c:idx val="12"/>
          <c:order val="12"/>
          <c:tx>
            <c:strRef>
              <c:f>Flood!$C$841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Flood!$J$842</c:f>
              <c:numCache>
                <c:formatCode>General</c:formatCode>
                <c:ptCount val="1"/>
                <c:pt idx="0">
                  <c:v>4</c:v>
                </c:pt>
              </c:numCache>
            </c:numRef>
          </c:xVal>
          <c:yVal>
            <c:numRef>
              <c:f>Flood!$J$843</c:f>
              <c:numCache>
                <c:formatCode>General</c:formatCode>
                <c:ptCount val="1"/>
                <c:pt idx="0">
                  <c:v>0</c:v>
                </c:pt>
              </c:numCache>
            </c:numRef>
          </c:yVal>
          <c:smooth val="0"/>
          <c:extLst>
            <c:ext xmlns:c16="http://schemas.microsoft.com/office/drawing/2014/chart" uri="{C3380CC4-5D6E-409C-BE32-E72D297353CC}">
              <c16:uniqueId val="{0000000C-F25E-4E1D-94F6-EAACCAF64625}"/>
            </c:ext>
          </c:extLst>
        </c:ser>
        <c:ser>
          <c:idx val="13"/>
          <c:order val="13"/>
          <c:tx>
            <c:strRef>
              <c:f>Flood!$C$845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Flood!$J$846</c:f>
              <c:numCache>
                <c:formatCode>General</c:formatCode>
                <c:ptCount val="1"/>
                <c:pt idx="0">
                  <c:v>4</c:v>
                </c:pt>
              </c:numCache>
            </c:numRef>
          </c:xVal>
          <c:yVal>
            <c:numRef>
              <c:f>Flood!$J$847</c:f>
              <c:numCache>
                <c:formatCode>General</c:formatCode>
                <c:ptCount val="1"/>
                <c:pt idx="0">
                  <c:v>0</c:v>
                </c:pt>
              </c:numCache>
            </c:numRef>
          </c:yVal>
          <c:smooth val="0"/>
          <c:extLst>
            <c:ext xmlns:c16="http://schemas.microsoft.com/office/drawing/2014/chart" uri="{C3380CC4-5D6E-409C-BE32-E72D297353CC}">
              <c16:uniqueId val="{0000000D-F25E-4E1D-94F6-EAACCAF64625}"/>
            </c:ext>
          </c:extLst>
        </c:ser>
        <c:ser>
          <c:idx val="14"/>
          <c:order val="14"/>
          <c:tx>
            <c:strRef>
              <c:f>Flood!$C$964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Flood!$J$965</c:f>
            </c:numRef>
          </c:xVal>
          <c:yVal>
            <c:numRef>
              <c:f>Flood!$J$966</c:f>
            </c:numRef>
          </c:yVal>
          <c:smooth val="0"/>
          <c:extLst>
            <c:ext xmlns:c16="http://schemas.microsoft.com/office/drawing/2014/chart" uri="{C3380CC4-5D6E-409C-BE32-E72D297353CC}">
              <c16:uniqueId val="{0000000E-F25E-4E1D-94F6-EAACCAF64625}"/>
            </c:ext>
          </c:extLst>
        </c:ser>
        <c:dLbls>
          <c:showLegendKey val="0"/>
          <c:showVal val="1"/>
          <c:showCatName val="0"/>
          <c:showSerName val="0"/>
          <c:showPercent val="0"/>
          <c:showBubbleSize val="0"/>
        </c:dLbls>
        <c:axId val="147354752"/>
        <c:axId val="147356672"/>
      </c:scatterChart>
      <c:valAx>
        <c:axId val="14735475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7356672"/>
        <c:crosses val="autoZero"/>
        <c:crossBetween val="midCat"/>
        <c:majorUnit val="1"/>
        <c:minorUnit val="0.1"/>
      </c:valAx>
      <c:valAx>
        <c:axId val="14735667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735475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186075596297969"/>
          <c:y val="1.3244983721297133E-2"/>
        </c:manualLayout>
      </c:layout>
      <c:overlay val="0"/>
    </c:title>
    <c:autoTitleDeleted val="0"/>
    <c:plotArea>
      <c:layout/>
      <c:scatterChart>
        <c:scatterStyle val="lineMarker"/>
        <c:varyColors val="0"/>
        <c:ser>
          <c:idx val="0"/>
          <c:order val="0"/>
          <c:tx>
            <c:strRef>
              <c:f>Flood!$C$903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Flood!$J$904</c:f>
              <c:numCache>
                <c:formatCode>General</c:formatCode>
                <c:ptCount val="1"/>
                <c:pt idx="0">
                  <c:v>4</c:v>
                </c:pt>
              </c:numCache>
            </c:numRef>
          </c:xVal>
          <c:yVal>
            <c:numRef>
              <c:f>Flood!$J$905</c:f>
              <c:numCache>
                <c:formatCode>General</c:formatCode>
                <c:ptCount val="1"/>
                <c:pt idx="0">
                  <c:v>0</c:v>
                </c:pt>
              </c:numCache>
            </c:numRef>
          </c:yVal>
          <c:smooth val="0"/>
          <c:extLst>
            <c:ext xmlns:c16="http://schemas.microsoft.com/office/drawing/2014/chart" uri="{C3380CC4-5D6E-409C-BE32-E72D297353CC}">
              <c16:uniqueId val="{00000000-15E2-4571-BEFF-3B3DA0E4E9D4}"/>
            </c:ext>
          </c:extLst>
        </c:ser>
        <c:ser>
          <c:idx val="1"/>
          <c:order val="1"/>
          <c:tx>
            <c:strRef>
              <c:f>Flood!$C$907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Flood!$J$908</c:f>
              <c:numCache>
                <c:formatCode>General</c:formatCode>
                <c:ptCount val="1"/>
                <c:pt idx="0">
                  <c:v>4</c:v>
                </c:pt>
              </c:numCache>
            </c:numRef>
          </c:xVal>
          <c:yVal>
            <c:numRef>
              <c:f>Flood!$J$909</c:f>
              <c:numCache>
                <c:formatCode>General</c:formatCode>
                <c:ptCount val="1"/>
                <c:pt idx="0">
                  <c:v>0</c:v>
                </c:pt>
              </c:numCache>
            </c:numRef>
          </c:yVal>
          <c:smooth val="0"/>
          <c:extLst>
            <c:ext xmlns:c16="http://schemas.microsoft.com/office/drawing/2014/chart" uri="{C3380CC4-5D6E-409C-BE32-E72D297353CC}">
              <c16:uniqueId val="{00000001-15E2-4571-BEFF-3B3DA0E4E9D4}"/>
            </c:ext>
          </c:extLst>
        </c:ser>
        <c:ser>
          <c:idx val="2"/>
          <c:order val="2"/>
          <c:tx>
            <c:strRef>
              <c:f>Flood!$C$911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Flood!$J$912</c:f>
              <c:numCache>
                <c:formatCode>General</c:formatCode>
                <c:ptCount val="1"/>
                <c:pt idx="0">
                  <c:v>4</c:v>
                </c:pt>
              </c:numCache>
            </c:numRef>
          </c:xVal>
          <c:yVal>
            <c:numRef>
              <c:f>Flood!$J$913</c:f>
              <c:numCache>
                <c:formatCode>General</c:formatCode>
                <c:ptCount val="1"/>
                <c:pt idx="0">
                  <c:v>0</c:v>
                </c:pt>
              </c:numCache>
            </c:numRef>
          </c:yVal>
          <c:smooth val="0"/>
          <c:extLst>
            <c:ext xmlns:c16="http://schemas.microsoft.com/office/drawing/2014/chart" uri="{C3380CC4-5D6E-409C-BE32-E72D297353CC}">
              <c16:uniqueId val="{00000002-15E2-4571-BEFF-3B3DA0E4E9D4}"/>
            </c:ext>
          </c:extLst>
        </c:ser>
        <c:ser>
          <c:idx val="3"/>
          <c:order val="3"/>
          <c:tx>
            <c:strRef>
              <c:f>Flood!$C$915</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Flood!$J$916</c:f>
              <c:numCache>
                <c:formatCode>General</c:formatCode>
                <c:ptCount val="1"/>
                <c:pt idx="0">
                  <c:v>1</c:v>
                </c:pt>
              </c:numCache>
            </c:numRef>
          </c:xVal>
          <c:yVal>
            <c:numRef>
              <c:f>Flood!$J$917</c:f>
              <c:numCache>
                <c:formatCode>General</c:formatCode>
                <c:ptCount val="1"/>
                <c:pt idx="0">
                  <c:v>0</c:v>
                </c:pt>
              </c:numCache>
            </c:numRef>
          </c:yVal>
          <c:smooth val="0"/>
          <c:extLst>
            <c:ext xmlns:c16="http://schemas.microsoft.com/office/drawing/2014/chart" uri="{C3380CC4-5D6E-409C-BE32-E72D297353CC}">
              <c16:uniqueId val="{00000003-15E2-4571-BEFF-3B3DA0E4E9D4}"/>
            </c:ext>
          </c:extLst>
        </c:ser>
        <c:ser>
          <c:idx val="4"/>
          <c:order val="4"/>
          <c:tx>
            <c:strRef>
              <c:f>Flood!$C$919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Flood!$J$920</c:f>
              <c:numCache>
                <c:formatCode>General</c:formatCode>
                <c:ptCount val="1"/>
                <c:pt idx="0">
                  <c:v>4</c:v>
                </c:pt>
              </c:numCache>
            </c:numRef>
          </c:xVal>
          <c:yVal>
            <c:numRef>
              <c:f>Flood!$J$921</c:f>
              <c:numCache>
                <c:formatCode>General</c:formatCode>
                <c:ptCount val="1"/>
                <c:pt idx="0">
                  <c:v>0</c:v>
                </c:pt>
              </c:numCache>
            </c:numRef>
          </c:yVal>
          <c:smooth val="0"/>
          <c:extLst>
            <c:ext xmlns:c16="http://schemas.microsoft.com/office/drawing/2014/chart" uri="{C3380CC4-5D6E-409C-BE32-E72D297353CC}">
              <c16:uniqueId val="{00000004-15E2-4571-BEFF-3B3DA0E4E9D4}"/>
            </c:ext>
          </c:extLst>
        </c:ser>
        <c:ser>
          <c:idx val="5"/>
          <c:order val="5"/>
          <c:tx>
            <c:strRef>
              <c:f>Flood!$C$923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Flood!$J$924</c:f>
              <c:numCache>
                <c:formatCode>General</c:formatCode>
                <c:ptCount val="1"/>
                <c:pt idx="0">
                  <c:v>2</c:v>
                </c:pt>
              </c:numCache>
            </c:numRef>
          </c:xVal>
          <c:yVal>
            <c:numRef>
              <c:f>Flood!$J$925</c:f>
              <c:numCache>
                <c:formatCode>General</c:formatCode>
                <c:ptCount val="1"/>
                <c:pt idx="0">
                  <c:v>0</c:v>
                </c:pt>
              </c:numCache>
            </c:numRef>
          </c:yVal>
          <c:smooth val="0"/>
          <c:extLst>
            <c:ext xmlns:c16="http://schemas.microsoft.com/office/drawing/2014/chart" uri="{C3380CC4-5D6E-409C-BE32-E72D297353CC}">
              <c16:uniqueId val="{00000005-15E2-4571-BEFF-3B3DA0E4E9D4}"/>
            </c:ext>
          </c:extLst>
        </c:ser>
        <c:ser>
          <c:idx val="6"/>
          <c:order val="6"/>
          <c:tx>
            <c:strRef>
              <c:f>Flood!$C$927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Flood!$J$928</c:f>
              <c:numCache>
                <c:formatCode>General</c:formatCode>
                <c:ptCount val="1"/>
                <c:pt idx="0">
                  <c:v>2</c:v>
                </c:pt>
              </c:numCache>
            </c:numRef>
          </c:xVal>
          <c:yVal>
            <c:numRef>
              <c:f>Flood!$J$929</c:f>
              <c:numCache>
                <c:formatCode>General</c:formatCode>
                <c:ptCount val="1"/>
                <c:pt idx="0">
                  <c:v>0</c:v>
                </c:pt>
              </c:numCache>
            </c:numRef>
          </c:yVal>
          <c:smooth val="0"/>
          <c:extLst>
            <c:ext xmlns:c16="http://schemas.microsoft.com/office/drawing/2014/chart" uri="{C3380CC4-5D6E-409C-BE32-E72D297353CC}">
              <c16:uniqueId val="{00000006-15E2-4571-BEFF-3B3DA0E4E9D4}"/>
            </c:ext>
          </c:extLst>
        </c:ser>
        <c:ser>
          <c:idx val="7"/>
          <c:order val="7"/>
          <c:tx>
            <c:strRef>
              <c:f>Flood!$C$931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Flood!$J$932</c:f>
              <c:numCache>
                <c:formatCode>General</c:formatCode>
                <c:ptCount val="1"/>
                <c:pt idx="0">
                  <c:v>3</c:v>
                </c:pt>
              </c:numCache>
            </c:numRef>
          </c:xVal>
          <c:yVal>
            <c:numRef>
              <c:f>Flood!$J$933</c:f>
              <c:numCache>
                <c:formatCode>General</c:formatCode>
                <c:ptCount val="1"/>
                <c:pt idx="0">
                  <c:v>0</c:v>
                </c:pt>
              </c:numCache>
            </c:numRef>
          </c:yVal>
          <c:smooth val="0"/>
          <c:extLst>
            <c:ext xmlns:c16="http://schemas.microsoft.com/office/drawing/2014/chart" uri="{C3380CC4-5D6E-409C-BE32-E72D297353CC}">
              <c16:uniqueId val="{00000007-15E2-4571-BEFF-3B3DA0E4E9D4}"/>
            </c:ext>
          </c:extLst>
        </c:ser>
        <c:ser>
          <c:idx val="14"/>
          <c:order val="8"/>
          <c:tx>
            <c:strRef>
              <c:f>Flood!$C$964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Flood!$J$965</c:f>
            </c:numRef>
          </c:xVal>
          <c:yVal>
            <c:numRef>
              <c:f>Flood!$J$966</c:f>
            </c:numRef>
          </c:yVal>
          <c:smooth val="0"/>
          <c:extLst>
            <c:ext xmlns:c16="http://schemas.microsoft.com/office/drawing/2014/chart" uri="{C3380CC4-5D6E-409C-BE32-E72D297353CC}">
              <c16:uniqueId val="{00000008-15E2-4571-BEFF-3B3DA0E4E9D4}"/>
            </c:ext>
          </c:extLst>
        </c:ser>
        <c:dLbls>
          <c:showLegendKey val="0"/>
          <c:showVal val="1"/>
          <c:showCatName val="0"/>
          <c:showSerName val="0"/>
          <c:showPercent val="0"/>
          <c:showBubbleSize val="0"/>
        </c:dLbls>
        <c:axId val="147506304"/>
        <c:axId val="147508224"/>
      </c:scatterChart>
      <c:valAx>
        <c:axId val="14750630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7508224"/>
        <c:crosses val="autoZero"/>
        <c:crossBetween val="midCat"/>
        <c:majorUnit val="1"/>
        <c:minorUnit val="0.1"/>
      </c:valAx>
      <c:valAx>
        <c:axId val="14750822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750630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('Hazardous Materials Release'!$J$133,'Hazardous Materials Release'!$J$261,'Hazardous Materials Release'!$J$421,'Hazardous Materials Release'!$J$539,'Hazardous Materials Release'!$J$681)</c:f>
              <c:numCache>
                <c:formatCode>0.00</c:formatCode>
                <c:ptCount val="5"/>
                <c:pt idx="0">
                  <c:v>1.3333333333333333</c:v>
                </c:pt>
                <c:pt idx="1">
                  <c:v>0</c:v>
                </c:pt>
                <c:pt idx="2">
                  <c:v>1.9375</c:v>
                </c:pt>
                <c:pt idx="3">
                  <c:v>1.2857142857142858</c:v>
                </c:pt>
                <c:pt idx="4">
                  <c:v>0</c:v>
                </c:pt>
              </c:numCache>
            </c:numRef>
          </c:val>
          <c:extLst>
            <c:ext xmlns:c16="http://schemas.microsoft.com/office/drawing/2014/chart" uri="{C3380CC4-5D6E-409C-BE32-E72D297353CC}">
              <c16:uniqueId val="{00000000-C611-4547-8290-7BA24CF601F0}"/>
            </c:ext>
          </c:extLst>
        </c:ser>
        <c:dLbls>
          <c:showLegendKey val="0"/>
          <c:showVal val="1"/>
          <c:showCatName val="0"/>
          <c:showSerName val="0"/>
          <c:showPercent val="0"/>
          <c:showBubbleSize val="0"/>
        </c:dLbls>
        <c:gapWidth val="150"/>
        <c:axId val="147739008"/>
        <c:axId val="147742080"/>
      </c:barChart>
      <c:catAx>
        <c:axId val="147739008"/>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7742080"/>
        <c:crosses val="autoZero"/>
        <c:auto val="1"/>
        <c:lblAlgn val="ctr"/>
        <c:lblOffset val="100"/>
        <c:noMultiLvlLbl val="0"/>
      </c:catAx>
      <c:valAx>
        <c:axId val="147742080"/>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7739008"/>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'Hazardous Materials Release'!$C$793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Release'!$J$795</c:f>
              <c:numCache>
                <c:formatCode>General</c:formatCode>
                <c:ptCount val="1"/>
                <c:pt idx="0">
                  <c:v>3</c:v>
                </c:pt>
              </c:numCache>
            </c:numRef>
          </c:xVal>
          <c:yVal>
            <c:numRef>
              <c:f>'Hazardous Materials Release'!$J$794</c:f>
              <c:numCache>
                <c:formatCode>General</c:formatCode>
                <c:ptCount val="1"/>
                <c:pt idx="0">
                  <c:v>0</c:v>
                </c:pt>
              </c:numCache>
            </c:numRef>
          </c:yVal>
          <c:smooth val="0"/>
          <c:extLst>
            <c:ext xmlns:c16="http://schemas.microsoft.com/office/drawing/2014/chart" uri="{C3380CC4-5D6E-409C-BE32-E72D297353CC}">
              <c16:uniqueId val="{00000000-9EA8-48F6-B127-F4A1F9A11EFA}"/>
            </c:ext>
          </c:extLst>
        </c:ser>
        <c:ser>
          <c:idx val="1"/>
          <c:order val="1"/>
          <c:tx>
            <c:strRef>
              <c:f>'Hazardous Materials Release'!$C$797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Release'!$J$799</c:f>
              <c:numCache>
                <c:formatCode>General</c:formatCode>
                <c:ptCount val="1"/>
                <c:pt idx="0">
                  <c:v>3</c:v>
                </c:pt>
              </c:numCache>
            </c:numRef>
          </c:xVal>
          <c:yVal>
            <c:numRef>
              <c:f>'Hazardous Materials Release'!$J$798</c:f>
              <c:numCache>
                <c:formatCode>General</c:formatCode>
                <c:ptCount val="1"/>
                <c:pt idx="0">
                  <c:v>0</c:v>
                </c:pt>
              </c:numCache>
            </c:numRef>
          </c:yVal>
          <c:smooth val="0"/>
          <c:extLst>
            <c:ext xmlns:c16="http://schemas.microsoft.com/office/drawing/2014/chart" uri="{C3380CC4-5D6E-409C-BE32-E72D297353CC}">
              <c16:uniqueId val="{00000001-9EA8-48F6-B127-F4A1F9A11EFA}"/>
            </c:ext>
          </c:extLst>
        </c:ser>
        <c:ser>
          <c:idx val="2"/>
          <c:order val="2"/>
          <c:tx>
            <c:strRef>
              <c:f>'Hazardous Materials Release'!$C$801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Release'!$J$803</c:f>
              <c:numCache>
                <c:formatCode>General</c:formatCode>
                <c:ptCount val="1"/>
                <c:pt idx="0">
                  <c:v>4</c:v>
                </c:pt>
              </c:numCache>
            </c:numRef>
          </c:xVal>
          <c:yVal>
            <c:numRef>
              <c:f>'Hazardous Materials Release'!$J$802</c:f>
              <c:numCache>
                <c:formatCode>General</c:formatCode>
                <c:ptCount val="1"/>
                <c:pt idx="0">
                  <c:v>0</c:v>
                </c:pt>
              </c:numCache>
            </c:numRef>
          </c:yVal>
          <c:smooth val="0"/>
          <c:extLst>
            <c:ext xmlns:c16="http://schemas.microsoft.com/office/drawing/2014/chart" uri="{C3380CC4-5D6E-409C-BE32-E72D297353CC}">
              <c16:uniqueId val="{00000002-9EA8-48F6-B127-F4A1F9A11EFA}"/>
            </c:ext>
          </c:extLst>
        </c:ser>
        <c:ser>
          <c:idx val="3"/>
          <c:order val="3"/>
          <c:tx>
            <c:strRef>
              <c:f>'Hazardous Materials Release'!$C$805</c:f>
              <c:strCache>
                <c:ptCount val="1"/>
                <c:pt idx="0">
                  <c:v>Elderly 65 and older</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Release'!$J$807</c:f>
              <c:numCache>
                <c:formatCode>General</c:formatCode>
                <c:ptCount val="1"/>
                <c:pt idx="0">
                  <c:v>3</c:v>
                </c:pt>
              </c:numCache>
            </c:numRef>
          </c:xVal>
          <c:yVal>
            <c:numRef>
              <c:f>'Hazardous Materials Release'!$J$806</c:f>
              <c:numCache>
                <c:formatCode>General</c:formatCode>
                <c:ptCount val="1"/>
                <c:pt idx="0">
                  <c:v>0</c:v>
                </c:pt>
              </c:numCache>
            </c:numRef>
          </c:yVal>
          <c:smooth val="0"/>
          <c:extLst>
            <c:ext xmlns:c16="http://schemas.microsoft.com/office/drawing/2014/chart" uri="{C3380CC4-5D6E-409C-BE32-E72D297353CC}">
              <c16:uniqueId val="{00000003-9EA8-48F6-B127-F4A1F9A11EFA}"/>
            </c:ext>
          </c:extLst>
        </c:ser>
        <c:ser>
          <c:idx val="4"/>
          <c:order val="4"/>
          <c:tx>
            <c:strRef>
              <c:f>'Hazardous Materials Release'!$C$773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Release'!$J$775</c:f>
              <c:numCache>
                <c:formatCode>General</c:formatCode>
                <c:ptCount val="1"/>
                <c:pt idx="0">
                  <c:v>3</c:v>
                </c:pt>
              </c:numCache>
            </c:numRef>
          </c:xVal>
          <c:yVal>
            <c:numRef>
              <c:f>'Hazardous Materials Release'!$J$774</c:f>
              <c:numCache>
                <c:formatCode>General</c:formatCode>
                <c:ptCount val="1"/>
                <c:pt idx="0">
                  <c:v>0</c:v>
                </c:pt>
              </c:numCache>
            </c:numRef>
          </c:yVal>
          <c:smooth val="0"/>
          <c:extLst>
            <c:ext xmlns:c16="http://schemas.microsoft.com/office/drawing/2014/chart" uri="{C3380CC4-5D6E-409C-BE32-E72D297353CC}">
              <c16:uniqueId val="{00000004-9EA8-48F6-B127-F4A1F9A11EFA}"/>
            </c:ext>
          </c:extLst>
        </c:ser>
        <c:ser>
          <c:idx val="5"/>
          <c:order val="5"/>
          <c:tx>
            <c:strRef>
              <c:f>'Hazardous Materials Release'!$C$777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Release'!$J$779</c:f>
              <c:numCache>
                <c:formatCode>General</c:formatCode>
                <c:ptCount val="1"/>
                <c:pt idx="0">
                  <c:v>4</c:v>
                </c:pt>
              </c:numCache>
            </c:numRef>
          </c:xVal>
          <c:yVal>
            <c:numRef>
              <c:f>'Hazardous Materials Release'!$J$778</c:f>
              <c:numCache>
                <c:formatCode>General</c:formatCode>
                <c:ptCount val="1"/>
                <c:pt idx="0">
                  <c:v>0</c:v>
                </c:pt>
              </c:numCache>
            </c:numRef>
          </c:yVal>
          <c:smooth val="0"/>
          <c:extLst>
            <c:ext xmlns:c16="http://schemas.microsoft.com/office/drawing/2014/chart" uri="{C3380CC4-5D6E-409C-BE32-E72D297353CC}">
              <c16:uniqueId val="{00000005-9EA8-48F6-B127-F4A1F9A11EFA}"/>
            </c:ext>
          </c:extLst>
        </c:ser>
        <c:ser>
          <c:idx val="6"/>
          <c:order val="6"/>
          <c:tx>
            <c:strRef>
              <c:f>'Hazardous Materials Release'!$C$781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Release'!$J$783</c:f>
              <c:numCache>
                <c:formatCode>General</c:formatCode>
                <c:ptCount val="1"/>
                <c:pt idx="0">
                  <c:v>3</c:v>
                </c:pt>
              </c:numCache>
            </c:numRef>
          </c:xVal>
          <c:yVal>
            <c:numRef>
              <c:f>'Hazardous Materials Release'!$J$782</c:f>
              <c:numCache>
                <c:formatCode>General</c:formatCode>
                <c:ptCount val="1"/>
                <c:pt idx="0">
                  <c:v>0</c:v>
                </c:pt>
              </c:numCache>
            </c:numRef>
          </c:yVal>
          <c:smooth val="0"/>
          <c:extLst>
            <c:ext xmlns:c16="http://schemas.microsoft.com/office/drawing/2014/chart" uri="{C3380CC4-5D6E-409C-BE32-E72D297353CC}">
              <c16:uniqueId val="{00000006-9EA8-48F6-B127-F4A1F9A11EFA}"/>
            </c:ext>
          </c:extLst>
        </c:ser>
        <c:ser>
          <c:idx val="7"/>
          <c:order val="7"/>
          <c:tx>
            <c:strRef>
              <c:f>'Hazardous Materials Release'!$C$785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EA8-48F6-B127-F4A1F9A11EFA}"/>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'Hazardous Materials Release'!$J$787</c:f>
              <c:numCache>
                <c:formatCode>General</c:formatCode>
                <c:ptCount val="1"/>
                <c:pt idx="0">
                  <c:v>4</c:v>
                </c:pt>
              </c:numCache>
            </c:numRef>
          </c:xVal>
          <c:yVal>
            <c:numRef>
              <c:f>'Hazardous Materials Release'!$J$786</c:f>
              <c:numCache>
                <c:formatCode>General</c:formatCode>
                <c:ptCount val="1"/>
                <c:pt idx="0">
                  <c:v>0</c:v>
                </c:pt>
              </c:numCache>
            </c:numRef>
          </c:yVal>
          <c:smooth val="0"/>
          <c:extLst>
            <c:ext xmlns:c16="http://schemas.microsoft.com/office/drawing/2014/chart" uri="{C3380CC4-5D6E-409C-BE32-E72D297353CC}">
              <c16:uniqueId val="{00000008-9EA8-48F6-B127-F4A1F9A11EFA}"/>
            </c:ext>
          </c:extLst>
        </c:ser>
        <c:ser>
          <c:idx val="8"/>
          <c:order val="8"/>
          <c:tx>
            <c:strRef>
              <c:f>'Hazardous Materials Release'!$C$789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Release'!$J$791</c:f>
              <c:numCache>
                <c:formatCode>General</c:formatCode>
                <c:ptCount val="1"/>
                <c:pt idx="0">
                  <c:v>3</c:v>
                </c:pt>
              </c:numCache>
            </c:numRef>
          </c:xVal>
          <c:yVal>
            <c:numRef>
              <c:f>'Hazardous Materials Release'!$J$790</c:f>
              <c:numCache>
                <c:formatCode>General</c:formatCode>
                <c:ptCount val="1"/>
                <c:pt idx="0">
                  <c:v>0</c:v>
                </c:pt>
              </c:numCache>
            </c:numRef>
          </c:yVal>
          <c:smooth val="0"/>
          <c:extLst>
            <c:ext xmlns:c16="http://schemas.microsoft.com/office/drawing/2014/chart" uri="{C3380CC4-5D6E-409C-BE32-E72D297353CC}">
              <c16:uniqueId val="{00000009-9EA8-48F6-B127-F4A1F9A11EFA}"/>
            </c:ext>
          </c:extLst>
        </c:ser>
        <c:dLbls>
          <c:showLegendKey val="0"/>
          <c:showVal val="1"/>
          <c:showCatName val="0"/>
          <c:showSerName val="0"/>
          <c:showPercent val="0"/>
          <c:showBubbleSize val="0"/>
        </c:dLbls>
        <c:axId val="148092032"/>
        <c:axId val="148093952"/>
      </c:scatterChart>
      <c:valAx>
        <c:axId val="148092032"/>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8093952"/>
        <c:crosses val="autoZero"/>
        <c:crossBetween val="midCat"/>
        <c:majorUnit val="1"/>
        <c:minorUnit val="0.1"/>
      </c:valAx>
      <c:valAx>
        <c:axId val="148093952"/>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8092032"/>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'Hazardous Materials Release'!$C$853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Release'!$J$854</c:f>
              <c:numCache>
                <c:formatCode>General</c:formatCode>
                <c:ptCount val="1"/>
                <c:pt idx="0">
                  <c:v>4</c:v>
                </c:pt>
              </c:numCache>
            </c:numRef>
          </c:xVal>
          <c:yVal>
            <c:numRef>
              <c:f>'Hazardous Materials Release'!$J$855</c:f>
              <c:numCache>
                <c:formatCode>General</c:formatCode>
                <c:ptCount val="1"/>
                <c:pt idx="0">
                  <c:v>0</c:v>
                </c:pt>
              </c:numCache>
            </c:numRef>
          </c:yVal>
          <c:smooth val="0"/>
          <c:extLst>
            <c:ext xmlns:c16="http://schemas.microsoft.com/office/drawing/2014/chart" uri="{C3380CC4-5D6E-409C-BE32-E72D297353CC}">
              <c16:uniqueId val="{00000000-6D5C-47B4-B38D-2014827BA69B}"/>
            </c:ext>
          </c:extLst>
        </c:ser>
        <c:ser>
          <c:idx val="1"/>
          <c:order val="1"/>
          <c:tx>
            <c:strRef>
              <c:f>'Hazardous Materials Release'!$C$857</c:f>
              <c:strCache>
                <c:ptCount val="1"/>
                <c:pt idx="0">
                  <c:v>Mass Care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Release'!$J$858</c:f>
              <c:numCache>
                <c:formatCode>General</c:formatCode>
                <c:ptCount val="1"/>
                <c:pt idx="0">
                  <c:v>3</c:v>
                </c:pt>
              </c:numCache>
            </c:numRef>
          </c:xVal>
          <c:yVal>
            <c:numRef>
              <c:f>'Hazardous Materials Release'!$J$859</c:f>
              <c:numCache>
                <c:formatCode>General</c:formatCode>
                <c:ptCount val="1"/>
                <c:pt idx="0">
                  <c:v>0</c:v>
                </c:pt>
              </c:numCache>
            </c:numRef>
          </c:yVal>
          <c:smooth val="0"/>
          <c:extLst>
            <c:ext xmlns:c16="http://schemas.microsoft.com/office/drawing/2014/chart" uri="{C3380CC4-5D6E-409C-BE32-E72D297353CC}">
              <c16:uniqueId val="{00000001-6D5C-47B4-B38D-2014827BA69B}"/>
            </c:ext>
          </c:extLst>
        </c:ser>
        <c:ser>
          <c:idx val="2"/>
          <c:order val="2"/>
          <c:tx>
            <c:strRef>
              <c:f>'Hazardous Materials Release'!$C$861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Release'!$J$862</c:f>
              <c:numCache>
                <c:formatCode>General</c:formatCode>
                <c:ptCount val="1"/>
                <c:pt idx="0">
                  <c:v>4</c:v>
                </c:pt>
              </c:numCache>
            </c:numRef>
          </c:xVal>
          <c:yVal>
            <c:numRef>
              <c:f>'Hazardous Materials Release'!$J$863</c:f>
              <c:numCache>
                <c:formatCode>General</c:formatCode>
                <c:ptCount val="1"/>
                <c:pt idx="0">
                  <c:v>0</c:v>
                </c:pt>
              </c:numCache>
            </c:numRef>
          </c:yVal>
          <c:smooth val="0"/>
          <c:extLst>
            <c:ext xmlns:c16="http://schemas.microsoft.com/office/drawing/2014/chart" uri="{C3380CC4-5D6E-409C-BE32-E72D297353CC}">
              <c16:uniqueId val="{00000002-6D5C-47B4-B38D-2014827BA69B}"/>
            </c:ext>
          </c:extLst>
        </c:ser>
        <c:ser>
          <c:idx val="3"/>
          <c:order val="3"/>
          <c:tx>
            <c:strRef>
              <c:f>'Hazardous Materials Release'!$C$865</c:f>
              <c:strCache>
                <c:ptCount val="1"/>
                <c:pt idx="0">
                  <c:v>Med Materiel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Release'!$J$866</c:f>
              <c:numCache>
                <c:formatCode>General</c:formatCode>
                <c:ptCount val="1"/>
                <c:pt idx="0">
                  <c:v>4</c:v>
                </c:pt>
              </c:numCache>
            </c:numRef>
          </c:xVal>
          <c:yVal>
            <c:numRef>
              <c:f>'Hazardous Materials Release'!$J$867</c:f>
              <c:numCache>
                <c:formatCode>General</c:formatCode>
                <c:ptCount val="1"/>
                <c:pt idx="0">
                  <c:v>0</c:v>
                </c:pt>
              </c:numCache>
            </c:numRef>
          </c:yVal>
          <c:smooth val="0"/>
          <c:extLst>
            <c:ext xmlns:c16="http://schemas.microsoft.com/office/drawing/2014/chart" uri="{C3380CC4-5D6E-409C-BE32-E72D297353CC}">
              <c16:uniqueId val="{00000003-6D5C-47B4-B38D-2014827BA69B}"/>
            </c:ext>
          </c:extLst>
        </c:ser>
        <c:ser>
          <c:idx val="4"/>
          <c:order val="4"/>
          <c:tx>
            <c:strRef>
              <c:f>'Hazardous Materials Release'!$C$869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Release'!$J$870</c:f>
              <c:numCache>
                <c:formatCode>General</c:formatCode>
                <c:ptCount val="1"/>
                <c:pt idx="0">
                  <c:v>4</c:v>
                </c:pt>
              </c:numCache>
            </c:numRef>
          </c:xVal>
          <c:yVal>
            <c:numRef>
              <c:f>'Hazardous Materials Release'!$J$871</c:f>
              <c:numCache>
                <c:formatCode>General</c:formatCode>
                <c:ptCount val="1"/>
                <c:pt idx="0">
                  <c:v>0</c:v>
                </c:pt>
              </c:numCache>
            </c:numRef>
          </c:yVal>
          <c:smooth val="0"/>
          <c:extLst>
            <c:ext xmlns:c16="http://schemas.microsoft.com/office/drawing/2014/chart" uri="{C3380CC4-5D6E-409C-BE32-E72D297353CC}">
              <c16:uniqueId val="{00000004-6D5C-47B4-B38D-2014827BA69B}"/>
            </c:ext>
          </c:extLst>
        </c:ser>
        <c:ser>
          <c:idx val="5"/>
          <c:order val="5"/>
          <c:tx>
            <c:strRef>
              <c:f>'Hazardous Materials Release'!$C$873</c:f>
              <c:strCache>
                <c:ptCount val="1"/>
                <c:pt idx="0">
                  <c:v>Non-Pharm Interv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Release'!$J$874</c:f>
              <c:numCache>
                <c:formatCode>General</c:formatCode>
                <c:ptCount val="1"/>
                <c:pt idx="0">
                  <c:v>3</c:v>
                </c:pt>
              </c:numCache>
            </c:numRef>
          </c:xVal>
          <c:yVal>
            <c:numRef>
              <c:f>'Hazardous Materials Release'!$J$875</c:f>
              <c:numCache>
                <c:formatCode>General</c:formatCode>
                <c:ptCount val="1"/>
                <c:pt idx="0">
                  <c:v>0</c:v>
                </c:pt>
              </c:numCache>
            </c:numRef>
          </c:yVal>
          <c:smooth val="0"/>
          <c:extLst>
            <c:ext xmlns:c16="http://schemas.microsoft.com/office/drawing/2014/chart" uri="{C3380CC4-5D6E-409C-BE32-E72D297353CC}">
              <c16:uniqueId val="{00000005-6D5C-47B4-B38D-2014827BA69B}"/>
            </c:ext>
          </c:extLst>
        </c:ser>
        <c:ser>
          <c:idx val="6"/>
          <c:order val="6"/>
          <c:tx>
            <c:strRef>
              <c:f>'Hazardous Materials Release'!$C$877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Release'!$J$878</c:f>
              <c:numCache>
                <c:formatCode>General</c:formatCode>
                <c:ptCount val="1"/>
                <c:pt idx="0">
                  <c:v>4</c:v>
                </c:pt>
              </c:numCache>
            </c:numRef>
          </c:xVal>
          <c:yVal>
            <c:numRef>
              <c:f>'Hazardous Materials Release'!$J$879</c:f>
              <c:numCache>
                <c:formatCode>General</c:formatCode>
                <c:ptCount val="1"/>
                <c:pt idx="0">
                  <c:v>0</c:v>
                </c:pt>
              </c:numCache>
            </c:numRef>
          </c:yVal>
          <c:smooth val="0"/>
          <c:extLst>
            <c:ext xmlns:c16="http://schemas.microsoft.com/office/drawing/2014/chart" uri="{C3380CC4-5D6E-409C-BE32-E72D297353CC}">
              <c16:uniqueId val="{00000006-6D5C-47B4-B38D-2014827BA69B}"/>
            </c:ext>
          </c:extLst>
        </c:ser>
        <c:ser>
          <c:idx val="7"/>
          <c:order val="7"/>
          <c:tx>
            <c:strRef>
              <c:f>'Hazardous Materials Release'!$C$881</c:f>
              <c:strCache>
                <c:ptCount val="1"/>
                <c:pt idx="0">
                  <c:v>PH Surv &amp; Epi</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Release'!$J$882</c:f>
              <c:numCache>
                <c:formatCode>General</c:formatCode>
                <c:ptCount val="1"/>
                <c:pt idx="0">
                  <c:v>3</c:v>
                </c:pt>
              </c:numCache>
            </c:numRef>
          </c:xVal>
          <c:yVal>
            <c:numRef>
              <c:f>'Hazardous Materials Release'!$J$883</c:f>
              <c:numCache>
                <c:formatCode>General</c:formatCode>
                <c:ptCount val="1"/>
                <c:pt idx="0">
                  <c:v>0</c:v>
                </c:pt>
              </c:numCache>
            </c:numRef>
          </c:yVal>
          <c:smooth val="0"/>
          <c:extLst>
            <c:ext xmlns:c16="http://schemas.microsoft.com/office/drawing/2014/chart" uri="{C3380CC4-5D6E-409C-BE32-E72D297353CC}">
              <c16:uniqueId val="{00000007-6D5C-47B4-B38D-2014827BA69B}"/>
            </c:ext>
          </c:extLst>
        </c:ser>
        <c:ser>
          <c:idx val="8"/>
          <c:order val="8"/>
          <c:tx>
            <c:strRef>
              <c:f>'Hazardous Materials Release'!$C$885</c:f>
              <c:strCache>
                <c:ptCount val="1"/>
                <c:pt idx="0">
                  <c:v>Responder Safety</c:v>
                </c:pt>
              </c:strCache>
            </c:strRef>
          </c:tx>
          <c:spPr>
            <a:ln w="66675">
              <a:noFill/>
            </a:ln>
          </c:spPr>
          <c:dLbls>
            <c:dLbl>
              <c:idx val="0"/>
              <c:layout>
                <c:manualLayout>
                  <c:x val="-0.13976363072059103"/>
                  <c:y val="-2.1857923497267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6D5C-47B4-B38D-2014827BA69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Release'!$J$886</c:f>
              <c:numCache>
                <c:formatCode>General</c:formatCode>
                <c:ptCount val="1"/>
                <c:pt idx="0">
                  <c:v>4</c:v>
                </c:pt>
              </c:numCache>
            </c:numRef>
          </c:xVal>
          <c:yVal>
            <c:numRef>
              <c:f>'Hazardous Materials Release'!$J$887</c:f>
              <c:numCache>
                <c:formatCode>General</c:formatCode>
                <c:ptCount val="1"/>
                <c:pt idx="0">
                  <c:v>0</c:v>
                </c:pt>
              </c:numCache>
            </c:numRef>
          </c:yVal>
          <c:smooth val="0"/>
          <c:extLst>
            <c:ext xmlns:c16="http://schemas.microsoft.com/office/drawing/2014/chart" uri="{C3380CC4-5D6E-409C-BE32-E72D297353CC}">
              <c16:uniqueId val="{00000009-6D5C-47B4-B38D-2014827BA69B}"/>
            </c:ext>
          </c:extLst>
        </c:ser>
        <c:ser>
          <c:idx val="9"/>
          <c:order val="9"/>
          <c:tx>
            <c:strRef>
              <c:f>'Hazardous Materials Release'!$C$889</c:f>
              <c:strCache>
                <c:ptCount val="1"/>
                <c:pt idx="0">
                  <c:v>Volunteer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Release'!$J$890</c:f>
              <c:numCache>
                <c:formatCode>General</c:formatCode>
                <c:ptCount val="1"/>
                <c:pt idx="0">
                  <c:v>3</c:v>
                </c:pt>
              </c:numCache>
            </c:numRef>
          </c:xVal>
          <c:yVal>
            <c:numRef>
              <c:f>'Hazardous Materials Release'!$J$891</c:f>
              <c:numCache>
                <c:formatCode>General</c:formatCode>
                <c:ptCount val="1"/>
                <c:pt idx="0">
                  <c:v>0</c:v>
                </c:pt>
              </c:numCache>
            </c:numRef>
          </c:yVal>
          <c:smooth val="0"/>
          <c:extLst>
            <c:ext xmlns:c16="http://schemas.microsoft.com/office/drawing/2014/chart" uri="{C3380CC4-5D6E-409C-BE32-E72D297353CC}">
              <c16:uniqueId val="{0000000A-6D5C-47B4-B38D-2014827BA69B}"/>
            </c:ext>
          </c:extLst>
        </c:ser>
        <c:ser>
          <c:idx val="10"/>
          <c:order val="10"/>
          <c:tx>
            <c:strRef>
              <c:f>'Hazardous Materials Release'!$C$833</c:f>
              <c:strCache>
                <c:ptCount val="1"/>
                <c:pt idx="0">
                  <c:v>Community Prep</c:v>
                </c:pt>
              </c:strCache>
            </c:strRef>
          </c:tx>
          <c:spPr>
            <a:ln w="66675">
              <a:noFill/>
            </a:ln>
          </c:spPr>
          <c:dLbls>
            <c:dLbl>
              <c:idx val="0"/>
              <c:layout>
                <c:manualLayout>
                  <c:x val="-0.13976363072059092"/>
                  <c:y val="-1.457214023110499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6D5C-47B4-B38D-2014827BA69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Release'!$J$834</c:f>
              <c:numCache>
                <c:formatCode>General</c:formatCode>
                <c:ptCount val="1"/>
                <c:pt idx="0">
                  <c:v>4</c:v>
                </c:pt>
              </c:numCache>
            </c:numRef>
          </c:xVal>
          <c:yVal>
            <c:numRef>
              <c:f>'Hazardous Materials Release'!$J$835</c:f>
              <c:numCache>
                <c:formatCode>General</c:formatCode>
                <c:ptCount val="1"/>
                <c:pt idx="0">
                  <c:v>0</c:v>
                </c:pt>
              </c:numCache>
            </c:numRef>
          </c:yVal>
          <c:smooth val="0"/>
          <c:extLst>
            <c:ext xmlns:c16="http://schemas.microsoft.com/office/drawing/2014/chart" uri="{C3380CC4-5D6E-409C-BE32-E72D297353CC}">
              <c16:uniqueId val="{0000000C-6D5C-47B4-B38D-2014827BA69B}"/>
            </c:ext>
          </c:extLst>
        </c:ser>
        <c:ser>
          <c:idx val="11"/>
          <c:order val="11"/>
          <c:tx>
            <c:strRef>
              <c:f>'Hazardous Materials Release'!$C$837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Release'!$J$838</c:f>
              <c:numCache>
                <c:formatCode>General</c:formatCode>
                <c:ptCount val="1"/>
                <c:pt idx="0">
                  <c:v>4</c:v>
                </c:pt>
              </c:numCache>
            </c:numRef>
          </c:xVal>
          <c:yVal>
            <c:numRef>
              <c:f>'Hazardous Materials Release'!$J$839</c:f>
              <c:numCache>
                <c:formatCode>General</c:formatCode>
                <c:ptCount val="1"/>
                <c:pt idx="0">
                  <c:v>0</c:v>
                </c:pt>
              </c:numCache>
            </c:numRef>
          </c:yVal>
          <c:smooth val="0"/>
          <c:extLst>
            <c:ext xmlns:c16="http://schemas.microsoft.com/office/drawing/2014/chart" uri="{C3380CC4-5D6E-409C-BE32-E72D297353CC}">
              <c16:uniqueId val="{0000000D-6D5C-47B4-B38D-2014827BA69B}"/>
            </c:ext>
          </c:extLst>
        </c:ser>
        <c:ser>
          <c:idx val="12"/>
          <c:order val="12"/>
          <c:tx>
            <c:strRef>
              <c:f>'Hazardous Materials Release'!$C$841</c:f>
              <c:strCache>
                <c:ptCount val="1"/>
                <c:pt idx="0">
                  <c:v>Emerg Ops Coord</c:v>
                </c:pt>
              </c:strCache>
            </c:strRef>
          </c:tx>
          <c:spPr>
            <a:ln w="66675">
              <a:noFill/>
            </a:ln>
          </c:spPr>
          <c:dLbls>
            <c:dLbl>
              <c:idx val="0"/>
              <c:layout>
                <c:manualLayout>
                  <c:x val="-0.14216219891634713"/>
                  <c:y val="7.2857832661627677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6D5C-47B4-B38D-2014827BA69B}"/>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Release'!$J$842</c:f>
              <c:numCache>
                <c:formatCode>General</c:formatCode>
                <c:ptCount val="1"/>
                <c:pt idx="0">
                  <c:v>4</c:v>
                </c:pt>
              </c:numCache>
            </c:numRef>
          </c:xVal>
          <c:yVal>
            <c:numRef>
              <c:f>'Hazardous Materials Release'!$J$843</c:f>
              <c:numCache>
                <c:formatCode>General</c:formatCode>
                <c:ptCount val="1"/>
                <c:pt idx="0">
                  <c:v>0</c:v>
                </c:pt>
              </c:numCache>
            </c:numRef>
          </c:yVal>
          <c:smooth val="0"/>
          <c:extLst>
            <c:ext xmlns:c16="http://schemas.microsoft.com/office/drawing/2014/chart" uri="{C3380CC4-5D6E-409C-BE32-E72D297353CC}">
              <c16:uniqueId val="{0000000F-6D5C-47B4-B38D-2014827BA69B}"/>
            </c:ext>
          </c:extLst>
        </c:ser>
        <c:ser>
          <c:idx val="13"/>
          <c:order val="13"/>
          <c:tx>
            <c:strRef>
              <c:f>'Hazardous Materials Release'!$C$845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Release'!$J$846</c:f>
              <c:numCache>
                <c:formatCode>General</c:formatCode>
                <c:ptCount val="1"/>
                <c:pt idx="0">
                  <c:v>4</c:v>
                </c:pt>
              </c:numCache>
            </c:numRef>
          </c:xVal>
          <c:yVal>
            <c:numRef>
              <c:f>'Hazardous Materials Release'!$J$847</c:f>
              <c:numCache>
                <c:formatCode>General</c:formatCode>
                <c:ptCount val="1"/>
                <c:pt idx="0">
                  <c:v>0</c:v>
                </c:pt>
              </c:numCache>
            </c:numRef>
          </c:yVal>
          <c:smooth val="0"/>
          <c:extLst>
            <c:ext xmlns:c16="http://schemas.microsoft.com/office/drawing/2014/chart" uri="{C3380CC4-5D6E-409C-BE32-E72D297353CC}">
              <c16:uniqueId val="{00000010-6D5C-47B4-B38D-2014827BA69B}"/>
            </c:ext>
          </c:extLst>
        </c:ser>
        <c:ser>
          <c:idx val="14"/>
          <c:order val="14"/>
          <c:tx>
            <c:strRef>
              <c:f>'Hazardous Materials Release'!$C$964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Release'!$J$965</c:f>
            </c:numRef>
          </c:xVal>
          <c:yVal>
            <c:numRef>
              <c:f>'Hazardous Materials Release'!$J$966</c:f>
            </c:numRef>
          </c:yVal>
          <c:smooth val="0"/>
          <c:extLst>
            <c:ext xmlns:c16="http://schemas.microsoft.com/office/drawing/2014/chart" uri="{C3380CC4-5D6E-409C-BE32-E72D297353CC}">
              <c16:uniqueId val="{00000011-6D5C-47B4-B38D-2014827BA69B}"/>
            </c:ext>
          </c:extLst>
        </c:ser>
        <c:dLbls>
          <c:showLegendKey val="0"/>
          <c:showVal val="1"/>
          <c:showCatName val="0"/>
          <c:showSerName val="0"/>
          <c:showPercent val="0"/>
          <c:showBubbleSize val="0"/>
        </c:dLbls>
        <c:axId val="147960192"/>
        <c:axId val="147962112"/>
      </c:scatterChart>
      <c:valAx>
        <c:axId val="14796019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7962112"/>
        <c:crosses val="autoZero"/>
        <c:crossBetween val="midCat"/>
        <c:majorUnit val="1"/>
        <c:minorUnit val="0.1"/>
      </c:valAx>
      <c:valAx>
        <c:axId val="14796211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796019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019690321630595"/>
          <c:y val="1.3244983721297133E-2"/>
        </c:manualLayout>
      </c:layout>
      <c:overlay val="0"/>
    </c:title>
    <c:autoTitleDeleted val="0"/>
    <c:plotArea>
      <c:layout/>
      <c:scatterChart>
        <c:scatterStyle val="lineMarker"/>
        <c:varyColors val="0"/>
        <c:ser>
          <c:idx val="0"/>
          <c:order val="0"/>
          <c:tx>
            <c:strRef>
              <c:f>'Hazardous Materials Release'!$C$903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Release'!$J$904</c:f>
              <c:numCache>
                <c:formatCode>General</c:formatCode>
                <c:ptCount val="1"/>
                <c:pt idx="0">
                  <c:v>4</c:v>
                </c:pt>
              </c:numCache>
            </c:numRef>
          </c:xVal>
          <c:yVal>
            <c:numRef>
              <c:f>'Hazardous Materials Release'!$J$905</c:f>
              <c:numCache>
                <c:formatCode>General</c:formatCode>
                <c:ptCount val="1"/>
                <c:pt idx="0">
                  <c:v>0</c:v>
                </c:pt>
              </c:numCache>
            </c:numRef>
          </c:yVal>
          <c:smooth val="0"/>
          <c:extLst>
            <c:ext xmlns:c16="http://schemas.microsoft.com/office/drawing/2014/chart" uri="{C3380CC4-5D6E-409C-BE32-E72D297353CC}">
              <c16:uniqueId val="{00000000-6CAA-45FE-AF19-547E61A17582}"/>
            </c:ext>
          </c:extLst>
        </c:ser>
        <c:ser>
          <c:idx val="1"/>
          <c:order val="1"/>
          <c:tx>
            <c:strRef>
              <c:f>'Hazardous Materials Release'!$C$907</c:f>
              <c:strCache>
                <c:ptCount val="1"/>
                <c:pt idx="0">
                  <c:v>HC System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Release'!$J$908</c:f>
              <c:numCache>
                <c:formatCode>General</c:formatCode>
                <c:ptCount val="1"/>
                <c:pt idx="0">
                  <c:v>4</c:v>
                </c:pt>
              </c:numCache>
            </c:numRef>
          </c:xVal>
          <c:yVal>
            <c:numRef>
              <c:f>'Hazardous Materials Release'!$J$909</c:f>
              <c:numCache>
                <c:formatCode>General</c:formatCode>
                <c:ptCount val="1"/>
                <c:pt idx="0">
                  <c:v>0</c:v>
                </c:pt>
              </c:numCache>
            </c:numRef>
          </c:yVal>
          <c:smooth val="0"/>
          <c:extLst>
            <c:ext xmlns:c16="http://schemas.microsoft.com/office/drawing/2014/chart" uri="{C3380CC4-5D6E-409C-BE32-E72D297353CC}">
              <c16:uniqueId val="{00000001-6CAA-45FE-AF19-547E61A17582}"/>
            </c:ext>
          </c:extLst>
        </c:ser>
        <c:ser>
          <c:idx val="2"/>
          <c:order val="2"/>
          <c:tx>
            <c:strRef>
              <c:f>'Hazardous Materials Release'!$C$911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Release'!$J$912</c:f>
              <c:numCache>
                <c:formatCode>General</c:formatCode>
                <c:ptCount val="1"/>
                <c:pt idx="0">
                  <c:v>4</c:v>
                </c:pt>
              </c:numCache>
            </c:numRef>
          </c:xVal>
          <c:yVal>
            <c:numRef>
              <c:f>'Hazardous Materials Release'!$J$913</c:f>
              <c:numCache>
                <c:formatCode>General</c:formatCode>
                <c:ptCount val="1"/>
                <c:pt idx="0">
                  <c:v>0</c:v>
                </c:pt>
              </c:numCache>
            </c:numRef>
          </c:yVal>
          <c:smooth val="0"/>
          <c:extLst>
            <c:ext xmlns:c16="http://schemas.microsoft.com/office/drawing/2014/chart" uri="{C3380CC4-5D6E-409C-BE32-E72D297353CC}">
              <c16:uniqueId val="{00000002-6CAA-45FE-AF19-547E61A17582}"/>
            </c:ext>
          </c:extLst>
        </c:ser>
        <c:ser>
          <c:idx val="3"/>
          <c:order val="3"/>
          <c:tx>
            <c:strRef>
              <c:f>'Hazardous Materials Release'!$C$915</c:f>
              <c:strCache>
                <c:ptCount val="1"/>
                <c:pt idx="0">
                  <c:v>Fatality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Release'!$J$916</c:f>
              <c:numCache>
                <c:formatCode>General</c:formatCode>
                <c:ptCount val="1"/>
                <c:pt idx="0">
                  <c:v>4</c:v>
                </c:pt>
              </c:numCache>
            </c:numRef>
          </c:xVal>
          <c:yVal>
            <c:numRef>
              <c:f>'Hazardous Materials Release'!$J$917</c:f>
              <c:numCache>
                <c:formatCode>General</c:formatCode>
                <c:ptCount val="1"/>
                <c:pt idx="0">
                  <c:v>0</c:v>
                </c:pt>
              </c:numCache>
            </c:numRef>
          </c:yVal>
          <c:smooth val="0"/>
          <c:extLst>
            <c:ext xmlns:c16="http://schemas.microsoft.com/office/drawing/2014/chart" uri="{C3380CC4-5D6E-409C-BE32-E72D297353CC}">
              <c16:uniqueId val="{00000003-6CAA-45FE-AF19-547E61A17582}"/>
            </c:ext>
          </c:extLst>
        </c:ser>
        <c:ser>
          <c:idx val="4"/>
          <c:order val="4"/>
          <c:tx>
            <c:strRef>
              <c:f>'Hazardous Materials Release'!$C$919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Release'!$J$920</c:f>
              <c:numCache>
                <c:formatCode>General</c:formatCode>
                <c:ptCount val="1"/>
                <c:pt idx="0">
                  <c:v>4</c:v>
                </c:pt>
              </c:numCache>
            </c:numRef>
          </c:xVal>
          <c:yVal>
            <c:numRef>
              <c:f>'Hazardous Materials Release'!$J$921</c:f>
              <c:numCache>
                <c:formatCode>General</c:formatCode>
                <c:ptCount val="1"/>
                <c:pt idx="0">
                  <c:v>0</c:v>
                </c:pt>
              </c:numCache>
            </c:numRef>
          </c:yVal>
          <c:smooth val="0"/>
          <c:extLst>
            <c:ext xmlns:c16="http://schemas.microsoft.com/office/drawing/2014/chart" uri="{C3380CC4-5D6E-409C-BE32-E72D297353CC}">
              <c16:uniqueId val="{00000004-6CAA-45FE-AF19-547E61A17582}"/>
            </c:ext>
          </c:extLst>
        </c:ser>
        <c:ser>
          <c:idx val="5"/>
          <c:order val="5"/>
          <c:tx>
            <c:strRef>
              <c:f>'Hazardous Materials Release'!$C$923</c:f>
              <c:strCache>
                <c:ptCount val="1"/>
                <c:pt idx="0">
                  <c:v>Medical Surge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Release'!$J$924</c:f>
              <c:numCache>
                <c:formatCode>General</c:formatCode>
                <c:ptCount val="1"/>
                <c:pt idx="0">
                  <c:v>4</c:v>
                </c:pt>
              </c:numCache>
            </c:numRef>
          </c:xVal>
          <c:yVal>
            <c:numRef>
              <c:f>'Hazardous Materials Release'!$J$925</c:f>
              <c:numCache>
                <c:formatCode>General</c:formatCode>
                <c:ptCount val="1"/>
                <c:pt idx="0">
                  <c:v>0</c:v>
                </c:pt>
              </c:numCache>
            </c:numRef>
          </c:yVal>
          <c:smooth val="0"/>
          <c:extLst>
            <c:ext xmlns:c16="http://schemas.microsoft.com/office/drawing/2014/chart" uri="{C3380CC4-5D6E-409C-BE32-E72D297353CC}">
              <c16:uniqueId val="{00000005-6CAA-45FE-AF19-547E61A17582}"/>
            </c:ext>
          </c:extLst>
        </c:ser>
        <c:ser>
          <c:idx val="6"/>
          <c:order val="6"/>
          <c:tx>
            <c:strRef>
              <c:f>'Hazardous Materials Release'!$C$927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Release'!$J$928</c:f>
              <c:numCache>
                <c:formatCode>General</c:formatCode>
                <c:ptCount val="1"/>
                <c:pt idx="0">
                  <c:v>4</c:v>
                </c:pt>
              </c:numCache>
            </c:numRef>
          </c:xVal>
          <c:yVal>
            <c:numRef>
              <c:f>'Hazardous Materials Release'!$J$929</c:f>
              <c:numCache>
                <c:formatCode>General</c:formatCode>
                <c:ptCount val="1"/>
                <c:pt idx="0">
                  <c:v>0</c:v>
                </c:pt>
              </c:numCache>
            </c:numRef>
          </c:yVal>
          <c:smooth val="0"/>
          <c:extLst>
            <c:ext xmlns:c16="http://schemas.microsoft.com/office/drawing/2014/chart" uri="{C3380CC4-5D6E-409C-BE32-E72D297353CC}">
              <c16:uniqueId val="{00000006-6CAA-45FE-AF19-547E61A17582}"/>
            </c:ext>
          </c:extLst>
        </c:ser>
        <c:ser>
          <c:idx val="7"/>
          <c:order val="7"/>
          <c:tx>
            <c:strRef>
              <c:f>'Hazardous Materials Release'!$C$931</c:f>
              <c:strCache>
                <c:ptCount val="1"/>
                <c:pt idx="0">
                  <c:v>Volunteer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Release'!$J$932</c:f>
              <c:numCache>
                <c:formatCode>General</c:formatCode>
                <c:ptCount val="1"/>
                <c:pt idx="0">
                  <c:v>3</c:v>
                </c:pt>
              </c:numCache>
            </c:numRef>
          </c:xVal>
          <c:yVal>
            <c:numRef>
              <c:f>'Hazardous Materials Release'!$J$933</c:f>
              <c:numCache>
                <c:formatCode>General</c:formatCode>
                <c:ptCount val="1"/>
                <c:pt idx="0">
                  <c:v>0</c:v>
                </c:pt>
              </c:numCache>
            </c:numRef>
          </c:yVal>
          <c:smooth val="0"/>
          <c:extLst>
            <c:ext xmlns:c16="http://schemas.microsoft.com/office/drawing/2014/chart" uri="{C3380CC4-5D6E-409C-BE32-E72D297353CC}">
              <c16:uniqueId val="{00000007-6CAA-45FE-AF19-547E61A17582}"/>
            </c:ext>
          </c:extLst>
        </c:ser>
        <c:ser>
          <c:idx val="14"/>
          <c:order val="8"/>
          <c:tx>
            <c:strRef>
              <c:f>'Hazardous Materials Release'!$C$964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'Hazardous Materials Release'!$J$965</c:f>
            </c:numRef>
          </c:xVal>
          <c:yVal>
            <c:numRef>
              <c:f>'Hazardous Materials Release'!$J$966</c:f>
            </c:numRef>
          </c:yVal>
          <c:smooth val="0"/>
          <c:extLst>
            <c:ext xmlns:c16="http://schemas.microsoft.com/office/drawing/2014/chart" uri="{C3380CC4-5D6E-409C-BE32-E72D297353CC}">
              <c16:uniqueId val="{00000008-6CAA-45FE-AF19-547E61A17582}"/>
            </c:ext>
          </c:extLst>
        </c:ser>
        <c:dLbls>
          <c:showLegendKey val="0"/>
          <c:showVal val="1"/>
          <c:showCatName val="0"/>
          <c:showSerName val="0"/>
          <c:showPercent val="0"/>
          <c:showBubbleSize val="0"/>
        </c:dLbls>
        <c:axId val="148398464"/>
        <c:axId val="148400384"/>
      </c:scatterChart>
      <c:valAx>
        <c:axId val="14839846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8400384"/>
        <c:crosses val="autoZero"/>
        <c:crossBetween val="midCat"/>
        <c:majorUnit val="1"/>
        <c:minorUnit val="0.1"/>
      </c:valAx>
      <c:valAx>
        <c:axId val="14840038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839846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('Localized Infectious Disease'!$J$133,'Localized Infectious Disease'!$J$261,'Localized Infectious Disease'!$J$421,'Localized Infectious Disease'!$J$539,'Localized Infectious Disease'!$J$681)</c:f>
              <c:numCache>
                <c:formatCode>0.00</c:formatCode>
                <c:ptCount val="5"/>
                <c:pt idx="0">
                  <c:v>2</c:v>
                </c:pt>
                <c:pt idx="1">
                  <c:v>0</c:v>
                </c:pt>
                <c:pt idx="2">
                  <c:v>1.5</c:v>
                </c:pt>
                <c:pt idx="3">
                  <c:v>0.2857142857142857</c:v>
                </c:pt>
                <c:pt idx="4">
                  <c:v>0</c:v>
                </c:pt>
              </c:numCache>
            </c:numRef>
          </c:val>
          <c:extLst>
            <c:ext xmlns:c16="http://schemas.microsoft.com/office/drawing/2014/chart" uri="{C3380CC4-5D6E-409C-BE32-E72D297353CC}">
              <c16:uniqueId val="{00000000-5819-437B-BC34-9E9871B4721B}"/>
            </c:ext>
          </c:extLst>
        </c:ser>
        <c:dLbls>
          <c:showLegendKey val="0"/>
          <c:showVal val="1"/>
          <c:showCatName val="0"/>
          <c:showSerName val="0"/>
          <c:showPercent val="0"/>
          <c:showBubbleSize val="0"/>
        </c:dLbls>
        <c:gapWidth val="150"/>
        <c:axId val="148243584"/>
        <c:axId val="148245504"/>
      </c:barChart>
      <c:catAx>
        <c:axId val="148243584"/>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8245504"/>
        <c:crosses val="autoZero"/>
        <c:auto val="1"/>
        <c:lblAlgn val="ctr"/>
        <c:lblOffset val="100"/>
        <c:noMultiLvlLbl val="0"/>
      </c:catAx>
      <c:valAx>
        <c:axId val="148245504"/>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824358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'Localized Infectious Disease'!$C$793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Disease'!$J$795</c:f>
              <c:numCache>
                <c:formatCode>General</c:formatCode>
                <c:ptCount val="1"/>
                <c:pt idx="0">
                  <c:v>2</c:v>
                </c:pt>
              </c:numCache>
            </c:numRef>
          </c:xVal>
          <c:yVal>
            <c:numRef>
              <c:f>'Localized Infectious Disease'!$J$794</c:f>
              <c:numCache>
                <c:formatCode>General</c:formatCode>
                <c:ptCount val="1"/>
                <c:pt idx="0">
                  <c:v>0</c:v>
                </c:pt>
              </c:numCache>
            </c:numRef>
          </c:yVal>
          <c:smooth val="0"/>
          <c:extLst>
            <c:ext xmlns:c16="http://schemas.microsoft.com/office/drawing/2014/chart" uri="{C3380CC4-5D6E-409C-BE32-E72D297353CC}">
              <c16:uniqueId val="{00000000-DB63-4D9D-ADC0-F560ABB34176}"/>
            </c:ext>
          </c:extLst>
        </c:ser>
        <c:ser>
          <c:idx val="1"/>
          <c:order val="1"/>
          <c:tx>
            <c:strRef>
              <c:f>'Localized Infectious Disease'!$C$797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Disease'!$J$799</c:f>
              <c:numCache>
                <c:formatCode>General</c:formatCode>
                <c:ptCount val="1"/>
                <c:pt idx="0">
                  <c:v>1</c:v>
                </c:pt>
              </c:numCache>
            </c:numRef>
          </c:xVal>
          <c:yVal>
            <c:numRef>
              <c:f>'Localized Infectious Disease'!$J$798</c:f>
              <c:numCache>
                <c:formatCode>General</c:formatCode>
                <c:ptCount val="1"/>
                <c:pt idx="0">
                  <c:v>0</c:v>
                </c:pt>
              </c:numCache>
            </c:numRef>
          </c:yVal>
          <c:smooth val="0"/>
          <c:extLst>
            <c:ext xmlns:c16="http://schemas.microsoft.com/office/drawing/2014/chart" uri="{C3380CC4-5D6E-409C-BE32-E72D297353CC}">
              <c16:uniqueId val="{00000001-DB63-4D9D-ADC0-F560ABB34176}"/>
            </c:ext>
          </c:extLst>
        </c:ser>
        <c:ser>
          <c:idx val="2"/>
          <c:order val="2"/>
          <c:tx>
            <c:strRef>
              <c:f>'Localized Infectious Disease'!$C$801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Disease'!$J$803</c:f>
              <c:numCache>
                <c:formatCode>General</c:formatCode>
                <c:ptCount val="1"/>
                <c:pt idx="0">
                  <c:v>2</c:v>
                </c:pt>
              </c:numCache>
            </c:numRef>
          </c:xVal>
          <c:yVal>
            <c:numRef>
              <c:f>'Localized Infectious Disease'!$J$802</c:f>
              <c:numCache>
                <c:formatCode>General</c:formatCode>
                <c:ptCount val="1"/>
                <c:pt idx="0">
                  <c:v>0</c:v>
                </c:pt>
              </c:numCache>
            </c:numRef>
          </c:yVal>
          <c:smooth val="0"/>
          <c:extLst>
            <c:ext xmlns:c16="http://schemas.microsoft.com/office/drawing/2014/chart" uri="{C3380CC4-5D6E-409C-BE32-E72D297353CC}">
              <c16:uniqueId val="{00000002-DB63-4D9D-ADC0-F560ABB34176}"/>
            </c:ext>
          </c:extLst>
        </c:ser>
        <c:ser>
          <c:idx val="3"/>
          <c:order val="3"/>
          <c:tx>
            <c:strRef>
              <c:f>'Localized Infectious Disease'!$C$805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Disease'!$J$807</c:f>
              <c:numCache>
                <c:formatCode>General</c:formatCode>
                <c:ptCount val="1"/>
                <c:pt idx="0">
                  <c:v>1</c:v>
                </c:pt>
              </c:numCache>
            </c:numRef>
          </c:xVal>
          <c:yVal>
            <c:numRef>
              <c:f>'Localized Infectious Disease'!$J$806</c:f>
              <c:numCache>
                <c:formatCode>General</c:formatCode>
                <c:ptCount val="1"/>
                <c:pt idx="0">
                  <c:v>0</c:v>
                </c:pt>
              </c:numCache>
            </c:numRef>
          </c:yVal>
          <c:smooth val="0"/>
          <c:extLst>
            <c:ext xmlns:c16="http://schemas.microsoft.com/office/drawing/2014/chart" uri="{C3380CC4-5D6E-409C-BE32-E72D297353CC}">
              <c16:uniqueId val="{00000003-DB63-4D9D-ADC0-F560ABB34176}"/>
            </c:ext>
          </c:extLst>
        </c:ser>
        <c:ser>
          <c:idx val="4"/>
          <c:order val="4"/>
          <c:tx>
            <c:strRef>
              <c:f>'Localized Infectious Disease'!$C$773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Disease'!$J$775</c:f>
              <c:numCache>
                <c:formatCode>General</c:formatCode>
                <c:ptCount val="1"/>
                <c:pt idx="0">
                  <c:v>2</c:v>
                </c:pt>
              </c:numCache>
            </c:numRef>
          </c:xVal>
          <c:yVal>
            <c:numRef>
              <c:f>'Localized Infectious Disease'!$J$774</c:f>
              <c:numCache>
                <c:formatCode>General</c:formatCode>
                <c:ptCount val="1"/>
                <c:pt idx="0">
                  <c:v>0</c:v>
                </c:pt>
              </c:numCache>
            </c:numRef>
          </c:yVal>
          <c:smooth val="0"/>
          <c:extLst>
            <c:ext xmlns:c16="http://schemas.microsoft.com/office/drawing/2014/chart" uri="{C3380CC4-5D6E-409C-BE32-E72D297353CC}">
              <c16:uniqueId val="{00000004-DB63-4D9D-ADC0-F560ABB34176}"/>
            </c:ext>
          </c:extLst>
        </c:ser>
        <c:ser>
          <c:idx val="5"/>
          <c:order val="5"/>
          <c:tx>
            <c:strRef>
              <c:f>'Localized Infectious Disease'!$C$777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Disease'!$J$779</c:f>
              <c:numCache>
                <c:formatCode>General</c:formatCode>
                <c:ptCount val="1"/>
                <c:pt idx="0">
                  <c:v>2</c:v>
                </c:pt>
              </c:numCache>
            </c:numRef>
          </c:xVal>
          <c:yVal>
            <c:numRef>
              <c:f>'Localized Infectious Disease'!$J$778</c:f>
              <c:numCache>
                <c:formatCode>General</c:formatCode>
                <c:ptCount val="1"/>
                <c:pt idx="0">
                  <c:v>0</c:v>
                </c:pt>
              </c:numCache>
            </c:numRef>
          </c:yVal>
          <c:smooth val="0"/>
          <c:extLst>
            <c:ext xmlns:c16="http://schemas.microsoft.com/office/drawing/2014/chart" uri="{C3380CC4-5D6E-409C-BE32-E72D297353CC}">
              <c16:uniqueId val="{00000005-DB63-4D9D-ADC0-F560ABB34176}"/>
            </c:ext>
          </c:extLst>
        </c:ser>
        <c:ser>
          <c:idx val="6"/>
          <c:order val="6"/>
          <c:tx>
            <c:strRef>
              <c:f>'Localized Infectious Disease'!$C$781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Disease'!$J$783</c:f>
              <c:numCache>
                <c:formatCode>General</c:formatCode>
                <c:ptCount val="1"/>
                <c:pt idx="0">
                  <c:v>1</c:v>
                </c:pt>
              </c:numCache>
            </c:numRef>
          </c:xVal>
          <c:yVal>
            <c:numRef>
              <c:f>'Localized Infectious Disease'!$J$782</c:f>
              <c:numCache>
                <c:formatCode>General</c:formatCode>
                <c:ptCount val="1"/>
                <c:pt idx="0">
                  <c:v>0</c:v>
                </c:pt>
              </c:numCache>
            </c:numRef>
          </c:yVal>
          <c:smooth val="0"/>
          <c:extLst>
            <c:ext xmlns:c16="http://schemas.microsoft.com/office/drawing/2014/chart" uri="{C3380CC4-5D6E-409C-BE32-E72D297353CC}">
              <c16:uniqueId val="{00000006-DB63-4D9D-ADC0-F560ABB34176}"/>
            </c:ext>
          </c:extLst>
        </c:ser>
        <c:ser>
          <c:idx val="7"/>
          <c:order val="7"/>
          <c:tx>
            <c:strRef>
              <c:f>'Localized Infectious Disease'!$C$785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DB63-4D9D-ADC0-F560ABB34176}"/>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'Localized Infectious Disease'!$J$787</c:f>
              <c:numCache>
                <c:formatCode>General</c:formatCode>
                <c:ptCount val="1"/>
                <c:pt idx="0">
                  <c:v>2</c:v>
                </c:pt>
              </c:numCache>
            </c:numRef>
          </c:xVal>
          <c:yVal>
            <c:numRef>
              <c:f>'Localized Infectious Disease'!$J$786</c:f>
              <c:numCache>
                <c:formatCode>General</c:formatCode>
                <c:ptCount val="1"/>
                <c:pt idx="0">
                  <c:v>0</c:v>
                </c:pt>
              </c:numCache>
            </c:numRef>
          </c:yVal>
          <c:smooth val="0"/>
          <c:extLst>
            <c:ext xmlns:c16="http://schemas.microsoft.com/office/drawing/2014/chart" uri="{C3380CC4-5D6E-409C-BE32-E72D297353CC}">
              <c16:uniqueId val="{00000008-DB63-4D9D-ADC0-F560ABB34176}"/>
            </c:ext>
          </c:extLst>
        </c:ser>
        <c:ser>
          <c:idx val="8"/>
          <c:order val="8"/>
          <c:tx>
            <c:strRef>
              <c:f>'Localized Infectious Disease'!$C$789</c:f>
              <c:strCache>
                <c:ptCount val="1"/>
                <c:pt idx="0">
                  <c:v>Limited English Proficiency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Disease'!$J$791</c:f>
              <c:numCache>
                <c:formatCode>General</c:formatCode>
                <c:ptCount val="1"/>
                <c:pt idx="0">
                  <c:v>2</c:v>
                </c:pt>
              </c:numCache>
            </c:numRef>
          </c:xVal>
          <c:yVal>
            <c:numRef>
              <c:f>'Localized Infectious Disease'!$J$790</c:f>
              <c:numCache>
                <c:formatCode>General</c:formatCode>
                <c:ptCount val="1"/>
                <c:pt idx="0">
                  <c:v>0</c:v>
                </c:pt>
              </c:numCache>
            </c:numRef>
          </c:yVal>
          <c:smooth val="0"/>
          <c:extLst>
            <c:ext xmlns:c16="http://schemas.microsoft.com/office/drawing/2014/chart" uri="{C3380CC4-5D6E-409C-BE32-E72D297353CC}">
              <c16:uniqueId val="{00000009-DB63-4D9D-ADC0-F560ABB34176}"/>
            </c:ext>
          </c:extLst>
        </c:ser>
        <c:dLbls>
          <c:showLegendKey val="0"/>
          <c:showVal val="1"/>
          <c:showCatName val="0"/>
          <c:showSerName val="0"/>
          <c:showPercent val="0"/>
          <c:showBubbleSize val="0"/>
        </c:dLbls>
        <c:axId val="148764928"/>
        <c:axId val="148312448"/>
      </c:scatterChart>
      <c:valAx>
        <c:axId val="148764928"/>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8312448"/>
        <c:crosses val="autoZero"/>
        <c:crossBetween val="midCat"/>
        <c:majorUnit val="1"/>
        <c:minorUnit val="0.1"/>
      </c:valAx>
      <c:valAx>
        <c:axId val="148312448"/>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8764928"/>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'Localized Infectious Disease'!$C$853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Disease'!$J$854</c:f>
              <c:numCache>
                <c:formatCode>General</c:formatCode>
                <c:ptCount val="1"/>
                <c:pt idx="0">
                  <c:v>4</c:v>
                </c:pt>
              </c:numCache>
            </c:numRef>
          </c:xVal>
          <c:yVal>
            <c:numRef>
              <c:f>'Localized Infectious Disease'!$J$855</c:f>
              <c:numCache>
                <c:formatCode>General</c:formatCode>
                <c:ptCount val="1"/>
                <c:pt idx="0">
                  <c:v>0</c:v>
                </c:pt>
              </c:numCache>
            </c:numRef>
          </c:yVal>
          <c:smooth val="0"/>
          <c:extLst>
            <c:ext xmlns:c16="http://schemas.microsoft.com/office/drawing/2014/chart" uri="{C3380CC4-5D6E-409C-BE32-E72D297353CC}">
              <c16:uniqueId val="{00000000-9F25-470B-8BB6-15492AA45149}"/>
            </c:ext>
          </c:extLst>
        </c:ser>
        <c:ser>
          <c:idx val="1"/>
          <c:order val="1"/>
          <c:tx>
            <c:strRef>
              <c:f>'Localized Infectious Disease'!$C$857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Disease'!$J$858</c:f>
              <c:numCache>
                <c:formatCode>General</c:formatCode>
                <c:ptCount val="1"/>
                <c:pt idx="0">
                  <c:v>0</c:v>
                </c:pt>
              </c:numCache>
            </c:numRef>
          </c:xVal>
          <c:yVal>
            <c:numRef>
              <c:f>'Localized Infectious Disease'!$J$859</c:f>
              <c:numCache>
                <c:formatCode>General</c:formatCode>
                <c:ptCount val="1"/>
                <c:pt idx="0">
                  <c:v>0</c:v>
                </c:pt>
              </c:numCache>
            </c:numRef>
          </c:yVal>
          <c:smooth val="0"/>
          <c:extLst>
            <c:ext xmlns:c16="http://schemas.microsoft.com/office/drawing/2014/chart" uri="{C3380CC4-5D6E-409C-BE32-E72D297353CC}">
              <c16:uniqueId val="{00000001-9F25-470B-8BB6-15492AA45149}"/>
            </c:ext>
          </c:extLst>
        </c:ser>
        <c:ser>
          <c:idx val="2"/>
          <c:order val="2"/>
          <c:tx>
            <c:strRef>
              <c:f>'Localized Infectious Disease'!$C$861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Disease'!$J$862</c:f>
              <c:numCache>
                <c:formatCode>General</c:formatCode>
                <c:ptCount val="1"/>
                <c:pt idx="0">
                  <c:v>4</c:v>
                </c:pt>
              </c:numCache>
            </c:numRef>
          </c:xVal>
          <c:yVal>
            <c:numRef>
              <c:f>'Localized Infectious Disease'!$J$863</c:f>
              <c:numCache>
                <c:formatCode>General</c:formatCode>
                <c:ptCount val="1"/>
                <c:pt idx="0">
                  <c:v>0</c:v>
                </c:pt>
              </c:numCache>
            </c:numRef>
          </c:yVal>
          <c:smooth val="0"/>
          <c:extLst>
            <c:ext xmlns:c16="http://schemas.microsoft.com/office/drawing/2014/chart" uri="{C3380CC4-5D6E-409C-BE32-E72D297353CC}">
              <c16:uniqueId val="{00000002-9F25-470B-8BB6-15492AA45149}"/>
            </c:ext>
          </c:extLst>
        </c:ser>
        <c:ser>
          <c:idx val="3"/>
          <c:order val="3"/>
          <c:tx>
            <c:strRef>
              <c:f>'Localized Infectious Disease'!$C$865</c:f>
              <c:strCache>
                <c:ptCount val="1"/>
                <c:pt idx="0">
                  <c:v>Med Materiel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Disease'!$J$866</c:f>
              <c:numCache>
                <c:formatCode>General</c:formatCode>
                <c:ptCount val="1"/>
                <c:pt idx="0">
                  <c:v>4</c:v>
                </c:pt>
              </c:numCache>
            </c:numRef>
          </c:xVal>
          <c:yVal>
            <c:numRef>
              <c:f>'Localized Infectious Disease'!$J$867</c:f>
              <c:numCache>
                <c:formatCode>General</c:formatCode>
                <c:ptCount val="1"/>
                <c:pt idx="0">
                  <c:v>0</c:v>
                </c:pt>
              </c:numCache>
            </c:numRef>
          </c:yVal>
          <c:smooth val="0"/>
          <c:extLst>
            <c:ext xmlns:c16="http://schemas.microsoft.com/office/drawing/2014/chart" uri="{C3380CC4-5D6E-409C-BE32-E72D297353CC}">
              <c16:uniqueId val="{00000003-9F25-470B-8BB6-15492AA45149}"/>
            </c:ext>
          </c:extLst>
        </c:ser>
        <c:ser>
          <c:idx val="4"/>
          <c:order val="4"/>
          <c:tx>
            <c:strRef>
              <c:f>'Localized Infectious Disease'!$C$869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Disease'!$J$870</c:f>
              <c:numCache>
                <c:formatCode>General</c:formatCode>
                <c:ptCount val="1"/>
                <c:pt idx="0">
                  <c:v>2</c:v>
                </c:pt>
              </c:numCache>
            </c:numRef>
          </c:xVal>
          <c:yVal>
            <c:numRef>
              <c:f>'Localized Infectious Disease'!$J$871</c:f>
              <c:numCache>
                <c:formatCode>General</c:formatCode>
                <c:ptCount val="1"/>
                <c:pt idx="0">
                  <c:v>0</c:v>
                </c:pt>
              </c:numCache>
            </c:numRef>
          </c:yVal>
          <c:smooth val="0"/>
          <c:extLst>
            <c:ext xmlns:c16="http://schemas.microsoft.com/office/drawing/2014/chart" uri="{C3380CC4-5D6E-409C-BE32-E72D297353CC}">
              <c16:uniqueId val="{00000004-9F25-470B-8BB6-15492AA45149}"/>
            </c:ext>
          </c:extLst>
        </c:ser>
        <c:ser>
          <c:idx val="5"/>
          <c:order val="5"/>
          <c:tx>
            <c:strRef>
              <c:f>'Localized Infectious Disease'!$C$873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Disease'!$J$874</c:f>
              <c:numCache>
                <c:formatCode>General</c:formatCode>
                <c:ptCount val="1"/>
                <c:pt idx="0">
                  <c:v>4</c:v>
                </c:pt>
              </c:numCache>
            </c:numRef>
          </c:xVal>
          <c:yVal>
            <c:numRef>
              <c:f>'Localized Infectious Disease'!$J$875</c:f>
              <c:numCache>
                <c:formatCode>General</c:formatCode>
                <c:ptCount val="1"/>
                <c:pt idx="0">
                  <c:v>0</c:v>
                </c:pt>
              </c:numCache>
            </c:numRef>
          </c:yVal>
          <c:smooth val="0"/>
          <c:extLst>
            <c:ext xmlns:c16="http://schemas.microsoft.com/office/drawing/2014/chart" uri="{C3380CC4-5D6E-409C-BE32-E72D297353CC}">
              <c16:uniqueId val="{00000005-9F25-470B-8BB6-15492AA45149}"/>
            </c:ext>
          </c:extLst>
        </c:ser>
        <c:ser>
          <c:idx val="6"/>
          <c:order val="6"/>
          <c:tx>
            <c:strRef>
              <c:f>'Localized Infectious Disease'!$C$877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Disease'!$J$878</c:f>
              <c:numCache>
                <c:formatCode>General</c:formatCode>
                <c:ptCount val="1"/>
                <c:pt idx="0">
                  <c:v>4</c:v>
                </c:pt>
              </c:numCache>
            </c:numRef>
          </c:xVal>
          <c:yVal>
            <c:numRef>
              <c:f>'Localized Infectious Disease'!$J$879</c:f>
              <c:numCache>
                <c:formatCode>General</c:formatCode>
                <c:ptCount val="1"/>
                <c:pt idx="0">
                  <c:v>0</c:v>
                </c:pt>
              </c:numCache>
            </c:numRef>
          </c:yVal>
          <c:smooth val="0"/>
          <c:extLst>
            <c:ext xmlns:c16="http://schemas.microsoft.com/office/drawing/2014/chart" uri="{C3380CC4-5D6E-409C-BE32-E72D297353CC}">
              <c16:uniqueId val="{00000006-9F25-470B-8BB6-15492AA45149}"/>
            </c:ext>
          </c:extLst>
        </c:ser>
        <c:ser>
          <c:idx val="7"/>
          <c:order val="7"/>
          <c:tx>
            <c:strRef>
              <c:f>'Localized Infectious Disease'!$C$881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Disease'!$J$882</c:f>
              <c:numCache>
                <c:formatCode>General</c:formatCode>
                <c:ptCount val="1"/>
                <c:pt idx="0">
                  <c:v>4</c:v>
                </c:pt>
              </c:numCache>
            </c:numRef>
          </c:xVal>
          <c:yVal>
            <c:numRef>
              <c:f>'Localized Infectious Disease'!$J$883</c:f>
              <c:numCache>
                <c:formatCode>General</c:formatCode>
                <c:ptCount val="1"/>
                <c:pt idx="0">
                  <c:v>0</c:v>
                </c:pt>
              </c:numCache>
            </c:numRef>
          </c:yVal>
          <c:smooth val="0"/>
          <c:extLst>
            <c:ext xmlns:c16="http://schemas.microsoft.com/office/drawing/2014/chart" uri="{C3380CC4-5D6E-409C-BE32-E72D297353CC}">
              <c16:uniqueId val="{00000007-9F25-470B-8BB6-15492AA45149}"/>
            </c:ext>
          </c:extLst>
        </c:ser>
        <c:ser>
          <c:idx val="8"/>
          <c:order val="8"/>
          <c:tx>
            <c:strRef>
              <c:f>'Localized Infectious Disease'!$C$885</c:f>
              <c:strCache>
                <c:ptCount val="1"/>
                <c:pt idx="0">
                  <c:v>Responder Safety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Disease'!$J$886</c:f>
              <c:numCache>
                <c:formatCode>General</c:formatCode>
                <c:ptCount val="1"/>
                <c:pt idx="0">
                  <c:v>4</c:v>
                </c:pt>
              </c:numCache>
            </c:numRef>
          </c:xVal>
          <c:yVal>
            <c:numRef>
              <c:f>'Localized Infectious Disease'!$J$887</c:f>
              <c:numCache>
                <c:formatCode>General</c:formatCode>
                <c:ptCount val="1"/>
                <c:pt idx="0">
                  <c:v>0</c:v>
                </c:pt>
              </c:numCache>
            </c:numRef>
          </c:yVal>
          <c:smooth val="0"/>
          <c:extLst>
            <c:ext xmlns:c16="http://schemas.microsoft.com/office/drawing/2014/chart" uri="{C3380CC4-5D6E-409C-BE32-E72D297353CC}">
              <c16:uniqueId val="{00000008-9F25-470B-8BB6-15492AA45149}"/>
            </c:ext>
          </c:extLst>
        </c:ser>
        <c:ser>
          <c:idx val="9"/>
          <c:order val="9"/>
          <c:tx>
            <c:strRef>
              <c:f>'Localized Infectious Disease'!$C$889</c:f>
              <c:strCache>
                <c:ptCount val="1"/>
                <c:pt idx="0">
                  <c:v>Volunteer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Disease'!$J$890</c:f>
              <c:numCache>
                <c:formatCode>General</c:formatCode>
                <c:ptCount val="1"/>
                <c:pt idx="0">
                  <c:v>3</c:v>
                </c:pt>
              </c:numCache>
            </c:numRef>
          </c:xVal>
          <c:yVal>
            <c:numRef>
              <c:f>'Localized Infectious Disease'!$J$891</c:f>
              <c:numCache>
                <c:formatCode>General</c:formatCode>
                <c:ptCount val="1"/>
                <c:pt idx="0">
                  <c:v>0</c:v>
                </c:pt>
              </c:numCache>
            </c:numRef>
          </c:yVal>
          <c:smooth val="0"/>
          <c:extLst>
            <c:ext xmlns:c16="http://schemas.microsoft.com/office/drawing/2014/chart" uri="{C3380CC4-5D6E-409C-BE32-E72D297353CC}">
              <c16:uniqueId val="{00000009-9F25-470B-8BB6-15492AA45149}"/>
            </c:ext>
          </c:extLst>
        </c:ser>
        <c:ser>
          <c:idx val="10"/>
          <c:order val="10"/>
          <c:tx>
            <c:strRef>
              <c:f>'Localized Infectious Disease'!$C$833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Disease'!$J$834</c:f>
              <c:numCache>
                <c:formatCode>General</c:formatCode>
                <c:ptCount val="1"/>
                <c:pt idx="0">
                  <c:v>2</c:v>
                </c:pt>
              </c:numCache>
            </c:numRef>
          </c:xVal>
          <c:yVal>
            <c:numRef>
              <c:f>'Localized Infectious Disease'!$J$835</c:f>
              <c:numCache>
                <c:formatCode>General</c:formatCode>
                <c:ptCount val="1"/>
                <c:pt idx="0">
                  <c:v>0</c:v>
                </c:pt>
              </c:numCache>
            </c:numRef>
          </c:yVal>
          <c:smooth val="0"/>
          <c:extLst>
            <c:ext xmlns:c16="http://schemas.microsoft.com/office/drawing/2014/chart" uri="{C3380CC4-5D6E-409C-BE32-E72D297353CC}">
              <c16:uniqueId val="{0000000A-9F25-470B-8BB6-15492AA45149}"/>
            </c:ext>
          </c:extLst>
        </c:ser>
        <c:ser>
          <c:idx val="11"/>
          <c:order val="11"/>
          <c:tx>
            <c:strRef>
              <c:f>'Localized Infectious Disease'!$C$837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Disease'!$J$838</c:f>
              <c:numCache>
                <c:formatCode>General</c:formatCode>
                <c:ptCount val="1"/>
                <c:pt idx="0">
                  <c:v>2</c:v>
                </c:pt>
              </c:numCache>
            </c:numRef>
          </c:xVal>
          <c:yVal>
            <c:numRef>
              <c:f>'Localized Infectious Disease'!$J$839</c:f>
              <c:numCache>
                <c:formatCode>General</c:formatCode>
                <c:ptCount val="1"/>
                <c:pt idx="0">
                  <c:v>0</c:v>
                </c:pt>
              </c:numCache>
            </c:numRef>
          </c:yVal>
          <c:smooth val="0"/>
          <c:extLst>
            <c:ext xmlns:c16="http://schemas.microsoft.com/office/drawing/2014/chart" uri="{C3380CC4-5D6E-409C-BE32-E72D297353CC}">
              <c16:uniqueId val="{0000000B-9F25-470B-8BB6-15492AA45149}"/>
            </c:ext>
          </c:extLst>
        </c:ser>
        <c:ser>
          <c:idx val="12"/>
          <c:order val="12"/>
          <c:tx>
            <c:strRef>
              <c:f>'Localized Infectious Disease'!$C$841</c:f>
              <c:strCache>
                <c:ptCount val="1"/>
                <c:pt idx="0">
                  <c:v>Emerg Ops Coord</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Disease'!$J$842</c:f>
              <c:numCache>
                <c:formatCode>General</c:formatCode>
                <c:ptCount val="1"/>
                <c:pt idx="0">
                  <c:v>4</c:v>
                </c:pt>
              </c:numCache>
            </c:numRef>
          </c:xVal>
          <c:yVal>
            <c:numRef>
              <c:f>'Localized Infectious Disease'!$J$843</c:f>
              <c:numCache>
                <c:formatCode>General</c:formatCode>
                <c:ptCount val="1"/>
                <c:pt idx="0">
                  <c:v>0</c:v>
                </c:pt>
              </c:numCache>
            </c:numRef>
          </c:yVal>
          <c:smooth val="0"/>
          <c:extLst>
            <c:ext xmlns:c16="http://schemas.microsoft.com/office/drawing/2014/chart" uri="{C3380CC4-5D6E-409C-BE32-E72D297353CC}">
              <c16:uniqueId val="{0000000C-9F25-470B-8BB6-15492AA45149}"/>
            </c:ext>
          </c:extLst>
        </c:ser>
        <c:ser>
          <c:idx val="13"/>
          <c:order val="13"/>
          <c:tx>
            <c:strRef>
              <c:f>'Localized Infectious Disease'!$C$845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Disease'!$J$846</c:f>
              <c:numCache>
                <c:formatCode>General</c:formatCode>
                <c:ptCount val="1"/>
                <c:pt idx="0">
                  <c:v>4</c:v>
                </c:pt>
              </c:numCache>
            </c:numRef>
          </c:xVal>
          <c:yVal>
            <c:numRef>
              <c:f>'Localized Infectious Disease'!$J$847</c:f>
              <c:numCache>
                <c:formatCode>General</c:formatCode>
                <c:ptCount val="1"/>
                <c:pt idx="0">
                  <c:v>0</c:v>
                </c:pt>
              </c:numCache>
            </c:numRef>
          </c:yVal>
          <c:smooth val="0"/>
          <c:extLst>
            <c:ext xmlns:c16="http://schemas.microsoft.com/office/drawing/2014/chart" uri="{C3380CC4-5D6E-409C-BE32-E72D297353CC}">
              <c16:uniqueId val="{0000000D-9F25-470B-8BB6-15492AA45149}"/>
            </c:ext>
          </c:extLst>
        </c:ser>
        <c:ser>
          <c:idx val="14"/>
          <c:order val="14"/>
          <c:tx>
            <c:strRef>
              <c:f>'Localized Infectious Disease'!$C$964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Disease'!$J$965</c:f>
            </c:numRef>
          </c:xVal>
          <c:yVal>
            <c:numRef>
              <c:f>'Localized Infectious Disease'!$J$966</c:f>
            </c:numRef>
          </c:yVal>
          <c:smooth val="0"/>
          <c:extLst>
            <c:ext xmlns:c16="http://schemas.microsoft.com/office/drawing/2014/chart" uri="{C3380CC4-5D6E-409C-BE32-E72D297353CC}">
              <c16:uniqueId val="{0000000E-9F25-470B-8BB6-15492AA45149}"/>
            </c:ext>
          </c:extLst>
        </c:ser>
        <c:dLbls>
          <c:showLegendKey val="0"/>
          <c:showVal val="1"/>
          <c:showCatName val="0"/>
          <c:showSerName val="0"/>
          <c:showPercent val="0"/>
          <c:showBubbleSize val="0"/>
        </c:dLbls>
        <c:axId val="148825600"/>
        <c:axId val="148827520"/>
      </c:scatterChart>
      <c:valAx>
        <c:axId val="14882560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8827520"/>
        <c:crosses val="autoZero"/>
        <c:crossBetween val="midCat"/>
        <c:majorUnit val="1"/>
        <c:minorUnit val="0.1"/>
      </c:valAx>
      <c:valAx>
        <c:axId val="14882752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882560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518846145632707"/>
          <c:y val="1.3244983721297133E-2"/>
        </c:manualLayout>
      </c:layout>
      <c:overlay val="0"/>
    </c:title>
    <c:autoTitleDeleted val="0"/>
    <c:plotArea>
      <c:layout/>
      <c:scatterChart>
        <c:scatterStyle val="lineMarker"/>
        <c:varyColors val="0"/>
        <c:ser>
          <c:idx val="0"/>
          <c:order val="0"/>
          <c:tx>
            <c:strRef>
              <c:f>'Localized Infectious Disease'!$C$903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Disease'!$J$904</c:f>
              <c:numCache>
                <c:formatCode>General</c:formatCode>
                <c:ptCount val="1"/>
                <c:pt idx="0">
                  <c:v>2</c:v>
                </c:pt>
              </c:numCache>
            </c:numRef>
          </c:xVal>
          <c:yVal>
            <c:numRef>
              <c:f>'Localized Infectious Disease'!$J$905</c:f>
              <c:numCache>
                <c:formatCode>General</c:formatCode>
                <c:ptCount val="1"/>
                <c:pt idx="0">
                  <c:v>0</c:v>
                </c:pt>
              </c:numCache>
            </c:numRef>
          </c:yVal>
          <c:smooth val="0"/>
          <c:extLst>
            <c:ext xmlns:c16="http://schemas.microsoft.com/office/drawing/2014/chart" uri="{C3380CC4-5D6E-409C-BE32-E72D297353CC}">
              <c16:uniqueId val="{00000000-61A7-4E74-9D3C-402EDBAF7E92}"/>
            </c:ext>
          </c:extLst>
        </c:ser>
        <c:ser>
          <c:idx val="1"/>
          <c:order val="1"/>
          <c:tx>
            <c:strRef>
              <c:f>'Localized Infectious Disease'!$C$907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Disease'!$J$908</c:f>
              <c:numCache>
                <c:formatCode>General</c:formatCode>
                <c:ptCount val="1"/>
                <c:pt idx="0">
                  <c:v>2</c:v>
                </c:pt>
              </c:numCache>
            </c:numRef>
          </c:xVal>
          <c:yVal>
            <c:numRef>
              <c:f>'Localized Infectious Disease'!$J$909</c:f>
              <c:numCache>
                <c:formatCode>General</c:formatCode>
                <c:ptCount val="1"/>
                <c:pt idx="0">
                  <c:v>0</c:v>
                </c:pt>
              </c:numCache>
            </c:numRef>
          </c:yVal>
          <c:smooth val="0"/>
          <c:extLst>
            <c:ext xmlns:c16="http://schemas.microsoft.com/office/drawing/2014/chart" uri="{C3380CC4-5D6E-409C-BE32-E72D297353CC}">
              <c16:uniqueId val="{00000001-61A7-4E74-9D3C-402EDBAF7E92}"/>
            </c:ext>
          </c:extLst>
        </c:ser>
        <c:ser>
          <c:idx val="2"/>
          <c:order val="2"/>
          <c:tx>
            <c:strRef>
              <c:f>'Localized Infectious Disease'!$C$911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Disease'!$J$912</c:f>
              <c:numCache>
                <c:formatCode>General</c:formatCode>
                <c:ptCount val="1"/>
                <c:pt idx="0">
                  <c:v>4</c:v>
                </c:pt>
              </c:numCache>
            </c:numRef>
          </c:xVal>
          <c:yVal>
            <c:numRef>
              <c:f>'Localized Infectious Disease'!$J$913</c:f>
              <c:numCache>
                <c:formatCode>General</c:formatCode>
                <c:ptCount val="1"/>
                <c:pt idx="0">
                  <c:v>0</c:v>
                </c:pt>
              </c:numCache>
            </c:numRef>
          </c:yVal>
          <c:smooth val="0"/>
          <c:extLst>
            <c:ext xmlns:c16="http://schemas.microsoft.com/office/drawing/2014/chart" uri="{C3380CC4-5D6E-409C-BE32-E72D297353CC}">
              <c16:uniqueId val="{00000002-61A7-4E74-9D3C-402EDBAF7E92}"/>
            </c:ext>
          </c:extLst>
        </c:ser>
        <c:ser>
          <c:idx val="3"/>
          <c:order val="3"/>
          <c:tx>
            <c:strRef>
              <c:f>'Localized Infectious Disease'!$C$915</c:f>
              <c:strCache>
                <c:ptCount val="1"/>
                <c:pt idx="0">
                  <c:v>Fatality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Disease'!$J$916</c:f>
              <c:numCache>
                <c:formatCode>General</c:formatCode>
                <c:ptCount val="1"/>
                <c:pt idx="0">
                  <c:v>2</c:v>
                </c:pt>
              </c:numCache>
            </c:numRef>
          </c:xVal>
          <c:yVal>
            <c:numRef>
              <c:f>'Localized Infectious Disease'!$J$917</c:f>
              <c:numCache>
                <c:formatCode>General</c:formatCode>
                <c:ptCount val="1"/>
                <c:pt idx="0">
                  <c:v>0</c:v>
                </c:pt>
              </c:numCache>
            </c:numRef>
          </c:yVal>
          <c:smooth val="0"/>
          <c:extLst>
            <c:ext xmlns:c16="http://schemas.microsoft.com/office/drawing/2014/chart" uri="{C3380CC4-5D6E-409C-BE32-E72D297353CC}">
              <c16:uniqueId val="{00000003-61A7-4E74-9D3C-402EDBAF7E92}"/>
            </c:ext>
          </c:extLst>
        </c:ser>
        <c:ser>
          <c:idx val="4"/>
          <c:order val="4"/>
          <c:tx>
            <c:strRef>
              <c:f>'Localized Infectious Disease'!$C$919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Disease'!$J$920</c:f>
              <c:numCache>
                <c:formatCode>General</c:formatCode>
                <c:ptCount val="1"/>
                <c:pt idx="0">
                  <c:v>4</c:v>
                </c:pt>
              </c:numCache>
            </c:numRef>
          </c:xVal>
          <c:yVal>
            <c:numRef>
              <c:f>'Localized Infectious Disease'!$J$921</c:f>
              <c:numCache>
                <c:formatCode>General</c:formatCode>
                <c:ptCount val="1"/>
                <c:pt idx="0">
                  <c:v>0</c:v>
                </c:pt>
              </c:numCache>
            </c:numRef>
          </c:yVal>
          <c:smooth val="0"/>
          <c:extLst>
            <c:ext xmlns:c16="http://schemas.microsoft.com/office/drawing/2014/chart" uri="{C3380CC4-5D6E-409C-BE32-E72D297353CC}">
              <c16:uniqueId val="{00000004-61A7-4E74-9D3C-402EDBAF7E92}"/>
            </c:ext>
          </c:extLst>
        </c:ser>
        <c:ser>
          <c:idx val="5"/>
          <c:order val="5"/>
          <c:tx>
            <c:strRef>
              <c:f>'Localized Infectious Disease'!$C$923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Disease'!$J$924</c:f>
              <c:numCache>
                <c:formatCode>General</c:formatCode>
                <c:ptCount val="1"/>
                <c:pt idx="0">
                  <c:v>2</c:v>
                </c:pt>
              </c:numCache>
            </c:numRef>
          </c:xVal>
          <c:yVal>
            <c:numRef>
              <c:f>'Localized Infectious Disease'!$J$925</c:f>
              <c:numCache>
                <c:formatCode>General</c:formatCode>
                <c:ptCount val="1"/>
                <c:pt idx="0">
                  <c:v>0</c:v>
                </c:pt>
              </c:numCache>
            </c:numRef>
          </c:yVal>
          <c:smooth val="0"/>
          <c:extLst>
            <c:ext xmlns:c16="http://schemas.microsoft.com/office/drawing/2014/chart" uri="{C3380CC4-5D6E-409C-BE32-E72D297353CC}">
              <c16:uniqueId val="{00000005-61A7-4E74-9D3C-402EDBAF7E92}"/>
            </c:ext>
          </c:extLst>
        </c:ser>
        <c:ser>
          <c:idx val="6"/>
          <c:order val="6"/>
          <c:tx>
            <c:strRef>
              <c:f>'Localized Infectious Disease'!$C$927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Disease'!$J$928</c:f>
              <c:numCache>
                <c:formatCode>General</c:formatCode>
                <c:ptCount val="1"/>
                <c:pt idx="0">
                  <c:v>4</c:v>
                </c:pt>
              </c:numCache>
            </c:numRef>
          </c:xVal>
          <c:yVal>
            <c:numRef>
              <c:f>'Localized Infectious Disease'!$J$929</c:f>
              <c:numCache>
                <c:formatCode>General</c:formatCode>
                <c:ptCount val="1"/>
                <c:pt idx="0">
                  <c:v>0</c:v>
                </c:pt>
              </c:numCache>
            </c:numRef>
          </c:yVal>
          <c:smooth val="0"/>
          <c:extLst>
            <c:ext xmlns:c16="http://schemas.microsoft.com/office/drawing/2014/chart" uri="{C3380CC4-5D6E-409C-BE32-E72D297353CC}">
              <c16:uniqueId val="{00000006-61A7-4E74-9D3C-402EDBAF7E92}"/>
            </c:ext>
          </c:extLst>
        </c:ser>
        <c:ser>
          <c:idx val="7"/>
          <c:order val="7"/>
          <c:tx>
            <c:strRef>
              <c:f>'Localized Infectious Disease'!$C$931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Disease'!$J$932</c:f>
              <c:numCache>
                <c:formatCode>General</c:formatCode>
                <c:ptCount val="1"/>
                <c:pt idx="0">
                  <c:v>3</c:v>
                </c:pt>
              </c:numCache>
            </c:numRef>
          </c:xVal>
          <c:yVal>
            <c:numRef>
              <c:f>'Localized Infectious Disease'!$J$933</c:f>
              <c:numCache>
                <c:formatCode>General</c:formatCode>
                <c:ptCount val="1"/>
                <c:pt idx="0">
                  <c:v>0</c:v>
                </c:pt>
              </c:numCache>
            </c:numRef>
          </c:yVal>
          <c:smooth val="0"/>
          <c:extLst>
            <c:ext xmlns:c16="http://schemas.microsoft.com/office/drawing/2014/chart" uri="{C3380CC4-5D6E-409C-BE32-E72D297353CC}">
              <c16:uniqueId val="{00000007-61A7-4E74-9D3C-402EDBAF7E92}"/>
            </c:ext>
          </c:extLst>
        </c:ser>
        <c:ser>
          <c:idx val="14"/>
          <c:order val="8"/>
          <c:tx>
            <c:strRef>
              <c:f>'Localized Infectious Disease'!$C$964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'Localized Infectious Disease'!$J$965</c:f>
            </c:numRef>
          </c:xVal>
          <c:yVal>
            <c:numRef>
              <c:f>'Localized Infectious Disease'!$J$966</c:f>
            </c:numRef>
          </c:yVal>
          <c:smooth val="0"/>
          <c:extLst>
            <c:ext xmlns:c16="http://schemas.microsoft.com/office/drawing/2014/chart" uri="{C3380CC4-5D6E-409C-BE32-E72D297353CC}">
              <c16:uniqueId val="{00000008-61A7-4E74-9D3C-402EDBAF7E92}"/>
            </c:ext>
          </c:extLst>
        </c:ser>
        <c:dLbls>
          <c:showLegendKey val="0"/>
          <c:showVal val="1"/>
          <c:showCatName val="0"/>
          <c:showSerName val="0"/>
          <c:showPercent val="0"/>
          <c:showBubbleSize val="0"/>
        </c:dLbls>
        <c:axId val="148604416"/>
        <c:axId val="148606336"/>
      </c:scatterChart>
      <c:valAx>
        <c:axId val="14860441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8606336"/>
        <c:crosses val="autoZero"/>
        <c:crossBetween val="midCat"/>
        <c:majorUnit val="1"/>
        <c:minorUnit val="0.1"/>
      </c:valAx>
      <c:valAx>
        <c:axId val="14860633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860441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('Nuclear Facility Accident'!$J$133,'Nuclear Facility Accident'!$J$261,'Nuclear Facility Accident'!$J$421,'Nuclear Facility Accident'!$J$539,'Nuclear Facility Accident'!$J$681)</c:f>
              <c:numCache>
                <c:formatCode>0.00</c:formatCode>
                <c:ptCount val="5"/>
                <c:pt idx="0">
                  <c:v>2.3333333333333335</c:v>
                </c:pt>
                <c:pt idx="1">
                  <c:v>0</c:v>
                </c:pt>
                <c:pt idx="2">
                  <c:v>2.5</c:v>
                </c:pt>
                <c:pt idx="3">
                  <c:v>1.7857142857142858</c:v>
                </c:pt>
                <c:pt idx="4">
                  <c:v>0</c:v>
                </c:pt>
              </c:numCache>
            </c:numRef>
          </c:val>
          <c:extLst>
            <c:ext xmlns:c16="http://schemas.microsoft.com/office/drawing/2014/chart" uri="{C3380CC4-5D6E-409C-BE32-E72D297353CC}">
              <c16:uniqueId val="{00000000-A1B4-4B18-9249-5FDE6C29E5EE}"/>
            </c:ext>
          </c:extLst>
        </c:ser>
        <c:dLbls>
          <c:showLegendKey val="0"/>
          <c:showVal val="1"/>
          <c:showCatName val="0"/>
          <c:showSerName val="0"/>
          <c:showPercent val="0"/>
          <c:showBubbleSize val="0"/>
        </c:dLbls>
        <c:gapWidth val="150"/>
        <c:axId val="119157504"/>
        <c:axId val="119177216"/>
      </c:barChart>
      <c:catAx>
        <c:axId val="119157504"/>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19177216"/>
        <c:crosses val="autoZero"/>
        <c:auto val="1"/>
        <c:lblAlgn val="ctr"/>
        <c:lblOffset val="100"/>
        <c:noMultiLvlLbl val="0"/>
      </c:catAx>
      <c:valAx>
        <c:axId val="119177216"/>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19157504"/>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manualLayout>
          <c:layoutTarget val="inner"/>
          <c:xMode val="edge"/>
          <c:yMode val="edge"/>
          <c:x val="8.2942364546439135E-2"/>
          <c:y val="9.7650416648738581E-2"/>
          <c:w val="0.87850741705613933"/>
          <c:h val="0.77165947152780767"/>
        </c:manualLayout>
      </c:layout>
      <c:scatterChart>
        <c:scatterStyle val="lineMarker"/>
        <c:varyColors val="0"/>
        <c:ser>
          <c:idx val="0"/>
          <c:order val="0"/>
          <c:tx>
            <c:strRef>
              <c:f>'Nuclear Facility Accident'!$C$853</c:f>
              <c:strCache>
                <c:ptCount val="1"/>
                <c:pt idx="0">
                  <c:v>Info Sharing</c:v>
                </c:pt>
              </c:strCache>
            </c:strRef>
          </c:tx>
          <c:spPr>
            <a:ln w="66675">
              <a:noFill/>
            </a:ln>
          </c:spPr>
          <c:dLbls>
            <c:dLbl>
              <c:idx val="0"/>
              <c:layout>
                <c:manualLayout>
                  <c:x val="-1.310120271751275E-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2BDE-4A29-9F9C-FFF319AFAE9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Accident'!$J$854</c:f>
              <c:numCache>
                <c:formatCode>General</c:formatCode>
                <c:ptCount val="1"/>
                <c:pt idx="0">
                  <c:v>4</c:v>
                </c:pt>
              </c:numCache>
            </c:numRef>
          </c:xVal>
          <c:yVal>
            <c:numRef>
              <c:f>'Nuclear Facility Accident'!$J$855</c:f>
              <c:numCache>
                <c:formatCode>General</c:formatCode>
                <c:ptCount val="1"/>
                <c:pt idx="0">
                  <c:v>0</c:v>
                </c:pt>
              </c:numCache>
            </c:numRef>
          </c:yVal>
          <c:smooth val="0"/>
          <c:extLst>
            <c:ext xmlns:c16="http://schemas.microsoft.com/office/drawing/2014/chart" uri="{C3380CC4-5D6E-409C-BE32-E72D297353CC}">
              <c16:uniqueId val="{00000001-2BDE-4A29-9F9C-FFF319AFAE93}"/>
            </c:ext>
          </c:extLst>
        </c:ser>
        <c:ser>
          <c:idx val="1"/>
          <c:order val="1"/>
          <c:tx>
            <c:strRef>
              <c:f>'Nuclear Facility Accident'!$C$857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Accident'!$J$858</c:f>
              <c:numCache>
                <c:formatCode>General</c:formatCode>
                <c:ptCount val="1"/>
                <c:pt idx="0">
                  <c:v>4</c:v>
                </c:pt>
              </c:numCache>
            </c:numRef>
          </c:xVal>
          <c:yVal>
            <c:numRef>
              <c:f>'Nuclear Facility Accident'!$J$859</c:f>
              <c:numCache>
                <c:formatCode>General</c:formatCode>
                <c:ptCount val="1"/>
                <c:pt idx="0">
                  <c:v>0</c:v>
                </c:pt>
              </c:numCache>
            </c:numRef>
          </c:yVal>
          <c:smooth val="0"/>
          <c:extLst>
            <c:ext xmlns:c16="http://schemas.microsoft.com/office/drawing/2014/chart" uri="{C3380CC4-5D6E-409C-BE32-E72D297353CC}">
              <c16:uniqueId val="{00000002-2BDE-4A29-9F9C-FFF319AFAE93}"/>
            </c:ext>
          </c:extLst>
        </c:ser>
        <c:ser>
          <c:idx val="2"/>
          <c:order val="2"/>
          <c:tx>
            <c:strRef>
              <c:f>'Nuclear Facility Accident'!$C$861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Accident'!$J$862</c:f>
              <c:numCache>
                <c:formatCode>General</c:formatCode>
                <c:ptCount val="1"/>
                <c:pt idx="0">
                  <c:v>4</c:v>
                </c:pt>
              </c:numCache>
            </c:numRef>
          </c:xVal>
          <c:yVal>
            <c:numRef>
              <c:f>'Nuclear Facility Accident'!$J$863</c:f>
              <c:numCache>
                <c:formatCode>General</c:formatCode>
                <c:ptCount val="1"/>
                <c:pt idx="0">
                  <c:v>0</c:v>
                </c:pt>
              </c:numCache>
            </c:numRef>
          </c:yVal>
          <c:smooth val="0"/>
          <c:extLst>
            <c:ext xmlns:c16="http://schemas.microsoft.com/office/drawing/2014/chart" uri="{C3380CC4-5D6E-409C-BE32-E72D297353CC}">
              <c16:uniqueId val="{00000003-2BDE-4A29-9F9C-FFF319AFAE93}"/>
            </c:ext>
          </c:extLst>
        </c:ser>
        <c:ser>
          <c:idx val="3"/>
          <c:order val="3"/>
          <c:tx>
            <c:strRef>
              <c:f>'Nuclear Facility Accident'!$C$865</c:f>
              <c:strCache>
                <c:ptCount val="1"/>
                <c:pt idx="0">
                  <c:v>Med Materiel Mgmt</c:v>
                </c:pt>
              </c:strCache>
            </c:strRef>
          </c:tx>
          <c:spPr>
            <a:ln w="66675">
              <a:noFill/>
            </a:ln>
          </c:spPr>
          <c:dLbls>
            <c:dLbl>
              <c:idx val="0"/>
              <c:layout>
                <c:manualLayout>
                  <c:x val="-0.15196871118359279"/>
                  <c:y val="-4.8573163327261691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BDE-4A29-9F9C-FFF319AFAE93}"/>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Accident'!$J$866</c:f>
              <c:numCache>
                <c:formatCode>General</c:formatCode>
                <c:ptCount val="1"/>
                <c:pt idx="0">
                  <c:v>4</c:v>
                </c:pt>
              </c:numCache>
            </c:numRef>
          </c:xVal>
          <c:yVal>
            <c:numRef>
              <c:f>'Nuclear Facility Accident'!$J$867</c:f>
              <c:numCache>
                <c:formatCode>General</c:formatCode>
                <c:ptCount val="1"/>
                <c:pt idx="0">
                  <c:v>0</c:v>
                </c:pt>
              </c:numCache>
            </c:numRef>
          </c:yVal>
          <c:smooth val="0"/>
          <c:extLst>
            <c:ext xmlns:c16="http://schemas.microsoft.com/office/drawing/2014/chart" uri="{C3380CC4-5D6E-409C-BE32-E72D297353CC}">
              <c16:uniqueId val="{00000005-2BDE-4A29-9F9C-FFF319AFAE93}"/>
            </c:ext>
          </c:extLst>
        </c:ser>
        <c:ser>
          <c:idx val="4"/>
          <c:order val="4"/>
          <c:tx>
            <c:strRef>
              <c:f>'Nuclear Facility Accident'!$C$869</c:f>
              <c:strCache>
                <c:ptCount val="1"/>
                <c:pt idx="0">
                  <c:v>Medical Surge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Accident'!$J$870</c:f>
              <c:numCache>
                <c:formatCode>General</c:formatCode>
                <c:ptCount val="1"/>
                <c:pt idx="0">
                  <c:v>4</c:v>
                </c:pt>
              </c:numCache>
            </c:numRef>
          </c:xVal>
          <c:yVal>
            <c:numRef>
              <c:f>'Nuclear Facility Accident'!$J$871</c:f>
              <c:numCache>
                <c:formatCode>General</c:formatCode>
                <c:ptCount val="1"/>
                <c:pt idx="0">
                  <c:v>0</c:v>
                </c:pt>
              </c:numCache>
            </c:numRef>
          </c:yVal>
          <c:smooth val="0"/>
          <c:extLst>
            <c:ext xmlns:c16="http://schemas.microsoft.com/office/drawing/2014/chart" uri="{C3380CC4-5D6E-409C-BE32-E72D297353CC}">
              <c16:uniqueId val="{00000006-2BDE-4A29-9F9C-FFF319AFAE93}"/>
            </c:ext>
          </c:extLst>
        </c:ser>
        <c:ser>
          <c:idx val="5"/>
          <c:order val="5"/>
          <c:tx>
            <c:strRef>
              <c:f>'Nuclear Facility Accident'!$C$873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Accident'!$J$874</c:f>
              <c:numCache>
                <c:formatCode>General</c:formatCode>
                <c:ptCount val="1"/>
                <c:pt idx="0">
                  <c:v>4</c:v>
                </c:pt>
              </c:numCache>
            </c:numRef>
          </c:xVal>
          <c:yVal>
            <c:numRef>
              <c:f>'Nuclear Facility Accident'!$J$875</c:f>
              <c:numCache>
                <c:formatCode>General</c:formatCode>
                <c:ptCount val="1"/>
                <c:pt idx="0">
                  <c:v>0</c:v>
                </c:pt>
              </c:numCache>
            </c:numRef>
          </c:yVal>
          <c:smooth val="0"/>
          <c:extLst>
            <c:ext xmlns:c16="http://schemas.microsoft.com/office/drawing/2014/chart" uri="{C3380CC4-5D6E-409C-BE32-E72D297353CC}">
              <c16:uniqueId val="{00000007-2BDE-4A29-9F9C-FFF319AFAE93}"/>
            </c:ext>
          </c:extLst>
        </c:ser>
        <c:ser>
          <c:idx val="6"/>
          <c:order val="6"/>
          <c:tx>
            <c:strRef>
              <c:f>'Nuclear Facility Accident'!$C$877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Accident'!$J$878</c:f>
              <c:numCache>
                <c:formatCode>General</c:formatCode>
                <c:ptCount val="1"/>
                <c:pt idx="0">
                  <c:v>4</c:v>
                </c:pt>
              </c:numCache>
            </c:numRef>
          </c:xVal>
          <c:yVal>
            <c:numRef>
              <c:f>'Nuclear Facility Accident'!$J$879</c:f>
              <c:numCache>
                <c:formatCode>General</c:formatCode>
                <c:ptCount val="1"/>
                <c:pt idx="0">
                  <c:v>0</c:v>
                </c:pt>
              </c:numCache>
            </c:numRef>
          </c:yVal>
          <c:smooth val="0"/>
          <c:extLst>
            <c:ext xmlns:c16="http://schemas.microsoft.com/office/drawing/2014/chart" uri="{C3380CC4-5D6E-409C-BE32-E72D297353CC}">
              <c16:uniqueId val="{00000008-2BDE-4A29-9F9C-FFF319AFAE93}"/>
            </c:ext>
          </c:extLst>
        </c:ser>
        <c:ser>
          <c:idx val="7"/>
          <c:order val="7"/>
          <c:tx>
            <c:strRef>
              <c:f>'Nuclear Facility Accident'!$C$881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Accident'!$J$882</c:f>
              <c:numCache>
                <c:formatCode>General</c:formatCode>
                <c:ptCount val="1"/>
                <c:pt idx="0">
                  <c:v>4</c:v>
                </c:pt>
              </c:numCache>
            </c:numRef>
          </c:xVal>
          <c:yVal>
            <c:numRef>
              <c:f>'Nuclear Facility Accident'!$J$883</c:f>
              <c:numCache>
                <c:formatCode>General</c:formatCode>
                <c:ptCount val="1"/>
                <c:pt idx="0">
                  <c:v>0</c:v>
                </c:pt>
              </c:numCache>
            </c:numRef>
          </c:yVal>
          <c:smooth val="0"/>
          <c:extLst>
            <c:ext xmlns:c16="http://schemas.microsoft.com/office/drawing/2014/chart" uri="{C3380CC4-5D6E-409C-BE32-E72D297353CC}">
              <c16:uniqueId val="{00000009-2BDE-4A29-9F9C-FFF319AFAE93}"/>
            </c:ext>
          </c:extLst>
        </c:ser>
        <c:ser>
          <c:idx val="8"/>
          <c:order val="8"/>
          <c:tx>
            <c:strRef>
              <c:f>'Nuclear Facility Accident'!$C$885</c:f>
              <c:strCache>
                <c:ptCount val="1"/>
                <c:pt idx="0">
                  <c:v>Responder Safety</c:v>
                </c:pt>
              </c:strCache>
            </c:strRef>
          </c:tx>
          <c:spPr>
            <a:ln w="66675">
              <a:noFill/>
            </a:ln>
          </c:spPr>
          <c:dLbls>
            <c:dLbl>
              <c:idx val="0"/>
              <c:layout>
                <c:manualLayout>
                  <c:x val="-0.15196871118359279"/>
                  <c:y val="1.7000607164541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2BDE-4A29-9F9C-FFF319AFAE93}"/>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Accident'!$J$886</c:f>
              <c:numCache>
                <c:formatCode>General</c:formatCode>
                <c:ptCount val="1"/>
                <c:pt idx="0">
                  <c:v>4</c:v>
                </c:pt>
              </c:numCache>
            </c:numRef>
          </c:xVal>
          <c:yVal>
            <c:numRef>
              <c:f>'Nuclear Facility Accident'!$J$887</c:f>
              <c:numCache>
                <c:formatCode>General</c:formatCode>
                <c:ptCount val="1"/>
                <c:pt idx="0">
                  <c:v>0</c:v>
                </c:pt>
              </c:numCache>
            </c:numRef>
          </c:yVal>
          <c:smooth val="0"/>
          <c:extLst>
            <c:ext xmlns:c16="http://schemas.microsoft.com/office/drawing/2014/chart" uri="{C3380CC4-5D6E-409C-BE32-E72D297353CC}">
              <c16:uniqueId val="{0000000B-2BDE-4A29-9F9C-FFF319AFAE93}"/>
            </c:ext>
          </c:extLst>
        </c:ser>
        <c:ser>
          <c:idx val="9"/>
          <c:order val="9"/>
          <c:tx>
            <c:strRef>
              <c:f>'Nuclear Facility Accident'!$C$889</c:f>
              <c:strCache>
                <c:ptCount val="1"/>
                <c:pt idx="0">
                  <c:v>Volunteer Mgmt</c:v>
                </c:pt>
              </c:strCache>
            </c:strRef>
          </c:tx>
          <c:spPr>
            <a:ln w="66675">
              <a:noFill/>
            </a:ln>
          </c:spPr>
          <c:dLbls>
            <c:dLbl>
              <c:idx val="0"/>
              <c:layout>
                <c:manualLayout>
                  <c:x val="-1.6638527466737029E-3"/>
                  <c:y val="-7.2859744990892532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2BDE-4A29-9F9C-FFF319AFAE93}"/>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Accident'!$J$890</c:f>
              <c:numCache>
                <c:formatCode>General</c:formatCode>
                <c:ptCount val="1"/>
                <c:pt idx="0">
                  <c:v>4</c:v>
                </c:pt>
              </c:numCache>
            </c:numRef>
          </c:xVal>
          <c:yVal>
            <c:numRef>
              <c:f>'Nuclear Facility Accident'!$J$891</c:f>
              <c:numCache>
                <c:formatCode>General</c:formatCode>
                <c:ptCount val="1"/>
                <c:pt idx="0">
                  <c:v>0</c:v>
                </c:pt>
              </c:numCache>
            </c:numRef>
          </c:yVal>
          <c:smooth val="0"/>
          <c:extLst>
            <c:ext xmlns:c16="http://schemas.microsoft.com/office/drawing/2014/chart" uri="{C3380CC4-5D6E-409C-BE32-E72D297353CC}">
              <c16:uniqueId val="{0000000D-2BDE-4A29-9F9C-FFF319AFAE93}"/>
            </c:ext>
          </c:extLst>
        </c:ser>
        <c:ser>
          <c:idx val="10"/>
          <c:order val="10"/>
          <c:tx>
            <c:strRef>
              <c:f>'Nuclear Facility Accident'!$C$833</c:f>
              <c:strCache>
                <c:ptCount val="1"/>
                <c:pt idx="0">
                  <c:v>Community Prep</c:v>
                </c:pt>
              </c:strCache>
            </c:strRef>
          </c:tx>
          <c:spPr>
            <a:ln w="66675">
              <a:noFill/>
            </a:ln>
          </c:spPr>
          <c:dLbls>
            <c:dLbl>
              <c:idx val="0"/>
              <c:layout>
                <c:manualLayout>
                  <c:x val="-0.15806601093400166"/>
                  <c:y val="-4.8573163327262133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2BDE-4A29-9F9C-FFF319AFAE9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Accident'!$J$834</c:f>
              <c:numCache>
                <c:formatCode>General</c:formatCode>
                <c:ptCount val="1"/>
                <c:pt idx="0">
                  <c:v>4</c:v>
                </c:pt>
              </c:numCache>
            </c:numRef>
          </c:xVal>
          <c:yVal>
            <c:numRef>
              <c:f>'Nuclear Facility Accident'!$J$835</c:f>
              <c:numCache>
                <c:formatCode>General</c:formatCode>
                <c:ptCount val="1"/>
                <c:pt idx="0">
                  <c:v>0</c:v>
                </c:pt>
              </c:numCache>
            </c:numRef>
          </c:yVal>
          <c:smooth val="0"/>
          <c:extLst>
            <c:ext xmlns:c16="http://schemas.microsoft.com/office/drawing/2014/chart" uri="{C3380CC4-5D6E-409C-BE32-E72D297353CC}">
              <c16:uniqueId val="{0000000F-2BDE-4A29-9F9C-FFF319AFAE93}"/>
            </c:ext>
          </c:extLst>
        </c:ser>
        <c:ser>
          <c:idx val="11"/>
          <c:order val="11"/>
          <c:tx>
            <c:strRef>
              <c:f>'Nuclear Facility Accident'!$C$837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Accident'!$J$838</c:f>
              <c:numCache>
                <c:formatCode>General</c:formatCode>
                <c:ptCount val="1"/>
                <c:pt idx="0">
                  <c:v>4</c:v>
                </c:pt>
              </c:numCache>
            </c:numRef>
          </c:xVal>
          <c:yVal>
            <c:numRef>
              <c:f>'Nuclear Facility Accident'!$J$839</c:f>
              <c:numCache>
                <c:formatCode>General</c:formatCode>
                <c:ptCount val="1"/>
                <c:pt idx="0">
                  <c:v>0</c:v>
                </c:pt>
              </c:numCache>
            </c:numRef>
          </c:yVal>
          <c:smooth val="0"/>
          <c:extLst>
            <c:ext xmlns:c16="http://schemas.microsoft.com/office/drawing/2014/chart" uri="{C3380CC4-5D6E-409C-BE32-E72D297353CC}">
              <c16:uniqueId val="{00000010-2BDE-4A29-9F9C-FFF319AFAE93}"/>
            </c:ext>
          </c:extLst>
        </c:ser>
        <c:ser>
          <c:idx val="12"/>
          <c:order val="12"/>
          <c:tx>
            <c:strRef>
              <c:f>'Nuclear Facility Accident'!$C$841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Accident'!$J$842</c:f>
              <c:numCache>
                <c:formatCode>General</c:formatCode>
                <c:ptCount val="1"/>
                <c:pt idx="0">
                  <c:v>4</c:v>
                </c:pt>
              </c:numCache>
            </c:numRef>
          </c:xVal>
          <c:yVal>
            <c:numRef>
              <c:f>'Nuclear Facility Accident'!$J$843</c:f>
              <c:numCache>
                <c:formatCode>General</c:formatCode>
                <c:ptCount val="1"/>
                <c:pt idx="0">
                  <c:v>0</c:v>
                </c:pt>
              </c:numCache>
            </c:numRef>
          </c:yVal>
          <c:smooth val="0"/>
          <c:extLst>
            <c:ext xmlns:c16="http://schemas.microsoft.com/office/drawing/2014/chart" uri="{C3380CC4-5D6E-409C-BE32-E72D297353CC}">
              <c16:uniqueId val="{00000011-2BDE-4A29-9F9C-FFF319AFAE93}"/>
            </c:ext>
          </c:extLst>
        </c:ser>
        <c:ser>
          <c:idx val="13"/>
          <c:order val="13"/>
          <c:tx>
            <c:strRef>
              <c:f>'Nuclear Facility Accident'!$C$845</c:f>
              <c:strCache>
                <c:ptCount val="1"/>
                <c:pt idx="0">
                  <c:v>Emerg Public Info</c:v>
                </c:pt>
              </c:strCache>
            </c:strRef>
          </c:tx>
          <c:spPr>
            <a:ln w="66675">
              <a:noFill/>
            </a:ln>
          </c:spPr>
          <c:dLbls>
            <c:dLbl>
              <c:idx val="0"/>
              <c:layout>
                <c:manualLayout>
                  <c:x val="-0.15196871118359279"/>
                  <c:y val="1.457194899817846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2BDE-4A29-9F9C-FFF319AFAE93}"/>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Accident'!$J$846</c:f>
              <c:numCache>
                <c:formatCode>General</c:formatCode>
                <c:ptCount val="1"/>
                <c:pt idx="0">
                  <c:v>4</c:v>
                </c:pt>
              </c:numCache>
            </c:numRef>
          </c:xVal>
          <c:yVal>
            <c:numRef>
              <c:f>'Nuclear Facility Accident'!$J$847</c:f>
              <c:numCache>
                <c:formatCode>General</c:formatCode>
                <c:ptCount val="1"/>
                <c:pt idx="0">
                  <c:v>0</c:v>
                </c:pt>
              </c:numCache>
            </c:numRef>
          </c:yVal>
          <c:smooth val="0"/>
          <c:extLst>
            <c:ext xmlns:c16="http://schemas.microsoft.com/office/drawing/2014/chart" uri="{C3380CC4-5D6E-409C-BE32-E72D297353CC}">
              <c16:uniqueId val="{00000013-2BDE-4A29-9F9C-FFF319AFAE93}"/>
            </c:ext>
          </c:extLst>
        </c:ser>
        <c:ser>
          <c:idx val="14"/>
          <c:order val="14"/>
          <c:tx>
            <c:strRef>
              <c:f>'Nuclear Facility Accident'!$C$964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Accident'!$J$965</c:f>
            </c:numRef>
          </c:xVal>
          <c:yVal>
            <c:numRef>
              <c:f>'Nuclear Facility Accident'!$J$966</c:f>
            </c:numRef>
          </c:yVal>
          <c:smooth val="0"/>
          <c:extLst>
            <c:ext xmlns:c16="http://schemas.microsoft.com/office/drawing/2014/chart" uri="{C3380CC4-5D6E-409C-BE32-E72D297353CC}">
              <c16:uniqueId val="{00000014-2BDE-4A29-9F9C-FFF319AFAE93}"/>
            </c:ext>
          </c:extLst>
        </c:ser>
        <c:dLbls>
          <c:showLegendKey val="0"/>
          <c:showVal val="1"/>
          <c:showCatName val="0"/>
          <c:showSerName val="0"/>
          <c:showPercent val="0"/>
          <c:showBubbleSize val="0"/>
        </c:dLbls>
        <c:axId val="144614528"/>
        <c:axId val="144616448"/>
      </c:scatterChart>
      <c:valAx>
        <c:axId val="14461452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616448"/>
        <c:crosses val="autoZero"/>
        <c:crossBetween val="midCat"/>
        <c:majorUnit val="1"/>
        <c:minorUnit val="0.1"/>
      </c:valAx>
      <c:valAx>
        <c:axId val="14461644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61452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manualLayout>
          <c:layoutTarget val="inner"/>
          <c:xMode val="edge"/>
          <c:yMode val="edge"/>
          <c:x val="8.2942364546439135E-2"/>
          <c:y val="9.7650416648738581E-2"/>
          <c:w val="0.87850741705613933"/>
          <c:h val="0.77165947152780767"/>
        </c:manualLayout>
      </c:layout>
      <c:scatterChart>
        <c:scatterStyle val="lineMarker"/>
        <c:varyColors val="0"/>
        <c:ser>
          <c:idx val="0"/>
          <c:order val="0"/>
          <c:tx>
            <c:strRef>
              <c:f>'Nuclear Facility Accident'!$C$903</c:f>
              <c:strCache>
                <c:ptCount val="1"/>
                <c:pt idx="0">
                  <c:v>HC System Prep</c:v>
                </c:pt>
              </c:strCache>
            </c:strRef>
          </c:tx>
          <c:spPr>
            <a:ln w="66675">
              <a:noFill/>
            </a:ln>
          </c:spPr>
          <c:dLbls>
            <c:dLbl>
              <c:idx val="0"/>
              <c:layout>
                <c:manualLayout>
                  <c:x val="-1.310120271751275E-7"/>
                  <c:y val="1.214329083181542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E278-4FE4-975D-121C86F4A5AD}"/>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Accident'!$J$904</c:f>
              <c:numCache>
                <c:formatCode>General</c:formatCode>
                <c:ptCount val="1"/>
                <c:pt idx="0">
                  <c:v>4</c:v>
                </c:pt>
              </c:numCache>
            </c:numRef>
          </c:xVal>
          <c:yVal>
            <c:numRef>
              <c:f>'Nuclear Facility Accident'!$J$905</c:f>
              <c:numCache>
                <c:formatCode>General</c:formatCode>
                <c:ptCount val="1"/>
                <c:pt idx="0">
                  <c:v>0</c:v>
                </c:pt>
              </c:numCache>
            </c:numRef>
          </c:yVal>
          <c:smooth val="0"/>
          <c:extLst>
            <c:ext xmlns:c16="http://schemas.microsoft.com/office/drawing/2014/chart" uri="{C3380CC4-5D6E-409C-BE32-E72D297353CC}">
              <c16:uniqueId val="{00000001-E278-4FE4-975D-121C86F4A5AD}"/>
            </c:ext>
          </c:extLst>
        </c:ser>
        <c:ser>
          <c:idx val="1"/>
          <c:order val="1"/>
          <c:tx>
            <c:strRef>
              <c:f>'Nuclear Facility Accident'!$C$907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Accident'!$J$908</c:f>
              <c:numCache>
                <c:formatCode>General</c:formatCode>
                <c:ptCount val="1"/>
                <c:pt idx="0">
                  <c:v>4</c:v>
                </c:pt>
              </c:numCache>
            </c:numRef>
          </c:xVal>
          <c:yVal>
            <c:numRef>
              <c:f>'Nuclear Facility Accident'!$J$909</c:f>
              <c:numCache>
                <c:formatCode>General</c:formatCode>
                <c:ptCount val="1"/>
                <c:pt idx="0">
                  <c:v>0</c:v>
                </c:pt>
              </c:numCache>
            </c:numRef>
          </c:yVal>
          <c:smooth val="0"/>
          <c:extLst>
            <c:ext xmlns:c16="http://schemas.microsoft.com/office/drawing/2014/chart" uri="{C3380CC4-5D6E-409C-BE32-E72D297353CC}">
              <c16:uniqueId val="{00000002-E278-4FE4-975D-121C86F4A5AD}"/>
            </c:ext>
          </c:extLst>
        </c:ser>
        <c:ser>
          <c:idx val="2"/>
          <c:order val="2"/>
          <c:tx>
            <c:strRef>
              <c:f>'Nuclear Facility Accident'!$C$911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Accident'!$J$912</c:f>
              <c:numCache>
                <c:formatCode>General</c:formatCode>
                <c:ptCount val="1"/>
                <c:pt idx="0">
                  <c:v>4</c:v>
                </c:pt>
              </c:numCache>
            </c:numRef>
          </c:xVal>
          <c:yVal>
            <c:numRef>
              <c:f>'Nuclear Facility Accident'!$J$913</c:f>
              <c:numCache>
                <c:formatCode>General</c:formatCode>
                <c:ptCount val="1"/>
                <c:pt idx="0">
                  <c:v>0</c:v>
                </c:pt>
              </c:numCache>
            </c:numRef>
          </c:yVal>
          <c:smooth val="0"/>
          <c:extLst>
            <c:ext xmlns:c16="http://schemas.microsoft.com/office/drawing/2014/chart" uri="{C3380CC4-5D6E-409C-BE32-E72D297353CC}">
              <c16:uniqueId val="{00000003-E278-4FE4-975D-121C86F4A5AD}"/>
            </c:ext>
          </c:extLst>
        </c:ser>
        <c:ser>
          <c:idx val="3"/>
          <c:order val="3"/>
          <c:tx>
            <c:strRef>
              <c:f>'Nuclear Facility Accident'!$C$915</c:f>
              <c:strCache>
                <c:ptCount val="1"/>
                <c:pt idx="0">
                  <c:v>Fatality Mgmt</c:v>
                </c:pt>
              </c:strCache>
            </c:strRef>
          </c:tx>
          <c:spPr>
            <a:ln w="66675">
              <a:noFill/>
            </a:ln>
          </c:spPr>
          <c:dLbls>
            <c:dLbl>
              <c:idx val="0"/>
              <c:layout>
                <c:manualLayout>
                  <c:x val="-0.15196871118359279"/>
                  <c:y val="-4.8573163327261691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E278-4FE4-975D-121C86F4A5AD}"/>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Accident'!$J$916</c:f>
              <c:numCache>
                <c:formatCode>General</c:formatCode>
                <c:ptCount val="1"/>
                <c:pt idx="0">
                  <c:v>3</c:v>
                </c:pt>
              </c:numCache>
            </c:numRef>
          </c:xVal>
          <c:yVal>
            <c:numRef>
              <c:f>'Nuclear Facility Accident'!$J$917</c:f>
              <c:numCache>
                <c:formatCode>General</c:formatCode>
                <c:ptCount val="1"/>
                <c:pt idx="0">
                  <c:v>0</c:v>
                </c:pt>
              </c:numCache>
            </c:numRef>
          </c:yVal>
          <c:smooth val="0"/>
          <c:extLst>
            <c:ext xmlns:c16="http://schemas.microsoft.com/office/drawing/2014/chart" uri="{C3380CC4-5D6E-409C-BE32-E72D297353CC}">
              <c16:uniqueId val="{00000005-E278-4FE4-975D-121C86F4A5AD}"/>
            </c:ext>
          </c:extLst>
        </c:ser>
        <c:ser>
          <c:idx val="4"/>
          <c:order val="4"/>
          <c:tx>
            <c:strRef>
              <c:f>'Nuclear Facility Accident'!$C$919</c:f>
              <c:strCache>
                <c:ptCount val="1"/>
                <c:pt idx="0">
                  <c:v>Info Sharing</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Accident'!$J$920</c:f>
              <c:numCache>
                <c:formatCode>General</c:formatCode>
                <c:ptCount val="1"/>
                <c:pt idx="0">
                  <c:v>4</c:v>
                </c:pt>
              </c:numCache>
            </c:numRef>
          </c:xVal>
          <c:yVal>
            <c:numRef>
              <c:f>'Nuclear Facility Accident'!$J$921</c:f>
              <c:numCache>
                <c:formatCode>General</c:formatCode>
                <c:ptCount val="1"/>
                <c:pt idx="0">
                  <c:v>0</c:v>
                </c:pt>
              </c:numCache>
            </c:numRef>
          </c:yVal>
          <c:smooth val="0"/>
          <c:extLst>
            <c:ext xmlns:c16="http://schemas.microsoft.com/office/drawing/2014/chart" uri="{C3380CC4-5D6E-409C-BE32-E72D297353CC}">
              <c16:uniqueId val="{00000006-E278-4FE4-975D-121C86F4A5AD}"/>
            </c:ext>
          </c:extLst>
        </c:ser>
        <c:ser>
          <c:idx val="5"/>
          <c:order val="5"/>
          <c:tx>
            <c:strRef>
              <c:f>'Nuclear Facility Accident'!$C$923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Accident'!$J$924</c:f>
              <c:numCache>
                <c:formatCode>General</c:formatCode>
                <c:ptCount val="1"/>
                <c:pt idx="0">
                  <c:v>4</c:v>
                </c:pt>
              </c:numCache>
            </c:numRef>
          </c:xVal>
          <c:yVal>
            <c:numRef>
              <c:f>'Nuclear Facility Accident'!$J$925</c:f>
              <c:numCache>
                <c:formatCode>General</c:formatCode>
                <c:ptCount val="1"/>
                <c:pt idx="0">
                  <c:v>0</c:v>
                </c:pt>
              </c:numCache>
            </c:numRef>
          </c:yVal>
          <c:smooth val="0"/>
          <c:extLst>
            <c:ext xmlns:c16="http://schemas.microsoft.com/office/drawing/2014/chart" uri="{C3380CC4-5D6E-409C-BE32-E72D297353CC}">
              <c16:uniqueId val="{00000007-E278-4FE4-975D-121C86F4A5AD}"/>
            </c:ext>
          </c:extLst>
        </c:ser>
        <c:ser>
          <c:idx val="6"/>
          <c:order val="6"/>
          <c:tx>
            <c:strRef>
              <c:f>'Nuclear Facility Accident'!$C$927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Accident'!$J$928</c:f>
              <c:numCache>
                <c:formatCode>General</c:formatCode>
                <c:ptCount val="1"/>
                <c:pt idx="0">
                  <c:v>4</c:v>
                </c:pt>
              </c:numCache>
            </c:numRef>
          </c:xVal>
          <c:yVal>
            <c:numRef>
              <c:f>'Nuclear Facility Accident'!$J$929</c:f>
              <c:numCache>
                <c:formatCode>General</c:formatCode>
                <c:ptCount val="1"/>
                <c:pt idx="0">
                  <c:v>0</c:v>
                </c:pt>
              </c:numCache>
            </c:numRef>
          </c:yVal>
          <c:smooth val="0"/>
          <c:extLst>
            <c:ext xmlns:c16="http://schemas.microsoft.com/office/drawing/2014/chart" uri="{C3380CC4-5D6E-409C-BE32-E72D297353CC}">
              <c16:uniqueId val="{00000008-E278-4FE4-975D-121C86F4A5AD}"/>
            </c:ext>
          </c:extLst>
        </c:ser>
        <c:ser>
          <c:idx val="7"/>
          <c:order val="7"/>
          <c:tx>
            <c:strRef>
              <c:f>'Nuclear Facility Accident'!$C$931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Accident'!$J$932</c:f>
              <c:numCache>
                <c:formatCode>General</c:formatCode>
                <c:ptCount val="1"/>
                <c:pt idx="0">
                  <c:v>4</c:v>
                </c:pt>
              </c:numCache>
            </c:numRef>
          </c:xVal>
          <c:yVal>
            <c:numRef>
              <c:f>'Nuclear Facility Accident'!$J$933</c:f>
              <c:numCache>
                <c:formatCode>General</c:formatCode>
                <c:ptCount val="1"/>
                <c:pt idx="0">
                  <c:v>0</c:v>
                </c:pt>
              </c:numCache>
            </c:numRef>
          </c:yVal>
          <c:smooth val="0"/>
          <c:extLst>
            <c:ext xmlns:c16="http://schemas.microsoft.com/office/drawing/2014/chart" uri="{C3380CC4-5D6E-409C-BE32-E72D297353CC}">
              <c16:uniqueId val="{00000009-E278-4FE4-975D-121C86F4A5AD}"/>
            </c:ext>
          </c:extLst>
        </c:ser>
        <c:ser>
          <c:idx val="14"/>
          <c:order val="8"/>
          <c:tx>
            <c:strRef>
              <c:f>'Nuclear Facility Accident'!$C$964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Accident'!$J$965</c:f>
            </c:numRef>
          </c:xVal>
          <c:yVal>
            <c:numRef>
              <c:f>'Nuclear Facility Accident'!$J$966</c:f>
            </c:numRef>
          </c:yVal>
          <c:smooth val="0"/>
          <c:extLst>
            <c:ext xmlns:c16="http://schemas.microsoft.com/office/drawing/2014/chart" uri="{C3380CC4-5D6E-409C-BE32-E72D297353CC}">
              <c16:uniqueId val="{0000000A-E278-4FE4-975D-121C86F4A5AD}"/>
            </c:ext>
          </c:extLst>
        </c:ser>
        <c:dLbls>
          <c:showLegendKey val="0"/>
          <c:showVal val="1"/>
          <c:showCatName val="0"/>
          <c:showSerName val="0"/>
          <c:showPercent val="0"/>
          <c:showBubbleSize val="0"/>
        </c:dLbls>
        <c:axId val="149083264"/>
        <c:axId val="149085184"/>
      </c:scatterChart>
      <c:valAx>
        <c:axId val="14908326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9085184"/>
        <c:crosses val="autoZero"/>
        <c:crossBetween val="midCat"/>
        <c:majorUnit val="1"/>
        <c:minorUnit val="0.1"/>
      </c:valAx>
      <c:valAx>
        <c:axId val="14908518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908326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'Nuclear Facility Accident'!$C$793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Accident'!$J$795</c:f>
              <c:numCache>
                <c:formatCode>General</c:formatCode>
                <c:ptCount val="1"/>
                <c:pt idx="0">
                  <c:v>3</c:v>
                </c:pt>
              </c:numCache>
            </c:numRef>
          </c:xVal>
          <c:yVal>
            <c:numRef>
              <c:f>'Nuclear Facility Accident'!$J$794</c:f>
              <c:numCache>
                <c:formatCode>General</c:formatCode>
                <c:ptCount val="1"/>
                <c:pt idx="0">
                  <c:v>0</c:v>
                </c:pt>
              </c:numCache>
            </c:numRef>
          </c:yVal>
          <c:smooth val="0"/>
          <c:extLst>
            <c:ext xmlns:c16="http://schemas.microsoft.com/office/drawing/2014/chart" uri="{C3380CC4-5D6E-409C-BE32-E72D297353CC}">
              <c16:uniqueId val="{00000000-DC4A-4B50-BC37-F7F02E14F9F4}"/>
            </c:ext>
          </c:extLst>
        </c:ser>
        <c:ser>
          <c:idx val="1"/>
          <c:order val="1"/>
          <c:tx>
            <c:strRef>
              <c:f>'Nuclear Facility Accident'!$C$797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Accident'!$J$799</c:f>
              <c:numCache>
                <c:formatCode>General</c:formatCode>
                <c:ptCount val="1"/>
                <c:pt idx="0">
                  <c:v>3</c:v>
                </c:pt>
              </c:numCache>
            </c:numRef>
          </c:xVal>
          <c:yVal>
            <c:numRef>
              <c:f>'Nuclear Facility Accident'!$J$798</c:f>
              <c:numCache>
                <c:formatCode>General</c:formatCode>
                <c:ptCount val="1"/>
                <c:pt idx="0">
                  <c:v>0</c:v>
                </c:pt>
              </c:numCache>
            </c:numRef>
          </c:yVal>
          <c:smooth val="0"/>
          <c:extLst>
            <c:ext xmlns:c16="http://schemas.microsoft.com/office/drawing/2014/chart" uri="{C3380CC4-5D6E-409C-BE32-E72D297353CC}">
              <c16:uniqueId val="{00000001-DC4A-4B50-BC37-F7F02E14F9F4}"/>
            </c:ext>
          </c:extLst>
        </c:ser>
        <c:ser>
          <c:idx val="2"/>
          <c:order val="2"/>
          <c:tx>
            <c:strRef>
              <c:f>'Nuclear Facility Accident'!$C$801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Accident'!$J$803</c:f>
              <c:numCache>
                <c:formatCode>General</c:formatCode>
                <c:ptCount val="1"/>
                <c:pt idx="0">
                  <c:v>4</c:v>
                </c:pt>
              </c:numCache>
            </c:numRef>
          </c:xVal>
          <c:yVal>
            <c:numRef>
              <c:f>'Nuclear Facility Accident'!$J$802</c:f>
              <c:numCache>
                <c:formatCode>General</c:formatCode>
                <c:ptCount val="1"/>
                <c:pt idx="0">
                  <c:v>0</c:v>
                </c:pt>
              </c:numCache>
            </c:numRef>
          </c:yVal>
          <c:smooth val="0"/>
          <c:extLst>
            <c:ext xmlns:c16="http://schemas.microsoft.com/office/drawing/2014/chart" uri="{C3380CC4-5D6E-409C-BE32-E72D297353CC}">
              <c16:uniqueId val="{00000002-DC4A-4B50-BC37-F7F02E14F9F4}"/>
            </c:ext>
          </c:extLst>
        </c:ser>
        <c:ser>
          <c:idx val="3"/>
          <c:order val="3"/>
          <c:tx>
            <c:strRef>
              <c:f>'Nuclear Facility Accident'!$C$805</c:f>
              <c:strCache>
                <c:ptCount val="1"/>
                <c:pt idx="0">
                  <c:v>Elderly 65 and older</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Accident'!$J$807</c:f>
              <c:numCache>
                <c:formatCode>General</c:formatCode>
                <c:ptCount val="1"/>
                <c:pt idx="0">
                  <c:v>3</c:v>
                </c:pt>
              </c:numCache>
            </c:numRef>
          </c:xVal>
          <c:yVal>
            <c:numRef>
              <c:f>'Nuclear Facility Accident'!$J$806</c:f>
              <c:numCache>
                <c:formatCode>General</c:formatCode>
                <c:ptCount val="1"/>
                <c:pt idx="0">
                  <c:v>0</c:v>
                </c:pt>
              </c:numCache>
            </c:numRef>
          </c:yVal>
          <c:smooth val="0"/>
          <c:extLst>
            <c:ext xmlns:c16="http://schemas.microsoft.com/office/drawing/2014/chart" uri="{C3380CC4-5D6E-409C-BE32-E72D297353CC}">
              <c16:uniqueId val="{00000003-DC4A-4B50-BC37-F7F02E14F9F4}"/>
            </c:ext>
          </c:extLst>
        </c:ser>
        <c:ser>
          <c:idx val="4"/>
          <c:order val="4"/>
          <c:tx>
            <c:strRef>
              <c:f>'Nuclear Facility Accident'!$C$773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Accident'!$J$775</c:f>
              <c:numCache>
                <c:formatCode>General</c:formatCode>
                <c:ptCount val="1"/>
                <c:pt idx="0">
                  <c:v>3</c:v>
                </c:pt>
              </c:numCache>
            </c:numRef>
          </c:xVal>
          <c:yVal>
            <c:numRef>
              <c:f>'Nuclear Facility Accident'!$J$774</c:f>
              <c:numCache>
                <c:formatCode>General</c:formatCode>
                <c:ptCount val="1"/>
                <c:pt idx="0">
                  <c:v>0</c:v>
                </c:pt>
              </c:numCache>
            </c:numRef>
          </c:yVal>
          <c:smooth val="0"/>
          <c:extLst>
            <c:ext xmlns:c16="http://schemas.microsoft.com/office/drawing/2014/chart" uri="{C3380CC4-5D6E-409C-BE32-E72D297353CC}">
              <c16:uniqueId val="{00000004-DC4A-4B50-BC37-F7F02E14F9F4}"/>
            </c:ext>
          </c:extLst>
        </c:ser>
        <c:ser>
          <c:idx val="5"/>
          <c:order val="5"/>
          <c:tx>
            <c:strRef>
              <c:f>'Nuclear Facility Accident'!$C$777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Accident'!$J$779</c:f>
              <c:numCache>
                <c:formatCode>General</c:formatCode>
                <c:ptCount val="1"/>
                <c:pt idx="0">
                  <c:v>4</c:v>
                </c:pt>
              </c:numCache>
            </c:numRef>
          </c:xVal>
          <c:yVal>
            <c:numRef>
              <c:f>'Nuclear Facility Accident'!$J$780</c:f>
              <c:numCache>
                <c:formatCode>General</c:formatCode>
                <c:ptCount val="1"/>
                <c:pt idx="0">
                  <c:v>2</c:v>
                </c:pt>
              </c:numCache>
            </c:numRef>
          </c:yVal>
          <c:smooth val="0"/>
          <c:extLst>
            <c:ext xmlns:c16="http://schemas.microsoft.com/office/drawing/2014/chart" uri="{C3380CC4-5D6E-409C-BE32-E72D297353CC}">
              <c16:uniqueId val="{00000005-DC4A-4B50-BC37-F7F02E14F9F4}"/>
            </c:ext>
          </c:extLst>
        </c:ser>
        <c:ser>
          <c:idx val="6"/>
          <c:order val="6"/>
          <c:tx>
            <c:strRef>
              <c:f>'Nuclear Facility Accident'!$C$781</c:f>
              <c:strCache>
                <c:ptCount val="1"/>
                <c:pt idx="0">
                  <c:v>Ambulatory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Accident'!$J$783</c:f>
              <c:numCache>
                <c:formatCode>General</c:formatCode>
                <c:ptCount val="1"/>
                <c:pt idx="0">
                  <c:v>3</c:v>
                </c:pt>
              </c:numCache>
            </c:numRef>
          </c:xVal>
          <c:yVal>
            <c:numRef>
              <c:f>'Nuclear Facility Accident'!$J$782</c:f>
              <c:numCache>
                <c:formatCode>General</c:formatCode>
                <c:ptCount val="1"/>
                <c:pt idx="0">
                  <c:v>0</c:v>
                </c:pt>
              </c:numCache>
            </c:numRef>
          </c:yVal>
          <c:smooth val="0"/>
          <c:extLst>
            <c:ext xmlns:c16="http://schemas.microsoft.com/office/drawing/2014/chart" uri="{C3380CC4-5D6E-409C-BE32-E72D297353CC}">
              <c16:uniqueId val="{00000006-DC4A-4B50-BC37-F7F02E14F9F4}"/>
            </c:ext>
          </c:extLst>
        </c:ser>
        <c:ser>
          <c:idx val="7"/>
          <c:order val="7"/>
          <c:tx>
            <c:strRef>
              <c:f>'Nuclear Facility Accident'!$C$785</c:f>
              <c:strCache>
                <c:ptCount val="1"/>
                <c:pt idx="0">
                  <c:v>Cognitive Disability</c:v>
                </c:pt>
              </c:strCache>
            </c:strRef>
          </c:tx>
          <c:spPr>
            <a:ln w="66675">
              <a:noFill/>
            </a:ln>
          </c:spPr>
          <c:dLbls>
            <c:dLbl>
              <c:idx val="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DC4A-4B50-BC37-F7F02E14F9F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'Nuclear Facility Accident'!$J$787</c:f>
              <c:numCache>
                <c:formatCode>General</c:formatCode>
                <c:ptCount val="1"/>
                <c:pt idx="0">
                  <c:v>4</c:v>
                </c:pt>
              </c:numCache>
            </c:numRef>
          </c:xVal>
          <c:yVal>
            <c:numRef>
              <c:f>'Nuclear Facility Accident'!$J$786</c:f>
              <c:numCache>
                <c:formatCode>General</c:formatCode>
                <c:ptCount val="1"/>
                <c:pt idx="0">
                  <c:v>0</c:v>
                </c:pt>
              </c:numCache>
            </c:numRef>
          </c:yVal>
          <c:smooth val="0"/>
          <c:extLst>
            <c:ext xmlns:c16="http://schemas.microsoft.com/office/drawing/2014/chart" uri="{C3380CC4-5D6E-409C-BE32-E72D297353CC}">
              <c16:uniqueId val="{00000008-DC4A-4B50-BC37-F7F02E14F9F4}"/>
            </c:ext>
          </c:extLst>
        </c:ser>
        <c:ser>
          <c:idx val="8"/>
          <c:order val="8"/>
          <c:tx>
            <c:strRef>
              <c:f>'Nuclear Facility Accident'!$C$789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'Nuclear Facility Accident'!$J$791</c:f>
              <c:numCache>
                <c:formatCode>General</c:formatCode>
                <c:ptCount val="1"/>
                <c:pt idx="0">
                  <c:v>3</c:v>
                </c:pt>
              </c:numCache>
            </c:numRef>
          </c:xVal>
          <c:yVal>
            <c:numRef>
              <c:f>'Nuclear Facility Accident'!$J$790</c:f>
              <c:numCache>
                <c:formatCode>General</c:formatCode>
                <c:ptCount val="1"/>
                <c:pt idx="0">
                  <c:v>0</c:v>
                </c:pt>
              </c:numCache>
            </c:numRef>
          </c:yVal>
          <c:smooth val="0"/>
          <c:extLst>
            <c:ext xmlns:c16="http://schemas.microsoft.com/office/drawing/2014/chart" uri="{C3380CC4-5D6E-409C-BE32-E72D297353CC}">
              <c16:uniqueId val="{00000009-DC4A-4B50-BC37-F7F02E14F9F4}"/>
            </c:ext>
          </c:extLst>
        </c:ser>
        <c:dLbls>
          <c:showLegendKey val="0"/>
          <c:showVal val="1"/>
          <c:showCatName val="0"/>
          <c:showSerName val="0"/>
          <c:showPercent val="0"/>
          <c:showBubbleSize val="0"/>
        </c:dLbls>
        <c:axId val="149451904"/>
        <c:axId val="149453824"/>
      </c:scatterChart>
      <c:valAx>
        <c:axId val="14945190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9453824"/>
        <c:crosses val="autoZero"/>
        <c:crossBetween val="midCat"/>
        <c:majorUnit val="1"/>
        <c:minorUnit val="0.1"/>
      </c:valAx>
      <c:valAx>
        <c:axId val="14945382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945190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(Pandemic!$J$133,Pandemic!$J$261,Pandemic!$J$420,Pandemic!$J$539,Pandemic!$J$681)</c:f>
              <c:numCache>
                <c:formatCode>0.00</c:formatCode>
                <c:ptCount val="5"/>
                <c:pt idx="0">
                  <c:v>3.25</c:v>
                </c:pt>
                <c:pt idx="1">
                  <c:v>0</c:v>
                </c:pt>
                <c:pt idx="3">
                  <c:v>1.6428571428571428</c:v>
                </c:pt>
                <c:pt idx="4">
                  <c:v>0</c:v>
                </c:pt>
              </c:numCache>
            </c:numRef>
          </c:val>
          <c:extLst>
            <c:ext xmlns:c16="http://schemas.microsoft.com/office/drawing/2014/chart" uri="{C3380CC4-5D6E-409C-BE32-E72D297353CC}">
              <c16:uniqueId val="{00000000-AB1A-4DA5-97C6-255F3ED186EF}"/>
            </c:ext>
          </c:extLst>
        </c:ser>
        <c:dLbls>
          <c:showLegendKey val="0"/>
          <c:showVal val="1"/>
          <c:showCatName val="0"/>
          <c:showSerName val="0"/>
          <c:showPercent val="0"/>
          <c:showBubbleSize val="0"/>
        </c:dLbls>
        <c:gapWidth val="150"/>
        <c:axId val="146055168"/>
        <c:axId val="146058240"/>
      </c:barChart>
      <c:catAx>
        <c:axId val="146055168"/>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6058240"/>
        <c:crosses val="autoZero"/>
        <c:auto val="1"/>
        <c:lblAlgn val="ctr"/>
        <c:lblOffset val="100"/>
        <c:noMultiLvlLbl val="0"/>
      </c:catAx>
      <c:valAx>
        <c:axId val="146058240"/>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6055168"/>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manualLayout>
          <c:layoutTarget val="inner"/>
          <c:xMode val="edge"/>
          <c:yMode val="edge"/>
          <c:x val="9.2855623530330084E-2"/>
          <c:y val="8.7935783983286248E-2"/>
          <c:w val="0.87850741705613933"/>
          <c:h val="0.77165947152780767"/>
        </c:manualLayout>
      </c:layout>
      <c:scatterChart>
        <c:scatterStyle val="lineMarker"/>
        <c:varyColors val="0"/>
        <c:ser>
          <c:idx val="0"/>
          <c:order val="0"/>
          <c:tx>
            <c:strRef>
              <c:f>Pandemic!$C$793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Pandemic!$J$795</c:f>
              <c:numCache>
                <c:formatCode>General</c:formatCode>
                <c:ptCount val="1"/>
                <c:pt idx="0">
                  <c:v>2</c:v>
                </c:pt>
              </c:numCache>
            </c:numRef>
          </c:xVal>
          <c:yVal>
            <c:numRef>
              <c:f>Pandemic!$J$794</c:f>
              <c:numCache>
                <c:formatCode>General</c:formatCode>
                <c:ptCount val="1"/>
                <c:pt idx="0">
                  <c:v>0</c:v>
                </c:pt>
              </c:numCache>
            </c:numRef>
          </c:yVal>
          <c:smooth val="0"/>
          <c:extLst>
            <c:ext xmlns:c16="http://schemas.microsoft.com/office/drawing/2014/chart" uri="{C3380CC4-5D6E-409C-BE32-E72D297353CC}">
              <c16:uniqueId val="{00000000-BE91-461E-96B2-1E7BDC3E8AD6}"/>
            </c:ext>
          </c:extLst>
        </c:ser>
        <c:ser>
          <c:idx val="1"/>
          <c:order val="1"/>
          <c:tx>
            <c:strRef>
              <c:f>Pandemic!$C$797</c:f>
              <c:strCache>
                <c:ptCount val="1"/>
                <c:pt idx="0">
                  <c:v>Chronic Diseases (Diabetes)</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Pandemic!$J$799</c:f>
              <c:numCache>
                <c:formatCode>General</c:formatCode>
                <c:ptCount val="1"/>
                <c:pt idx="0">
                  <c:v>2</c:v>
                </c:pt>
              </c:numCache>
            </c:numRef>
          </c:xVal>
          <c:yVal>
            <c:numRef>
              <c:f>Pandemic!$J$798</c:f>
              <c:numCache>
                <c:formatCode>General</c:formatCode>
                <c:ptCount val="1"/>
                <c:pt idx="0">
                  <c:v>0</c:v>
                </c:pt>
              </c:numCache>
            </c:numRef>
          </c:yVal>
          <c:smooth val="0"/>
          <c:extLst>
            <c:ext xmlns:c16="http://schemas.microsoft.com/office/drawing/2014/chart" uri="{C3380CC4-5D6E-409C-BE32-E72D297353CC}">
              <c16:uniqueId val="{00000001-BE91-461E-96B2-1E7BDC3E8AD6}"/>
            </c:ext>
          </c:extLst>
        </c:ser>
        <c:ser>
          <c:idx val="2"/>
          <c:order val="2"/>
          <c:tx>
            <c:strRef>
              <c:f>Pandemic!$C$801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Pandemic!$J$803</c:f>
              <c:numCache>
                <c:formatCode>General</c:formatCode>
                <c:ptCount val="1"/>
                <c:pt idx="0">
                  <c:v>2</c:v>
                </c:pt>
              </c:numCache>
            </c:numRef>
          </c:xVal>
          <c:yVal>
            <c:numRef>
              <c:f>Pandemic!$J$802</c:f>
              <c:numCache>
                <c:formatCode>General</c:formatCode>
                <c:ptCount val="1"/>
                <c:pt idx="0">
                  <c:v>0</c:v>
                </c:pt>
              </c:numCache>
            </c:numRef>
          </c:yVal>
          <c:smooth val="0"/>
          <c:extLst>
            <c:ext xmlns:c16="http://schemas.microsoft.com/office/drawing/2014/chart" uri="{C3380CC4-5D6E-409C-BE32-E72D297353CC}">
              <c16:uniqueId val="{00000002-BE91-461E-96B2-1E7BDC3E8AD6}"/>
            </c:ext>
          </c:extLst>
        </c:ser>
        <c:ser>
          <c:idx val="3"/>
          <c:order val="3"/>
          <c:tx>
            <c:strRef>
              <c:f>Pandemic!$C$805</c:f>
              <c:strCache>
                <c:ptCount val="1"/>
                <c:pt idx="0">
                  <c:v>Elderly 65 and older</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Pandemic!$J$807</c:f>
              <c:numCache>
                <c:formatCode>General</c:formatCode>
                <c:ptCount val="1"/>
                <c:pt idx="0">
                  <c:v>2</c:v>
                </c:pt>
              </c:numCache>
            </c:numRef>
          </c:xVal>
          <c:yVal>
            <c:numRef>
              <c:f>Pandemic!$J$806</c:f>
              <c:numCache>
                <c:formatCode>General</c:formatCode>
                <c:ptCount val="1"/>
                <c:pt idx="0">
                  <c:v>0</c:v>
                </c:pt>
              </c:numCache>
            </c:numRef>
          </c:yVal>
          <c:smooth val="0"/>
          <c:extLst>
            <c:ext xmlns:c16="http://schemas.microsoft.com/office/drawing/2014/chart" uri="{C3380CC4-5D6E-409C-BE32-E72D297353CC}">
              <c16:uniqueId val="{00000003-BE91-461E-96B2-1E7BDC3E8AD6}"/>
            </c:ext>
          </c:extLst>
        </c:ser>
        <c:ser>
          <c:idx val="4"/>
          <c:order val="4"/>
          <c:tx>
            <c:strRef>
              <c:f>Pandemic!$C$773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Pandemic!$J$775</c:f>
              <c:numCache>
                <c:formatCode>General</c:formatCode>
                <c:ptCount val="1"/>
                <c:pt idx="0">
                  <c:v>2</c:v>
                </c:pt>
              </c:numCache>
            </c:numRef>
          </c:xVal>
          <c:yVal>
            <c:numRef>
              <c:f>Pandemic!$J$774</c:f>
              <c:numCache>
                <c:formatCode>General</c:formatCode>
                <c:ptCount val="1"/>
                <c:pt idx="0">
                  <c:v>0</c:v>
                </c:pt>
              </c:numCache>
            </c:numRef>
          </c:yVal>
          <c:smooth val="0"/>
          <c:extLst>
            <c:ext xmlns:c16="http://schemas.microsoft.com/office/drawing/2014/chart" uri="{C3380CC4-5D6E-409C-BE32-E72D297353CC}">
              <c16:uniqueId val="{00000004-BE91-461E-96B2-1E7BDC3E8AD6}"/>
            </c:ext>
          </c:extLst>
        </c:ser>
        <c:ser>
          <c:idx val="5"/>
          <c:order val="5"/>
          <c:tx>
            <c:strRef>
              <c:f>Pandemic!$C$777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Pandemic!$J$779</c:f>
              <c:numCache>
                <c:formatCode>General</c:formatCode>
                <c:ptCount val="1"/>
                <c:pt idx="0">
                  <c:v>2</c:v>
                </c:pt>
              </c:numCache>
            </c:numRef>
          </c:xVal>
          <c:yVal>
            <c:numRef>
              <c:f>Pandemic!$J$778</c:f>
              <c:numCache>
                <c:formatCode>General</c:formatCode>
                <c:ptCount val="1"/>
                <c:pt idx="0">
                  <c:v>0</c:v>
                </c:pt>
              </c:numCache>
            </c:numRef>
          </c:yVal>
          <c:smooth val="0"/>
          <c:extLst>
            <c:ext xmlns:c16="http://schemas.microsoft.com/office/drawing/2014/chart" uri="{C3380CC4-5D6E-409C-BE32-E72D297353CC}">
              <c16:uniqueId val="{00000005-BE91-461E-96B2-1E7BDC3E8AD6}"/>
            </c:ext>
          </c:extLst>
        </c:ser>
        <c:ser>
          <c:idx val="6"/>
          <c:order val="6"/>
          <c:tx>
            <c:strRef>
              <c:f>Pandemic!$C$781</c:f>
              <c:strCache>
                <c:ptCount val="1"/>
                <c:pt idx="0">
                  <c:v>Ambulatory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Pandemic!$J$783</c:f>
              <c:numCache>
                <c:formatCode>General</c:formatCode>
                <c:ptCount val="1"/>
                <c:pt idx="0">
                  <c:v>1</c:v>
                </c:pt>
              </c:numCache>
            </c:numRef>
          </c:xVal>
          <c:yVal>
            <c:numRef>
              <c:f>Pandemic!$J$782</c:f>
              <c:numCache>
                <c:formatCode>General</c:formatCode>
                <c:ptCount val="1"/>
                <c:pt idx="0">
                  <c:v>0</c:v>
                </c:pt>
              </c:numCache>
            </c:numRef>
          </c:yVal>
          <c:smooth val="0"/>
          <c:extLst>
            <c:ext xmlns:c16="http://schemas.microsoft.com/office/drawing/2014/chart" uri="{C3380CC4-5D6E-409C-BE32-E72D297353CC}">
              <c16:uniqueId val="{00000006-BE91-461E-96B2-1E7BDC3E8AD6}"/>
            </c:ext>
          </c:extLst>
        </c:ser>
        <c:ser>
          <c:idx val="7"/>
          <c:order val="7"/>
          <c:tx>
            <c:strRef>
              <c:f>Pandemic!$C$785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BE91-461E-96B2-1E7BDC3E8AD6}"/>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Pandemic!$J$787</c:f>
              <c:numCache>
                <c:formatCode>General</c:formatCode>
                <c:ptCount val="1"/>
                <c:pt idx="0">
                  <c:v>2</c:v>
                </c:pt>
              </c:numCache>
            </c:numRef>
          </c:xVal>
          <c:yVal>
            <c:numRef>
              <c:f>Pandemic!$J$786</c:f>
              <c:numCache>
                <c:formatCode>General</c:formatCode>
                <c:ptCount val="1"/>
                <c:pt idx="0">
                  <c:v>0</c:v>
                </c:pt>
              </c:numCache>
            </c:numRef>
          </c:yVal>
          <c:smooth val="0"/>
          <c:extLst>
            <c:ext xmlns:c16="http://schemas.microsoft.com/office/drawing/2014/chart" uri="{C3380CC4-5D6E-409C-BE32-E72D297353CC}">
              <c16:uniqueId val="{00000008-BE91-461E-96B2-1E7BDC3E8AD6}"/>
            </c:ext>
          </c:extLst>
        </c:ser>
        <c:ser>
          <c:idx val="8"/>
          <c:order val="8"/>
          <c:tx>
            <c:strRef>
              <c:f>Pandemic!$C$789</c:f>
              <c:strCache>
                <c:ptCount val="1"/>
                <c:pt idx="0">
                  <c:v>Limited English Proficiency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Pandemic!$J$791</c:f>
              <c:numCache>
                <c:formatCode>General</c:formatCode>
                <c:ptCount val="1"/>
                <c:pt idx="0">
                  <c:v>2</c:v>
                </c:pt>
              </c:numCache>
            </c:numRef>
          </c:xVal>
          <c:yVal>
            <c:numRef>
              <c:f>Pandemic!$J$790</c:f>
              <c:numCache>
                <c:formatCode>General</c:formatCode>
                <c:ptCount val="1"/>
                <c:pt idx="0">
                  <c:v>0</c:v>
                </c:pt>
              </c:numCache>
            </c:numRef>
          </c:yVal>
          <c:smooth val="0"/>
          <c:extLst>
            <c:ext xmlns:c16="http://schemas.microsoft.com/office/drawing/2014/chart" uri="{C3380CC4-5D6E-409C-BE32-E72D297353CC}">
              <c16:uniqueId val="{00000009-BE91-461E-96B2-1E7BDC3E8AD6}"/>
            </c:ext>
          </c:extLst>
        </c:ser>
        <c:dLbls>
          <c:showLegendKey val="0"/>
          <c:showVal val="1"/>
          <c:showCatName val="0"/>
          <c:showSerName val="0"/>
          <c:showPercent val="0"/>
          <c:showBubbleSize val="0"/>
        </c:dLbls>
        <c:axId val="146101376"/>
        <c:axId val="146103296"/>
      </c:scatterChart>
      <c:valAx>
        <c:axId val="14610137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6103296"/>
        <c:crosses val="autoZero"/>
        <c:crossBetween val="midCat"/>
        <c:majorUnit val="1"/>
        <c:minorUnit val="0.1"/>
      </c:valAx>
      <c:valAx>
        <c:axId val="14610329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610137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Pandemic!$C$853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Pandemic!$J$854</c:f>
              <c:numCache>
                <c:formatCode>General</c:formatCode>
                <c:ptCount val="1"/>
                <c:pt idx="0">
                  <c:v>4</c:v>
                </c:pt>
              </c:numCache>
            </c:numRef>
          </c:xVal>
          <c:yVal>
            <c:numRef>
              <c:f>Pandemic!$J$855</c:f>
              <c:numCache>
                <c:formatCode>General</c:formatCode>
                <c:ptCount val="1"/>
                <c:pt idx="0">
                  <c:v>0</c:v>
                </c:pt>
              </c:numCache>
            </c:numRef>
          </c:yVal>
          <c:smooth val="0"/>
          <c:extLst>
            <c:ext xmlns:c16="http://schemas.microsoft.com/office/drawing/2014/chart" uri="{C3380CC4-5D6E-409C-BE32-E72D297353CC}">
              <c16:uniqueId val="{00000000-C304-4EC6-AC74-4AB6FADA85E5}"/>
            </c:ext>
          </c:extLst>
        </c:ser>
        <c:ser>
          <c:idx val="1"/>
          <c:order val="1"/>
          <c:tx>
            <c:strRef>
              <c:f>Pandemic!$C$857</c:f>
              <c:strCache>
                <c:ptCount val="1"/>
                <c:pt idx="0">
                  <c:v>Mass Care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Pandemic!$J$858</c:f>
              <c:numCache>
                <c:formatCode>General</c:formatCode>
                <c:ptCount val="1"/>
                <c:pt idx="0">
                  <c:v>3</c:v>
                </c:pt>
              </c:numCache>
            </c:numRef>
          </c:xVal>
          <c:yVal>
            <c:numRef>
              <c:f>Pandemic!$J$859</c:f>
              <c:numCache>
                <c:formatCode>General</c:formatCode>
                <c:ptCount val="1"/>
                <c:pt idx="0">
                  <c:v>0</c:v>
                </c:pt>
              </c:numCache>
            </c:numRef>
          </c:yVal>
          <c:smooth val="0"/>
          <c:extLst>
            <c:ext xmlns:c16="http://schemas.microsoft.com/office/drawing/2014/chart" uri="{C3380CC4-5D6E-409C-BE32-E72D297353CC}">
              <c16:uniqueId val="{00000001-C304-4EC6-AC74-4AB6FADA85E5}"/>
            </c:ext>
          </c:extLst>
        </c:ser>
        <c:ser>
          <c:idx val="2"/>
          <c:order val="2"/>
          <c:tx>
            <c:strRef>
              <c:f>Pandemic!$C$861</c:f>
              <c:strCache>
                <c:ptCount val="1"/>
                <c:pt idx="0">
                  <c:v>MCM Dispens</c:v>
                </c:pt>
              </c:strCache>
            </c:strRef>
          </c:tx>
          <c:spPr>
            <a:ln w="66675">
              <a:noFill/>
            </a:ln>
          </c:spPr>
          <c:dLbls>
            <c:dLbl>
              <c:idx val="0"/>
              <c:layout>
                <c:manualLayout>
                  <c:x val="1.6638527466737029E-3"/>
                  <c:y val="7.285974499089208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C304-4EC6-AC74-4AB6FADA85E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Pandemic!$J$862</c:f>
              <c:numCache>
                <c:formatCode>General</c:formatCode>
                <c:ptCount val="1"/>
                <c:pt idx="0">
                  <c:v>4</c:v>
                </c:pt>
              </c:numCache>
            </c:numRef>
          </c:xVal>
          <c:yVal>
            <c:numRef>
              <c:f>Pandemic!$J$863</c:f>
              <c:numCache>
                <c:formatCode>General</c:formatCode>
                <c:ptCount val="1"/>
                <c:pt idx="0">
                  <c:v>0</c:v>
                </c:pt>
              </c:numCache>
            </c:numRef>
          </c:yVal>
          <c:smooth val="0"/>
          <c:extLst>
            <c:ext xmlns:c16="http://schemas.microsoft.com/office/drawing/2014/chart" uri="{C3380CC4-5D6E-409C-BE32-E72D297353CC}">
              <c16:uniqueId val="{00000003-C304-4EC6-AC74-4AB6FADA85E5}"/>
            </c:ext>
          </c:extLst>
        </c:ser>
        <c:ser>
          <c:idx val="3"/>
          <c:order val="3"/>
          <c:tx>
            <c:strRef>
              <c:f>Pandemic!$C$865</c:f>
              <c:strCache>
                <c:ptCount val="1"/>
                <c:pt idx="0">
                  <c:v>Med Materiel Mgmt</c:v>
                </c:pt>
              </c:strCache>
            </c:strRef>
          </c:tx>
          <c:spPr>
            <a:ln w="66675">
              <a:noFill/>
            </a:ln>
          </c:spPr>
          <c:dLbls>
            <c:dLbl>
              <c:idx val="0"/>
              <c:layout>
                <c:manualLayout>
                  <c:x val="-0.14216219891634713"/>
                  <c:y val="1.7000607164541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C304-4EC6-AC74-4AB6FADA85E5}"/>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Pandemic!$J$866</c:f>
              <c:numCache>
                <c:formatCode>General</c:formatCode>
                <c:ptCount val="1"/>
                <c:pt idx="0">
                  <c:v>4</c:v>
                </c:pt>
              </c:numCache>
            </c:numRef>
          </c:xVal>
          <c:yVal>
            <c:numRef>
              <c:f>Pandemic!$J$867</c:f>
              <c:numCache>
                <c:formatCode>General</c:formatCode>
                <c:ptCount val="1"/>
                <c:pt idx="0">
                  <c:v>0</c:v>
                </c:pt>
              </c:numCache>
            </c:numRef>
          </c:yVal>
          <c:smooth val="0"/>
          <c:extLst>
            <c:ext xmlns:c16="http://schemas.microsoft.com/office/drawing/2014/chart" uri="{C3380CC4-5D6E-409C-BE32-E72D297353CC}">
              <c16:uniqueId val="{00000005-C304-4EC6-AC74-4AB6FADA85E5}"/>
            </c:ext>
          </c:extLst>
        </c:ser>
        <c:ser>
          <c:idx val="4"/>
          <c:order val="4"/>
          <c:tx>
            <c:strRef>
              <c:f>Pandemic!$C$869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Pandemic!$J$870</c:f>
              <c:numCache>
                <c:formatCode>General</c:formatCode>
                <c:ptCount val="1"/>
                <c:pt idx="0">
                  <c:v>4</c:v>
                </c:pt>
              </c:numCache>
            </c:numRef>
          </c:xVal>
          <c:yVal>
            <c:numRef>
              <c:f>Pandemic!$J$871</c:f>
              <c:numCache>
                <c:formatCode>General</c:formatCode>
                <c:ptCount val="1"/>
                <c:pt idx="0">
                  <c:v>0</c:v>
                </c:pt>
              </c:numCache>
            </c:numRef>
          </c:yVal>
          <c:smooth val="0"/>
          <c:extLst>
            <c:ext xmlns:c16="http://schemas.microsoft.com/office/drawing/2014/chart" uri="{C3380CC4-5D6E-409C-BE32-E72D297353CC}">
              <c16:uniqueId val="{00000006-C304-4EC6-AC74-4AB6FADA85E5}"/>
            </c:ext>
          </c:extLst>
        </c:ser>
        <c:ser>
          <c:idx val="5"/>
          <c:order val="5"/>
          <c:tx>
            <c:strRef>
              <c:f>Pandemic!$C$873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Pandemic!$J$874</c:f>
              <c:numCache>
                <c:formatCode>General</c:formatCode>
                <c:ptCount val="1"/>
                <c:pt idx="0">
                  <c:v>4</c:v>
                </c:pt>
              </c:numCache>
            </c:numRef>
          </c:xVal>
          <c:yVal>
            <c:numRef>
              <c:f>Pandemic!$J$875</c:f>
              <c:numCache>
                <c:formatCode>General</c:formatCode>
                <c:ptCount val="1"/>
                <c:pt idx="0">
                  <c:v>0</c:v>
                </c:pt>
              </c:numCache>
            </c:numRef>
          </c:yVal>
          <c:smooth val="0"/>
          <c:extLst>
            <c:ext xmlns:c16="http://schemas.microsoft.com/office/drawing/2014/chart" uri="{C3380CC4-5D6E-409C-BE32-E72D297353CC}">
              <c16:uniqueId val="{00000007-C304-4EC6-AC74-4AB6FADA85E5}"/>
            </c:ext>
          </c:extLst>
        </c:ser>
        <c:ser>
          <c:idx val="6"/>
          <c:order val="6"/>
          <c:tx>
            <c:strRef>
              <c:f>Pandemic!$C$877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Pandemic!$J$878</c:f>
              <c:numCache>
                <c:formatCode>General</c:formatCode>
                <c:ptCount val="1"/>
                <c:pt idx="0">
                  <c:v>4</c:v>
                </c:pt>
              </c:numCache>
            </c:numRef>
          </c:xVal>
          <c:yVal>
            <c:numRef>
              <c:f>Pandemic!$J$879</c:f>
              <c:numCache>
                <c:formatCode>General</c:formatCode>
                <c:ptCount val="1"/>
                <c:pt idx="0">
                  <c:v>0</c:v>
                </c:pt>
              </c:numCache>
            </c:numRef>
          </c:yVal>
          <c:smooth val="0"/>
          <c:extLst>
            <c:ext xmlns:c16="http://schemas.microsoft.com/office/drawing/2014/chart" uri="{C3380CC4-5D6E-409C-BE32-E72D297353CC}">
              <c16:uniqueId val="{00000008-C304-4EC6-AC74-4AB6FADA85E5}"/>
            </c:ext>
          </c:extLst>
        </c:ser>
        <c:ser>
          <c:idx val="7"/>
          <c:order val="7"/>
          <c:tx>
            <c:strRef>
              <c:f>Pandemic!$C$881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Pandemic!$J$882</c:f>
              <c:numCache>
                <c:formatCode>General</c:formatCode>
                <c:ptCount val="1"/>
                <c:pt idx="0">
                  <c:v>4</c:v>
                </c:pt>
              </c:numCache>
            </c:numRef>
          </c:xVal>
          <c:yVal>
            <c:numRef>
              <c:f>Pandemic!$J$883</c:f>
              <c:numCache>
                <c:formatCode>General</c:formatCode>
                <c:ptCount val="1"/>
                <c:pt idx="0">
                  <c:v>0</c:v>
                </c:pt>
              </c:numCache>
            </c:numRef>
          </c:yVal>
          <c:smooth val="0"/>
          <c:extLst>
            <c:ext xmlns:c16="http://schemas.microsoft.com/office/drawing/2014/chart" uri="{C3380CC4-5D6E-409C-BE32-E72D297353CC}">
              <c16:uniqueId val="{00000009-C304-4EC6-AC74-4AB6FADA85E5}"/>
            </c:ext>
          </c:extLst>
        </c:ser>
        <c:ser>
          <c:idx val="8"/>
          <c:order val="8"/>
          <c:tx>
            <c:strRef>
              <c:f>Pandemic!$C$885</c:f>
              <c:strCache>
                <c:ptCount val="1"/>
                <c:pt idx="0">
                  <c:v>Responder Safety</c:v>
                </c:pt>
              </c:strCache>
            </c:strRef>
          </c:tx>
          <c:spPr>
            <a:ln w="66675">
              <a:noFill/>
            </a:ln>
          </c:spPr>
          <c:dLbls>
            <c:dLbl>
              <c:idx val="0"/>
              <c:layout>
                <c:manualLayout>
                  <c:x val="0"/>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C304-4EC6-AC74-4AB6FADA85E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Pandemic!$J$886</c:f>
              <c:numCache>
                <c:formatCode>General</c:formatCode>
                <c:ptCount val="1"/>
                <c:pt idx="0">
                  <c:v>4</c:v>
                </c:pt>
              </c:numCache>
            </c:numRef>
          </c:xVal>
          <c:yVal>
            <c:numRef>
              <c:f>Pandemic!$J$887</c:f>
              <c:numCache>
                <c:formatCode>General</c:formatCode>
                <c:ptCount val="1"/>
                <c:pt idx="0">
                  <c:v>0</c:v>
                </c:pt>
              </c:numCache>
            </c:numRef>
          </c:yVal>
          <c:smooth val="0"/>
          <c:extLst>
            <c:ext xmlns:c16="http://schemas.microsoft.com/office/drawing/2014/chart" uri="{C3380CC4-5D6E-409C-BE32-E72D297353CC}">
              <c16:uniqueId val="{0000000B-C304-4EC6-AC74-4AB6FADA85E5}"/>
            </c:ext>
          </c:extLst>
        </c:ser>
        <c:ser>
          <c:idx val="9"/>
          <c:order val="9"/>
          <c:tx>
            <c:strRef>
              <c:f>Pandemic!$C$889</c:f>
              <c:strCache>
                <c:ptCount val="1"/>
                <c:pt idx="0">
                  <c:v>Volunteer Mgmt</c:v>
                </c:pt>
              </c:strCache>
            </c:strRef>
          </c:tx>
          <c:spPr>
            <a:ln w="66675">
              <a:noFill/>
            </a:ln>
          </c:spPr>
          <c:dLbls>
            <c:dLbl>
              <c:idx val="0"/>
              <c:layout>
                <c:manualLayout>
                  <c:x val="-0.14216219891634713"/>
                  <c:y val="-4.8573163327261691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C304-4EC6-AC74-4AB6FADA85E5}"/>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Pandemic!$J$890</c:f>
              <c:numCache>
                <c:formatCode>General</c:formatCode>
                <c:ptCount val="1"/>
                <c:pt idx="0">
                  <c:v>4</c:v>
                </c:pt>
              </c:numCache>
            </c:numRef>
          </c:xVal>
          <c:yVal>
            <c:numRef>
              <c:f>Pandemic!$J$891</c:f>
              <c:numCache>
                <c:formatCode>General</c:formatCode>
                <c:ptCount val="1"/>
                <c:pt idx="0">
                  <c:v>0</c:v>
                </c:pt>
              </c:numCache>
            </c:numRef>
          </c:yVal>
          <c:smooth val="0"/>
          <c:extLst>
            <c:ext xmlns:c16="http://schemas.microsoft.com/office/drawing/2014/chart" uri="{C3380CC4-5D6E-409C-BE32-E72D297353CC}">
              <c16:uniqueId val="{0000000D-C304-4EC6-AC74-4AB6FADA85E5}"/>
            </c:ext>
          </c:extLst>
        </c:ser>
        <c:ser>
          <c:idx val="10"/>
          <c:order val="10"/>
          <c:tx>
            <c:strRef>
              <c:f>Pandemic!$C$833</c:f>
              <c:strCache>
                <c:ptCount val="1"/>
                <c:pt idx="0">
                  <c:v>Community Prep</c:v>
                </c:pt>
              </c:strCache>
            </c:strRef>
          </c:tx>
          <c:spPr>
            <a:ln w="66675">
              <a:noFill/>
            </a:ln>
          </c:spPr>
          <c:dLbls>
            <c:dLbl>
              <c:idx val="0"/>
              <c:layout>
                <c:manualLayout>
                  <c:x val="0"/>
                  <c:y val="-1.214329083181546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C304-4EC6-AC74-4AB6FADA85E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Pandemic!$J$834</c:f>
              <c:numCache>
                <c:formatCode>General</c:formatCode>
                <c:ptCount val="1"/>
                <c:pt idx="0">
                  <c:v>4</c:v>
                </c:pt>
              </c:numCache>
            </c:numRef>
          </c:xVal>
          <c:yVal>
            <c:numRef>
              <c:f>Pandemic!$J$835</c:f>
              <c:numCache>
                <c:formatCode>General</c:formatCode>
                <c:ptCount val="1"/>
                <c:pt idx="0">
                  <c:v>0</c:v>
                </c:pt>
              </c:numCache>
            </c:numRef>
          </c:yVal>
          <c:smooth val="0"/>
          <c:extLst>
            <c:ext xmlns:c16="http://schemas.microsoft.com/office/drawing/2014/chart" uri="{C3380CC4-5D6E-409C-BE32-E72D297353CC}">
              <c16:uniqueId val="{0000000F-C304-4EC6-AC74-4AB6FADA85E5}"/>
            </c:ext>
          </c:extLst>
        </c:ser>
        <c:ser>
          <c:idx val="11"/>
          <c:order val="11"/>
          <c:tx>
            <c:strRef>
              <c:f>Pandemic!$C$837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Pandemic!$J$838</c:f>
              <c:numCache>
                <c:formatCode>General</c:formatCode>
                <c:ptCount val="1"/>
                <c:pt idx="0">
                  <c:v>4</c:v>
                </c:pt>
              </c:numCache>
            </c:numRef>
          </c:xVal>
          <c:yVal>
            <c:numRef>
              <c:f>Pandemic!$J$839</c:f>
              <c:numCache>
                <c:formatCode>General</c:formatCode>
                <c:ptCount val="1"/>
                <c:pt idx="0">
                  <c:v>0</c:v>
                </c:pt>
              </c:numCache>
            </c:numRef>
          </c:yVal>
          <c:smooth val="0"/>
          <c:extLst>
            <c:ext xmlns:c16="http://schemas.microsoft.com/office/drawing/2014/chart" uri="{C3380CC4-5D6E-409C-BE32-E72D297353CC}">
              <c16:uniqueId val="{00000010-C304-4EC6-AC74-4AB6FADA85E5}"/>
            </c:ext>
          </c:extLst>
        </c:ser>
        <c:ser>
          <c:idx val="12"/>
          <c:order val="12"/>
          <c:tx>
            <c:strRef>
              <c:f>Pandemic!$C$841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Pandemic!$J$842</c:f>
              <c:numCache>
                <c:formatCode>General</c:formatCode>
                <c:ptCount val="1"/>
                <c:pt idx="0">
                  <c:v>4</c:v>
                </c:pt>
              </c:numCache>
            </c:numRef>
          </c:xVal>
          <c:yVal>
            <c:numRef>
              <c:f>Pandemic!$J$843</c:f>
              <c:numCache>
                <c:formatCode>General</c:formatCode>
                <c:ptCount val="1"/>
                <c:pt idx="0">
                  <c:v>0</c:v>
                </c:pt>
              </c:numCache>
            </c:numRef>
          </c:yVal>
          <c:smooth val="0"/>
          <c:extLst>
            <c:ext xmlns:c16="http://schemas.microsoft.com/office/drawing/2014/chart" uri="{C3380CC4-5D6E-409C-BE32-E72D297353CC}">
              <c16:uniqueId val="{00000011-C304-4EC6-AC74-4AB6FADA85E5}"/>
            </c:ext>
          </c:extLst>
        </c:ser>
        <c:ser>
          <c:idx val="13"/>
          <c:order val="13"/>
          <c:tx>
            <c:strRef>
              <c:f>Pandemic!$C$845</c:f>
              <c:strCache>
                <c:ptCount val="1"/>
                <c:pt idx="0">
                  <c:v>Emerg Public Info</c:v>
                </c:pt>
              </c:strCache>
            </c:strRef>
          </c:tx>
          <c:spPr>
            <a:ln w="66675">
              <a:noFill/>
            </a:ln>
          </c:spPr>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C304-4EC6-AC74-4AB6FADA85E5}"/>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Pandemic!$J$846</c:f>
              <c:numCache>
                <c:formatCode>General</c:formatCode>
                <c:ptCount val="1"/>
                <c:pt idx="0">
                  <c:v>4</c:v>
                </c:pt>
              </c:numCache>
            </c:numRef>
          </c:xVal>
          <c:yVal>
            <c:numRef>
              <c:f>Pandemic!$J$847</c:f>
              <c:numCache>
                <c:formatCode>General</c:formatCode>
                <c:ptCount val="1"/>
                <c:pt idx="0">
                  <c:v>0</c:v>
                </c:pt>
              </c:numCache>
            </c:numRef>
          </c:yVal>
          <c:smooth val="0"/>
          <c:extLst>
            <c:ext xmlns:c16="http://schemas.microsoft.com/office/drawing/2014/chart" uri="{C3380CC4-5D6E-409C-BE32-E72D297353CC}">
              <c16:uniqueId val="{00000013-C304-4EC6-AC74-4AB6FADA85E5}"/>
            </c:ext>
          </c:extLst>
        </c:ser>
        <c:ser>
          <c:idx val="14"/>
          <c:order val="14"/>
          <c:tx>
            <c:strRef>
              <c:f>Pandemic!$C$964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Pandemic!$J$965</c:f>
              <c:numCache>
                <c:formatCode>General</c:formatCode>
                <c:ptCount val="1"/>
              </c:numCache>
            </c:numRef>
          </c:xVal>
          <c:yVal>
            <c:numRef>
              <c:f>Pandemic!$J$966</c:f>
            </c:numRef>
          </c:yVal>
          <c:smooth val="0"/>
          <c:extLst>
            <c:ext xmlns:c16="http://schemas.microsoft.com/office/drawing/2014/chart" uri="{C3380CC4-5D6E-409C-BE32-E72D297353CC}">
              <c16:uniqueId val="{00000014-C304-4EC6-AC74-4AB6FADA85E5}"/>
            </c:ext>
          </c:extLst>
        </c:ser>
        <c:dLbls>
          <c:showLegendKey val="0"/>
          <c:showVal val="1"/>
          <c:showCatName val="0"/>
          <c:showSerName val="0"/>
          <c:showPercent val="0"/>
          <c:showBubbleSize val="0"/>
        </c:dLbls>
        <c:axId val="149647744"/>
        <c:axId val="149649664"/>
      </c:scatterChart>
      <c:valAx>
        <c:axId val="14964774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9649664"/>
        <c:crosses val="autoZero"/>
        <c:crossBetween val="midCat"/>
        <c:majorUnit val="1"/>
        <c:minorUnit val="0.1"/>
      </c:valAx>
      <c:valAx>
        <c:axId val="14964966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964774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352460870965338"/>
          <c:y val="1.3244983721297133E-2"/>
        </c:manualLayout>
      </c:layout>
      <c:overlay val="0"/>
    </c:title>
    <c:autoTitleDeleted val="0"/>
    <c:plotArea>
      <c:layout/>
      <c:scatterChart>
        <c:scatterStyle val="lineMarker"/>
        <c:varyColors val="0"/>
        <c:ser>
          <c:idx val="0"/>
          <c:order val="0"/>
          <c:tx>
            <c:strRef>
              <c:f>Pandemic!$C$903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Pandemic!$J$904</c:f>
              <c:numCache>
                <c:formatCode>General</c:formatCode>
                <c:ptCount val="1"/>
                <c:pt idx="0">
                  <c:v>4</c:v>
                </c:pt>
              </c:numCache>
            </c:numRef>
          </c:xVal>
          <c:yVal>
            <c:numRef>
              <c:f>Pandemic!$J$905</c:f>
              <c:numCache>
                <c:formatCode>General</c:formatCode>
                <c:ptCount val="1"/>
                <c:pt idx="0">
                  <c:v>0</c:v>
                </c:pt>
              </c:numCache>
            </c:numRef>
          </c:yVal>
          <c:smooth val="0"/>
          <c:extLst>
            <c:ext xmlns:c16="http://schemas.microsoft.com/office/drawing/2014/chart" uri="{C3380CC4-5D6E-409C-BE32-E72D297353CC}">
              <c16:uniqueId val="{00000000-7F7F-481F-8BAB-9C2D59B3A837}"/>
            </c:ext>
          </c:extLst>
        </c:ser>
        <c:ser>
          <c:idx val="1"/>
          <c:order val="1"/>
          <c:tx>
            <c:strRef>
              <c:f>Pandemic!$C$907</c:f>
              <c:strCache>
                <c:ptCount val="1"/>
                <c:pt idx="0">
                  <c:v>HC System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Pandemic!$J$908</c:f>
              <c:numCache>
                <c:formatCode>General</c:formatCode>
                <c:ptCount val="1"/>
                <c:pt idx="0">
                  <c:v>4</c:v>
                </c:pt>
              </c:numCache>
            </c:numRef>
          </c:xVal>
          <c:yVal>
            <c:numRef>
              <c:f>Pandemic!$J$909</c:f>
              <c:numCache>
                <c:formatCode>General</c:formatCode>
                <c:ptCount val="1"/>
                <c:pt idx="0">
                  <c:v>0</c:v>
                </c:pt>
              </c:numCache>
            </c:numRef>
          </c:yVal>
          <c:smooth val="0"/>
          <c:extLst>
            <c:ext xmlns:c16="http://schemas.microsoft.com/office/drawing/2014/chart" uri="{C3380CC4-5D6E-409C-BE32-E72D297353CC}">
              <c16:uniqueId val="{00000001-7F7F-481F-8BAB-9C2D59B3A837}"/>
            </c:ext>
          </c:extLst>
        </c:ser>
        <c:ser>
          <c:idx val="2"/>
          <c:order val="2"/>
          <c:tx>
            <c:strRef>
              <c:f>Pandemic!$C$911</c:f>
              <c:strCache>
                <c:ptCount val="1"/>
                <c:pt idx="0">
                  <c:v>Emerg Ops Coord</c:v>
                </c:pt>
              </c:strCache>
            </c:strRef>
          </c:tx>
          <c:spPr>
            <a:ln w="66675">
              <a:noFill/>
            </a:ln>
          </c:spPr>
          <c:dLbls>
            <c:dLbl>
              <c:idx val="0"/>
              <c:layout>
                <c:manualLayout>
                  <c:x val="1.6638527466737029E-3"/>
                  <c:y val="7.285974499089208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F7F-481F-8BAB-9C2D59B3A837}"/>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Pandemic!$J$912</c:f>
              <c:numCache>
                <c:formatCode>General</c:formatCode>
                <c:ptCount val="1"/>
                <c:pt idx="0">
                  <c:v>4</c:v>
                </c:pt>
              </c:numCache>
            </c:numRef>
          </c:xVal>
          <c:yVal>
            <c:numRef>
              <c:f>Pandemic!$J$913</c:f>
              <c:numCache>
                <c:formatCode>General</c:formatCode>
                <c:ptCount val="1"/>
                <c:pt idx="0">
                  <c:v>0</c:v>
                </c:pt>
              </c:numCache>
            </c:numRef>
          </c:yVal>
          <c:smooth val="0"/>
          <c:extLst>
            <c:ext xmlns:c16="http://schemas.microsoft.com/office/drawing/2014/chart" uri="{C3380CC4-5D6E-409C-BE32-E72D297353CC}">
              <c16:uniqueId val="{00000003-7F7F-481F-8BAB-9C2D59B3A837}"/>
            </c:ext>
          </c:extLst>
        </c:ser>
        <c:ser>
          <c:idx val="3"/>
          <c:order val="3"/>
          <c:tx>
            <c:strRef>
              <c:f>Pandemic!$C$915</c:f>
              <c:strCache>
                <c:ptCount val="1"/>
                <c:pt idx="0">
                  <c:v>Fatality Mgmt</c:v>
                </c:pt>
              </c:strCache>
            </c:strRef>
          </c:tx>
          <c:spPr>
            <a:ln w="66675">
              <a:noFill/>
            </a:ln>
          </c:spPr>
          <c:dLbls>
            <c:dLbl>
              <c:idx val="0"/>
              <c:layout>
                <c:manualLayout>
                  <c:x val="-0.14216219891634713"/>
                  <c:y val="1.70006071645415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7F7F-481F-8BAB-9C2D59B3A837}"/>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Pandemic!$J$916</c:f>
              <c:numCache>
                <c:formatCode>General</c:formatCode>
                <c:ptCount val="1"/>
                <c:pt idx="0">
                  <c:v>4</c:v>
                </c:pt>
              </c:numCache>
            </c:numRef>
          </c:xVal>
          <c:yVal>
            <c:numRef>
              <c:f>Pandemic!$J$917</c:f>
              <c:numCache>
                <c:formatCode>General</c:formatCode>
                <c:ptCount val="1"/>
                <c:pt idx="0">
                  <c:v>0</c:v>
                </c:pt>
              </c:numCache>
            </c:numRef>
          </c:yVal>
          <c:smooth val="0"/>
          <c:extLst>
            <c:ext xmlns:c16="http://schemas.microsoft.com/office/drawing/2014/chart" uri="{C3380CC4-5D6E-409C-BE32-E72D297353CC}">
              <c16:uniqueId val="{00000005-7F7F-481F-8BAB-9C2D59B3A837}"/>
            </c:ext>
          </c:extLst>
        </c:ser>
        <c:ser>
          <c:idx val="4"/>
          <c:order val="4"/>
          <c:tx>
            <c:strRef>
              <c:f>Pandemic!$C$919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Pandemic!$J$920</c:f>
              <c:numCache>
                <c:formatCode>General</c:formatCode>
                <c:ptCount val="1"/>
                <c:pt idx="0">
                  <c:v>4</c:v>
                </c:pt>
              </c:numCache>
            </c:numRef>
          </c:xVal>
          <c:yVal>
            <c:numRef>
              <c:f>Pandemic!$J$921</c:f>
              <c:numCache>
                <c:formatCode>General</c:formatCode>
                <c:ptCount val="1"/>
                <c:pt idx="0">
                  <c:v>0</c:v>
                </c:pt>
              </c:numCache>
            </c:numRef>
          </c:yVal>
          <c:smooth val="0"/>
          <c:extLst>
            <c:ext xmlns:c16="http://schemas.microsoft.com/office/drawing/2014/chart" uri="{C3380CC4-5D6E-409C-BE32-E72D297353CC}">
              <c16:uniqueId val="{00000006-7F7F-481F-8BAB-9C2D59B3A837}"/>
            </c:ext>
          </c:extLst>
        </c:ser>
        <c:ser>
          <c:idx val="5"/>
          <c:order val="5"/>
          <c:tx>
            <c:strRef>
              <c:f>Pandemic!$C$923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Pandemic!$J$924</c:f>
              <c:numCache>
                <c:formatCode>General</c:formatCode>
                <c:ptCount val="1"/>
                <c:pt idx="0">
                  <c:v>4</c:v>
                </c:pt>
              </c:numCache>
            </c:numRef>
          </c:xVal>
          <c:yVal>
            <c:numRef>
              <c:f>Pandemic!$J$925</c:f>
              <c:numCache>
                <c:formatCode>General</c:formatCode>
                <c:ptCount val="1"/>
                <c:pt idx="0">
                  <c:v>0</c:v>
                </c:pt>
              </c:numCache>
            </c:numRef>
          </c:yVal>
          <c:smooth val="0"/>
          <c:extLst>
            <c:ext xmlns:c16="http://schemas.microsoft.com/office/drawing/2014/chart" uri="{C3380CC4-5D6E-409C-BE32-E72D297353CC}">
              <c16:uniqueId val="{00000007-7F7F-481F-8BAB-9C2D59B3A837}"/>
            </c:ext>
          </c:extLst>
        </c:ser>
        <c:ser>
          <c:idx val="6"/>
          <c:order val="6"/>
          <c:tx>
            <c:strRef>
              <c:f>Pandemic!$C$927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Pandemic!$J$928</c:f>
              <c:numCache>
                <c:formatCode>General</c:formatCode>
                <c:ptCount val="1"/>
                <c:pt idx="0">
                  <c:v>4</c:v>
                </c:pt>
              </c:numCache>
            </c:numRef>
          </c:xVal>
          <c:yVal>
            <c:numRef>
              <c:f>Pandemic!$J$929</c:f>
              <c:numCache>
                <c:formatCode>General</c:formatCode>
                <c:ptCount val="1"/>
                <c:pt idx="0">
                  <c:v>0</c:v>
                </c:pt>
              </c:numCache>
            </c:numRef>
          </c:yVal>
          <c:smooth val="0"/>
          <c:extLst>
            <c:ext xmlns:c16="http://schemas.microsoft.com/office/drawing/2014/chart" uri="{C3380CC4-5D6E-409C-BE32-E72D297353CC}">
              <c16:uniqueId val="{00000008-7F7F-481F-8BAB-9C2D59B3A837}"/>
            </c:ext>
          </c:extLst>
        </c:ser>
        <c:ser>
          <c:idx val="7"/>
          <c:order val="7"/>
          <c:tx>
            <c:strRef>
              <c:f>Pandemic!$C$931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Pandemic!$J$932</c:f>
              <c:numCache>
                <c:formatCode>General</c:formatCode>
                <c:ptCount val="1"/>
                <c:pt idx="0">
                  <c:v>4</c:v>
                </c:pt>
              </c:numCache>
            </c:numRef>
          </c:xVal>
          <c:yVal>
            <c:numRef>
              <c:f>Pandemic!$J$933</c:f>
              <c:numCache>
                <c:formatCode>General</c:formatCode>
                <c:ptCount val="1"/>
                <c:pt idx="0">
                  <c:v>0</c:v>
                </c:pt>
              </c:numCache>
            </c:numRef>
          </c:yVal>
          <c:smooth val="0"/>
          <c:extLst>
            <c:ext xmlns:c16="http://schemas.microsoft.com/office/drawing/2014/chart" uri="{C3380CC4-5D6E-409C-BE32-E72D297353CC}">
              <c16:uniqueId val="{00000009-7F7F-481F-8BAB-9C2D59B3A837}"/>
            </c:ext>
          </c:extLst>
        </c:ser>
        <c:ser>
          <c:idx val="14"/>
          <c:order val="8"/>
          <c:tx>
            <c:strRef>
              <c:f>Pandemic!$C$964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Pandemic!$J$965</c:f>
              <c:numCache>
                <c:formatCode>General</c:formatCode>
                <c:ptCount val="1"/>
              </c:numCache>
            </c:numRef>
          </c:xVal>
          <c:yVal>
            <c:numRef>
              <c:f>Pandemic!$J$966</c:f>
            </c:numRef>
          </c:yVal>
          <c:smooth val="0"/>
          <c:extLst>
            <c:ext xmlns:c16="http://schemas.microsoft.com/office/drawing/2014/chart" uri="{C3380CC4-5D6E-409C-BE32-E72D297353CC}">
              <c16:uniqueId val="{0000000A-7F7F-481F-8BAB-9C2D59B3A837}"/>
            </c:ext>
          </c:extLst>
        </c:ser>
        <c:dLbls>
          <c:showLegendKey val="0"/>
          <c:showVal val="1"/>
          <c:showCatName val="0"/>
          <c:showSerName val="0"/>
          <c:showPercent val="0"/>
          <c:showBubbleSize val="0"/>
        </c:dLbls>
        <c:axId val="149754240"/>
        <c:axId val="149756160"/>
      </c:scatterChart>
      <c:valAx>
        <c:axId val="14975424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9756160"/>
        <c:crosses val="autoZero"/>
        <c:crossBetween val="midCat"/>
        <c:majorUnit val="1"/>
        <c:minorUnit val="0.1"/>
      </c:valAx>
      <c:valAx>
        <c:axId val="14975616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975424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('Radiation Dispersal Device'!$J$133,'Radiation Dispersal Device'!$J$261,'Radiation Dispersal Device'!$J$421,'Radiation Dispersal Device'!$J$539,'Radiation Dispersal Device'!$J$681)</c:f>
              <c:numCache>
                <c:formatCode>0.00</c:formatCode>
                <c:ptCount val="5"/>
                <c:pt idx="0">
                  <c:v>2.1666666666666665</c:v>
                </c:pt>
                <c:pt idx="1">
                  <c:v>0</c:v>
                </c:pt>
                <c:pt idx="2">
                  <c:v>1.4375</c:v>
                </c:pt>
                <c:pt idx="3">
                  <c:v>1.7142857142857142</c:v>
                </c:pt>
                <c:pt idx="4">
                  <c:v>0</c:v>
                </c:pt>
              </c:numCache>
            </c:numRef>
          </c:val>
          <c:extLst>
            <c:ext xmlns:c16="http://schemas.microsoft.com/office/drawing/2014/chart" uri="{C3380CC4-5D6E-409C-BE32-E72D297353CC}">
              <c16:uniqueId val="{00000000-A788-4BE9-89EA-D0F74CD4BC44}"/>
            </c:ext>
          </c:extLst>
        </c:ser>
        <c:dLbls>
          <c:showLegendKey val="0"/>
          <c:showVal val="1"/>
          <c:showCatName val="0"/>
          <c:showSerName val="0"/>
          <c:showPercent val="0"/>
          <c:showBubbleSize val="0"/>
        </c:dLbls>
        <c:gapWidth val="150"/>
        <c:axId val="149777792"/>
        <c:axId val="149793408"/>
      </c:barChart>
      <c:catAx>
        <c:axId val="14977779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9793408"/>
        <c:crosses val="autoZero"/>
        <c:auto val="1"/>
        <c:lblAlgn val="ctr"/>
        <c:lblOffset val="100"/>
        <c:noMultiLvlLbl val="0"/>
      </c:catAx>
      <c:valAx>
        <c:axId val="14979340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977779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'Radiation Dispersal Device'!$C$793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Device'!$J$795</c:f>
              <c:numCache>
                <c:formatCode>General</c:formatCode>
                <c:ptCount val="1"/>
                <c:pt idx="0">
                  <c:v>3</c:v>
                </c:pt>
              </c:numCache>
            </c:numRef>
          </c:xVal>
          <c:yVal>
            <c:numRef>
              <c:f>'Radiation Dispersal Device'!$J$794</c:f>
              <c:numCache>
                <c:formatCode>General</c:formatCode>
                <c:ptCount val="1"/>
                <c:pt idx="0">
                  <c:v>0</c:v>
                </c:pt>
              </c:numCache>
            </c:numRef>
          </c:yVal>
          <c:smooth val="0"/>
          <c:extLst>
            <c:ext xmlns:c16="http://schemas.microsoft.com/office/drawing/2014/chart" uri="{C3380CC4-5D6E-409C-BE32-E72D297353CC}">
              <c16:uniqueId val="{00000000-F3DD-4196-8BBA-F6F740D099BD}"/>
            </c:ext>
          </c:extLst>
        </c:ser>
        <c:ser>
          <c:idx val="1"/>
          <c:order val="1"/>
          <c:tx>
            <c:strRef>
              <c:f>'Radiation Dispersal Device'!$C$797</c:f>
              <c:strCache>
                <c:ptCount val="1"/>
                <c:pt idx="0">
                  <c:v>Chronic Diseases (Diabetes)</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Device'!$J$799</c:f>
              <c:numCache>
                <c:formatCode>General</c:formatCode>
                <c:ptCount val="1"/>
                <c:pt idx="0">
                  <c:v>4</c:v>
                </c:pt>
              </c:numCache>
            </c:numRef>
          </c:xVal>
          <c:yVal>
            <c:numRef>
              <c:f>'Radiation Dispersal Device'!$J$798</c:f>
              <c:numCache>
                <c:formatCode>General</c:formatCode>
                <c:ptCount val="1"/>
                <c:pt idx="0">
                  <c:v>0</c:v>
                </c:pt>
              </c:numCache>
            </c:numRef>
          </c:yVal>
          <c:smooth val="0"/>
          <c:extLst>
            <c:ext xmlns:c16="http://schemas.microsoft.com/office/drawing/2014/chart" uri="{C3380CC4-5D6E-409C-BE32-E72D297353CC}">
              <c16:uniqueId val="{00000001-F3DD-4196-8BBA-F6F740D099BD}"/>
            </c:ext>
          </c:extLst>
        </c:ser>
        <c:ser>
          <c:idx val="2"/>
          <c:order val="2"/>
          <c:tx>
            <c:strRef>
              <c:f>'Radiation Dispersal Device'!$C$801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Device'!$J$803</c:f>
              <c:numCache>
                <c:formatCode>General</c:formatCode>
                <c:ptCount val="1"/>
                <c:pt idx="0">
                  <c:v>4</c:v>
                </c:pt>
              </c:numCache>
            </c:numRef>
          </c:xVal>
          <c:yVal>
            <c:numRef>
              <c:f>'Radiation Dispersal Device'!$J$802</c:f>
              <c:numCache>
                <c:formatCode>General</c:formatCode>
                <c:ptCount val="1"/>
                <c:pt idx="0">
                  <c:v>0</c:v>
                </c:pt>
              </c:numCache>
            </c:numRef>
          </c:yVal>
          <c:smooth val="0"/>
          <c:extLst>
            <c:ext xmlns:c16="http://schemas.microsoft.com/office/drawing/2014/chart" uri="{C3380CC4-5D6E-409C-BE32-E72D297353CC}">
              <c16:uniqueId val="{00000002-F3DD-4196-8BBA-F6F740D099BD}"/>
            </c:ext>
          </c:extLst>
        </c:ser>
        <c:ser>
          <c:idx val="3"/>
          <c:order val="3"/>
          <c:tx>
            <c:strRef>
              <c:f>'Radiation Dispersal Device'!$C$805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Device'!$J$807</c:f>
              <c:numCache>
                <c:formatCode>General</c:formatCode>
                <c:ptCount val="1"/>
                <c:pt idx="0">
                  <c:v>4</c:v>
                </c:pt>
              </c:numCache>
            </c:numRef>
          </c:xVal>
          <c:yVal>
            <c:numRef>
              <c:f>'Radiation Dispersal Device'!$J$806</c:f>
              <c:numCache>
                <c:formatCode>General</c:formatCode>
                <c:ptCount val="1"/>
                <c:pt idx="0">
                  <c:v>0</c:v>
                </c:pt>
              </c:numCache>
            </c:numRef>
          </c:yVal>
          <c:smooth val="0"/>
          <c:extLst>
            <c:ext xmlns:c16="http://schemas.microsoft.com/office/drawing/2014/chart" uri="{C3380CC4-5D6E-409C-BE32-E72D297353CC}">
              <c16:uniqueId val="{00000003-F3DD-4196-8BBA-F6F740D099BD}"/>
            </c:ext>
          </c:extLst>
        </c:ser>
        <c:ser>
          <c:idx val="4"/>
          <c:order val="4"/>
          <c:tx>
            <c:strRef>
              <c:f>'Radiation Dispersal Device'!$C$773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Device'!$J$775</c:f>
              <c:numCache>
                <c:formatCode>General</c:formatCode>
                <c:ptCount val="1"/>
                <c:pt idx="0">
                  <c:v>3</c:v>
                </c:pt>
              </c:numCache>
            </c:numRef>
          </c:xVal>
          <c:yVal>
            <c:numRef>
              <c:f>'Radiation Dispersal Device'!$J$774</c:f>
              <c:numCache>
                <c:formatCode>General</c:formatCode>
                <c:ptCount val="1"/>
                <c:pt idx="0">
                  <c:v>0</c:v>
                </c:pt>
              </c:numCache>
            </c:numRef>
          </c:yVal>
          <c:smooth val="0"/>
          <c:extLst>
            <c:ext xmlns:c16="http://schemas.microsoft.com/office/drawing/2014/chart" uri="{C3380CC4-5D6E-409C-BE32-E72D297353CC}">
              <c16:uniqueId val="{00000004-F3DD-4196-8BBA-F6F740D099BD}"/>
            </c:ext>
          </c:extLst>
        </c:ser>
        <c:ser>
          <c:idx val="5"/>
          <c:order val="5"/>
          <c:tx>
            <c:strRef>
              <c:f>'Radiation Dispersal Device'!$C$777</c:f>
              <c:strCache>
                <c:ptCount val="1"/>
                <c:pt idx="0">
                  <c:v>Vision Disability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Device'!$J$779</c:f>
              <c:numCache>
                <c:formatCode>General</c:formatCode>
                <c:ptCount val="1"/>
                <c:pt idx="0">
                  <c:v>4</c:v>
                </c:pt>
              </c:numCache>
            </c:numRef>
          </c:xVal>
          <c:yVal>
            <c:numRef>
              <c:f>'Radiation Dispersal Device'!$J$778</c:f>
              <c:numCache>
                <c:formatCode>General</c:formatCode>
                <c:ptCount val="1"/>
                <c:pt idx="0">
                  <c:v>0</c:v>
                </c:pt>
              </c:numCache>
            </c:numRef>
          </c:yVal>
          <c:smooth val="0"/>
          <c:extLst>
            <c:ext xmlns:c16="http://schemas.microsoft.com/office/drawing/2014/chart" uri="{C3380CC4-5D6E-409C-BE32-E72D297353CC}">
              <c16:uniqueId val="{00000005-F3DD-4196-8BBA-F6F740D099BD}"/>
            </c:ext>
          </c:extLst>
        </c:ser>
        <c:ser>
          <c:idx val="6"/>
          <c:order val="6"/>
          <c:tx>
            <c:strRef>
              <c:f>'Radiation Dispersal Device'!$C$781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Device'!$J$783</c:f>
              <c:numCache>
                <c:formatCode>General</c:formatCode>
                <c:ptCount val="1"/>
                <c:pt idx="0">
                  <c:v>4</c:v>
                </c:pt>
              </c:numCache>
            </c:numRef>
          </c:xVal>
          <c:yVal>
            <c:numRef>
              <c:f>'Radiation Dispersal Device'!$J$782</c:f>
              <c:numCache>
                <c:formatCode>General</c:formatCode>
                <c:ptCount val="1"/>
                <c:pt idx="0">
                  <c:v>0</c:v>
                </c:pt>
              </c:numCache>
            </c:numRef>
          </c:yVal>
          <c:smooth val="0"/>
          <c:extLst>
            <c:ext xmlns:c16="http://schemas.microsoft.com/office/drawing/2014/chart" uri="{C3380CC4-5D6E-409C-BE32-E72D297353CC}">
              <c16:uniqueId val="{00000006-F3DD-4196-8BBA-F6F740D099BD}"/>
            </c:ext>
          </c:extLst>
        </c:ser>
        <c:ser>
          <c:idx val="7"/>
          <c:order val="7"/>
          <c:tx>
            <c:strRef>
              <c:f>'Radiation Dispersal Device'!$C$785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F3DD-4196-8BBA-F6F740D099BD}"/>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'Radiation Dispersal Device'!$J$787</c:f>
              <c:numCache>
                <c:formatCode>General</c:formatCode>
                <c:ptCount val="1"/>
                <c:pt idx="0">
                  <c:v>4</c:v>
                </c:pt>
              </c:numCache>
            </c:numRef>
          </c:xVal>
          <c:yVal>
            <c:numRef>
              <c:f>'Radiation Dispersal Device'!$J$786</c:f>
              <c:numCache>
                <c:formatCode>General</c:formatCode>
                <c:ptCount val="1"/>
                <c:pt idx="0">
                  <c:v>0</c:v>
                </c:pt>
              </c:numCache>
            </c:numRef>
          </c:yVal>
          <c:smooth val="0"/>
          <c:extLst>
            <c:ext xmlns:c16="http://schemas.microsoft.com/office/drawing/2014/chart" uri="{C3380CC4-5D6E-409C-BE32-E72D297353CC}">
              <c16:uniqueId val="{00000008-F3DD-4196-8BBA-F6F740D099BD}"/>
            </c:ext>
          </c:extLst>
        </c:ser>
        <c:ser>
          <c:idx val="8"/>
          <c:order val="8"/>
          <c:tx>
            <c:strRef>
              <c:f>'Radiation Dispersal Device'!$C$789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Device'!$J$791</c:f>
              <c:numCache>
                <c:formatCode>General</c:formatCode>
                <c:ptCount val="1"/>
                <c:pt idx="0">
                  <c:v>3</c:v>
                </c:pt>
              </c:numCache>
            </c:numRef>
          </c:xVal>
          <c:yVal>
            <c:numRef>
              <c:f>'Radiation Dispersal Device'!$J$790</c:f>
              <c:numCache>
                <c:formatCode>General</c:formatCode>
                <c:ptCount val="1"/>
                <c:pt idx="0">
                  <c:v>0</c:v>
                </c:pt>
              </c:numCache>
            </c:numRef>
          </c:yVal>
          <c:smooth val="0"/>
          <c:extLst>
            <c:ext xmlns:c16="http://schemas.microsoft.com/office/drawing/2014/chart" uri="{C3380CC4-5D6E-409C-BE32-E72D297353CC}">
              <c16:uniqueId val="{00000009-F3DD-4196-8BBA-F6F740D099BD}"/>
            </c:ext>
          </c:extLst>
        </c:ser>
        <c:dLbls>
          <c:showLegendKey val="0"/>
          <c:showVal val="1"/>
          <c:showCatName val="0"/>
          <c:showSerName val="0"/>
          <c:showPercent val="0"/>
          <c:showBubbleSize val="0"/>
        </c:dLbls>
        <c:axId val="149901696"/>
        <c:axId val="149903616"/>
      </c:scatterChart>
      <c:valAx>
        <c:axId val="14990169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9903616"/>
        <c:crosses val="autoZero"/>
        <c:crossBetween val="midCat"/>
        <c:majorUnit val="1"/>
        <c:minorUnit val="0.1"/>
      </c:valAx>
      <c:valAx>
        <c:axId val="14990361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990169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'Radiation Dispersal Device'!$C$853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Device'!$J$854</c:f>
              <c:numCache>
                <c:formatCode>General</c:formatCode>
                <c:ptCount val="1"/>
                <c:pt idx="0">
                  <c:v>4</c:v>
                </c:pt>
              </c:numCache>
            </c:numRef>
          </c:xVal>
          <c:yVal>
            <c:numRef>
              <c:f>'Radiation Dispersal Device'!$J$855</c:f>
              <c:numCache>
                <c:formatCode>General</c:formatCode>
                <c:ptCount val="1"/>
                <c:pt idx="0">
                  <c:v>0</c:v>
                </c:pt>
              </c:numCache>
            </c:numRef>
          </c:yVal>
          <c:smooth val="0"/>
          <c:extLst>
            <c:ext xmlns:c16="http://schemas.microsoft.com/office/drawing/2014/chart" uri="{C3380CC4-5D6E-409C-BE32-E72D297353CC}">
              <c16:uniqueId val="{00000000-1B61-4CB6-96F2-24BAB2876129}"/>
            </c:ext>
          </c:extLst>
        </c:ser>
        <c:ser>
          <c:idx val="1"/>
          <c:order val="1"/>
          <c:tx>
            <c:strRef>
              <c:f>'Radiation Dispersal Device'!$C$857</c:f>
              <c:strCache>
                <c:ptCount val="1"/>
                <c:pt idx="0">
                  <c:v>Mass Care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Device'!$J$858</c:f>
              <c:numCache>
                <c:formatCode>General</c:formatCode>
                <c:ptCount val="1"/>
                <c:pt idx="0">
                  <c:v>3</c:v>
                </c:pt>
              </c:numCache>
            </c:numRef>
          </c:xVal>
          <c:yVal>
            <c:numRef>
              <c:f>'Radiation Dispersal Device'!$J$859</c:f>
              <c:numCache>
                <c:formatCode>General</c:formatCode>
                <c:ptCount val="1"/>
                <c:pt idx="0">
                  <c:v>0</c:v>
                </c:pt>
              </c:numCache>
            </c:numRef>
          </c:yVal>
          <c:smooth val="0"/>
          <c:extLst>
            <c:ext xmlns:c16="http://schemas.microsoft.com/office/drawing/2014/chart" uri="{C3380CC4-5D6E-409C-BE32-E72D297353CC}">
              <c16:uniqueId val="{00000001-1B61-4CB6-96F2-24BAB2876129}"/>
            </c:ext>
          </c:extLst>
        </c:ser>
        <c:ser>
          <c:idx val="2"/>
          <c:order val="2"/>
          <c:tx>
            <c:strRef>
              <c:f>'Radiation Dispersal Device'!$C$861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Device'!$J$862</c:f>
              <c:numCache>
                <c:formatCode>General</c:formatCode>
                <c:ptCount val="1"/>
                <c:pt idx="0">
                  <c:v>4</c:v>
                </c:pt>
              </c:numCache>
            </c:numRef>
          </c:xVal>
          <c:yVal>
            <c:numRef>
              <c:f>'Radiation Dispersal Device'!$J$863</c:f>
              <c:numCache>
                <c:formatCode>General</c:formatCode>
                <c:ptCount val="1"/>
                <c:pt idx="0">
                  <c:v>0</c:v>
                </c:pt>
              </c:numCache>
            </c:numRef>
          </c:yVal>
          <c:smooth val="0"/>
          <c:extLst>
            <c:ext xmlns:c16="http://schemas.microsoft.com/office/drawing/2014/chart" uri="{C3380CC4-5D6E-409C-BE32-E72D297353CC}">
              <c16:uniqueId val="{00000002-1B61-4CB6-96F2-24BAB2876129}"/>
            </c:ext>
          </c:extLst>
        </c:ser>
        <c:ser>
          <c:idx val="3"/>
          <c:order val="3"/>
          <c:tx>
            <c:strRef>
              <c:f>'Radiation Dispersal Device'!$C$865</c:f>
              <c:strCache>
                <c:ptCount val="1"/>
                <c:pt idx="0">
                  <c:v>Med Materiel Mgmt</c:v>
                </c:pt>
              </c:strCache>
            </c:strRef>
          </c:tx>
          <c:spPr>
            <a:ln w="66675">
              <a:noFill/>
            </a:ln>
          </c:spPr>
          <c:dLbls>
            <c:dLbl>
              <c:idx val="0"/>
              <c:layout>
                <c:manualLayout>
                  <c:x val="-0.14216219891634713"/>
                  <c:y val="2.428658166363084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B61-4CB6-96F2-24BAB2876129}"/>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Device'!$J$866</c:f>
              <c:numCache>
                <c:formatCode>General</c:formatCode>
                <c:ptCount val="1"/>
                <c:pt idx="0">
                  <c:v>4</c:v>
                </c:pt>
              </c:numCache>
            </c:numRef>
          </c:xVal>
          <c:yVal>
            <c:numRef>
              <c:f>'Radiation Dispersal Device'!$J$867</c:f>
              <c:numCache>
                <c:formatCode>General</c:formatCode>
                <c:ptCount val="1"/>
                <c:pt idx="0">
                  <c:v>0</c:v>
                </c:pt>
              </c:numCache>
            </c:numRef>
          </c:yVal>
          <c:smooth val="0"/>
          <c:extLst>
            <c:ext xmlns:c16="http://schemas.microsoft.com/office/drawing/2014/chart" uri="{C3380CC4-5D6E-409C-BE32-E72D297353CC}">
              <c16:uniqueId val="{00000004-1B61-4CB6-96F2-24BAB2876129}"/>
            </c:ext>
          </c:extLst>
        </c:ser>
        <c:ser>
          <c:idx val="4"/>
          <c:order val="4"/>
          <c:tx>
            <c:strRef>
              <c:f>'Radiation Dispersal Device'!$C$869</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Device'!$J$870</c:f>
              <c:numCache>
                <c:formatCode>General</c:formatCode>
                <c:ptCount val="1"/>
                <c:pt idx="0">
                  <c:v>4</c:v>
                </c:pt>
              </c:numCache>
            </c:numRef>
          </c:xVal>
          <c:yVal>
            <c:numRef>
              <c:f>'Radiation Dispersal Device'!$J$871</c:f>
              <c:numCache>
                <c:formatCode>General</c:formatCode>
                <c:ptCount val="1"/>
                <c:pt idx="0">
                  <c:v>0</c:v>
                </c:pt>
              </c:numCache>
            </c:numRef>
          </c:yVal>
          <c:smooth val="0"/>
          <c:extLst>
            <c:ext xmlns:c16="http://schemas.microsoft.com/office/drawing/2014/chart" uri="{C3380CC4-5D6E-409C-BE32-E72D297353CC}">
              <c16:uniqueId val="{00000005-1B61-4CB6-96F2-24BAB2876129}"/>
            </c:ext>
          </c:extLst>
        </c:ser>
        <c:ser>
          <c:idx val="5"/>
          <c:order val="5"/>
          <c:tx>
            <c:strRef>
              <c:f>'Radiation Dispersal Device'!$C$873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Device'!$J$874</c:f>
              <c:numCache>
                <c:formatCode>General</c:formatCode>
                <c:ptCount val="1"/>
                <c:pt idx="0">
                  <c:v>4</c:v>
                </c:pt>
              </c:numCache>
            </c:numRef>
          </c:xVal>
          <c:yVal>
            <c:numRef>
              <c:f>'Radiation Dispersal Device'!$J$875</c:f>
              <c:numCache>
                <c:formatCode>General</c:formatCode>
                <c:ptCount val="1"/>
                <c:pt idx="0">
                  <c:v>0</c:v>
                </c:pt>
              </c:numCache>
            </c:numRef>
          </c:yVal>
          <c:smooth val="0"/>
          <c:extLst>
            <c:ext xmlns:c16="http://schemas.microsoft.com/office/drawing/2014/chart" uri="{C3380CC4-5D6E-409C-BE32-E72D297353CC}">
              <c16:uniqueId val="{00000006-1B61-4CB6-96F2-24BAB2876129}"/>
            </c:ext>
          </c:extLst>
        </c:ser>
        <c:ser>
          <c:idx val="6"/>
          <c:order val="6"/>
          <c:tx>
            <c:strRef>
              <c:f>'Radiation Dispersal Device'!$C$877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Device'!$J$878</c:f>
              <c:numCache>
                <c:formatCode>General</c:formatCode>
                <c:ptCount val="1"/>
                <c:pt idx="0">
                  <c:v>4</c:v>
                </c:pt>
              </c:numCache>
            </c:numRef>
          </c:xVal>
          <c:yVal>
            <c:numRef>
              <c:f>'Radiation Dispersal Device'!$J$879</c:f>
              <c:numCache>
                <c:formatCode>General</c:formatCode>
                <c:ptCount val="1"/>
                <c:pt idx="0">
                  <c:v>0</c:v>
                </c:pt>
              </c:numCache>
            </c:numRef>
          </c:yVal>
          <c:smooth val="0"/>
          <c:extLst>
            <c:ext xmlns:c16="http://schemas.microsoft.com/office/drawing/2014/chart" uri="{C3380CC4-5D6E-409C-BE32-E72D297353CC}">
              <c16:uniqueId val="{00000007-1B61-4CB6-96F2-24BAB2876129}"/>
            </c:ext>
          </c:extLst>
        </c:ser>
        <c:ser>
          <c:idx val="7"/>
          <c:order val="7"/>
          <c:tx>
            <c:strRef>
              <c:f>'Radiation Dispersal Device'!$C$881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Device'!$J$882</c:f>
              <c:numCache>
                <c:formatCode>General</c:formatCode>
                <c:ptCount val="1"/>
                <c:pt idx="0">
                  <c:v>4</c:v>
                </c:pt>
              </c:numCache>
            </c:numRef>
          </c:xVal>
          <c:yVal>
            <c:numRef>
              <c:f>'Radiation Dispersal Device'!$J$883</c:f>
              <c:numCache>
                <c:formatCode>General</c:formatCode>
                <c:ptCount val="1"/>
                <c:pt idx="0">
                  <c:v>0</c:v>
                </c:pt>
              </c:numCache>
            </c:numRef>
          </c:yVal>
          <c:smooth val="0"/>
          <c:extLst>
            <c:ext xmlns:c16="http://schemas.microsoft.com/office/drawing/2014/chart" uri="{C3380CC4-5D6E-409C-BE32-E72D297353CC}">
              <c16:uniqueId val="{00000008-1B61-4CB6-96F2-24BAB2876129}"/>
            </c:ext>
          </c:extLst>
        </c:ser>
        <c:ser>
          <c:idx val="8"/>
          <c:order val="8"/>
          <c:tx>
            <c:strRef>
              <c:f>'Radiation Dispersal Device'!$C$885</c:f>
              <c:strCache>
                <c:ptCount val="1"/>
                <c:pt idx="0">
                  <c:v>Responder Safety</c:v>
                </c:pt>
              </c:strCache>
            </c:strRef>
          </c:tx>
          <c:spPr>
            <a:ln w="66675">
              <a:noFill/>
            </a:ln>
          </c:spPr>
          <c:dLbls>
            <c:dLbl>
              <c:idx val="0"/>
              <c:layout>
                <c:manualLayout>
                  <c:x val="0"/>
                  <c:y val="1.7000607164541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B61-4CB6-96F2-24BAB287612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Device'!$J$886</c:f>
              <c:numCache>
                <c:formatCode>General</c:formatCode>
                <c:ptCount val="1"/>
                <c:pt idx="0">
                  <c:v>4</c:v>
                </c:pt>
              </c:numCache>
            </c:numRef>
          </c:xVal>
          <c:yVal>
            <c:numRef>
              <c:f>'Radiation Dispersal Device'!$J$887</c:f>
              <c:numCache>
                <c:formatCode>General</c:formatCode>
                <c:ptCount val="1"/>
                <c:pt idx="0">
                  <c:v>0</c:v>
                </c:pt>
              </c:numCache>
            </c:numRef>
          </c:yVal>
          <c:smooth val="0"/>
          <c:extLst>
            <c:ext xmlns:c16="http://schemas.microsoft.com/office/drawing/2014/chart" uri="{C3380CC4-5D6E-409C-BE32-E72D297353CC}">
              <c16:uniqueId val="{0000000A-1B61-4CB6-96F2-24BAB2876129}"/>
            </c:ext>
          </c:extLst>
        </c:ser>
        <c:ser>
          <c:idx val="9"/>
          <c:order val="9"/>
          <c:tx>
            <c:strRef>
              <c:f>'Radiation Dispersal Device'!$C$889</c:f>
              <c:strCache>
                <c:ptCount val="1"/>
                <c:pt idx="0">
                  <c:v>Volunteer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Device'!$J$890</c:f>
              <c:numCache>
                <c:formatCode>General</c:formatCode>
                <c:ptCount val="1"/>
                <c:pt idx="0">
                  <c:v>4</c:v>
                </c:pt>
              </c:numCache>
            </c:numRef>
          </c:xVal>
          <c:yVal>
            <c:numRef>
              <c:f>'Radiation Dispersal Device'!$J$891</c:f>
              <c:numCache>
                <c:formatCode>General</c:formatCode>
                <c:ptCount val="1"/>
                <c:pt idx="0">
                  <c:v>0</c:v>
                </c:pt>
              </c:numCache>
            </c:numRef>
          </c:yVal>
          <c:smooth val="0"/>
          <c:extLst>
            <c:ext xmlns:c16="http://schemas.microsoft.com/office/drawing/2014/chart" uri="{C3380CC4-5D6E-409C-BE32-E72D297353CC}">
              <c16:uniqueId val="{0000000B-1B61-4CB6-96F2-24BAB2876129}"/>
            </c:ext>
          </c:extLst>
        </c:ser>
        <c:ser>
          <c:idx val="10"/>
          <c:order val="10"/>
          <c:tx>
            <c:strRef>
              <c:f>'Radiation Dispersal Device'!$C$833</c:f>
              <c:strCache>
                <c:ptCount val="1"/>
                <c:pt idx="0">
                  <c:v>Community Prep</c:v>
                </c:pt>
              </c:strCache>
            </c:strRef>
          </c:tx>
          <c:spPr>
            <a:ln w="66675">
              <a:noFill/>
            </a:ln>
          </c:spPr>
          <c:dLbls>
            <c:dLbl>
              <c:idx val="0"/>
              <c:layout>
                <c:manualLayout>
                  <c:x val="0"/>
                  <c:y val="-1.700060716454163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B61-4CB6-96F2-24BAB287612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Device'!$J$834</c:f>
              <c:numCache>
                <c:formatCode>General</c:formatCode>
                <c:ptCount val="1"/>
                <c:pt idx="0">
                  <c:v>4</c:v>
                </c:pt>
              </c:numCache>
            </c:numRef>
          </c:xVal>
          <c:yVal>
            <c:numRef>
              <c:f>'Radiation Dispersal Device'!$J$835</c:f>
              <c:numCache>
                <c:formatCode>General</c:formatCode>
                <c:ptCount val="1"/>
                <c:pt idx="0">
                  <c:v>0</c:v>
                </c:pt>
              </c:numCache>
            </c:numRef>
          </c:yVal>
          <c:smooth val="0"/>
          <c:extLst>
            <c:ext xmlns:c16="http://schemas.microsoft.com/office/drawing/2014/chart" uri="{C3380CC4-5D6E-409C-BE32-E72D297353CC}">
              <c16:uniqueId val="{0000000D-1B61-4CB6-96F2-24BAB2876129}"/>
            </c:ext>
          </c:extLst>
        </c:ser>
        <c:ser>
          <c:idx val="11"/>
          <c:order val="11"/>
          <c:tx>
            <c:strRef>
              <c:f>'Radiation Dispersal Device'!$C$837</c:f>
              <c:strCache>
                <c:ptCount val="1"/>
                <c:pt idx="0">
                  <c:v>Community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Device'!$J$838</c:f>
              <c:numCache>
                <c:formatCode>General</c:formatCode>
                <c:ptCount val="1"/>
                <c:pt idx="0">
                  <c:v>4</c:v>
                </c:pt>
              </c:numCache>
            </c:numRef>
          </c:xVal>
          <c:yVal>
            <c:numRef>
              <c:f>'Radiation Dispersal Device'!$J$839</c:f>
              <c:numCache>
                <c:formatCode>General</c:formatCode>
                <c:ptCount val="1"/>
                <c:pt idx="0">
                  <c:v>0</c:v>
                </c:pt>
              </c:numCache>
            </c:numRef>
          </c:yVal>
          <c:smooth val="0"/>
          <c:extLst>
            <c:ext xmlns:c16="http://schemas.microsoft.com/office/drawing/2014/chart" uri="{C3380CC4-5D6E-409C-BE32-E72D297353CC}">
              <c16:uniqueId val="{0000000E-1B61-4CB6-96F2-24BAB2876129}"/>
            </c:ext>
          </c:extLst>
        </c:ser>
        <c:ser>
          <c:idx val="12"/>
          <c:order val="12"/>
          <c:tx>
            <c:strRef>
              <c:f>'Radiation Dispersal Device'!$C$841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Device'!$J$842</c:f>
              <c:numCache>
                <c:formatCode>General</c:formatCode>
                <c:ptCount val="1"/>
                <c:pt idx="0">
                  <c:v>4</c:v>
                </c:pt>
              </c:numCache>
            </c:numRef>
          </c:xVal>
          <c:yVal>
            <c:numRef>
              <c:f>'Radiation Dispersal Device'!$J$843</c:f>
              <c:numCache>
                <c:formatCode>General</c:formatCode>
                <c:ptCount val="1"/>
                <c:pt idx="0">
                  <c:v>0</c:v>
                </c:pt>
              </c:numCache>
            </c:numRef>
          </c:yVal>
          <c:smooth val="0"/>
          <c:extLst>
            <c:ext xmlns:c16="http://schemas.microsoft.com/office/drawing/2014/chart" uri="{C3380CC4-5D6E-409C-BE32-E72D297353CC}">
              <c16:uniqueId val="{0000000F-1B61-4CB6-96F2-24BAB2876129}"/>
            </c:ext>
          </c:extLst>
        </c:ser>
        <c:ser>
          <c:idx val="13"/>
          <c:order val="13"/>
          <c:tx>
            <c:strRef>
              <c:f>'Radiation Dispersal Device'!$C$845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Device'!$J$846</c:f>
              <c:numCache>
                <c:formatCode>General</c:formatCode>
                <c:ptCount val="1"/>
                <c:pt idx="0">
                  <c:v>4</c:v>
                </c:pt>
              </c:numCache>
            </c:numRef>
          </c:xVal>
          <c:yVal>
            <c:numRef>
              <c:f>'Radiation Dispersal Device'!$J$847</c:f>
              <c:numCache>
                <c:formatCode>General</c:formatCode>
                <c:ptCount val="1"/>
                <c:pt idx="0">
                  <c:v>0</c:v>
                </c:pt>
              </c:numCache>
            </c:numRef>
          </c:yVal>
          <c:smooth val="0"/>
          <c:extLst>
            <c:ext xmlns:c16="http://schemas.microsoft.com/office/drawing/2014/chart" uri="{C3380CC4-5D6E-409C-BE32-E72D297353CC}">
              <c16:uniqueId val="{00000010-1B61-4CB6-96F2-24BAB2876129}"/>
            </c:ext>
          </c:extLst>
        </c:ser>
        <c:ser>
          <c:idx val="14"/>
          <c:order val="14"/>
          <c:tx>
            <c:strRef>
              <c:f>'Radiation Dispersal Device'!$C$964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Device'!$J$965</c:f>
            </c:numRef>
          </c:xVal>
          <c:yVal>
            <c:numRef>
              <c:f>'Radiation Dispersal Device'!$J$966</c:f>
            </c:numRef>
          </c:yVal>
          <c:smooth val="0"/>
          <c:extLst>
            <c:ext xmlns:c16="http://schemas.microsoft.com/office/drawing/2014/chart" uri="{C3380CC4-5D6E-409C-BE32-E72D297353CC}">
              <c16:uniqueId val="{00000011-1B61-4CB6-96F2-24BAB2876129}"/>
            </c:ext>
          </c:extLst>
        </c:ser>
        <c:dLbls>
          <c:showLegendKey val="0"/>
          <c:showVal val="1"/>
          <c:showCatName val="0"/>
          <c:showSerName val="0"/>
          <c:showPercent val="0"/>
          <c:showBubbleSize val="0"/>
        </c:dLbls>
        <c:axId val="150146432"/>
        <c:axId val="150160896"/>
      </c:scatterChart>
      <c:valAx>
        <c:axId val="15014643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0160896"/>
        <c:crosses val="autoZero"/>
        <c:crossBetween val="midCat"/>
        <c:majorUnit val="1"/>
        <c:minorUnit val="0.1"/>
      </c:valAx>
      <c:valAx>
        <c:axId val="15016089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014643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7021378673626376"/>
          <c:y val="1.3244983721297133E-2"/>
        </c:manualLayout>
      </c:layout>
      <c:overlay val="0"/>
    </c:title>
    <c:autoTitleDeleted val="0"/>
    <c:plotArea>
      <c:layout/>
      <c:scatterChart>
        <c:scatterStyle val="lineMarker"/>
        <c:varyColors val="0"/>
        <c:ser>
          <c:idx val="0"/>
          <c:order val="0"/>
          <c:tx>
            <c:strRef>
              <c:f>'Radiation Dispersal Device'!$C$903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Device'!$J$904</c:f>
              <c:numCache>
                <c:formatCode>General</c:formatCode>
                <c:ptCount val="1"/>
                <c:pt idx="0">
                  <c:v>4</c:v>
                </c:pt>
              </c:numCache>
            </c:numRef>
          </c:xVal>
          <c:yVal>
            <c:numRef>
              <c:f>'Radiation Dispersal Device'!$J$905</c:f>
              <c:numCache>
                <c:formatCode>General</c:formatCode>
                <c:ptCount val="1"/>
                <c:pt idx="0">
                  <c:v>0</c:v>
                </c:pt>
              </c:numCache>
            </c:numRef>
          </c:yVal>
          <c:smooth val="0"/>
          <c:extLst>
            <c:ext xmlns:c16="http://schemas.microsoft.com/office/drawing/2014/chart" uri="{C3380CC4-5D6E-409C-BE32-E72D297353CC}">
              <c16:uniqueId val="{00000000-11D8-4657-9C04-98B111280BE2}"/>
            </c:ext>
          </c:extLst>
        </c:ser>
        <c:ser>
          <c:idx val="1"/>
          <c:order val="1"/>
          <c:tx>
            <c:strRef>
              <c:f>'Radiation Dispersal Device'!$C$907</c:f>
              <c:strCache>
                <c:ptCount val="1"/>
                <c:pt idx="0">
                  <c:v>HC System Recov</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Device'!$J$908</c:f>
              <c:numCache>
                <c:formatCode>General</c:formatCode>
                <c:ptCount val="1"/>
                <c:pt idx="0">
                  <c:v>4</c:v>
                </c:pt>
              </c:numCache>
            </c:numRef>
          </c:xVal>
          <c:yVal>
            <c:numRef>
              <c:f>'Radiation Dispersal Device'!$J$909</c:f>
              <c:numCache>
                <c:formatCode>General</c:formatCode>
                <c:ptCount val="1"/>
                <c:pt idx="0">
                  <c:v>0</c:v>
                </c:pt>
              </c:numCache>
            </c:numRef>
          </c:yVal>
          <c:smooth val="0"/>
          <c:extLst>
            <c:ext xmlns:c16="http://schemas.microsoft.com/office/drawing/2014/chart" uri="{C3380CC4-5D6E-409C-BE32-E72D297353CC}">
              <c16:uniqueId val="{00000001-11D8-4657-9C04-98B111280BE2}"/>
            </c:ext>
          </c:extLst>
        </c:ser>
        <c:ser>
          <c:idx val="2"/>
          <c:order val="2"/>
          <c:tx>
            <c:strRef>
              <c:f>'Radiation Dispersal Device'!$C$911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Device'!$J$912</c:f>
              <c:numCache>
                <c:formatCode>General</c:formatCode>
                <c:ptCount val="1"/>
                <c:pt idx="0">
                  <c:v>4</c:v>
                </c:pt>
              </c:numCache>
            </c:numRef>
          </c:xVal>
          <c:yVal>
            <c:numRef>
              <c:f>'Radiation Dispersal Device'!$J$913</c:f>
              <c:numCache>
                <c:formatCode>General</c:formatCode>
                <c:ptCount val="1"/>
                <c:pt idx="0">
                  <c:v>0</c:v>
                </c:pt>
              </c:numCache>
            </c:numRef>
          </c:yVal>
          <c:smooth val="0"/>
          <c:extLst>
            <c:ext xmlns:c16="http://schemas.microsoft.com/office/drawing/2014/chart" uri="{C3380CC4-5D6E-409C-BE32-E72D297353CC}">
              <c16:uniqueId val="{00000002-11D8-4657-9C04-98B111280BE2}"/>
            </c:ext>
          </c:extLst>
        </c:ser>
        <c:ser>
          <c:idx val="3"/>
          <c:order val="3"/>
          <c:tx>
            <c:strRef>
              <c:f>'Radiation Dispersal Device'!$C$915</c:f>
              <c:strCache>
                <c:ptCount val="1"/>
                <c:pt idx="0">
                  <c:v>Fatality Mgmt</c:v>
                </c:pt>
              </c:strCache>
            </c:strRef>
          </c:tx>
          <c:spPr>
            <a:ln w="66675">
              <a:noFill/>
            </a:ln>
          </c:spPr>
          <c:dLbls>
            <c:dLbl>
              <c:idx val="0"/>
              <c:layout>
                <c:manualLayout>
                  <c:x val="-0.14216219891634713"/>
                  <c:y val="2.428658166363084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1D8-4657-9C04-98B111280BE2}"/>
                </c:ext>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Device'!$J$916</c:f>
              <c:numCache>
                <c:formatCode>General</c:formatCode>
                <c:ptCount val="1"/>
                <c:pt idx="0">
                  <c:v>4</c:v>
                </c:pt>
              </c:numCache>
            </c:numRef>
          </c:xVal>
          <c:yVal>
            <c:numRef>
              <c:f>'Radiation Dispersal Device'!$J$917</c:f>
              <c:numCache>
                <c:formatCode>General</c:formatCode>
                <c:ptCount val="1"/>
                <c:pt idx="0">
                  <c:v>0</c:v>
                </c:pt>
              </c:numCache>
            </c:numRef>
          </c:yVal>
          <c:smooth val="0"/>
          <c:extLst>
            <c:ext xmlns:c16="http://schemas.microsoft.com/office/drawing/2014/chart" uri="{C3380CC4-5D6E-409C-BE32-E72D297353CC}">
              <c16:uniqueId val="{00000004-11D8-4657-9C04-98B111280BE2}"/>
            </c:ext>
          </c:extLst>
        </c:ser>
        <c:ser>
          <c:idx val="4"/>
          <c:order val="4"/>
          <c:tx>
            <c:strRef>
              <c:f>'Radiation Dispersal Device'!$C$919</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Device'!$J$920</c:f>
              <c:numCache>
                <c:formatCode>General</c:formatCode>
                <c:ptCount val="1"/>
                <c:pt idx="0">
                  <c:v>4</c:v>
                </c:pt>
              </c:numCache>
            </c:numRef>
          </c:xVal>
          <c:yVal>
            <c:numRef>
              <c:f>'Radiation Dispersal Device'!$J$921</c:f>
              <c:numCache>
                <c:formatCode>General</c:formatCode>
                <c:ptCount val="1"/>
                <c:pt idx="0">
                  <c:v>0</c:v>
                </c:pt>
              </c:numCache>
            </c:numRef>
          </c:yVal>
          <c:smooth val="0"/>
          <c:extLst>
            <c:ext xmlns:c16="http://schemas.microsoft.com/office/drawing/2014/chart" uri="{C3380CC4-5D6E-409C-BE32-E72D297353CC}">
              <c16:uniqueId val="{00000005-11D8-4657-9C04-98B111280BE2}"/>
            </c:ext>
          </c:extLst>
        </c:ser>
        <c:ser>
          <c:idx val="5"/>
          <c:order val="5"/>
          <c:tx>
            <c:strRef>
              <c:f>'Radiation Dispersal Device'!$C$923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Device'!$J$924</c:f>
              <c:numCache>
                <c:formatCode>General</c:formatCode>
                <c:ptCount val="1"/>
                <c:pt idx="0">
                  <c:v>4</c:v>
                </c:pt>
              </c:numCache>
            </c:numRef>
          </c:xVal>
          <c:yVal>
            <c:numRef>
              <c:f>'Radiation Dispersal Device'!$J$925</c:f>
              <c:numCache>
                <c:formatCode>General</c:formatCode>
                <c:ptCount val="1"/>
                <c:pt idx="0">
                  <c:v>0</c:v>
                </c:pt>
              </c:numCache>
            </c:numRef>
          </c:yVal>
          <c:smooth val="0"/>
          <c:extLst>
            <c:ext xmlns:c16="http://schemas.microsoft.com/office/drawing/2014/chart" uri="{C3380CC4-5D6E-409C-BE32-E72D297353CC}">
              <c16:uniqueId val="{00000006-11D8-4657-9C04-98B111280BE2}"/>
            </c:ext>
          </c:extLst>
        </c:ser>
        <c:ser>
          <c:idx val="6"/>
          <c:order val="6"/>
          <c:tx>
            <c:strRef>
              <c:f>'Radiation Dispersal Device'!$C$927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Device'!$J$928</c:f>
              <c:numCache>
                <c:formatCode>General</c:formatCode>
                <c:ptCount val="1"/>
                <c:pt idx="0">
                  <c:v>4</c:v>
                </c:pt>
              </c:numCache>
            </c:numRef>
          </c:xVal>
          <c:yVal>
            <c:numRef>
              <c:f>'Radiation Dispersal Device'!$J$929</c:f>
              <c:numCache>
                <c:formatCode>General</c:formatCode>
                <c:ptCount val="1"/>
                <c:pt idx="0">
                  <c:v>0</c:v>
                </c:pt>
              </c:numCache>
            </c:numRef>
          </c:yVal>
          <c:smooth val="0"/>
          <c:extLst>
            <c:ext xmlns:c16="http://schemas.microsoft.com/office/drawing/2014/chart" uri="{C3380CC4-5D6E-409C-BE32-E72D297353CC}">
              <c16:uniqueId val="{00000007-11D8-4657-9C04-98B111280BE2}"/>
            </c:ext>
          </c:extLst>
        </c:ser>
        <c:ser>
          <c:idx val="7"/>
          <c:order val="7"/>
          <c:tx>
            <c:strRef>
              <c:f>'Radiation Dispersal Device'!$C$931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Device'!$J$932</c:f>
              <c:numCache>
                <c:formatCode>General</c:formatCode>
                <c:ptCount val="1"/>
                <c:pt idx="0">
                  <c:v>4</c:v>
                </c:pt>
              </c:numCache>
            </c:numRef>
          </c:xVal>
          <c:yVal>
            <c:numRef>
              <c:f>'Radiation Dispersal Device'!$J$933</c:f>
              <c:numCache>
                <c:formatCode>General</c:formatCode>
                <c:ptCount val="1"/>
                <c:pt idx="0">
                  <c:v>0</c:v>
                </c:pt>
              </c:numCache>
            </c:numRef>
          </c:yVal>
          <c:smooth val="0"/>
          <c:extLst>
            <c:ext xmlns:c16="http://schemas.microsoft.com/office/drawing/2014/chart" uri="{C3380CC4-5D6E-409C-BE32-E72D297353CC}">
              <c16:uniqueId val="{00000008-11D8-4657-9C04-98B111280BE2}"/>
            </c:ext>
          </c:extLst>
        </c:ser>
        <c:ser>
          <c:idx val="14"/>
          <c:order val="8"/>
          <c:tx>
            <c:strRef>
              <c:f>'Radiation Dispersal Device'!$C$964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'Radiation Dispersal Device'!$J$965</c:f>
            </c:numRef>
          </c:xVal>
          <c:yVal>
            <c:numRef>
              <c:f>'Radiation Dispersal Device'!$J$966</c:f>
            </c:numRef>
          </c:yVal>
          <c:smooth val="0"/>
          <c:extLst>
            <c:ext xmlns:c16="http://schemas.microsoft.com/office/drawing/2014/chart" uri="{C3380CC4-5D6E-409C-BE32-E72D297353CC}">
              <c16:uniqueId val="{00000009-11D8-4657-9C04-98B111280BE2}"/>
            </c:ext>
          </c:extLst>
        </c:ser>
        <c:dLbls>
          <c:showLegendKey val="0"/>
          <c:showVal val="1"/>
          <c:showCatName val="0"/>
          <c:showSerName val="0"/>
          <c:showPercent val="0"/>
          <c:showBubbleSize val="0"/>
        </c:dLbls>
        <c:axId val="150637952"/>
        <c:axId val="150656512"/>
      </c:scatterChart>
      <c:valAx>
        <c:axId val="150637952"/>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0656512"/>
        <c:crosses val="autoZero"/>
        <c:crossBetween val="midCat"/>
        <c:majorUnit val="1"/>
        <c:minorUnit val="0.1"/>
      </c:valAx>
      <c:valAx>
        <c:axId val="150656512"/>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0637952"/>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('Temperature Extremes'!$J$133,'Temperature Extremes'!$J$261,'Temperature Extremes'!$J$421,'Temperature Extremes'!$J$539,'Temperature Extremes'!$J$681)</c:f>
              <c:numCache>
                <c:formatCode>0.00</c:formatCode>
                <c:ptCount val="5"/>
                <c:pt idx="0">
                  <c:v>1</c:v>
                </c:pt>
                <c:pt idx="1">
                  <c:v>0</c:v>
                </c:pt>
                <c:pt idx="2">
                  <c:v>1.5</c:v>
                </c:pt>
                <c:pt idx="3">
                  <c:v>0.7142857142857143</c:v>
                </c:pt>
                <c:pt idx="4">
                  <c:v>0</c:v>
                </c:pt>
              </c:numCache>
            </c:numRef>
          </c:val>
          <c:extLst>
            <c:ext xmlns:c16="http://schemas.microsoft.com/office/drawing/2014/chart" uri="{C3380CC4-5D6E-409C-BE32-E72D297353CC}">
              <c16:uniqueId val="{00000000-3037-4416-867F-8378C0E3697D}"/>
            </c:ext>
          </c:extLst>
        </c:ser>
        <c:dLbls>
          <c:showLegendKey val="0"/>
          <c:showVal val="1"/>
          <c:showCatName val="0"/>
          <c:showSerName val="0"/>
          <c:showPercent val="0"/>
          <c:showBubbleSize val="0"/>
        </c:dLbls>
        <c:gapWidth val="150"/>
        <c:axId val="150378752"/>
        <c:axId val="150476288"/>
      </c:barChart>
      <c:catAx>
        <c:axId val="150378752"/>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50476288"/>
        <c:crosses val="autoZero"/>
        <c:auto val="1"/>
        <c:lblAlgn val="ctr"/>
        <c:lblOffset val="100"/>
        <c:noMultiLvlLbl val="0"/>
      </c:catAx>
      <c:valAx>
        <c:axId val="150476288"/>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50378752"/>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'Temperature Extremes'!$C$793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Extremes'!$J$795</c:f>
              <c:numCache>
                <c:formatCode>General</c:formatCode>
                <c:ptCount val="1"/>
                <c:pt idx="0">
                  <c:v>2</c:v>
                </c:pt>
              </c:numCache>
            </c:numRef>
          </c:xVal>
          <c:yVal>
            <c:numRef>
              <c:f>'Temperature Extremes'!$J$794</c:f>
              <c:numCache>
                <c:formatCode>General</c:formatCode>
                <c:ptCount val="1"/>
                <c:pt idx="0">
                  <c:v>0</c:v>
                </c:pt>
              </c:numCache>
            </c:numRef>
          </c:yVal>
          <c:smooth val="0"/>
          <c:extLst>
            <c:ext xmlns:c16="http://schemas.microsoft.com/office/drawing/2014/chart" uri="{C3380CC4-5D6E-409C-BE32-E72D297353CC}">
              <c16:uniqueId val="{00000000-7B8B-406C-B833-4C8E2D1D0AD6}"/>
            </c:ext>
          </c:extLst>
        </c:ser>
        <c:ser>
          <c:idx val="1"/>
          <c:order val="1"/>
          <c:tx>
            <c:strRef>
              <c:f>'Temperature Extremes'!$C$797</c:f>
              <c:strCache>
                <c:ptCount val="1"/>
                <c:pt idx="0">
                  <c:v>Chronic Diseases (Diabetes)</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Extremes'!$J$799</c:f>
              <c:numCache>
                <c:formatCode>General</c:formatCode>
                <c:ptCount val="1"/>
                <c:pt idx="0">
                  <c:v>2</c:v>
                </c:pt>
              </c:numCache>
            </c:numRef>
          </c:xVal>
          <c:yVal>
            <c:numRef>
              <c:f>'Temperature Extremes'!$J$798</c:f>
              <c:numCache>
                <c:formatCode>General</c:formatCode>
                <c:ptCount val="1"/>
                <c:pt idx="0">
                  <c:v>0</c:v>
                </c:pt>
              </c:numCache>
            </c:numRef>
          </c:yVal>
          <c:smooth val="0"/>
          <c:extLst>
            <c:ext xmlns:c16="http://schemas.microsoft.com/office/drawing/2014/chart" uri="{C3380CC4-5D6E-409C-BE32-E72D297353CC}">
              <c16:uniqueId val="{00000001-7B8B-406C-B833-4C8E2D1D0AD6}"/>
            </c:ext>
          </c:extLst>
        </c:ser>
        <c:ser>
          <c:idx val="2"/>
          <c:order val="2"/>
          <c:tx>
            <c:strRef>
              <c:f>'Temperature Extremes'!$C$801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Extremes'!$J$803</c:f>
              <c:numCache>
                <c:formatCode>General</c:formatCode>
                <c:ptCount val="1"/>
                <c:pt idx="0">
                  <c:v>3</c:v>
                </c:pt>
              </c:numCache>
            </c:numRef>
          </c:xVal>
          <c:yVal>
            <c:numRef>
              <c:f>'Temperature Extremes'!$J$802</c:f>
              <c:numCache>
                <c:formatCode>General</c:formatCode>
                <c:ptCount val="1"/>
                <c:pt idx="0">
                  <c:v>0</c:v>
                </c:pt>
              </c:numCache>
            </c:numRef>
          </c:yVal>
          <c:smooth val="0"/>
          <c:extLst>
            <c:ext xmlns:c16="http://schemas.microsoft.com/office/drawing/2014/chart" uri="{C3380CC4-5D6E-409C-BE32-E72D297353CC}">
              <c16:uniqueId val="{00000002-7B8B-406C-B833-4C8E2D1D0AD6}"/>
            </c:ext>
          </c:extLst>
        </c:ser>
        <c:ser>
          <c:idx val="3"/>
          <c:order val="3"/>
          <c:tx>
            <c:strRef>
              <c:f>'Temperature Extremes'!$C$805</c:f>
              <c:strCache>
                <c:ptCount val="1"/>
                <c:pt idx="0">
                  <c:v>Elderly 65 and older</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Extremes'!$J$807</c:f>
              <c:numCache>
                <c:formatCode>General</c:formatCode>
                <c:ptCount val="1"/>
                <c:pt idx="0">
                  <c:v>2</c:v>
                </c:pt>
              </c:numCache>
            </c:numRef>
          </c:xVal>
          <c:yVal>
            <c:numRef>
              <c:f>'Temperature Extremes'!$J$806</c:f>
              <c:numCache>
                <c:formatCode>General</c:formatCode>
                <c:ptCount val="1"/>
                <c:pt idx="0">
                  <c:v>0</c:v>
                </c:pt>
              </c:numCache>
            </c:numRef>
          </c:yVal>
          <c:smooth val="0"/>
          <c:extLst>
            <c:ext xmlns:c16="http://schemas.microsoft.com/office/drawing/2014/chart" uri="{C3380CC4-5D6E-409C-BE32-E72D297353CC}">
              <c16:uniqueId val="{00000003-7B8B-406C-B833-4C8E2D1D0AD6}"/>
            </c:ext>
          </c:extLst>
        </c:ser>
        <c:ser>
          <c:idx val="4"/>
          <c:order val="4"/>
          <c:tx>
            <c:strRef>
              <c:f>'Temperature Extremes'!$C$773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Extremes'!$J$775</c:f>
              <c:numCache>
                <c:formatCode>General</c:formatCode>
                <c:ptCount val="1"/>
                <c:pt idx="0">
                  <c:v>3</c:v>
                </c:pt>
              </c:numCache>
            </c:numRef>
          </c:xVal>
          <c:yVal>
            <c:numRef>
              <c:f>'Temperature Extremes'!$J$774</c:f>
              <c:numCache>
                <c:formatCode>General</c:formatCode>
                <c:ptCount val="1"/>
                <c:pt idx="0">
                  <c:v>0</c:v>
                </c:pt>
              </c:numCache>
            </c:numRef>
          </c:yVal>
          <c:smooth val="0"/>
          <c:extLst>
            <c:ext xmlns:c16="http://schemas.microsoft.com/office/drawing/2014/chart" uri="{C3380CC4-5D6E-409C-BE32-E72D297353CC}">
              <c16:uniqueId val="{00000004-7B8B-406C-B833-4C8E2D1D0AD6}"/>
            </c:ext>
          </c:extLst>
        </c:ser>
        <c:ser>
          <c:idx val="5"/>
          <c:order val="5"/>
          <c:tx>
            <c:strRef>
              <c:f>'Temperature Extremes'!$C$777</c:f>
              <c:strCache>
                <c:ptCount val="1"/>
                <c:pt idx="0">
                  <c:v>Vision Disability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Extremes'!$J$779</c:f>
              <c:numCache>
                <c:formatCode>General</c:formatCode>
                <c:ptCount val="1"/>
                <c:pt idx="0">
                  <c:v>3</c:v>
                </c:pt>
              </c:numCache>
            </c:numRef>
          </c:xVal>
          <c:yVal>
            <c:numRef>
              <c:f>'Temperature Extremes'!$J$768</c:f>
              <c:numCache>
                <c:formatCode>General</c:formatCode>
                <c:ptCount val="1"/>
                <c:pt idx="0">
                  <c:v>1</c:v>
                </c:pt>
              </c:numCache>
            </c:numRef>
          </c:yVal>
          <c:smooth val="0"/>
          <c:extLst>
            <c:ext xmlns:c16="http://schemas.microsoft.com/office/drawing/2014/chart" uri="{C3380CC4-5D6E-409C-BE32-E72D297353CC}">
              <c16:uniqueId val="{00000005-7B8B-406C-B833-4C8E2D1D0AD6}"/>
            </c:ext>
          </c:extLst>
        </c:ser>
        <c:ser>
          <c:idx val="6"/>
          <c:order val="6"/>
          <c:tx>
            <c:strRef>
              <c:f>'Temperature Extremes'!$C$781</c:f>
              <c:strCache>
                <c:ptCount val="1"/>
                <c:pt idx="0">
                  <c:v>Ambulatory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Extremes'!$J$783</c:f>
              <c:numCache>
                <c:formatCode>General</c:formatCode>
                <c:ptCount val="1"/>
                <c:pt idx="0">
                  <c:v>2</c:v>
                </c:pt>
              </c:numCache>
            </c:numRef>
          </c:xVal>
          <c:yVal>
            <c:numRef>
              <c:f>'Temperature Extremes'!$J$782</c:f>
              <c:numCache>
                <c:formatCode>General</c:formatCode>
                <c:ptCount val="1"/>
                <c:pt idx="0">
                  <c:v>0</c:v>
                </c:pt>
              </c:numCache>
            </c:numRef>
          </c:yVal>
          <c:smooth val="0"/>
          <c:extLst>
            <c:ext xmlns:c16="http://schemas.microsoft.com/office/drawing/2014/chart" uri="{C3380CC4-5D6E-409C-BE32-E72D297353CC}">
              <c16:uniqueId val="{00000006-7B8B-406C-B833-4C8E2D1D0AD6}"/>
            </c:ext>
          </c:extLst>
        </c:ser>
        <c:ser>
          <c:idx val="7"/>
          <c:order val="7"/>
          <c:tx>
            <c:strRef>
              <c:f>'Temperature Extremes'!$C$785</c:f>
              <c:strCache>
                <c:ptCount val="1"/>
                <c:pt idx="0">
                  <c:v>Cognitive Disability</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7B8B-406C-B833-4C8E2D1D0AD6}"/>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'Temperature Extremes'!$J$787</c:f>
              <c:numCache>
                <c:formatCode>General</c:formatCode>
                <c:ptCount val="1"/>
                <c:pt idx="0">
                  <c:v>3</c:v>
                </c:pt>
              </c:numCache>
            </c:numRef>
          </c:xVal>
          <c:yVal>
            <c:numRef>
              <c:f>'Temperature Extremes'!$J$786</c:f>
              <c:numCache>
                <c:formatCode>General</c:formatCode>
                <c:ptCount val="1"/>
                <c:pt idx="0">
                  <c:v>0</c:v>
                </c:pt>
              </c:numCache>
            </c:numRef>
          </c:yVal>
          <c:smooth val="0"/>
          <c:extLst>
            <c:ext xmlns:c16="http://schemas.microsoft.com/office/drawing/2014/chart" uri="{C3380CC4-5D6E-409C-BE32-E72D297353CC}">
              <c16:uniqueId val="{00000008-7B8B-406C-B833-4C8E2D1D0AD6}"/>
            </c:ext>
          </c:extLst>
        </c:ser>
        <c:ser>
          <c:idx val="8"/>
          <c:order val="8"/>
          <c:tx>
            <c:strRef>
              <c:f>'Temperature Extremes'!$C$789</c:f>
              <c:strCache>
                <c:ptCount val="1"/>
                <c:pt idx="0">
                  <c:v>Limited English Proficiency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Extremes'!$J$791</c:f>
              <c:numCache>
                <c:formatCode>General</c:formatCode>
                <c:ptCount val="1"/>
                <c:pt idx="0">
                  <c:v>3</c:v>
                </c:pt>
              </c:numCache>
            </c:numRef>
          </c:xVal>
          <c:yVal>
            <c:numRef>
              <c:f>'Temperature Extremes'!$J$790</c:f>
              <c:numCache>
                <c:formatCode>General</c:formatCode>
                <c:ptCount val="1"/>
                <c:pt idx="0">
                  <c:v>0</c:v>
                </c:pt>
              </c:numCache>
            </c:numRef>
          </c:yVal>
          <c:smooth val="0"/>
          <c:extLst>
            <c:ext xmlns:c16="http://schemas.microsoft.com/office/drawing/2014/chart" uri="{C3380CC4-5D6E-409C-BE32-E72D297353CC}">
              <c16:uniqueId val="{00000009-7B8B-406C-B833-4C8E2D1D0AD6}"/>
            </c:ext>
          </c:extLst>
        </c:ser>
        <c:dLbls>
          <c:showLegendKey val="0"/>
          <c:showVal val="1"/>
          <c:showCatName val="0"/>
          <c:showSerName val="0"/>
          <c:showPercent val="0"/>
          <c:showBubbleSize val="0"/>
        </c:dLbls>
        <c:axId val="150560128"/>
        <c:axId val="150582784"/>
      </c:scatterChart>
      <c:valAx>
        <c:axId val="150560128"/>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50582784"/>
        <c:crosses val="autoZero"/>
        <c:crossBetween val="midCat"/>
        <c:majorUnit val="1"/>
        <c:minorUnit val="0.1"/>
      </c:valAx>
      <c:valAx>
        <c:axId val="150582784"/>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50560128"/>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'Temperature Extremes'!$C$853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Extremes'!$J$854</c:f>
              <c:numCache>
                <c:formatCode>General</c:formatCode>
                <c:ptCount val="1"/>
                <c:pt idx="0">
                  <c:v>4</c:v>
                </c:pt>
              </c:numCache>
            </c:numRef>
          </c:xVal>
          <c:yVal>
            <c:numRef>
              <c:f>'Temperature Extremes'!$J$855</c:f>
              <c:numCache>
                <c:formatCode>General</c:formatCode>
                <c:ptCount val="1"/>
                <c:pt idx="0">
                  <c:v>0</c:v>
                </c:pt>
              </c:numCache>
            </c:numRef>
          </c:yVal>
          <c:smooth val="0"/>
          <c:extLst>
            <c:ext xmlns:c16="http://schemas.microsoft.com/office/drawing/2014/chart" uri="{C3380CC4-5D6E-409C-BE32-E72D297353CC}">
              <c16:uniqueId val="{00000000-AF80-4EDB-A474-5B443894E463}"/>
            </c:ext>
          </c:extLst>
        </c:ser>
        <c:ser>
          <c:idx val="1"/>
          <c:order val="1"/>
          <c:tx>
            <c:strRef>
              <c:f>'Temperature Extremes'!$C$857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Extremes'!$J$858</c:f>
              <c:numCache>
                <c:formatCode>General</c:formatCode>
                <c:ptCount val="1"/>
                <c:pt idx="0">
                  <c:v>2</c:v>
                </c:pt>
              </c:numCache>
            </c:numRef>
          </c:xVal>
          <c:yVal>
            <c:numRef>
              <c:f>'Temperature Extremes'!$J$859</c:f>
              <c:numCache>
                <c:formatCode>General</c:formatCode>
                <c:ptCount val="1"/>
                <c:pt idx="0">
                  <c:v>0</c:v>
                </c:pt>
              </c:numCache>
            </c:numRef>
          </c:yVal>
          <c:smooth val="0"/>
          <c:extLst>
            <c:ext xmlns:c16="http://schemas.microsoft.com/office/drawing/2014/chart" uri="{C3380CC4-5D6E-409C-BE32-E72D297353CC}">
              <c16:uniqueId val="{00000001-AF80-4EDB-A474-5B443894E463}"/>
            </c:ext>
          </c:extLst>
        </c:ser>
        <c:ser>
          <c:idx val="2"/>
          <c:order val="2"/>
          <c:tx>
            <c:strRef>
              <c:f>'Temperature Extremes'!$C$861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Extremes'!$J$862</c:f>
              <c:numCache>
                <c:formatCode>General</c:formatCode>
                <c:ptCount val="1"/>
                <c:pt idx="0">
                  <c:v>0</c:v>
                </c:pt>
              </c:numCache>
            </c:numRef>
          </c:xVal>
          <c:yVal>
            <c:numRef>
              <c:f>'Temperature Extremes'!$J$863</c:f>
              <c:numCache>
                <c:formatCode>General</c:formatCode>
                <c:ptCount val="1"/>
                <c:pt idx="0">
                  <c:v>0</c:v>
                </c:pt>
              </c:numCache>
            </c:numRef>
          </c:yVal>
          <c:smooth val="0"/>
          <c:extLst>
            <c:ext xmlns:c16="http://schemas.microsoft.com/office/drawing/2014/chart" uri="{C3380CC4-5D6E-409C-BE32-E72D297353CC}">
              <c16:uniqueId val="{00000002-AF80-4EDB-A474-5B443894E463}"/>
            </c:ext>
          </c:extLst>
        </c:ser>
        <c:ser>
          <c:idx val="3"/>
          <c:order val="3"/>
          <c:tx>
            <c:strRef>
              <c:f>'Temperature Extremes'!$C$865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Extremes'!$J$866</c:f>
              <c:numCache>
                <c:formatCode>General</c:formatCode>
                <c:ptCount val="1"/>
                <c:pt idx="0">
                  <c:v>1</c:v>
                </c:pt>
              </c:numCache>
            </c:numRef>
          </c:xVal>
          <c:yVal>
            <c:numRef>
              <c:f>'Temperature Extremes'!$J$867</c:f>
              <c:numCache>
                <c:formatCode>General</c:formatCode>
                <c:ptCount val="1"/>
                <c:pt idx="0">
                  <c:v>0</c:v>
                </c:pt>
              </c:numCache>
            </c:numRef>
          </c:yVal>
          <c:smooth val="0"/>
          <c:extLst>
            <c:ext xmlns:c16="http://schemas.microsoft.com/office/drawing/2014/chart" uri="{C3380CC4-5D6E-409C-BE32-E72D297353CC}">
              <c16:uniqueId val="{00000003-AF80-4EDB-A474-5B443894E463}"/>
            </c:ext>
          </c:extLst>
        </c:ser>
        <c:ser>
          <c:idx val="4"/>
          <c:order val="4"/>
          <c:tx>
            <c:strRef>
              <c:f>'Temperature Extremes'!$C$869</c:f>
              <c:strCache>
                <c:ptCount val="1"/>
                <c:pt idx="0">
                  <c:v>Medical Surge</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Extremes'!$J$870</c:f>
              <c:numCache>
                <c:formatCode>General</c:formatCode>
                <c:ptCount val="1"/>
                <c:pt idx="0">
                  <c:v>2</c:v>
                </c:pt>
              </c:numCache>
            </c:numRef>
          </c:xVal>
          <c:yVal>
            <c:numRef>
              <c:f>'Temperature Extremes'!$J$871</c:f>
              <c:numCache>
                <c:formatCode>General</c:formatCode>
                <c:ptCount val="1"/>
                <c:pt idx="0">
                  <c:v>0</c:v>
                </c:pt>
              </c:numCache>
            </c:numRef>
          </c:yVal>
          <c:smooth val="0"/>
          <c:extLst>
            <c:ext xmlns:c16="http://schemas.microsoft.com/office/drawing/2014/chart" uri="{C3380CC4-5D6E-409C-BE32-E72D297353CC}">
              <c16:uniqueId val="{00000004-AF80-4EDB-A474-5B443894E463}"/>
            </c:ext>
          </c:extLst>
        </c:ser>
        <c:ser>
          <c:idx val="5"/>
          <c:order val="5"/>
          <c:tx>
            <c:strRef>
              <c:f>'Temperature Extremes'!$C$873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Extremes'!$J$874</c:f>
              <c:numCache>
                <c:formatCode>General</c:formatCode>
                <c:ptCount val="1"/>
                <c:pt idx="0">
                  <c:v>0</c:v>
                </c:pt>
              </c:numCache>
            </c:numRef>
          </c:xVal>
          <c:yVal>
            <c:numRef>
              <c:f>'Temperature Extremes'!$J$875</c:f>
              <c:numCache>
                <c:formatCode>General</c:formatCode>
                <c:ptCount val="1"/>
                <c:pt idx="0">
                  <c:v>0</c:v>
                </c:pt>
              </c:numCache>
            </c:numRef>
          </c:yVal>
          <c:smooth val="0"/>
          <c:extLst>
            <c:ext xmlns:c16="http://schemas.microsoft.com/office/drawing/2014/chart" uri="{C3380CC4-5D6E-409C-BE32-E72D297353CC}">
              <c16:uniqueId val="{00000005-AF80-4EDB-A474-5B443894E463}"/>
            </c:ext>
          </c:extLst>
        </c:ser>
        <c:ser>
          <c:idx val="6"/>
          <c:order val="6"/>
          <c:tx>
            <c:strRef>
              <c:f>'Temperature Extremes'!$C$877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Extremes'!$J$878</c:f>
              <c:numCache>
                <c:formatCode>General</c:formatCode>
                <c:ptCount val="1"/>
                <c:pt idx="0">
                  <c:v>0</c:v>
                </c:pt>
              </c:numCache>
            </c:numRef>
          </c:xVal>
          <c:yVal>
            <c:numRef>
              <c:f>'Temperature Extremes'!$J$879</c:f>
              <c:numCache>
                <c:formatCode>General</c:formatCode>
                <c:ptCount val="1"/>
                <c:pt idx="0">
                  <c:v>0</c:v>
                </c:pt>
              </c:numCache>
            </c:numRef>
          </c:yVal>
          <c:smooth val="0"/>
          <c:extLst>
            <c:ext xmlns:c16="http://schemas.microsoft.com/office/drawing/2014/chart" uri="{C3380CC4-5D6E-409C-BE32-E72D297353CC}">
              <c16:uniqueId val="{00000006-AF80-4EDB-A474-5B443894E463}"/>
            </c:ext>
          </c:extLst>
        </c:ser>
        <c:ser>
          <c:idx val="7"/>
          <c:order val="7"/>
          <c:tx>
            <c:strRef>
              <c:f>'Temperature Extremes'!$C$881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Extremes'!$J$882</c:f>
              <c:numCache>
                <c:formatCode>General</c:formatCode>
                <c:ptCount val="1"/>
                <c:pt idx="0">
                  <c:v>2</c:v>
                </c:pt>
              </c:numCache>
            </c:numRef>
          </c:xVal>
          <c:yVal>
            <c:numRef>
              <c:f>'Temperature Extremes'!$J$883</c:f>
              <c:numCache>
                <c:formatCode>General</c:formatCode>
                <c:ptCount val="1"/>
                <c:pt idx="0">
                  <c:v>0</c:v>
                </c:pt>
              </c:numCache>
            </c:numRef>
          </c:yVal>
          <c:smooth val="0"/>
          <c:extLst>
            <c:ext xmlns:c16="http://schemas.microsoft.com/office/drawing/2014/chart" uri="{C3380CC4-5D6E-409C-BE32-E72D297353CC}">
              <c16:uniqueId val="{00000007-AF80-4EDB-A474-5B443894E463}"/>
            </c:ext>
          </c:extLst>
        </c:ser>
        <c:ser>
          <c:idx val="8"/>
          <c:order val="8"/>
          <c:tx>
            <c:strRef>
              <c:f>'Temperature Extremes'!$C$885</c:f>
              <c:strCache>
                <c:ptCount val="1"/>
                <c:pt idx="0">
                  <c:v>Responder Safety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Extremes'!$J$886</c:f>
              <c:numCache>
                <c:formatCode>General</c:formatCode>
                <c:ptCount val="1"/>
                <c:pt idx="0">
                  <c:v>1</c:v>
                </c:pt>
              </c:numCache>
            </c:numRef>
          </c:xVal>
          <c:yVal>
            <c:numRef>
              <c:f>'Temperature Extremes'!$J$887</c:f>
              <c:numCache>
                <c:formatCode>General</c:formatCode>
                <c:ptCount val="1"/>
                <c:pt idx="0">
                  <c:v>0</c:v>
                </c:pt>
              </c:numCache>
            </c:numRef>
          </c:yVal>
          <c:smooth val="0"/>
          <c:extLst>
            <c:ext xmlns:c16="http://schemas.microsoft.com/office/drawing/2014/chart" uri="{C3380CC4-5D6E-409C-BE32-E72D297353CC}">
              <c16:uniqueId val="{00000008-AF80-4EDB-A474-5B443894E463}"/>
            </c:ext>
          </c:extLst>
        </c:ser>
        <c:ser>
          <c:idx val="9"/>
          <c:order val="9"/>
          <c:tx>
            <c:strRef>
              <c:f>'Temperature Extremes'!$C$889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Extremes'!$J$890</c:f>
              <c:numCache>
                <c:formatCode>General</c:formatCode>
                <c:ptCount val="1"/>
                <c:pt idx="0">
                  <c:v>2</c:v>
                </c:pt>
              </c:numCache>
            </c:numRef>
          </c:xVal>
          <c:yVal>
            <c:numRef>
              <c:f>'Temperature Extremes'!$J$891</c:f>
              <c:numCache>
                <c:formatCode>General</c:formatCode>
                <c:ptCount val="1"/>
                <c:pt idx="0">
                  <c:v>0</c:v>
                </c:pt>
              </c:numCache>
            </c:numRef>
          </c:yVal>
          <c:smooth val="0"/>
          <c:extLst>
            <c:ext xmlns:c16="http://schemas.microsoft.com/office/drawing/2014/chart" uri="{C3380CC4-5D6E-409C-BE32-E72D297353CC}">
              <c16:uniqueId val="{00000009-AF80-4EDB-A474-5B443894E463}"/>
            </c:ext>
          </c:extLst>
        </c:ser>
        <c:ser>
          <c:idx val="10"/>
          <c:order val="10"/>
          <c:tx>
            <c:strRef>
              <c:f>'Temperature Extremes'!$C$833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Extremes'!$J$834</c:f>
              <c:numCache>
                <c:formatCode>General</c:formatCode>
                <c:ptCount val="1"/>
                <c:pt idx="0">
                  <c:v>4</c:v>
                </c:pt>
              </c:numCache>
            </c:numRef>
          </c:xVal>
          <c:yVal>
            <c:numRef>
              <c:f>'Temperature Extremes'!$J$835</c:f>
              <c:numCache>
                <c:formatCode>General</c:formatCode>
                <c:ptCount val="1"/>
                <c:pt idx="0">
                  <c:v>0</c:v>
                </c:pt>
              </c:numCache>
            </c:numRef>
          </c:yVal>
          <c:smooth val="0"/>
          <c:extLst>
            <c:ext xmlns:c16="http://schemas.microsoft.com/office/drawing/2014/chart" uri="{C3380CC4-5D6E-409C-BE32-E72D297353CC}">
              <c16:uniqueId val="{0000000A-AF80-4EDB-A474-5B443894E463}"/>
            </c:ext>
          </c:extLst>
        </c:ser>
        <c:ser>
          <c:idx val="11"/>
          <c:order val="11"/>
          <c:tx>
            <c:strRef>
              <c:f>'Temperature Extremes'!$C$837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Extremes'!$J$838</c:f>
              <c:numCache>
                <c:formatCode>General</c:formatCode>
                <c:ptCount val="1"/>
                <c:pt idx="0">
                  <c:v>2</c:v>
                </c:pt>
              </c:numCache>
            </c:numRef>
          </c:xVal>
          <c:yVal>
            <c:numRef>
              <c:f>'Temperature Extremes'!$J$839</c:f>
              <c:numCache>
                <c:formatCode>General</c:formatCode>
                <c:ptCount val="1"/>
                <c:pt idx="0">
                  <c:v>0</c:v>
                </c:pt>
              </c:numCache>
            </c:numRef>
          </c:yVal>
          <c:smooth val="0"/>
          <c:extLst>
            <c:ext xmlns:c16="http://schemas.microsoft.com/office/drawing/2014/chart" uri="{C3380CC4-5D6E-409C-BE32-E72D297353CC}">
              <c16:uniqueId val="{0000000B-AF80-4EDB-A474-5B443894E463}"/>
            </c:ext>
          </c:extLst>
        </c:ser>
        <c:ser>
          <c:idx val="12"/>
          <c:order val="12"/>
          <c:tx>
            <c:strRef>
              <c:f>'Temperature Extremes'!$C$841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Extremes'!$J$842</c:f>
              <c:numCache>
                <c:formatCode>General</c:formatCode>
                <c:ptCount val="1"/>
                <c:pt idx="0">
                  <c:v>4</c:v>
                </c:pt>
              </c:numCache>
            </c:numRef>
          </c:xVal>
          <c:yVal>
            <c:numRef>
              <c:f>'Temperature Extremes'!$J$843</c:f>
              <c:numCache>
                <c:formatCode>General</c:formatCode>
                <c:ptCount val="1"/>
                <c:pt idx="0">
                  <c:v>0</c:v>
                </c:pt>
              </c:numCache>
            </c:numRef>
          </c:yVal>
          <c:smooth val="0"/>
          <c:extLst>
            <c:ext xmlns:c16="http://schemas.microsoft.com/office/drawing/2014/chart" uri="{C3380CC4-5D6E-409C-BE32-E72D297353CC}">
              <c16:uniqueId val="{0000000C-AF80-4EDB-A474-5B443894E463}"/>
            </c:ext>
          </c:extLst>
        </c:ser>
        <c:ser>
          <c:idx val="13"/>
          <c:order val="13"/>
          <c:tx>
            <c:strRef>
              <c:f>'Temperature Extremes'!$C$845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Extremes'!$J$846</c:f>
              <c:numCache>
                <c:formatCode>General</c:formatCode>
                <c:ptCount val="1"/>
                <c:pt idx="0">
                  <c:v>4</c:v>
                </c:pt>
              </c:numCache>
            </c:numRef>
          </c:xVal>
          <c:yVal>
            <c:numRef>
              <c:f>'Temperature Extremes'!$J$847</c:f>
              <c:numCache>
                <c:formatCode>General</c:formatCode>
                <c:ptCount val="1"/>
                <c:pt idx="0">
                  <c:v>0</c:v>
                </c:pt>
              </c:numCache>
            </c:numRef>
          </c:yVal>
          <c:smooth val="0"/>
          <c:extLst>
            <c:ext xmlns:c16="http://schemas.microsoft.com/office/drawing/2014/chart" uri="{C3380CC4-5D6E-409C-BE32-E72D297353CC}">
              <c16:uniqueId val="{0000000D-AF80-4EDB-A474-5B443894E463}"/>
            </c:ext>
          </c:extLst>
        </c:ser>
        <c:ser>
          <c:idx val="14"/>
          <c:order val="14"/>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0E-AF80-4EDB-A474-5B443894E463}"/>
            </c:ext>
          </c:extLst>
        </c:ser>
        <c:dLbls>
          <c:showLegendKey val="0"/>
          <c:showVal val="1"/>
          <c:showCatName val="0"/>
          <c:showSerName val="0"/>
          <c:showPercent val="0"/>
          <c:showBubbleSize val="0"/>
        </c:dLbls>
        <c:axId val="151034496"/>
        <c:axId val="151048960"/>
      </c:scatterChart>
      <c:valAx>
        <c:axId val="15103449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1048960"/>
        <c:crosses val="autoZero"/>
        <c:crossBetween val="midCat"/>
        <c:majorUnit val="1"/>
        <c:minorUnit val="0.1"/>
      </c:valAx>
      <c:valAx>
        <c:axId val="15104896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103449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7520534497628488"/>
          <c:y val="1.3244983721297133E-2"/>
        </c:manualLayout>
      </c:layout>
      <c:overlay val="0"/>
    </c:title>
    <c:autoTitleDeleted val="0"/>
    <c:plotArea>
      <c:layout/>
      <c:scatterChart>
        <c:scatterStyle val="lineMarker"/>
        <c:varyColors val="0"/>
        <c:ser>
          <c:idx val="0"/>
          <c:order val="0"/>
          <c:tx>
            <c:strRef>
              <c:f>'Temperature Extremes'!$C$903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Extremes'!$J$904</c:f>
              <c:numCache>
                <c:formatCode>General</c:formatCode>
                <c:ptCount val="1"/>
                <c:pt idx="0">
                  <c:v>4</c:v>
                </c:pt>
              </c:numCache>
            </c:numRef>
          </c:xVal>
          <c:yVal>
            <c:numRef>
              <c:f>'Temperature Extremes'!$J$905</c:f>
              <c:numCache>
                <c:formatCode>General</c:formatCode>
                <c:ptCount val="1"/>
                <c:pt idx="0">
                  <c:v>0</c:v>
                </c:pt>
              </c:numCache>
            </c:numRef>
          </c:yVal>
          <c:smooth val="0"/>
          <c:extLst>
            <c:ext xmlns:c16="http://schemas.microsoft.com/office/drawing/2014/chart" uri="{C3380CC4-5D6E-409C-BE32-E72D297353CC}">
              <c16:uniqueId val="{00000000-F56D-420F-A78F-B1285103BCBA}"/>
            </c:ext>
          </c:extLst>
        </c:ser>
        <c:ser>
          <c:idx val="1"/>
          <c:order val="1"/>
          <c:tx>
            <c:strRef>
              <c:f>'Temperature Extremes'!$C$907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Extremes'!$J$908</c:f>
              <c:numCache>
                <c:formatCode>General</c:formatCode>
                <c:ptCount val="1"/>
                <c:pt idx="0">
                  <c:v>2</c:v>
                </c:pt>
              </c:numCache>
            </c:numRef>
          </c:xVal>
          <c:yVal>
            <c:numRef>
              <c:f>'Temperature Extremes'!$J$909</c:f>
              <c:numCache>
                <c:formatCode>General</c:formatCode>
                <c:ptCount val="1"/>
                <c:pt idx="0">
                  <c:v>0</c:v>
                </c:pt>
              </c:numCache>
            </c:numRef>
          </c:yVal>
          <c:smooth val="0"/>
          <c:extLst>
            <c:ext xmlns:c16="http://schemas.microsoft.com/office/drawing/2014/chart" uri="{C3380CC4-5D6E-409C-BE32-E72D297353CC}">
              <c16:uniqueId val="{00000001-F56D-420F-A78F-B1285103BCBA}"/>
            </c:ext>
          </c:extLst>
        </c:ser>
        <c:ser>
          <c:idx val="2"/>
          <c:order val="2"/>
          <c:tx>
            <c:strRef>
              <c:f>'Temperature Extremes'!$C$911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Extremes'!$J$912</c:f>
              <c:numCache>
                <c:formatCode>General</c:formatCode>
                <c:ptCount val="1"/>
                <c:pt idx="0">
                  <c:v>4</c:v>
                </c:pt>
              </c:numCache>
            </c:numRef>
          </c:xVal>
          <c:yVal>
            <c:numRef>
              <c:f>'Temperature Extremes'!$J$913</c:f>
              <c:numCache>
                <c:formatCode>General</c:formatCode>
                <c:ptCount val="1"/>
                <c:pt idx="0">
                  <c:v>0</c:v>
                </c:pt>
              </c:numCache>
            </c:numRef>
          </c:yVal>
          <c:smooth val="0"/>
          <c:extLst>
            <c:ext xmlns:c16="http://schemas.microsoft.com/office/drawing/2014/chart" uri="{C3380CC4-5D6E-409C-BE32-E72D297353CC}">
              <c16:uniqueId val="{00000002-F56D-420F-A78F-B1285103BCBA}"/>
            </c:ext>
          </c:extLst>
        </c:ser>
        <c:ser>
          <c:idx val="3"/>
          <c:order val="3"/>
          <c:tx>
            <c:strRef>
              <c:f>'Temperature Extremes'!$C$915</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Extremes'!$J$916</c:f>
              <c:numCache>
                <c:formatCode>General</c:formatCode>
                <c:ptCount val="1"/>
                <c:pt idx="0">
                  <c:v>3</c:v>
                </c:pt>
              </c:numCache>
            </c:numRef>
          </c:xVal>
          <c:yVal>
            <c:numRef>
              <c:f>'Temperature Extremes'!$J$917</c:f>
              <c:numCache>
                <c:formatCode>General</c:formatCode>
                <c:ptCount val="1"/>
                <c:pt idx="0">
                  <c:v>0</c:v>
                </c:pt>
              </c:numCache>
            </c:numRef>
          </c:yVal>
          <c:smooth val="0"/>
          <c:extLst>
            <c:ext xmlns:c16="http://schemas.microsoft.com/office/drawing/2014/chart" uri="{C3380CC4-5D6E-409C-BE32-E72D297353CC}">
              <c16:uniqueId val="{00000003-F56D-420F-A78F-B1285103BCBA}"/>
            </c:ext>
          </c:extLst>
        </c:ser>
        <c:ser>
          <c:idx val="4"/>
          <c:order val="4"/>
          <c:tx>
            <c:strRef>
              <c:f>'Temperature Extremes'!$C$919</c:f>
              <c:strCache>
                <c:ptCount val="1"/>
                <c:pt idx="0">
                  <c:v>Info Sharing</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Extremes'!$J$920</c:f>
              <c:numCache>
                <c:formatCode>General</c:formatCode>
                <c:ptCount val="1"/>
                <c:pt idx="0">
                  <c:v>4</c:v>
                </c:pt>
              </c:numCache>
            </c:numRef>
          </c:xVal>
          <c:yVal>
            <c:numRef>
              <c:f>'Temperature Extremes'!$J$921</c:f>
              <c:numCache>
                <c:formatCode>General</c:formatCode>
                <c:ptCount val="1"/>
                <c:pt idx="0">
                  <c:v>0</c:v>
                </c:pt>
              </c:numCache>
            </c:numRef>
          </c:yVal>
          <c:smooth val="0"/>
          <c:extLst>
            <c:ext xmlns:c16="http://schemas.microsoft.com/office/drawing/2014/chart" uri="{C3380CC4-5D6E-409C-BE32-E72D297353CC}">
              <c16:uniqueId val="{00000004-F56D-420F-A78F-B1285103BCBA}"/>
            </c:ext>
          </c:extLst>
        </c:ser>
        <c:ser>
          <c:idx val="5"/>
          <c:order val="5"/>
          <c:tx>
            <c:strRef>
              <c:f>'Temperature Extremes'!$C$923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Extremes'!$J$924</c:f>
              <c:numCache>
                <c:formatCode>General</c:formatCode>
                <c:ptCount val="1"/>
                <c:pt idx="0">
                  <c:v>2</c:v>
                </c:pt>
              </c:numCache>
            </c:numRef>
          </c:xVal>
          <c:yVal>
            <c:numRef>
              <c:f>'Temperature Extremes'!$J$925</c:f>
              <c:numCache>
                <c:formatCode>General</c:formatCode>
                <c:ptCount val="1"/>
                <c:pt idx="0">
                  <c:v>0</c:v>
                </c:pt>
              </c:numCache>
            </c:numRef>
          </c:yVal>
          <c:smooth val="0"/>
          <c:extLst>
            <c:ext xmlns:c16="http://schemas.microsoft.com/office/drawing/2014/chart" uri="{C3380CC4-5D6E-409C-BE32-E72D297353CC}">
              <c16:uniqueId val="{00000005-F56D-420F-A78F-B1285103BCBA}"/>
            </c:ext>
          </c:extLst>
        </c:ser>
        <c:ser>
          <c:idx val="6"/>
          <c:order val="6"/>
          <c:tx>
            <c:strRef>
              <c:f>'Temperature Extremes'!$C$927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Extremes'!$J$928</c:f>
              <c:numCache>
                <c:formatCode>General</c:formatCode>
                <c:ptCount val="1"/>
                <c:pt idx="0">
                  <c:v>1</c:v>
                </c:pt>
              </c:numCache>
            </c:numRef>
          </c:xVal>
          <c:yVal>
            <c:numRef>
              <c:f>'Temperature Extremes'!$J$929</c:f>
              <c:numCache>
                <c:formatCode>General</c:formatCode>
                <c:ptCount val="1"/>
                <c:pt idx="0">
                  <c:v>0</c:v>
                </c:pt>
              </c:numCache>
            </c:numRef>
          </c:yVal>
          <c:smooth val="0"/>
          <c:extLst>
            <c:ext xmlns:c16="http://schemas.microsoft.com/office/drawing/2014/chart" uri="{C3380CC4-5D6E-409C-BE32-E72D297353CC}">
              <c16:uniqueId val="{00000006-F56D-420F-A78F-B1285103BCBA}"/>
            </c:ext>
          </c:extLst>
        </c:ser>
        <c:ser>
          <c:idx val="7"/>
          <c:order val="7"/>
          <c:tx>
            <c:strRef>
              <c:f>'Temperature Extremes'!$C$931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'Temperature Extremes'!$J$932</c:f>
              <c:numCache>
                <c:formatCode>General</c:formatCode>
                <c:ptCount val="1"/>
                <c:pt idx="0">
                  <c:v>2</c:v>
                </c:pt>
              </c:numCache>
            </c:numRef>
          </c:xVal>
          <c:yVal>
            <c:numRef>
              <c:f>'Temperature Extremes'!$J$933</c:f>
              <c:numCache>
                <c:formatCode>General</c:formatCode>
                <c:ptCount val="1"/>
                <c:pt idx="0">
                  <c:v>0</c:v>
                </c:pt>
              </c:numCache>
            </c:numRef>
          </c:yVal>
          <c:smooth val="0"/>
          <c:extLst>
            <c:ext xmlns:c16="http://schemas.microsoft.com/office/drawing/2014/chart" uri="{C3380CC4-5D6E-409C-BE32-E72D297353CC}">
              <c16:uniqueId val="{00000007-F56D-420F-A78F-B1285103BCBA}"/>
            </c:ext>
          </c:extLst>
        </c:ser>
        <c:ser>
          <c:idx val="14"/>
          <c:order val="8"/>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08-F56D-420F-A78F-B1285103BCBA}"/>
            </c:ext>
          </c:extLst>
        </c:ser>
        <c:dLbls>
          <c:showLegendKey val="0"/>
          <c:showVal val="1"/>
          <c:showCatName val="0"/>
          <c:showSerName val="0"/>
          <c:showPercent val="0"/>
          <c:showBubbleSize val="0"/>
        </c:dLbls>
        <c:axId val="150850176"/>
        <c:axId val="150860544"/>
      </c:scatterChart>
      <c:valAx>
        <c:axId val="15085017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0860544"/>
        <c:crosses val="autoZero"/>
        <c:crossBetween val="midCat"/>
        <c:majorUnit val="1"/>
        <c:minorUnit val="0.1"/>
      </c:valAx>
      <c:valAx>
        <c:axId val="15086054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085017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(Tornado!$J$133,Tornado!$J$261,Tornado!$J$421,Tornado!$J$539,Tornado!$J$681)</c:f>
              <c:numCache>
                <c:formatCode>0.00</c:formatCode>
                <c:ptCount val="5"/>
                <c:pt idx="0">
                  <c:v>0.83333333333333337</c:v>
                </c:pt>
                <c:pt idx="1">
                  <c:v>0</c:v>
                </c:pt>
                <c:pt idx="2">
                  <c:v>1.375</c:v>
                </c:pt>
                <c:pt idx="3">
                  <c:v>2.0714285714285716</c:v>
                </c:pt>
                <c:pt idx="4">
                  <c:v>0</c:v>
                </c:pt>
              </c:numCache>
            </c:numRef>
          </c:val>
          <c:extLst>
            <c:ext xmlns:c16="http://schemas.microsoft.com/office/drawing/2014/chart" uri="{C3380CC4-5D6E-409C-BE32-E72D297353CC}">
              <c16:uniqueId val="{00000000-FC52-4AC3-AA06-880A2E2AED70}"/>
            </c:ext>
          </c:extLst>
        </c:ser>
        <c:dLbls>
          <c:showLegendKey val="0"/>
          <c:showVal val="1"/>
          <c:showCatName val="0"/>
          <c:showSerName val="0"/>
          <c:showPercent val="0"/>
          <c:showBubbleSize val="0"/>
        </c:dLbls>
        <c:gapWidth val="150"/>
        <c:axId val="150894080"/>
        <c:axId val="150913792"/>
      </c:barChart>
      <c:catAx>
        <c:axId val="150894080"/>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50913792"/>
        <c:crosses val="autoZero"/>
        <c:auto val="1"/>
        <c:lblAlgn val="ctr"/>
        <c:lblOffset val="100"/>
        <c:noMultiLvlLbl val="0"/>
      </c:catAx>
      <c:valAx>
        <c:axId val="150913792"/>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50894080"/>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Tornado!$C$793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Tornado!$J$795</c:f>
              <c:numCache>
                <c:formatCode>General</c:formatCode>
                <c:ptCount val="1"/>
                <c:pt idx="0">
                  <c:v>2</c:v>
                </c:pt>
              </c:numCache>
            </c:numRef>
          </c:xVal>
          <c:yVal>
            <c:numRef>
              <c:f>Tornado!$J$794</c:f>
              <c:numCache>
                <c:formatCode>General</c:formatCode>
                <c:ptCount val="1"/>
                <c:pt idx="0">
                  <c:v>0</c:v>
                </c:pt>
              </c:numCache>
            </c:numRef>
          </c:yVal>
          <c:smooth val="0"/>
          <c:extLst>
            <c:ext xmlns:c16="http://schemas.microsoft.com/office/drawing/2014/chart" uri="{C3380CC4-5D6E-409C-BE32-E72D297353CC}">
              <c16:uniqueId val="{00000000-3E8E-4959-BFFA-804238302FC5}"/>
            </c:ext>
          </c:extLst>
        </c:ser>
        <c:ser>
          <c:idx val="1"/>
          <c:order val="1"/>
          <c:tx>
            <c:strRef>
              <c:f>Tornado!$C$797</c:f>
              <c:strCache>
                <c:ptCount val="1"/>
                <c:pt idx="0">
                  <c:v>Chronic Diseases (Diabetes)</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Tornado!$J$799</c:f>
              <c:numCache>
                <c:formatCode>General</c:formatCode>
                <c:ptCount val="1"/>
                <c:pt idx="0">
                  <c:v>3</c:v>
                </c:pt>
              </c:numCache>
            </c:numRef>
          </c:xVal>
          <c:yVal>
            <c:numRef>
              <c:f>Tornado!$J$798</c:f>
              <c:numCache>
                <c:formatCode>General</c:formatCode>
                <c:ptCount val="1"/>
                <c:pt idx="0">
                  <c:v>0</c:v>
                </c:pt>
              </c:numCache>
            </c:numRef>
          </c:yVal>
          <c:smooth val="0"/>
          <c:extLst>
            <c:ext xmlns:c16="http://schemas.microsoft.com/office/drawing/2014/chart" uri="{C3380CC4-5D6E-409C-BE32-E72D297353CC}">
              <c16:uniqueId val="{00000001-3E8E-4959-BFFA-804238302FC5}"/>
            </c:ext>
          </c:extLst>
        </c:ser>
        <c:ser>
          <c:idx val="2"/>
          <c:order val="2"/>
          <c:tx>
            <c:strRef>
              <c:f>Tornado!$C$801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Tornado!$J$803</c:f>
              <c:numCache>
                <c:formatCode>General</c:formatCode>
                <c:ptCount val="1"/>
                <c:pt idx="0">
                  <c:v>3</c:v>
                </c:pt>
              </c:numCache>
            </c:numRef>
          </c:xVal>
          <c:yVal>
            <c:numRef>
              <c:f>Tornado!$J$802</c:f>
              <c:numCache>
                <c:formatCode>General</c:formatCode>
                <c:ptCount val="1"/>
                <c:pt idx="0">
                  <c:v>0</c:v>
                </c:pt>
              </c:numCache>
            </c:numRef>
          </c:yVal>
          <c:smooth val="0"/>
          <c:extLst>
            <c:ext xmlns:c16="http://schemas.microsoft.com/office/drawing/2014/chart" uri="{C3380CC4-5D6E-409C-BE32-E72D297353CC}">
              <c16:uniqueId val="{00000002-3E8E-4959-BFFA-804238302FC5}"/>
            </c:ext>
          </c:extLst>
        </c:ser>
        <c:ser>
          <c:idx val="3"/>
          <c:order val="3"/>
          <c:tx>
            <c:strRef>
              <c:f>Tornado!$C$805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Tornado!$J$807</c:f>
              <c:numCache>
                <c:formatCode>General</c:formatCode>
                <c:ptCount val="1"/>
                <c:pt idx="0">
                  <c:v>3</c:v>
                </c:pt>
              </c:numCache>
            </c:numRef>
          </c:xVal>
          <c:yVal>
            <c:numRef>
              <c:f>Tornado!$J$806</c:f>
              <c:numCache>
                <c:formatCode>General</c:formatCode>
                <c:ptCount val="1"/>
                <c:pt idx="0">
                  <c:v>0</c:v>
                </c:pt>
              </c:numCache>
            </c:numRef>
          </c:yVal>
          <c:smooth val="0"/>
          <c:extLst>
            <c:ext xmlns:c16="http://schemas.microsoft.com/office/drawing/2014/chart" uri="{C3380CC4-5D6E-409C-BE32-E72D297353CC}">
              <c16:uniqueId val="{00000003-3E8E-4959-BFFA-804238302FC5}"/>
            </c:ext>
          </c:extLst>
        </c:ser>
        <c:ser>
          <c:idx val="4"/>
          <c:order val="4"/>
          <c:tx>
            <c:strRef>
              <c:f>Tornado!$C$773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Tornado!$J$775</c:f>
              <c:numCache>
                <c:formatCode>General</c:formatCode>
                <c:ptCount val="1"/>
                <c:pt idx="0">
                  <c:v>3</c:v>
                </c:pt>
              </c:numCache>
            </c:numRef>
          </c:xVal>
          <c:yVal>
            <c:numRef>
              <c:f>Tornado!$J$774</c:f>
              <c:numCache>
                <c:formatCode>General</c:formatCode>
                <c:ptCount val="1"/>
                <c:pt idx="0">
                  <c:v>0</c:v>
                </c:pt>
              </c:numCache>
            </c:numRef>
          </c:yVal>
          <c:smooth val="0"/>
          <c:extLst>
            <c:ext xmlns:c16="http://schemas.microsoft.com/office/drawing/2014/chart" uri="{C3380CC4-5D6E-409C-BE32-E72D297353CC}">
              <c16:uniqueId val="{00000004-3E8E-4959-BFFA-804238302FC5}"/>
            </c:ext>
          </c:extLst>
        </c:ser>
        <c:ser>
          <c:idx val="5"/>
          <c:order val="5"/>
          <c:tx>
            <c:strRef>
              <c:f>Tornado!$C$777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Tornado!$J$779</c:f>
              <c:numCache>
                <c:formatCode>General</c:formatCode>
                <c:ptCount val="1"/>
                <c:pt idx="0">
                  <c:v>3</c:v>
                </c:pt>
              </c:numCache>
            </c:numRef>
          </c:xVal>
          <c:yVal>
            <c:numRef>
              <c:f>Tornado!$J$778</c:f>
              <c:numCache>
                <c:formatCode>General</c:formatCode>
                <c:ptCount val="1"/>
                <c:pt idx="0">
                  <c:v>0</c:v>
                </c:pt>
              </c:numCache>
            </c:numRef>
          </c:yVal>
          <c:smooth val="0"/>
          <c:extLst>
            <c:ext xmlns:c16="http://schemas.microsoft.com/office/drawing/2014/chart" uri="{C3380CC4-5D6E-409C-BE32-E72D297353CC}">
              <c16:uniqueId val="{00000005-3E8E-4959-BFFA-804238302FC5}"/>
            </c:ext>
          </c:extLst>
        </c:ser>
        <c:ser>
          <c:idx val="6"/>
          <c:order val="6"/>
          <c:tx>
            <c:strRef>
              <c:f>Tornado!$C$781</c:f>
              <c:strCache>
                <c:ptCount val="1"/>
                <c:pt idx="0">
                  <c:v>Ambulatory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Tornado!$J$783</c:f>
              <c:numCache>
                <c:formatCode>General</c:formatCode>
                <c:ptCount val="1"/>
                <c:pt idx="0">
                  <c:v>3</c:v>
                </c:pt>
              </c:numCache>
            </c:numRef>
          </c:xVal>
          <c:yVal>
            <c:numRef>
              <c:f>Tornado!$J$782</c:f>
              <c:numCache>
                <c:formatCode>General</c:formatCode>
                <c:ptCount val="1"/>
                <c:pt idx="0">
                  <c:v>0</c:v>
                </c:pt>
              </c:numCache>
            </c:numRef>
          </c:yVal>
          <c:smooth val="0"/>
          <c:extLst>
            <c:ext xmlns:c16="http://schemas.microsoft.com/office/drawing/2014/chart" uri="{C3380CC4-5D6E-409C-BE32-E72D297353CC}">
              <c16:uniqueId val="{00000006-3E8E-4959-BFFA-804238302FC5}"/>
            </c:ext>
          </c:extLst>
        </c:ser>
        <c:ser>
          <c:idx val="7"/>
          <c:order val="7"/>
          <c:tx>
            <c:strRef>
              <c:f>Tornado!$C$785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E8E-4959-BFFA-804238302FC5}"/>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Tornado!$J$787</c:f>
              <c:numCache>
                <c:formatCode>General</c:formatCode>
                <c:ptCount val="1"/>
                <c:pt idx="0">
                  <c:v>3</c:v>
                </c:pt>
              </c:numCache>
            </c:numRef>
          </c:xVal>
          <c:yVal>
            <c:numRef>
              <c:f>Tornado!$J$786</c:f>
              <c:numCache>
                <c:formatCode>General</c:formatCode>
                <c:ptCount val="1"/>
                <c:pt idx="0">
                  <c:v>0</c:v>
                </c:pt>
              </c:numCache>
            </c:numRef>
          </c:yVal>
          <c:smooth val="0"/>
          <c:extLst>
            <c:ext xmlns:c16="http://schemas.microsoft.com/office/drawing/2014/chart" uri="{C3380CC4-5D6E-409C-BE32-E72D297353CC}">
              <c16:uniqueId val="{00000008-3E8E-4959-BFFA-804238302FC5}"/>
            </c:ext>
          </c:extLst>
        </c:ser>
        <c:ser>
          <c:idx val="8"/>
          <c:order val="8"/>
          <c:tx>
            <c:strRef>
              <c:f>Tornado!$C$789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Tornado!$J$791</c:f>
              <c:numCache>
                <c:formatCode>General</c:formatCode>
                <c:ptCount val="1"/>
                <c:pt idx="0">
                  <c:v>3</c:v>
                </c:pt>
              </c:numCache>
            </c:numRef>
          </c:xVal>
          <c:yVal>
            <c:numRef>
              <c:f>Tornado!$J$790</c:f>
              <c:numCache>
                <c:formatCode>General</c:formatCode>
                <c:ptCount val="1"/>
                <c:pt idx="0">
                  <c:v>0</c:v>
                </c:pt>
              </c:numCache>
            </c:numRef>
          </c:yVal>
          <c:smooth val="0"/>
          <c:extLst>
            <c:ext xmlns:c16="http://schemas.microsoft.com/office/drawing/2014/chart" uri="{C3380CC4-5D6E-409C-BE32-E72D297353CC}">
              <c16:uniqueId val="{00000009-3E8E-4959-BFFA-804238302FC5}"/>
            </c:ext>
          </c:extLst>
        </c:ser>
        <c:dLbls>
          <c:showLegendKey val="0"/>
          <c:showVal val="1"/>
          <c:showCatName val="0"/>
          <c:showSerName val="0"/>
          <c:showPercent val="0"/>
          <c:showBubbleSize val="0"/>
        </c:dLbls>
        <c:axId val="151329024"/>
        <c:axId val="151339392"/>
      </c:scatterChart>
      <c:valAx>
        <c:axId val="151329024"/>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51339392"/>
        <c:crosses val="autoZero"/>
        <c:crossBetween val="midCat"/>
        <c:majorUnit val="1"/>
        <c:minorUnit val="0.1"/>
      </c:valAx>
      <c:valAx>
        <c:axId val="151339392"/>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51329024"/>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Tornado!$C$853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Tornado!$J$854</c:f>
              <c:numCache>
                <c:formatCode>General</c:formatCode>
                <c:ptCount val="1"/>
                <c:pt idx="0">
                  <c:v>4</c:v>
                </c:pt>
              </c:numCache>
            </c:numRef>
          </c:xVal>
          <c:yVal>
            <c:numRef>
              <c:f>Tornado!$J$855</c:f>
              <c:numCache>
                <c:formatCode>General</c:formatCode>
                <c:ptCount val="1"/>
                <c:pt idx="0">
                  <c:v>0</c:v>
                </c:pt>
              </c:numCache>
            </c:numRef>
          </c:yVal>
          <c:smooth val="0"/>
          <c:extLst>
            <c:ext xmlns:c16="http://schemas.microsoft.com/office/drawing/2014/chart" uri="{C3380CC4-5D6E-409C-BE32-E72D297353CC}">
              <c16:uniqueId val="{00000000-FDED-491F-B43C-93EA922132E5}"/>
            </c:ext>
          </c:extLst>
        </c:ser>
        <c:ser>
          <c:idx val="1"/>
          <c:order val="1"/>
          <c:tx>
            <c:strRef>
              <c:f>Tornado!$C$857</c:f>
              <c:strCache>
                <c:ptCount val="1"/>
                <c:pt idx="0">
                  <c:v>Mass Care</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Tornado!$J$858</c:f>
              <c:numCache>
                <c:formatCode>General</c:formatCode>
                <c:ptCount val="1"/>
                <c:pt idx="0">
                  <c:v>3</c:v>
                </c:pt>
              </c:numCache>
            </c:numRef>
          </c:xVal>
          <c:yVal>
            <c:numRef>
              <c:f>Tornado!$J$859</c:f>
              <c:numCache>
                <c:formatCode>General</c:formatCode>
                <c:ptCount val="1"/>
                <c:pt idx="0">
                  <c:v>0</c:v>
                </c:pt>
              </c:numCache>
            </c:numRef>
          </c:yVal>
          <c:smooth val="0"/>
          <c:extLst>
            <c:ext xmlns:c16="http://schemas.microsoft.com/office/drawing/2014/chart" uri="{C3380CC4-5D6E-409C-BE32-E72D297353CC}">
              <c16:uniqueId val="{00000001-FDED-491F-B43C-93EA922132E5}"/>
            </c:ext>
          </c:extLst>
        </c:ser>
        <c:ser>
          <c:idx val="2"/>
          <c:order val="2"/>
          <c:tx>
            <c:strRef>
              <c:f>Tornado!$C$861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Tornado!$J$862</c:f>
              <c:numCache>
                <c:formatCode>General</c:formatCode>
                <c:ptCount val="1"/>
                <c:pt idx="0">
                  <c:v>0</c:v>
                </c:pt>
              </c:numCache>
            </c:numRef>
          </c:xVal>
          <c:yVal>
            <c:numRef>
              <c:f>Tornado!$J$863</c:f>
              <c:numCache>
                <c:formatCode>General</c:formatCode>
                <c:ptCount val="1"/>
                <c:pt idx="0">
                  <c:v>0</c:v>
                </c:pt>
              </c:numCache>
            </c:numRef>
          </c:yVal>
          <c:smooth val="0"/>
          <c:extLst>
            <c:ext xmlns:c16="http://schemas.microsoft.com/office/drawing/2014/chart" uri="{C3380CC4-5D6E-409C-BE32-E72D297353CC}">
              <c16:uniqueId val="{00000002-FDED-491F-B43C-93EA922132E5}"/>
            </c:ext>
          </c:extLst>
        </c:ser>
        <c:ser>
          <c:idx val="3"/>
          <c:order val="3"/>
          <c:tx>
            <c:strRef>
              <c:f>Tornado!$C$865</c:f>
              <c:strCache>
                <c:ptCount val="1"/>
                <c:pt idx="0">
                  <c:v>Med Materiel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Tornado!$J$866</c:f>
              <c:numCache>
                <c:formatCode>General</c:formatCode>
                <c:ptCount val="1"/>
                <c:pt idx="0">
                  <c:v>4</c:v>
                </c:pt>
              </c:numCache>
            </c:numRef>
          </c:xVal>
          <c:yVal>
            <c:numRef>
              <c:f>Tornado!$J$867</c:f>
              <c:numCache>
                <c:formatCode>General</c:formatCode>
                <c:ptCount val="1"/>
                <c:pt idx="0">
                  <c:v>0</c:v>
                </c:pt>
              </c:numCache>
            </c:numRef>
          </c:yVal>
          <c:smooth val="0"/>
          <c:extLst>
            <c:ext xmlns:c16="http://schemas.microsoft.com/office/drawing/2014/chart" uri="{C3380CC4-5D6E-409C-BE32-E72D297353CC}">
              <c16:uniqueId val="{00000003-FDED-491F-B43C-93EA922132E5}"/>
            </c:ext>
          </c:extLst>
        </c:ser>
        <c:ser>
          <c:idx val="4"/>
          <c:order val="4"/>
          <c:tx>
            <c:strRef>
              <c:f>Tornado!$C$869</c:f>
              <c:strCache>
                <c:ptCount val="1"/>
                <c:pt idx="0">
                  <c:v>Medical Surge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Tornado!$J$870</c:f>
              <c:numCache>
                <c:formatCode>General</c:formatCode>
                <c:ptCount val="1"/>
                <c:pt idx="0">
                  <c:v>3</c:v>
                </c:pt>
              </c:numCache>
            </c:numRef>
          </c:xVal>
          <c:yVal>
            <c:numRef>
              <c:f>Tornado!$J$871</c:f>
              <c:numCache>
                <c:formatCode>General</c:formatCode>
                <c:ptCount val="1"/>
                <c:pt idx="0">
                  <c:v>0</c:v>
                </c:pt>
              </c:numCache>
            </c:numRef>
          </c:yVal>
          <c:smooth val="0"/>
          <c:extLst>
            <c:ext xmlns:c16="http://schemas.microsoft.com/office/drawing/2014/chart" uri="{C3380CC4-5D6E-409C-BE32-E72D297353CC}">
              <c16:uniqueId val="{00000004-FDED-491F-B43C-93EA922132E5}"/>
            </c:ext>
          </c:extLst>
        </c:ser>
        <c:ser>
          <c:idx val="5"/>
          <c:order val="5"/>
          <c:tx>
            <c:strRef>
              <c:f>Tornado!$C$873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Tornado!$J$874</c:f>
              <c:numCache>
                <c:formatCode>General</c:formatCode>
                <c:ptCount val="1"/>
                <c:pt idx="0">
                  <c:v>0</c:v>
                </c:pt>
              </c:numCache>
            </c:numRef>
          </c:xVal>
          <c:yVal>
            <c:numRef>
              <c:f>Tornado!$J$875</c:f>
              <c:numCache>
                <c:formatCode>General</c:formatCode>
                <c:ptCount val="1"/>
                <c:pt idx="0">
                  <c:v>0</c:v>
                </c:pt>
              </c:numCache>
            </c:numRef>
          </c:yVal>
          <c:smooth val="0"/>
          <c:extLst>
            <c:ext xmlns:c16="http://schemas.microsoft.com/office/drawing/2014/chart" uri="{C3380CC4-5D6E-409C-BE32-E72D297353CC}">
              <c16:uniqueId val="{00000005-FDED-491F-B43C-93EA922132E5}"/>
            </c:ext>
          </c:extLst>
        </c:ser>
        <c:ser>
          <c:idx val="6"/>
          <c:order val="6"/>
          <c:tx>
            <c:strRef>
              <c:f>Tornado!$C$877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Tornado!$J$878</c:f>
              <c:numCache>
                <c:formatCode>General</c:formatCode>
                <c:ptCount val="1"/>
                <c:pt idx="0">
                  <c:v>1</c:v>
                </c:pt>
              </c:numCache>
            </c:numRef>
          </c:xVal>
          <c:yVal>
            <c:numRef>
              <c:f>Tornado!$J$879</c:f>
              <c:numCache>
                <c:formatCode>General</c:formatCode>
                <c:ptCount val="1"/>
                <c:pt idx="0">
                  <c:v>0</c:v>
                </c:pt>
              </c:numCache>
            </c:numRef>
          </c:yVal>
          <c:smooth val="0"/>
          <c:extLst>
            <c:ext xmlns:c16="http://schemas.microsoft.com/office/drawing/2014/chart" uri="{C3380CC4-5D6E-409C-BE32-E72D297353CC}">
              <c16:uniqueId val="{00000006-FDED-491F-B43C-93EA922132E5}"/>
            </c:ext>
          </c:extLst>
        </c:ser>
        <c:ser>
          <c:idx val="7"/>
          <c:order val="7"/>
          <c:tx>
            <c:strRef>
              <c:f>Tornado!$C$881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Tornado!$J$882</c:f>
              <c:numCache>
                <c:formatCode>General</c:formatCode>
                <c:ptCount val="1"/>
                <c:pt idx="0">
                  <c:v>2</c:v>
                </c:pt>
              </c:numCache>
            </c:numRef>
          </c:xVal>
          <c:yVal>
            <c:numRef>
              <c:f>Tornado!$J$883</c:f>
              <c:numCache>
                <c:formatCode>General</c:formatCode>
                <c:ptCount val="1"/>
                <c:pt idx="0">
                  <c:v>0</c:v>
                </c:pt>
              </c:numCache>
            </c:numRef>
          </c:yVal>
          <c:smooth val="0"/>
          <c:extLst>
            <c:ext xmlns:c16="http://schemas.microsoft.com/office/drawing/2014/chart" uri="{C3380CC4-5D6E-409C-BE32-E72D297353CC}">
              <c16:uniqueId val="{00000007-FDED-491F-B43C-93EA922132E5}"/>
            </c:ext>
          </c:extLst>
        </c:ser>
        <c:ser>
          <c:idx val="8"/>
          <c:order val="8"/>
          <c:tx>
            <c:strRef>
              <c:f>Tornado!$C$885</c:f>
              <c:strCache>
                <c:ptCount val="1"/>
                <c:pt idx="0">
                  <c:v>Responder Safety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Tornado!$J$886</c:f>
              <c:numCache>
                <c:formatCode>General</c:formatCode>
                <c:ptCount val="1"/>
                <c:pt idx="0">
                  <c:v>3</c:v>
                </c:pt>
              </c:numCache>
            </c:numRef>
          </c:xVal>
          <c:yVal>
            <c:numRef>
              <c:f>Tornado!$J$887</c:f>
              <c:numCache>
                <c:formatCode>General</c:formatCode>
                <c:ptCount val="1"/>
                <c:pt idx="0">
                  <c:v>0</c:v>
                </c:pt>
              </c:numCache>
            </c:numRef>
          </c:yVal>
          <c:smooth val="0"/>
          <c:extLst>
            <c:ext xmlns:c16="http://schemas.microsoft.com/office/drawing/2014/chart" uri="{C3380CC4-5D6E-409C-BE32-E72D297353CC}">
              <c16:uniqueId val="{00000008-FDED-491F-B43C-93EA922132E5}"/>
            </c:ext>
          </c:extLst>
        </c:ser>
        <c:ser>
          <c:idx val="9"/>
          <c:order val="9"/>
          <c:tx>
            <c:strRef>
              <c:f>Tornado!$C$889</c:f>
              <c:strCache>
                <c:ptCount val="1"/>
                <c:pt idx="0">
                  <c:v>Volunteer Mgmt</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Tornado!$J$890</c:f>
              <c:numCache>
                <c:formatCode>General</c:formatCode>
                <c:ptCount val="1"/>
                <c:pt idx="0">
                  <c:v>3</c:v>
                </c:pt>
              </c:numCache>
            </c:numRef>
          </c:xVal>
          <c:yVal>
            <c:numRef>
              <c:f>Tornado!$J$891</c:f>
              <c:numCache>
                <c:formatCode>General</c:formatCode>
                <c:ptCount val="1"/>
                <c:pt idx="0">
                  <c:v>0</c:v>
                </c:pt>
              </c:numCache>
            </c:numRef>
          </c:yVal>
          <c:smooth val="0"/>
          <c:extLst>
            <c:ext xmlns:c16="http://schemas.microsoft.com/office/drawing/2014/chart" uri="{C3380CC4-5D6E-409C-BE32-E72D297353CC}">
              <c16:uniqueId val="{00000009-FDED-491F-B43C-93EA922132E5}"/>
            </c:ext>
          </c:extLst>
        </c:ser>
        <c:ser>
          <c:idx val="10"/>
          <c:order val="10"/>
          <c:tx>
            <c:strRef>
              <c:f>Tornado!$C$833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Tornado!$J$834</c:f>
              <c:numCache>
                <c:formatCode>General</c:formatCode>
                <c:ptCount val="1"/>
                <c:pt idx="0">
                  <c:v>4</c:v>
                </c:pt>
              </c:numCache>
            </c:numRef>
          </c:xVal>
          <c:yVal>
            <c:numRef>
              <c:f>Tornado!$J$835</c:f>
              <c:numCache>
                <c:formatCode>General</c:formatCode>
                <c:ptCount val="1"/>
                <c:pt idx="0">
                  <c:v>0</c:v>
                </c:pt>
              </c:numCache>
            </c:numRef>
          </c:yVal>
          <c:smooth val="0"/>
          <c:extLst>
            <c:ext xmlns:c16="http://schemas.microsoft.com/office/drawing/2014/chart" uri="{C3380CC4-5D6E-409C-BE32-E72D297353CC}">
              <c16:uniqueId val="{0000000A-FDED-491F-B43C-93EA922132E5}"/>
            </c:ext>
          </c:extLst>
        </c:ser>
        <c:ser>
          <c:idx val="11"/>
          <c:order val="11"/>
          <c:tx>
            <c:strRef>
              <c:f>Tornado!$C$837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Tornado!$J$838</c:f>
              <c:numCache>
                <c:formatCode>General</c:formatCode>
                <c:ptCount val="1"/>
                <c:pt idx="0">
                  <c:v>4</c:v>
                </c:pt>
              </c:numCache>
            </c:numRef>
          </c:xVal>
          <c:yVal>
            <c:numRef>
              <c:f>Tornado!$J$839</c:f>
              <c:numCache>
                <c:formatCode>General</c:formatCode>
                <c:ptCount val="1"/>
                <c:pt idx="0">
                  <c:v>0</c:v>
                </c:pt>
              </c:numCache>
            </c:numRef>
          </c:yVal>
          <c:smooth val="0"/>
          <c:extLst>
            <c:ext xmlns:c16="http://schemas.microsoft.com/office/drawing/2014/chart" uri="{C3380CC4-5D6E-409C-BE32-E72D297353CC}">
              <c16:uniqueId val="{0000000B-FDED-491F-B43C-93EA922132E5}"/>
            </c:ext>
          </c:extLst>
        </c:ser>
        <c:ser>
          <c:idx val="12"/>
          <c:order val="12"/>
          <c:tx>
            <c:strRef>
              <c:f>Tornado!$C$841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Tornado!$J$842</c:f>
              <c:numCache>
                <c:formatCode>General</c:formatCode>
                <c:ptCount val="1"/>
                <c:pt idx="0">
                  <c:v>4</c:v>
                </c:pt>
              </c:numCache>
            </c:numRef>
          </c:xVal>
          <c:yVal>
            <c:numRef>
              <c:f>Tornado!$J$843</c:f>
              <c:numCache>
                <c:formatCode>General</c:formatCode>
                <c:ptCount val="1"/>
                <c:pt idx="0">
                  <c:v>0</c:v>
                </c:pt>
              </c:numCache>
            </c:numRef>
          </c:yVal>
          <c:smooth val="0"/>
          <c:extLst>
            <c:ext xmlns:c16="http://schemas.microsoft.com/office/drawing/2014/chart" uri="{C3380CC4-5D6E-409C-BE32-E72D297353CC}">
              <c16:uniqueId val="{0000000C-FDED-491F-B43C-93EA922132E5}"/>
            </c:ext>
          </c:extLst>
        </c:ser>
        <c:ser>
          <c:idx val="13"/>
          <c:order val="13"/>
          <c:tx>
            <c:strRef>
              <c:f>Tornado!$C$845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Tornado!$J$846</c:f>
              <c:numCache>
                <c:formatCode>General</c:formatCode>
                <c:ptCount val="1"/>
                <c:pt idx="0">
                  <c:v>4</c:v>
                </c:pt>
              </c:numCache>
            </c:numRef>
          </c:xVal>
          <c:yVal>
            <c:numRef>
              <c:f>Tornado!$J$847</c:f>
              <c:numCache>
                <c:formatCode>General</c:formatCode>
                <c:ptCount val="1"/>
                <c:pt idx="0">
                  <c:v>0</c:v>
                </c:pt>
              </c:numCache>
            </c:numRef>
          </c:yVal>
          <c:smooth val="0"/>
          <c:extLst>
            <c:ext xmlns:c16="http://schemas.microsoft.com/office/drawing/2014/chart" uri="{C3380CC4-5D6E-409C-BE32-E72D297353CC}">
              <c16:uniqueId val="{0000000D-FDED-491F-B43C-93EA922132E5}"/>
            </c:ext>
          </c:extLst>
        </c:ser>
        <c:ser>
          <c:idx val="14"/>
          <c:order val="14"/>
          <c:tx>
            <c:strRef>
              <c:f>Tornado!$C$964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Tornado!$J$965</c:f>
            </c:numRef>
          </c:xVal>
          <c:yVal>
            <c:numRef>
              <c:f>Tornado!$J$966</c:f>
            </c:numRef>
          </c:yVal>
          <c:smooth val="0"/>
          <c:extLst>
            <c:ext xmlns:c16="http://schemas.microsoft.com/office/drawing/2014/chart" uri="{C3380CC4-5D6E-409C-BE32-E72D297353CC}">
              <c16:uniqueId val="{0000000E-FDED-491F-B43C-93EA922132E5}"/>
            </c:ext>
          </c:extLst>
        </c:ser>
        <c:dLbls>
          <c:showLegendKey val="0"/>
          <c:showVal val="1"/>
          <c:showCatName val="0"/>
          <c:showSerName val="0"/>
          <c:showPercent val="0"/>
          <c:showBubbleSize val="0"/>
        </c:dLbls>
        <c:axId val="151070208"/>
        <c:axId val="151072128"/>
      </c:scatterChart>
      <c:valAx>
        <c:axId val="15107020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1072128"/>
        <c:crosses val="autoZero"/>
        <c:crossBetween val="midCat"/>
        <c:majorUnit val="1"/>
        <c:minorUnit val="0.1"/>
      </c:valAx>
      <c:valAx>
        <c:axId val="15107212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107020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9517157793636931"/>
          <c:y val="1.3244983721297133E-2"/>
        </c:manualLayout>
      </c:layout>
      <c:overlay val="0"/>
    </c:title>
    <c:autoTitleDeleted val="0"/>
    <c:plotArea>
      <c:layout/>
      <c:scatterChart>
        <c:scatterStyle val="lineMarker"/>
        <c:varyColors val="0"/>
        <c:ser>
          <c:idx val="0"/>
          <c:order val="0"/>
          <c:tx>
            <c:strRef>
              <c:f>Tornado!$C$903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Tornado!$J$904</c:f>
              <c:numCache>
                <c:formatCode>General</c:formatCode>
                <c:ptCount val="1"/>
                <c:pt idx="0">
                  <c:v>4</c:v>
                </c:pt>
              </c:numCache>
            </c:numRef>
          </c:xVal>
          <c:yVal>
            <c:numRef>
              <c:f>Tornado!$J$905</c:f>
              <c:numCache>
                <c:formatCode>General</c:formatCode>
                <c:ptCount val="1"/>
                <c:pt idx="0">
                  <c:v>0</c:v>
                </c:pt>
              </c:numCache>
            </c:numRef>
          </c:yVal>
          <c:smooth val="0"/>
          <c:extLst>
            <c:ext xmlns:c16="http://schemas.microsoft.com/office/drawing/2014/chart" uri="{C3380CC4-5D6E-409C-BE32-E72D297353CC}">
              <c16:uniqueId val="{00000000-3026-40C9-B0DA-4F2C45631235}"/>
            </c:ext>
          </c:extLst>
        </c:ser>
        <c:ser>
          <c:idx val="1"/>
          <c:order val="1"/>
          <c:tx>
            <c:strRef>
              <c:f>Tornado!$C$907</c:f>
              <c:strCache>
                <c:ptCount val="1"/>
                <c:pt idx="0">
                  <c:v>HC System Recov</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Tornado!$J$908</c:f>
              <c:numCache>
                <c:formatCode>General</c:formatCode>
                <c:ptCount val="1"/>
                <c:pt idx="0">
                  <c:v>4</c:v>
                </c:pt>
              </c:numCache>
            </c:numRef>
          </c:xVal>
          <c:yVal>
            <c:numRef>
              <c:f>Tornado!$J$909</c:f>
              <c:numCache>
                <c:formatCode>General</c:formatCode>
                <c:ptCount val="1"/>
                <c:pt idx="0">
                  <c:v>0</c:v>
                </c:pt>
              </c:numCache>
            </c:numRef>
          </c:yVal>
          <c:smooth val="0"/>
          <c:extLst>
            <c:ext xmlns:c16="http://schemas.microsoft.com/office/drawing/2014/chart" uri="{C3380CC4-5D6E-409C-BE32-E72D297353CC}">
              <c16:uniqueId val="{00000001-3026-40C9-B0DA-4F2C45631235}"/>
            </c:ext>
          </c:extLst>
        </c:ser>
        <c:ser>
          <c:idx val="2"/>
          <c:order val="2"/>
          <c:tx>
            <c:strRef>
              <c:f>Tornado!$C$911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Tornado!$J$912</c:f>
              <c:numCache>
                <c:formatCode>General</c:formatCode>
                <c:ptCount val="1"/>
                <c:pt idx="0">
                  <c:v>4</c:v>
                </c:pt>
              </c:numCache>
            </c:numRef>
          </c:xVal>
          <c:yVal>
            <c:numRef>
              <c:f>Tornado!$J$913</c:f>
              <c:numCache>
                <c:formatCode>General</c:formatCode>
                <c:ptCount val="1"/>
                <c:pt idx="0">
                  <c:v>0</c:v>
                </c:pt>
              </c:numCache>
            </c:numRef>
          </c:yVal>
          <c:smooth val="0"/>
          <c:extLst>
            <c:ext xmlns:c16="http://schemas.microsoft.com/office/drawing/2014/chart" uri="{C3380CC4-5D6E-409C-BE32-E72D297353CC}">
              <c16:uniqueId val="{00000002-3026-40C9-B0DA-4F2C45631235}"/>
            </c:ext>
          </c:extLst>
        </c:ser>
        <c:ser>
          <c:idx val="3"/>
          <c:order val="3"/>
          <c:tx>
            <c:strRef>
              <c:f>Tornado!$C$915</c:f>
              <c:strCache>
                <c:ptCount val="1"/>
                <c:pt idx="0">
                  <c:v>Fatality Mgmt</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Tornado!$J$916</c:f>
              <c:numCache>
                <c:formatCode>General</c:formatCode>
                <c:ptCount val="1"/>
                <c:pt idx="0">
                  <c:v>2</c:v>
                </c:pt>
              </c:numCache>
            </c:numRef>
          </c:xVal>
          <c:yVal>
            <c:numRef>
              <c:f>Tornado!$J$917</c:f>
              <c:numCache>
                <c:formatCode>General</c:formatCode>
                <c:ptCount val="1"/>
                <c:pt idx="0">
                  <c:v>0</c:v>
                </c:pt>
              </c:numCache>
            </c:numRef>
          </c:yVal>
          <c:smooth val="0"/>
          <c:extLst>
            <c:ext xmlns:c16="http://schemas.microsoft.com/office/drawing/2014/chart" uri="{C3380CC4-5D6E-409C-BE32-E72D297353CC}">
              <c16:uniqueId val="{00000003-3026-40C9-B0DA-4F2C45631235}"/>
            </c:ext>
          </c:extLst>
        </c:ser>
        <c:ser>
          <c:idx val="4"/>
          <c:order val="4"/>
          <c:tx>
            <c:strRef>
              <c:f>Tornado!$C$919</c:f>
              <c:strCache>
                <c:ptCount val="1"/>
                <c:pt idx="0">
                  <c:v>Info Sharing</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Tornado!$J$920</c:f>
              <c:numCache>
                <c:formatCode>General</c:formatCode>
                <c:ptCount val="1"/>
                <c:pt idx="0">
                  <c:v>4</c:v>
                </c:pt>
              </c:numCache>
            </c:numRef>
          </c:xVal>
          <c:yVal>
            <c:numRef>
              <c:f>Tornado!$J$921</c:f>
              <c:numCache>
                <c:formatCode>General</c:formatCode>
                <c:ptCount val="1"/>
                <c:pt idx="0">
                  <c:v>0</c:v>
                </c:pt>
              </c:numCache>
            </c:numRef>
          </c:yVal>
          <c:smooth val="0"/>
          <c:extLst>
            <c:ext xmlns:c16="http://schemas.microsoft.com/office/drawing/2014/chart" uri="{C3380CC4-5D6E-409C-BE32-E72D297353CC}">
              <c16:uniqueId val="{00000004-3026-40C9-B0DA-4F2C45631235}"/>
            </c:ext>
          </c:extLst>
        </c:ser>
        <c:ser>
          <c:idx val="5"/>
          <c:order val="5"/>
          <c:tx>
            <c:strRef>
              <c:f>Tornado!$C$923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Tornado!$J$924</c:f>
              <c:numCache>
                <c:formatCode>General</c:formatCode>
                <c:ptCount val="1"/>
                <c:pt idx="0">
                  <c:v>3</c:v>
                </c:pt>
              </c:numCache>
            </c:numRef>
          </c:xVal>
          <c:yVal>
            <c:numRef>
              <c:f>Tornado!$J$925</c:f>
              <c:numCache>
                <c:formatCode>General</c:formatCode>
                <c:ptCount val="1"/>
                <c:pt idx="0">
                  <c:v>0</c:v>
                </c:pt>
              </c:numCache>
            </c:numRef>
          </c:yVal>
          <c:smooth val="0"/>
          <c:extLst>
            <c:ext xmlns:c16="http://schemas.microsoft.com/office/drawing/2014/chart" uri="{C3380CC4-5D6E-409C-BE32-E72D297353CC}">
              <c16:uniqueId val="{00000005-3026-40C9-B0DA-4F2C45631235}"/>
            </c:ext>
          </c:extLst>
        </c:ser>
        <c:ser>
          <c:idx val="6"/>
          <c:order val="6"/>
          <c:tx>
            <c:strRef>
              <c:f>Tornado!$C$927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Tornado!$J$928</c:f>
              <c:numCache>
                <c:formatCode>General</c:formatCode>
                <c:ptCount val="1"/>
                <c:pt idx="0">
                  <c:v>3</c:v>
                </c:pt>
              </c:numCache>
            </c:numRef>
          </c:xVal>
          <c:yVal>
            <c:numRef>
              <c:f>Tornado!$J$929</c:f>
              <c:numCache>
                <c:formatCode>General</c:formatCode>
                <c:ptCount val="1"/>
                <c:pt idx="0">
                  <c:v>0</c:v>
                </c:pt>
              </c:numCache>
            </c:numRef>
          </c:yVal>
          <c:smooth val="0"/>
          <c:extLst>
            <c:ext xmlns:c16="http://schemas.microsoft.com/office/drawing/2014/chart" uri="{C3380CC4-5D6E-409C-BE32-E72D297353CC}">
              <c16:uniqueId val="{00000006-3026-40C9-B0DA-4F2C45631235}"/>
            </c:ext>
          </c:extLst>
        </c:ser>
        <c:ser>
          <c:idx val="7"/>
          <c:order val="7"/>
          <c:tx>
            <c:strRef>
              <c:f>Tornado!$C$931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Tornado!$J$932</c:f>
              <c:numCache>
                <c:formatCode>General</c:formatCode>
                <c:ptCount val="1"/>
                <c:pt idx="0">
                  <c:v>3</c:v>
                </c:pt>
              </c:numCache>
            </c:numRef>
          </c:xVal>
          <c:yVal>
            <c:numRef>
              <c:f>Tornado!$J$933</c:f>
              <c:numCache>
                <c:formatCode>General</c:formatCode>
                <c:ptCount val="1"/>
                <c:pt idx="0">
                  <c:v>0</c:v>
                </c:pt>
              </c:numCache>
            </c:numRef>
          </c:yVal>
          <c:smooth val="0"/>
          <c:extLst>
            <c:ext xmlns:c16="http://schemas.microsoft.com/office/drawing/2014/chart" uri="{C3380CC4-5D6E-409C-BE32-E72D297353CC}">
              <c16:uniqueId val="{00000007-3026-40C9-B0DA-4F2C45631235}"/>
            </c:ext>
          </c:extLst>
        </c:ser>
        <c:ser>
          <c:idx val="14"/>
          <c:order val="8"/>
          <c:tx>
            <c:strRef>
              <c:f>Tornado!$C$964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Tornado!$J$965</c:f>
            </c:numRef>
          </c:xVal>
          <c:yVal>
            <c:numRef>
              <c:f>Tornado!$J$966</c:f>
            </c:numRef>
          </c:yVal>
          <c:smooth val="0"/>
          <c:extLst>
            <c:ext xmlns:c16="http://schemas.microsoft.com/office/drawing/2014/chart" uri="{C3380CC4-5D6E-409C-BE32-E72D297353CC}">
              <c16:uniqueId val="{00000008-3026-40C9-B0DA-4F2C45631235}"/>
            </c:ext>
          </c:extLst>
        </c:ser>
        <c:dLbls>
          <c:showLegendKey val="0"/>
          <c:showVal val="1"/>
          <c:showCatName val="0"/>
          <c:showSerName val="0"/>
          <c:showPercent val="0"/>
          <c:showBubbleSize val="0"/>
        </c:dLbls>
        <c:axId val="151160320"/>
        <c:axId val="151162240"/>
      </c:scatterChart>
      <c:valAx>
        <c:axId val="151160320"/>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1162240"/>
        <c:crosses val="autoZero"/>
        <c:crossBetween val="midCat"/>
        <c:majorUnit val="1"/>
        <c:minorUnit val="0.1"/>
      </c:valAx>
      <c:valAx>
        <c:axId val="151162240"/>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1160320"/>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('Utility Interruption'!$J$133,'Utility Interruption'!$J$261,'Utility Interruption'!$J$421,'Utility Interruption'!$J$539,'Utility Interruption'!$J$681)</c:f>
              <c:numCache>
                <c:formatCode>0.00</c:formatCode>
                <c:ptCount val="5"/>
                <c:pt idx="0">
                  <c:v>1.25</c:v>
                </c:pt>
                <c:pt idx="1">
                  <c:v>0</c:v>
                </c:pt>
                <c:pt idx="2">
                  <c:v>1.9375</c:v>
                </c:pt>
                <c:pt idx="3">
                  <c:v>1.9285714285714286</c:v>
                </c:pt>
                <c:pt idx="4">
                  <c:v>0</c:v>
                </c:pt>
              </c:numCache>
            </c:numRef>
          </c:val>
          <c:extLst>
            <c:ext xmlns:c16="http://schemas.microsoft.com/office/drawing/2014/chart" uri="{C3380CC4-5D6E-409C-BE32-E72D297353CC}">
              <c16:uniqueId val="{00000000-1D50-407F-BE66-A5A7C049EC20}"/>
            </c:ext>
          </c:extLst>
        </c:ser>
        <c:dLbls>
          <c:showLegendKey val="0"/>
          <c:showVal val="1"/>
          <c:showCatName val="0"/>
          <c:showSerName val="0"/>
          <c:showPercent val="0"/>
          <c:showBubbleSize val="0"/>
        </c:dLbls>
        <c:gapWidth val="150"/>
        <c:axId val="149160320"/>
        <c:axId val="149163392"/>
      </c:barChart>
      <c:catAx>
        <c:axId val="149160320"/>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49163392"/>
        <c:crosses val="autoZero"/>
        <c:auto val="1"/>
        <c:lblAlgn val="ctr"/>
        <c:lblOffset val="100"/>
        <c:noMultiLvlLbl val="0"/>
      </c:catAx>
      <c:valAx>
        <c:axId val="149163392"/>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49160320"/>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scatterChart>
        <c:scatterStyle val="lineMarker"/>
        <c:varyColors val="0"/>
        <c:ser>
          <c:idx val="0"/>
          <c:order val="0"/>
          <c:tx>
            <c:strRef>
              <c:f>'Utility Interruption'!$C$793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Interruption'!$J$795</c:f>
              <c:numCache>
                <c:formatCode>General</c:formatCode>
                <c:ptCount val="1"/>
                <c:pt idx="0">
                  <c:v>2</c:v>
                </c:pt>
              </c:numCache>
            </c:numRef>
          </c:xVal>
          <c:yVal>
            <c:numRef>
              <c:f>'Utility Interruption'!$J$794</c:f>
              <c:numCache>
                <c:formatCode>General</c:formatCode>
                <c:ptCount val="1"/>
                <c:pt idx="0">
                  <c:v>0</c:v>
                </c:pt>
              </c:numCache>
            </c:numRef>
          </c:yVal>
          <c:smooth val="0"/>
          <c:extLst>
            <c:ext xmlns:c16="http://schemas.microsoft.com/office/drawing/2014/chart" uri="{C3380CC4-5D6E-409C-BE32-E72D297353CC}">
              <c16:uniqueId val="{00000000-C87B-4B60-8596-7F1C317B75D7}"/>
            </c:ext>
          </c:extLst>
        </c:ser>
        <c:ser>
          <c:idx val="1"/>
          <c:order val="1"/>
          <c:tx>
            <c:strRef>
              <c:f>'Utility Interruption'!$C$797</c:f>
              <c:strCache>
                <c:ptCount val="1"/>
                <c:pt idx="0">
                  <c:v>Chronic Diseases (Diabetes)</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Interruption'!$J$799</c:f>
              <c:numCache>
                <c:formatCode>General</c:formatCode>
                <c:ptCount val="1"/>
                <c:pt idx="0">
                  <c:v>3</c:v>
                </c:pt>
              </c:numCache>
            </c:numRef>
          </c:xVal>
          <c:yVal>
            <c:numRef>
              <c:f>'Utility Interruption'!$J$798</c:f>
              <c:numCache>
                <c:formatCode>General</c:formatCode>
                <c:ptCount val="1"/>
                <c:pt idx="0">
                  <c:v>0</c:v>
                </c:pt>
              </c:numCache>
            </c:numRef>
          </c:yVal>
          <c:smooth val="0"/>
          <c:extLst>
            <c:ext xmlns:c16="http://schemas.microsoft.com/office/drawing/2014/chart" uri="{C3380CC4-5D6E-409C-BE32-E72D297353CC}">
              <c16:uniqueId val="{00000001-C87B-4B60-8596-7F1C317B75D7}"/>
            </c:ext>
          </c:extLst>
        </c:ser>
        <c:ser>
          <c:idx val="2"/>
          <c:order val="2"/>
          <c:tx>
            <c:strRef>
              <c:f>'Utility Interruption'!$C$801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Interruption'!$J$803</c:f>
              <c:numCache>
                <c:formatCode>General</c:formatCode>
                <c:ptCount val="1"/>
                <c:pt idx="0">
                  <c:v>2</c:v>
                </c:pt>
              </c:numCache>
            </c:numRef>
          </c:xVal>
          <c:yVal>
            <c:numRef>
              <c:f>'Utility Interruption'!$J$802</c:f>
              <c:numCache>
                <c:formatCode>General</c:formatCode>
                <c:ptCount val="1"/>
                <c:pt idx="0">
                  <c:v>0</c:v>
                </c:pt>
              </c:numCache>
            </c:numRef>
          </c:yVal>
          <c:smooth val="0"/>
          <c:extLst>
            <c:ext xmlns:c16="http://schemas.microsoft.com/office/drawing/2014/chart" uri="{C3380CC4-5D6E-409C-BE32-E72D297353CC}">
              <c16:uniqueId val="{00000002-C87B-4B60-8596-7F1C317B75D7}"/>
            </c:ext>
          </c:extLst>
        </c:ser>
        <c:ser>
          <c:idx val="3"/>
          <c:order val="3"/>
          <c:tx>
            <c:strRef>
              <c:f>'Utility Interruption'!$C$805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Interruption'!$J$807</c:f>
              <c:numCache>
                <c:formatCode>General</c:formatCode>
                <c:ptCount val="1"/>
                <c:pt idx="0">
                  <c:v>3</c:v>
                </c:pt>
              </c:numCache>
            </c:numRef>
          </c:xVal>
          <c:yVal>
            <c:numRef>
              <c:f>'Utility Interruption'!$J$806</c:f>
              <c:numCache>
                <c:formatCode>General</c:formatCode>
                <c:ptCount val="1"/>
                <c:pt idx="0">
                  <c:v>0</c:v>
                </c:pt>
              </c:numCache>
            </c:numRef>
          </c:yVal>
          <c:smooth val="0"/>
          <c:extLst>
            <c:ext xmlns:c16="http://schemas.microsoft.com/office/drawing/2014/chart" uri="{C3380CC4-5D6E-409C-BE32-E72D297353CC}">
              <c16:uniqueId val="{00000003-C87B-4B60-8596-7F1C317B75D7}"/>
            </c:ext>
          </c:extLst>
        </c:ser>
        <c:ser>
          <c:idx val="4"/>
          <c:order val="4"/>
          <c:tx>
            <c:strRef>
              <c:f>'Utility Interruption'!$C$773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Interruption'!$J$775</c:f>
              <c:numCache>
                <c:formatCode>General</c:formatCode>
                <c:ptCount val="1"/>
                <c:pt idx="0">
                  <c:v>2</c:v>
                </c:pt>
              </c:numCache>
            </c:numRef>
          </c:xVal>
          <c:yVal>
            <c:numRef>
              <c:f>'Utility Interruption'!$J$774</c:f>
              <c:numCache>
                <c:formatCode>General</c:formatCode>
                <c:ptCount val="1"/>
                <c:pt idx="0">
                  <c:v>0</c:v>
                </c:pt>
              </c:numCache>
            </c:numRef>
          </c:yVal>
          <c:smooth val="0"/>
          <c:extLst>
            <c:ext xmlns:c16="http://schemas.microsoft.com/office/drawing/2014/chart" uri="{C3380CC4-5D6E-409C-BE32-E72D297353CC}">
              <c16:uniqueId val="{00000004-C87B-4B60-8596-7F1C317B75D7}"/>
            </c:ext>
          </c:extLst>
        </c:ser>
        <c:ser>
          <c:idx val="5"/>
          <c:order val="5"/>
          <c:tx>
            <c:strRef>
              <c:f>'Utility Interruption'!$C$777</c:f>
              <c:strCache>
                <c:ptCount val="1"/>
                <c:pt idx="0">
                  <c:v>Vision Disability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Interruption'!$J$779</c:f>
              <c:numCache>
                <c:formatCode>General</c:formatCode>
                <c:ptCount val="1"/>
                <c:pt idx="0">
                  <c:v>2</c:v>
                </c:pt>
              </c:numCache>
            </c:numRef>
          </c:xVal>
          <c:yVal>
            <c:numRef>
              <c:f>'Utility Interruption'!$J$778</c:f>
              <c:numCache>
                <c:formatCode>General</c:formatCode>
                <c:ptCount val="1"/>
                <c:pt idx="0">
                  <c:v>0</c:v>
                </c:pt>
              </c:numCache>
            </c:numRef>
          </c:yVal>
          <c:smooth val="0"/>
          <c:extLst>
            <c:ext xmlns:c16="http://schemas.microsoft.com/office/drawing/2014/chart" uri="{C3380CC4-5D6E-409C-BE32-E72D297353CC}">
              <c16:uniqueId val="{00000005-C87B-4B60-8596-7F1C317B75D7}"/>
            </c:ext>
          </c:extLst>
        </c:ser>
        <c:ser>
          <c:idx val="6"/>
          <c:order val="6"/>
          <c:tx>
            <c:strRef>
              <c:f>'Utility Interruption'!$C$781</c:f>
              <c:strCache>
                <c:ptCount val="1"/>
                <c:pt idx="0">
                  <c:v>Ambulatory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Interruption'!$J$783</c:f>
              <c:numCache>
                <c:formatCode>General</c:formatCode>
                <c:ptCount val="1"/>
                <c:pt idx="0">
                  <c:v>2</c:v>
                </c:pt>
              </c:numCache>
            </c:numRef>
          </c:xVal>
          <c:yVal>
            <c:numRef>
              <c:f>'Utility Interruption'!$J$782</c:f>
              <c:numCache>
                <c:formatCode>General</c:formatCode>
                <c:ptCount val="1"/>
                <c:pt idx="0">
                  <c:v>0</c:v>
                </c:pt>
              </c:numCache>
            </c:numRef>
          </c:yVal>
          <c:smooth val="0"/>
          <c:extLst>
            <c:ext xmlns:c16="http://schemas.microsoft.com/office/drawing/2014/chart" uri="{C3380CC4-5D6E-409C-BE32-E72D297353CC}">
              <c16:uniqueId val="{00000006-C87B-4B60-8596-7F1C317B75D7}"/>
            </c:ext>
          </c:extLst>
        </c:ser>
        <c:ser>
          <c:idx val="7"/>
          <c:order val="7"/>
          <c:tx>
            <c:strRef>
              <c:f>'Utility Interruption'!$C$785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C87B-4B60-8596-7F1C317B75D7}"/>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'Utility Interruption'!$J$787</c:f>
              <c:numCache>
                <c:formatCode>General</c:formatCode>
                <c:ptCount val="1"/>
                <c:pt idx="0">
                  <c:v>2</c:v>
                </c:pt>
              </c:numCache>
            </c:numRef>
          </c:xVal>
          <c:yVal>
            <c:numRef>
              <c:f>'Utility Interruption'!$J$786</c:f>
              <c:numCache>
                <c:formatCode>General</c:formatCode>
                <c:ptCount val="1"/>
                <c:pt idx="0">
                  <c:v>0</c:v>
                </c:pt>
              </c:numCache>
            </c:numRef>
          </c:yVal>
          <c:smooth val="0"/>
          <c:extLst>
            <c:ext xmlns:c16="http://schemas.microsoft.com/office/drawing/2014/chart" uri="{C3380CC4-5D6E-409C-BE32-E72D297353CC}">
              <c16:uniqueId val="{00000008-C87B-4B60-8596-7F1C317B75D7}"/>
            </c:ext>
          </c:extLst>
        </c:ser>
        <c:ser>
          <c:idx val="8"/>
          <c:order val="8"/>
          <c:tx>
            <c:strRef>
              <c:f>'Utility Interruption'!$C$789</c:f>
              <c:strCache>
                <c:ptCount val="1"/>
                <c:pt idx="0">
                  <c:v>Limited English Proficiency</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Interruption'!$J$791</c:f>
              <c:numCache>
                <c:formatCode>General</c:formatCode>
                <c:ptCount val="1"/>
                <c:pt idx="0">
                  <c:v>2</c:v>
                </c:pt>
              </c:numCache>
            </c:numRef>
          </c:xVal>
          <c:yVal>
            <c:numRef>
              <c:f>'Utility Interruption'!$J$790</c:f>
              <c:numCache>
                <c:formatCode>General</c:formatCode>
                <c:ptCount val="1"/>
                <c:pt idx="0">
                  <c:v>0</c:v>
                </c:pt>
              </c:numCache>
            </c:numRef>
          </c:yVal>
          <c:smooth val="0"/>
          <c:extLst>
            <c:ext xmlns:c16="http://schemas.microsoft.com/office/drawing/2014/chart" uri="{C3380CC4-5D6E-409C-BE32-E72D297353CC}">
              <c16:uniqueId val="{00000009-C87B-4B60-8596-7F1C317B75D7}"/>
            </c:ext>
          </c:extLst>
        </c:ser>
        <c:dLbls>
          <c:showLegendKey val="0"/>
          <c:showVal val="1"/>
          <c:showCatName val="0"/>
          <c:showSerName val="0"/>
          <c:showPercent val="0"/>
          <c:showBubbleSize val="0"/>
        </c:dLbls>
        <c:axId val="144467456"/>
        <c:axId val="144469376"/>
      </c:scatterChart>
      <c:valAx>
        <c:axId val="144467456"/>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44469376"/>
        <c:crosses val="autoZero"/>
        <c:crossBetween val="midCat"/>
        <c:majorUnit val="1"/>
        <c:minorUnit val="0.1"/>
      </c:valAx>
      <c:valAx>
        <c:axId val="144469376"/>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44467456"/>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'Utility Interruption'!$C$853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Interruption'!$J$854</c:f>
              <c:numCache>
                <c:formatCode>General</c:formatCode>
                <c:ptCount val="1"/>
                <c:pt idx="0">
                  <c:v>4</c:v>
                </c:pt>
              </c:numCache>
            </c:numRef>
          </c:xVal>
          <c:yVal>
            <c:numRef>
              <c:f>'Utility Interruption'!$J$855</c:f>
              <c:numCache>
                <c:formatCode>General</c:formatCode>
                <c:ptCount val="1"/>
                <c:pt idx="0">
                  <c:v>0</c:v>
                </c:pt>
              </c:numCache>
            </c:numRef>
          </c:yVal>
          <c:smooth val="0"/>
          <c:extLst>
            <c:ext xmlns:c16="http://schemas.microsoft.com/office/drawing/2014/chart" uri="{C3380CC4-5D6E-409C-BE32-E72D297353CC}">
              <c16:uniqueId val="{00000000-9121-4C3D-A1AB-618EFB9E5692}"/>
            </c:ext>
          </c:extLst>
        </c:ser>
        <c:ser>
          <c:idx val="1"/>
          <c:order val="1"/>
          <c:tx>
            <c:strRef>
              <c:f>'Utility Interruption'!$C$857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Interruption'!$J$858</c:f>
              <c:numCache>
                <c:formatCode>General</c:formatCode>
                <c:ptCount val="1"/>
                <c:pt idx="0">
                  <c:v>2</c:v>
                </c:pt>
              </c:numCache>
            </c:numRef>
          </c:xVal>
          <c:yVal>
            <c:numRef>
              <c:f>'Utility Interruption'!$J$859</c:f>
              <c:numCache>
                <c:formatCode>General</c:formatCode>
                <c:ptCount val="1"/>
                <c:pt idx="0">
                  <c:v>0</c:v>
                </c:pt>
              </c:numCache>
            </c:numRef>
          </c:yVal>
          <c:smooth val="0"/>
          <c:extLst>
            <c:ext xmlns:c16="http://schemas.microsoft.com/office/drawing/2014/chart" uri="{C3380CC4-5D6E-409C-BE32-E72D297353CC}">
              <c16:uniqueId val="{00000001-9121-4C3D-A1AB-618EFB9E5692}"/>
            </c:ext>
          </c:extLst>
        </c:ser>
        <c:ser>
          <c:idx val="2"/>
          <c:order val="2"/>
          <c:tx>
            <c:strRef>
              <c:f>'Utility Interruption'!$C$861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Interruption'!$J$862</c:f>
              <c:numCache>
                <c:formatCode>General</c:formatCode>
                <c:ptCount val="1"/>
                <c:pt idx="0">
                  <c:v>2</c:v>
                </c:pt>
              </c:numCache>
            </c:numRef>
          </c:xVal>
          <c:yVal>
            <c:numRef>
              <c:f>'Utility Interruption'!$J$863</c:f>
              <c:numCache>
                <c:formatCode>General</c:formatCode>
                <c:ptCount val="1"/>
                <c:pt idx="0">
                  <c:v>0</c:v>
                </c:pt>
              </c:numCache>
            </c:numRef>
          </c:yVal>
          <c:smooth val="0"/>
          <c:extLst>
            <c:ext xmlns:c16="http://schemas.microsoft.com/office/drawing/2014/chart" uri="{C3380CC4-5D6E-409C-BE32-E72D297353CC}">
              <c16:uniqueId val="{00000002-9121-4C3D-A1AB-618EFB9E5692}"/>
            </c:ext>
          </c:extLst>
        </c:ser>
        <c:ser>
          <c:idx val="3"/>
          <c:order val="3"/>
          <c:tx>
            <c:strRef>
              <c:f>'Utility Interruption'!$C$865</c:f>
              <c:strCache>
                <c:ptCount val="1"/>
                <c:pt idx="0">
                  <c:v>Med Materiel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Interruption'!$J$866</c:f>
              <c:numCache>
                <c:formatCode>General</c:formatCode>
                <c:ptCount val="1"/>
                <c:pt idx="0">
                  <c:v>2</c:v>
                </c:pt>
              </c:numCache>
            </c:numRef>
          </c:xVal>
          <c:yVal>
            <c:numRef>
              <c:f>'Utility Interruption'!$J$867</c:f>
              <c:numCache>
                <c:formatCode>General</c:formatCode>
                <c:ptCount val="1"/>
                <c:pt idx="0">
                  <c:v>0</c:v>
                </c:pt>
              </c:numCache>
            </c:numRef>
          </c:yVal>
          <c:smooth val="0"/>
          <c:extLst>
            <c:ext xmlns:c16="http://schemas.microsoft.com/office/drawing/2014/chart" uri="{C3380CC4-5D6E-409C-BE32-E72D297353CC}">
              <c16:uniqueId val="{00000003-9121-4C3D-A1AB-618EFB9E5692}"/>
            </c:ext>
          </c:extLst>
        </c:ser>
        <c:ser>
          <c:idx val="4"/>
          <c:order val="4"/>
          <c:tx>
            <c:strRef>
              <c:f>'Utility Interruption'!$C$869</c:f>
              <c:strCache>
                <c:ptCount val="1"/>
                <c:pt idx="0">
                  <c:v>Medical Surge</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Interruption'!$J$870</c:f>
              <c:numCache>
                <c:formatCode>General</c:formatCode>
                <c:ptCount val="1"/>
                <c:pt idx="0">
                  <c:v>2</c:v>
                </c:pt>
              </c:numCache>
            </c:numRef>
          </c:xVal>
          <c:yVal>
            <c:numRef>
              <c:f>'Utility Interruption'!$J$871</c:f>
              <c:numCache>
                <c:formatCode>General</c:formatCode>
                <c:ptCount val="1"/>
                <c:pt idx="0">
                  <c:v>0</c:v>
                </c:pt>
              </c:numCache>
            </c:numRef>
          </c:yVal>
          <c:smooth val="0"/>
          <c:extLst>
            <c:ext xmlns:c16="http://schemas.microsoft.com/office/drawing/2014/chart" uri="{C3380CC4-5D6E-409C-BE32-E72D297353CC}">
              <c16:uniqueId val="{00000004-9121-4C3D-A1AB-618EFB9E5692}"/>
            </c:ext>
          </c:extLst>
        </c:ser>
        <c:ser>
          <c:idx val="5"/>
          <c:order val="5"/>
          <c:tx>
            <c:strRef>
              <c:f>'Utility Interruption'!$C$873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Interruption'!$J$874</c:f>
              <c:numCache>
                <c:formatCode>General</c:formatCode>
                <c:ptCount val="1"/>
                <c:pt idx="0">
                  <c:v>0</c:v>
                </c:pt>
              </c:numCache>
            </c:numRef>
          </c:xVal>
          <c:yVal>
            <c:numRef>
              <c:f>'Utility Interruption'!$J$875</c:f>
              <c:numCache>
                <c:formatCode>General</c:formatCode>
                <c:ptCount val="1"/>
                <c:pt idx="0">
                  <c:v>0</c:v>
                </c:pt>
              </c:numCache>
            </c:numRef>
          </c:yVal>
          <c:smooth val="0"/>
          <c:extLst>
            <c:ext xmlns:c16="http://schemas.microsoft.com/office/drawing/2014/chart" uri="{C3380CC4-5D6E-409C-BE32-E72D297353CC}">
              <c16:uniqueId val="{00000005-9121-4C3D-A1AB-618EFB9E5692}"/>
            </c:ext>
          </c:extLst>
        </c:ser>
        <c:ser>
          <c:idx val="6"/>
          <c:order val="6"/>
          <c:tx>
            <c:strRef>
              <c:f>'Utility Interruption'!$C$877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Interruption'!$J$878</c:f>
              <c:numCache>
                <c:formatCode>General</c:formatCode>
                <c:ptCount val="1"/>
                <c:pt idx="0">
                  <c:v>1</c:v>
                </c:pt>
              </c:numCache>
            </c:numRef>
          </c:xVal>
          <c:yVal>
            <c:numRef>
              <c:f>'Utility Interruption'!$J$879</c:f>
              <c:numCache>
                <c:formatCode>General</c:formatCode>
                <c:ptCount val="1"/>
                <c:pt idx="0">
                  <c:v>0</c:v>
                </c:pt>
              </c:numCache>
            </c:numRef>
          </c:yVal>
          <c:smooth val="0"/>
          <c:extLst>
            <c:ext xmlns:c16="http://schemas.microsoft.com/office/drawing/2014/chart" uri="{C3380CC4-5D6E-409C-BE32-E72D297353CC}">
              <c16:uniqueId val="{00000006-9121-4C3D-A1AB-618EFB9E5692}"/>
            </c:ext>
          </c:extLst>
        </c:ser>
        <c:ser>
          <c:idx val="7"/>
          <c:order val="7"/>
          <c:tx>
            <c:strRef>
              <c:f>'Utility Interruption'!$C$881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Interruption'!$J$882</c:f>
              <c:numCache>
                <c:formatCode>General</c:formatCode>
                <c:ptCount val="1"/>
                <c:pt idx="0">
                  <c:v>2</c:v>
                </c:pt>
              </c:numCache>
            </c:numRef>
          </c:xVal>
          <c:yVal>
            <c:numRef>
              <c:f>'Utility Interruption'!$J$883</c:f>
              <c:numCache>
                <c:formatCode>General</c:formatCode>
                <c:ptCount val="1"/>
                <c:pt idx="0">
                  <c:v>0</c:v>
                </c:pt>
              </c:numCache>
            </c:numRef>
          </c:yVal>
          <c:smooth val="0"/>
          <c:extLst>
            <c:ext xmlns:c16="http://schemas.microsoft.com/office/drawing/2014/chart" uri="{C3380CC4-5D6E-409C-BE32-E72D297353CC}">
              <c16:uniqueId val="{00000007-9121-4C3D-A1AB-618EFB9E5692}"/>
            </c:ext>
          </c:extLst>
        </c:ser>
        <c:ser>
          <c:idx val="8"/>
          <c:order val="8"/>
          <c:tx>
            <c:strRef>
              <c:f>'Utility Interruption'!$C$885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Interruption'!$J$886</c:f>
              <c:numCache>
                <c:formatCode>General</c:formatCode>
                <c:ptCount val="1"/>
                <c:pt idx="0">
                  <c:v>1</c:v>
                </c:pt>
              </c:numCache>
            </c:numRef>
          </c:xVal>
          <c:yVal>
            <c:numRef>
              <c:f>'Utility Interruption'!$J$887</c:f>
              <c:numCache>
                <c:formatCode>General</c:formatCode>
                <c:ptCount val="1"/>
                <c:pt idx="0">
                  <c:v>0</c:v>
                </c:pt>
              </c:numCache>
            </c:numRef>
          </c:yVal>
          <c:smooth val="0"/>
          <c:extLst>
            <c:ext xmlns:c16="http://schemas.microsoft.com/office/drawing/2014/chart" uri="{C3380CC4-5D6E-409C-BE32-E72D297353CC}">
              <c16:uniqueId val="{00000008-9121-4C3D-A1AB-618EFB9E5692}"/>
            </c:ext>
          </c:extLst>
        </c:ser>
        <c:ser>
          <c:idx val="9"/>
          <c:order val="9"/>
          <c:tx>
            <c:strRef>
              <c:f>'Utility Interruption'!$C$889</c:f>
              <c:strCache>
                <c:ptCount val="1"/>
                <c:pt idx="0">
                  <c:v>Volunteer Mgmt</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Interruption'!$J$890</c:f>
              <c:numCache>
                <c:formatCode>General</c:formatCode>
                <c:ptCount val="1"/>
                <c:pt idx="0">
                  <c:v>2</c:v>
                </c:pt>
              </c:numCache>
            </c:numRef>
          </c:xVal>
          <c:yVal>
            <c:numRef>
              <c:f>'Utility Interruption'!$J$891</c:f>
              <c:numCache>
                <c:formatCode>General</c:formatCode>
                <c:ptCount val="1"/>
                <c:pt idx="0">
                  <c:v>0</c:v>
                </c:pt>
              </c:numCache>
            </c:numRef>
          </c:yVal>
          <c:smooth val="0"/>
          <c:extLst>
            <c:ext xmlns:c16="http://schemas.microsoft.com/office/drawing/2014/chart" uri="{C3380CC4-5D6E-409C-BE32-E72D297353CC}">
              <c16:uniqueId val="{00000009-9121-4C3D-A1AB-618EFB9E5692}"/>
            </c:ext>
          </c:extLst>
        </c:ser>
        <c:ser>
          <c:idx val="10"/>
          <c:order val="10"/>
          <c:tx>
            <c:strRef>
              <c:f>'Utility Interruption'!$C$833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Interruption'!$J$834</c:f>
              <c:numCache>
                <c:formatCode>General</c:formatCode>
                <c:ptCount val="1"/>
                <c:pt idx="0">
                  <c:v>4</c:v>
                </c:pt>
              </c:numCache>
            </c:numRef>
          </c:xVal>
          <c:yVal>
            <c:numRef>
              <c:f>'Utility Interruption'!$J$835</c:f>
              <c:numCache>
                <c:formatCode>General</c:formatCode>
                <c:ptCount val="1"/>
                <c:pt idx="0">
                  <c:v>0</c:v>
                </c:pt>
              </c:numCache>
            </c:numRef>
          </c:yVal>
          <c:smooth val="0"/>
          <c:extLst>
            <c:ext xmlns:c16="http://schemas.microsoft.com/office/drawing/2014/chart" uri="{C3380CC4-5D6E-409C-BE32-E72D297353CC}">
              <c16:uniqueId val="{0000000A-9121-4C3D-A1AB-618EFB9E5692}"/>
            </c:ext>
          </c:extLst>
        </c:ser>
        <c:ser>
          <c:idx val="11"/>
          <c:order val="11"/>
          <c:tx>
            <c:strRef>
              <c:f>'Utility Interruption'!$C$837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Interruption'!$J$838</c:f>
              <c:numCache>
                <c:formatCode>General</c:formatCode>
                <c:ptCount val="1"/>
                <c:pt idx="0">
                  <c:v>4</c:v>
                </c:pt>
              </c:numCache>
            </c:numRef>
          </c:xVal>
          <c:yVal>
            <c:numRef>
              <c:f>'Utility Interruption'!$J$839</c:f>
              <c:numCache>
                <c:formatCode>General</c:formatCode>
                <c:ptCount val="1"/>
                <c:pt idx="0">
                  <c:v>0</c:v>
                </c:pt>
              </c:numCache>
            </c:numRef>
          </c:yVal>
          <c:smooth val="0"/>
          <c:extLst>
            <c:ext xmlns:c16="http://schemas.microsoft.com/office/drawing/2014/chart" uri="{C3380CC4-5D6E-409C-BE32-E72D297353CC}">
              <c16:uniqueId val="{0000000B-9121-4C3D-A1AB-618EFB9E5692}"/>
            </c:ext>
          </c:extLst>
        </c:ser>
        <c:ser>
          <c:idx val="12"/>
          <c:order val="12"/>
          <c:tx>
            <c:strRef>
              <c:f>'Utility Interruption'!$C$841</c:f>
              <c:strCache>
                <c:ptCount val="1"/>
                <c:pt idx="0">
                  <c:v>Emerg Ops Coord</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Interruption'!$J$842</c:f>
              <c:numCache>
                <c:formatCode>General</c:formatCode>
                <c:ptCount val="1"/>
                <c:pt idx="0">
                  <c:v>4</c:v>
                </c:pt>
              </c:numCache>
            </c:numRef>
          </c:xVal>
          <c:yVal>
            <c:numRef>
              <c:f>'Utility Interruption'!$J$843</c:f>
              <c:numCache>
                <c:formatCode>General</c:formatCode>
                <c:ptCount val="1"/>
                <c:pt idx="0">
                  <c:v>0</c:v>
                </c:pt>
              </c:numCache>
            </c:numRef>
          </c:yVal>
          <c:smooth val="0"/>
          <c:extLst>
            <c:ext xmlns:c16="http://schemas.microsoft.com/office/drawing/2014/chart" uri="{C3380CC4-5D6E-409C-BE32-E72D297353CC}">
              <c16:uniqueId val="{0000000C-9121-4C3D-A1AB-618EFB9E5692}"/>
            </c:ext>
          </c:extLst>
        </c:ser>
        <c:ser>
          <c:idx val="13"/>
          <c:order val="13"/>
          <c:tx>
            <c:strRef>
              <c:f>'Utility Interruption'!$C$845</c:f>
              <c:strCache>
                <c:ptCount val="1"/>
                <c:pt idx="0">
                  <c:v>Emerg Public Info</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Interruption'!$J$846</c:f>
              <c:numCache>
                <c:formatCode>General</c:formatCode>
                <c:ptCount val="1"/>
                <c:pt idx="0">
                  <c:v>4</c:v>
                </c:pt>
              </c:numCache>
            </c:numRef>
          </c:xVal>
          <c:yVal>
            <c:numRef>
              <c:f>'Utility Interruption'!$J$847</c:f>
              <c:numCache>
                <c:formatCode>General</c:formatCode>
                <c:ptCount val="1"/>
                <c:pt idx="0">
                  <c:v>0</c:v>
                </c:pt>
              </c:numCache>
            </c:numRef>
          </c:yVal>
          <c:smooth val="0"/>
          <c:extLst>
            <c:ext xmlns:c16="http://schemas.microsoft.com/office/drawing/2014/chart" uri="{C3380CC4-5D6E-409C-BE32-E72D297353CC}">
              <c16:uniqueId val="{0000000D-9121-4C3D-A1AB-618EFB9E5692}"/>
            </c:ext>
          </c:extLst>
        </c:ser>
        <c:ser>
          <c:idx val="14"/>
          <c:order val="14"/>
          <c:tx>
            <c:strRef>
              <c:f>'Utility Interruption'!$C$964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Interruption'!$J$965</c:f>
            </c:numRef>
          </c:xVal>
          <c:yVal>
            <c:numRef>
              <c:f>'Utility Interruption'!$J$966</c:f>
            </c:numRef>
          </c:yVal>
          <c:smooth val="0"/>
          <c:extLst>
            <c:ext xmlns:c16="http://schemas.microsoft.com/office/drawing/2014/chart" uri="{C3380CC4-5D6E-409C-BE32-E72D297353CC}">
              <c16:uniqueId val="{0000000E-9121-4C3D-A1AB-618EFB9E5692}"/>
            </c:ext>
          </c:extLst>
        </c:ser>
        <c:dLbls>
          <c:showLegendKey val="0"/>
          <c:showVal val="1"/>
          <c:showCatName val="0"/>
          <c:showSerName val="0"/>
          <c:showPercent val="0"/>
          <c:showBubbleSize val="0"/>
        </c:dLbls>
        <c:axId val="144548608"/>
        <c:axId val="144550528"/>
      </c:scatterChart>
      <c:valAx>
        <c:axId val="144548608"/>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44550528"/>
        <c:crosses val="autoZero"/>
        <c:crossBetween val="midCat"/>
        <c:majorUnit val="1"/>
        <c:minorUnit val="0.1"/>
      </c:valAx>
      <c:valAx>
        <c:axId val="144550528"/>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44548608"/>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a:t>
            </a:r>
            <a:r>
              <a:rPr lang="en-US" b="0" u="sng" baseline="0">
                <a:latin typeface="+mj-lt"/>
              </a:rPr>
              <a:t> </a:t>
            </a:r>
            <a:r>
              <a:rPr lang="en-US" b="0" u="sng">
                <a:latin typeface="+mj-lt"/>
              </a:rPr>
              <a:t>Preparedness</a:t>
            </a:r>
          </a:p>
        </c:rich>
      </c:tx>
      <c:layout>
        <c:manualLayout>
          <c:xMode val="edge"/>
          <c:yMode val="edge"/>
          <c:x val="0.39849928342971669"/>
          <c:y val="1.3244983721297133E-2"/>
        </c:manualLayout>
      </c:layout>
      <c:overlay val="0"/>
    </c:title>
    <c:autoTitleDeleted val="0"/>
    <c:plotArea>
      <c:layout/>
      <c:scatterChart>
        <c:scatterStyle val="lineMarker"/>
        <c:varyColors val="0"/>
        <c:ser>
          <c:idx val="0"/>
          <c:order val="0"/>
          <c:tx>
            <c:strRef>
              <c:f>'Utility Interruption'!$C$903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Interruption'!$J$904</c:f>
              <c:numCache>
                <c:formatCode>General</c:formatCode>
                <c:ptCount val="1"/>
                <c:pt idx="0">
                  <c:v>4</c:v>
                </c:pt>
              </c:numCache>
            </c:numRef>
          </c:xVal>
          <c:yVal>
            <c:numRef>
              <c:f>'Utility Interruption'!$J$905</c:f>
              <c:numCache>
                <c:formatCode>General</c:formatCode>
                <c:ptCount val="1"/>
                <c:pt idx="0">
                  <c:v>0</c:v>
                </c:pt>
              </c:numCache>
            </c:numRef>
          </c:yVal>
          <c:smooth val="0"/>
          <c:extLst>
            <c:ext xmlns:c16="http://schemas.microsoft.com/office/drawing/2014/chart" uri="{C3380CC4-5D6E-409C-BE32-E72D297353CC}">
              <c16:uniqueId val="{00000000-380E-4D11-9F77-8164579B9984}"/>
            </c:ext>
          </c:extLst>
        </c:ser>
        <c:ser>
          <c:idx val="1"/>
          <c:order val="1"/>
          <c:tx>
            <c:strRef>
              <c:f>'Utility Interruption'!$C$907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Interruption'!$J$908</c:f>
              <c:numCache>
                <c:formatCode>General</c:formatCode>
                <c:ptCount val="1"/>
                <c:pt idx="0">
                  <c:v>4</c:v>
                </c:pt>
              </c:numCache>
            </c:numRef>
          </c:xVal>
          <c:yVal>
            <c:numRef>
              <c:f>'Utility Interruption'!$J$909</c:f>
              <c:numCache>
                <c:formatCode>General</c:formatCode>
                <c:ptCount val="1"/>
                <c:pt idx="0">
                  <c:v>0</c:v>
                </c:pt>
              </c:numCache>
            </c:numRef>
          </c:yVal>
          <c:smooth val="0"/>
          <c:extLst>
            <c:ext xmlns:c16="http://schemas.microsoft.com/office/drawing/2014/chart" uri="{C3380CC4-5D6E-409C-BE32-E72D297353CC}">
              <c16:uniqueId val="{00000001-380E-4D11-9F77-8164579B9984}"/>
            </c:ext>
          </c:extLst>
        </c:ser>
        <c:ser>
          <c:idx val="2"/>
          <c:order val="2"/>
          <c:tx>
            <c:strRef>
              <c:f>'Utility Interruption'!$C$911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Interruption'!$J$912</c:f>
              <c:numCache>
                <c:formatCode>General</c:formatCode>
                <c:ptCount val="1"/>
                <c:pt idx="0">
                  <c:v>4</c:v>
                </c:pt>
              </c:numCache>
            </c:numRef>
          </c:xVal>
          <c:yVal>
            <c:numRef>
              <c:f>'Utility Interruption'!$J$913</c:f>
              <c:numCache>
                <c:formatCode>General</c:formatCode>
                <c:ptCount val="1"/>
                <c:pt idx="0">
                  <c:v>0</c:v>
                </c:pt>
              </c:numCache>
            </c:numRef>
          </c:yVal>
          <c:smooth val="0"/>
          <c:extLst>
            <c:ext xmlns:c16="http://schemas.microsoft.com/office/drawing/2014/chart" uri="{C3380CC4-5D6E-409C-BE32-E72D297353CC}">
              <c16:uniqueId val="{00000002-380E-4D11-9F77-8164579B9984}"/>
            </c:ext>
          </c:extLst>
        </c:ser>
        <c:ser>
          <c:idx val="3"/>
          <c:order val="3"/>
          <c:tx>
            <c:strRef>
              <c:f>'Utility Interruption'!$C$915</c:f>
              <c:strCache>
                <c:ptCount val="1"/>
                <c:pt idx="0">
                  <c:v>Fatality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Interruption'!$J$916</c:f>
              <c:numCache>
                <c:formatCode>General</c:formatCode>
                <c:ptCount val="1"/>
                <c:pt idx="0">
                  <c:v>2</c:v>
                </c:pt>
              </c:numCache>
            </c:numRef>
          </c:xVal>
          <c:yVal>
            <c:numRef>
              <c:f>'Utility Interruption'!$J$917</c:f>
              <c:numCache>
                <c:formatCode>General</c:formatCode>
                <c:ptCount val="1"/>
                <c:pt idx="0">
                  <c:v>0</c:v>
                </c:pt>
              </c:numCache>
            </c:numRef>
          </c:yVal>
          <c:smooth val="0"/>
          <c:extLst>
            <c:ext xmlns:c16="http://schemas.microsoft.com/office/drawing/2014/chart" uri="{C3380CC4-5D6E-409C-BE32-E72D297353CC}">
              <c16:uniqueId val="{00000003-380E-4D11-9F77-8164579B9984}"/>
            </c:ext>
          </c:extLst>
        </c:ser>
        <c:ser>
          <c:idx val="4"/>
          <c:order val="4"/>
          <c:tx>
            <c:strRef>
              <c:f>'Utility Interruption'!$C$919</c:f>
              <c:strCache>
                <c:ptCount val="1"/>
                <c:pt idx="0">
                  <c:v>Info Sharing</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Interruption'!$J$920</c:f>
              <c:numCache>
                <c:formatCode>General</c:formatCode>
                <c:ptCount val="1"/>
                <c:pt idx="0">
                  <c:v>4</c:v>
                </c:pt>
              </c:numCache>
            </c:numRef>
          </c:xVal>
          <c:yVal>
            <c:numRef>
              <c:f>'Utility Interruption'!$J$921</c:f>
              <c:numCache>
                <c:formatCode>General</c:formatCode>
                <c:ptCount val="1"/>
                <c:pt idx="0">
                  <c:v>0</c:v>
                </c:pt>
              </c:numCache>
            </c:numRef>
          </c:yVal>
          <c:smooth val="0"/>
          <c:extLst>
            <c:ext xmlns:c16="http://schemas.microsoft.com/office/drawing/2014/chart" uri="{C3380CC4-5D6E-409C-BE32-E72D297353CC}">
              <c16:uniqueId val="{00000004-380E-4D11-9F77-8164579B9984}"/>
            </c:ext>
          </c:extLst>
        </c:ser>
        <c:ser>
          <c:idx val="5"/>
          <c:order val="5"/>
          <c:tx>
            <c:strRef>
              <c:f>'Utility Interruption'!$C$923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Interruption'!$J$924</c:f>
              <c:numCache>
                <c:formatCode>General</c:formatCode>
                <c:ptCount val="1"/>
                <c:pt idx="0">
                  <c:v>2</c:v>
                </c:pt>
              </c:numCache>
            </c:numRef>
          </c:xVal>
          <c:yVal>
            <c:numRef>
              <c:f>'Utility Interruption'!$J$925</c:f>
              <c:numCache>
                <c:formatCode>General</c:formatCode>
                <c:ptCount val="1"/>
                <c:pt idx="0">
                  <c:v>0</c:v>
                </c:pt>
              </c:numCache>
            </c:numRef>
          </c:yVal>
          <c:smooth val="0"/>
          <c:extLst>
            <c:ext xmlns:c16="http://schemas.microsoft.com/office/drawing/2014/chart" uri="{C3380CC4-5D6E-409C-BE32-E72D297353CC}">
              <c16:uniqueId val="{00000005-380E-4D11-9F77-8164579B9984}"/>
            </c:ext>
          </c:extLst>
        </c:ser>
        <c:ser>
          <c:idx val="6"/>
          <c:order val="6"/>
          <c:tx>
            <c:strRef>
              <c:f>'Utility Interruption'!$C$927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Interruption'!$J$928</c:f>
              <c:numCache>
                <c:formatCode>General</c:formatCode>
                <c:ptCount val="1"/>
                <c:pt idx="0">
                  <c:v>1</c:v>
                </c:pt>
              </c:numCache>
            </c:numRef>
          </c:xVal>
          <c:yVal>
            <c:numRef>
              <c:f>'Utility Interruption'!$J$929</c:f>
              <c:numCache>
                <c:formatCode>General</c:formatCode>
                <c:ptCount val="1"/>
                <c:pt idx="0">
                  <c:v>0</c:v>
                </c:pt>
              </c:numCache>
            </c:numRef>
          </c:yVal>
          <c:smooth val="0"/>
          <c:extLst>
            <c:ext xmlns:c16="http://schemas.microsoft.com/office/drawing/2014/chart" uri="{C3380CC4-5D6E-409C-BE32-E72D297353CC}">
              <c16:uniqueId val="{00000006-380E-4D11-9F77-8164579B9984}"/>
            </c:ext>
          </c:extLst>
        </c:ser>
        <c:ser>
          <c:idx val="7"/>
          <c:order val="7"/>
          <c:tx>
            <c:strRef>
              <c:f>'Utility Interruption'!$C$931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Interruption'!$J$932</c:f>
              <c:numCache>
                <c:formatCode>General</c:formatCode>
                <c:ptCount val="1"/>
                <c:pt idx="0">
                  <c:v>2</c:v>
                </c:pt>
              </c:numCache>
            </c:numRef>
          </c:xVal>
          <c:yVal>
            <c:numRef>
              <c:f>'Utility Interruption'!$J$933</c:f>
              <c:numCache>
                <c:formatCode>General</c:formatCode>
                <c:ptCount val="1"/>
                <c:pt idx="0">
                  <c:v>0</c:v>
                </c:pt>
              </c:numCache>
            </c:numRef>
          </c:yVal>
          <c:smooth val="0"/>
          <c:extLst>
            <c:ext xmlns:c16="http://schemas.microsoft.com/office/drawing/2014/chart" uri="{C3380CC4-5D6E-409C-BE32-E72D297353CC}">
              <c16:uniqueId val="{00000007-380E-4D11-9F77-8164579B9984}"/>
            </c:ext>
          </c:extLst>
        </c:ser>
        <c:ser>
          <c:idx val="14"/>
          <c:order val="8"/>
          <c:tx>
            <c:strRef>
              <c:f>'Utility Interruption'!$C$964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'Utility Interruption'!$J$965</c:f>
            </c:numRef>
          </c:xVal>
          <c:yVal>
            <c:numRef>
              <c:f>'Utility Interruption'!$J$966</c:f>
            </c:numRef>
          </c:yVal>
          <c:smooth val="0"/>
          <c:extLst>
            <c:ext xmlns:c16="http://schemas.microsoft.com/office/drawing/2014/chart" uri="{C3380CC4-5D6E-409C-BE32-E72D297353CC}">
              <c16:uniqueId val="{00000008-380E-4D11-9F77-8164579B9984}"/>
            </c:ext>
          </c:extLst>
        </c:ser>
        <c:dLbls>
          <c:showLegendKey val="0"/>
          <c:showVal val="1"/>
          <c:showCatName val="0"/>
          <c:showSerName val="0"/>
          <c:showPercent val="0"/>
          <c:showBubbleSize val="0"/>
        </c:dLbls>
        <c:axId val="151257856"/>
        <c:axId val="151259776"/>
      </c:scatterChart>
      <c:valAx>
        <c:axId val="15125785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1259776"/>
        <c:crosses val="autoZero"/>
        <c:crossBetween val="midCat"/>
        <c:majorUnit val="1"/>
        <c:minorUnit val="0.1"/>
      </c:valAx>
      <c:valAx>
        <c:axId val="15125977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125785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Severity</a:t>
            </a:r>
          </a:p>
        </c:rich>
      </c:tx>
      <c:layout>
        <c:manualLayout>
          <c:xMode val="edge"/>
          <c:yMode val="edge"/>
          <c:x val="0.46889233641333866"/>
          <c:y val="1.3244983721297133E-2"/>
        </c:manualLayout>
      </c:layout>
      <c:overlay val="0"/>
    </c:title>
    <c:autoTitleDeleted val="0"/>
    <c:plotArea>
      <c:layout/>
      <c:barChart>
        <c:barDir val="col"/>
        <c:grouping val="clustered"/>
        <c:varyColors val="0"/>
        <c:ser>
          <c:idx val="0"/>
          <c:order val="0"/>
          <c:tx>
            <c:v>Severity</c:v>
          </c:tx>
          <c:spPr>
            <a:solidFill>
              <a:schemeClr val="accent4">
                <a:lumMod val="60000"/>
                <a:lumOff val="40000"/>
              </a:schemeClr>
            </a:solidFill>
            <a:ln>
              <a:solidFill>
                <a:schemeClr val="accent4"/>
              </a:solidFill>
            </a:ln>
            <a:scene3d>
              <a:camera prst="orthographicFront"/>
              <a:lightRig rig="threePt" dir="t"/>
            </a:scene3d>
            <a:sp3d prstMaterial="matte">
              <a:bevelT w="63500" h="50800"/>
            </a:sp3d>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('Active Shooter'!$G$22,'Active Shooter'!$G$137,'Active Shooter'!$G$265,'Active Shooter'!$G$425,'Active Shooter'!$G$543)</c:f>
              <c:strCache>
                <c:ptCount val="5"/>
                <c:pt idx="0">
                  <c:v>Human Impact</c:v>
                </c:pt>
                <c:pt idx="1">
                  <c:v>Healthcare Service Impact</c:v>
                </c:pt>
                <c:pt idx="2">
                  <c:v>Inpatient Healthcare Facility Infrastructure Impact</c:v>
                </c:pt>
                <c:pt idx="3">
                  <c:v>Community Impact</c:v>
                </c:pt>
                <c:pt idx="4">
                  <c:v>Public Health Service Impact</c:v>
                </c:pt>
              </c:strCache>
            </c:strRef>
          </c:cat>
          <c:val>
            <c:numRef>
              <c:f>('Winter Storm'!$J$133,'Winter Storm'!$J$261,'Winter Storm'!$J$421,'Winter Storm'!$J$539,'Winter Storm'!$J$681)</c:f>
              <c:numCache>
                <c:formatCode>0.00</c:formatCode>
                <c:ptCount val="5"/>
                <c:pt idx="0">
                  <c:v>1</c:v>
                </c:pt>
                <c:pt idx="1">
                  <c:v>0</c:v>
                </c:pt>
                <c:pt idx="2">
                  <c:v>1.3125</c:v>
                </c:pt>
                <c:pt idx="3">
                  <c:v>1.2142857142857142</c:v>
                </c:pt>
                <c:pt idx="4">
                  <c:v>0</c:v>
                </c:pt>
              </c:numCache>
            </c:numRef>
          </c:val>
          <c:extLst>
            <c:ext xmlns:c16="http://schemas.microsoft.com/office/drawing/2014/chart" uri="{C3380CC4-5D6E-409C-BE32-E72D297353CC}">
              <c16:uniqueId val="{00000000-4E39-43A9-B40C-0DA9BDBDF1D4}"/>
            </c:ext>
          </c:extLst>
        </c:ser>
        <c:dLbls>
          <c:showLegendKey val="0"/>
          <c:showVal val="1"/>
          <c:showCatName val="0"/>
          <c:showSerName val="0"/>
          <c:showPercent val="0"/>
          <c:showBubbleSize val="0"/>
        </c:dLbls>
        <c:gapWidth val="150"/>
        <c:axId val="151289216"/>
        <c:axId val="151313024"/>
      </c:barChart>
      <c:catAx>
        <c:axId val="151289216"/>
        <c:scaling>
          <c:orientation val="minMax"/>
        </c:scaling>
        <c:delete val="0"/>
        <c:axPos val="b"/>
        <c:title>
          <c:tx>
            <c:rich>
              <a:bodyPr/>
              <a:lstStyle/>
              <a:p>
                <a:pPr>
                  <a:defRPr sz="1600" b="0">
                    <a:latin typeface="+mj-lt"/>
                  </a:defRPr>
                </a:pPr>
                <a:r>
                  <a:rPr lang="en-US" sz="1600" b="0">
                    <a:latin typeface="+mj-lt"/>
                  </a:rPr>
                  <a:t>Domain</a:t>
                </a:r>
              </a:p>
            </c:rich>
          </c:tx>
          <c:overlay val="0"/>
        </c:title>
        <c:numFmt formatCode="General" sourceLinked="1"/>
        <c:majorTickMark val="out"/>
        <c:minorTickMark val="none"/>
        <c:tickLblPos val="nextTo"/>
        <c:crossAx val="151313024"/>
        <c:crosses val="autoZero"/>
        <c:auto val="1"/>
        <c:lblAlgn val="ctr"/>
        <c:lblOffset val="100"/>
        <c:noMultiLvlLbl val="0"/>
      </c:catAx>
      <c:valAx>
        <c:axId val="151313024"/>
        <c:scaling>
          <c:orientation val="minMax"/>
          <c:max val="4"/>
        </c:scaling>
        <c:delete val="0"/>
        <c:axPos val="l"/>
        <c:majorGridlines/>
        <c:title>
          <c:tx>
            <c:rich>
              <a:bodyPr rot="-5400000" vert="horz"/>
              <a:lstStyle/>
              <a:p>
                <a:pPr>
                  <a:defRPr sz="1600" b="0">
                    <a:latin typeface="+mj-lt"/>
                  </a:defRPr>
                </a:pPr>
                <a:r>
                  <a:rPr lang="en-US" sz="1600" b="0">
                    <a:latin typeface="+mj-lt"/>
                  </a:rPr>
                  <a:t>Severity</a:t>
                </a:r>
                <a:r>
                  <a:rPr lang="en-US" sz="1600" b="0" baseline="0">
                    <a:latin typeface="+mj-lt"/>
                  </a:rPr>
                  <a:t> Score</a:t>
                </a:r>
                <a:endParaRPr lang="en-US" sz="1600" b="0">
                  <a:latin typeface="+mj-lt"/>
                </a:endParaRPr>
              </a:p>
            </c:rich>
          </c:tx>
          <c:overlay val="0"/>
        </c:title>
        <c:numFmt formatCode="0.00" sourceLinked="1"/>
        <c:majorTickMark val="out"/>
        <c:minorTickMark val="none"/>
        <c:tickLblPos val="nextTo"/>
        <c:crossAx val="151289216"/>
        <c:crosses val="autoZero"/>
        <c:crossBetween val="between"/>
      </c:valAx>
      <c:spPr>
        <a:gradFill flip="none" rotWithShape="1">
          <a:gsLst>
            <a:gs pos="0">
              <a:srgbClr val="63BE7B"/>
            </a:gs>
            <a:gs pos="50000">
              <a:srgbClr val="FFEB84"/>
            </a:gs>
            <a:gs pos="100000">
              <a:srgbClr val="F8696B"/>
            </a:gs>
          </a:gsLst>
          <a:lin ang="162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chart>
    <c:title>
      <c:tx>
        <c:rich>
          <a:bodyPr/>
          <a:lstStyle/>
          <a:p>
            <a:pPr>
              <a:defRPr b="0" u="sng">
                <a:latin typeface="+mj-lt"/>
              </a:defRPr>
            </a:pPr>
            <a:r>
              <a:rPr lang="en-US" b="0" u="sng">
                <a:latin typeface="+mj-lt"/>
              </a:rPr>
              <a:t>At-Risk Populations</a:t>
            </a:r>
          </a:p>
        </c:rich>
      </c:tx>
      <c:layout>
        <c:manualLayout>
          <c:xMode val="edge"/>
          <c:yMode val="edge"/>
          <c:x val="0.3763685858970231"/>
          <c:y val="1.3244983721297133E-2"/>
        </c:manualLayout>
      </c:layout>
      <c:overlay val="0"/>
    </c:title>
    <c:autoTitleDeleted val="0"/>
    <c:plotArea>
      <c:layout>
        <c:manualLayout>
          <c:layoutTarget val="inner"/>
          <c:xMode val="edge"/>
          <c:yMode val="edge"/>
          <c:x val="9.2855623530330084E-2"/>
          <c:y val="0.10007907481510167"/>
          <c:w val="0.87850741705613933"/>
          <c:h val="0.77165947152780767"/>
        </c:manualLayout>
      </c:layout>
      <c:scatterChart>
        <c:scatterStyle val="lineMarker"/>
        <c:varyColors val="0"/>
        <c:ser>
          <c:idx val="0"/>
          <c:order val="0"/>
          <c:tx>
            <c:strRef>
              <c:f>'Winter Storm'!$C$793</c:f>
              <c:strCache>
                <c:ptCount val="1"/>
                <c:pt idx="0">
                  <c:v>Poverty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Storm'!$J$795</c:f>
              <c:numCache>
                <c:formatCode>General</c:formatCode>
                <c:ptCount val="1"/>
                <c:pt idx="0">
                  <c:v>2</c:v>
                </c:pt>
              </c:numCache>
            </c:numRef>
          </c:xVal>
          <c:yVal>
            <c:numRef>
              <c:f>'Winter Storm'!$J$794</c:f>
              <c:numCache>
                <c:formatCode>General</c:formatCode>
                <c:ptCount val="1"/>
                <c:pt idx="0">
                  <c:v>0</c:v>
                </c:pt>
              </c:numCache>
            </c:numRef>
          </c:yVal>
          <c:smooth val="0"/>
          <c:extLst>
            <c:ext xmlns:c16="http://schemas.microsoft.com/office/drawing/2014/chart" uri="{C3380CC4-5D6E-409C-BE32-E72D297353CC}">
              <c16:uniqueId val="{00000000-EA88-4BFA-931A-FDA2278A9695}"/>
            </c:ext>
          </c:extLst>
        </c:ser>
        <c:ser>
          <c:idx val="1"/>
          <c:order val="1"/>
          <c:tx>
            <c:strRef>
              <c:f>'Winter Storm'!$C$797</c:f>
              <c:strCache>
                <c:ptCount val="1"/>
                <c:pt idx="0">
                  <c:v>Chronic Diseases (Diabetes)</c:v>
                </c:pt>
              </c:strCache>
            </c:strRef>
          </c:tx>
          <c:spPr>
            <a:ln w="66675">
              <a:noFill/>
            </a:ln>
          </c:spP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EA88-4BFA-931A-FDA2278A9695}"/>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Storm'!$J$799</c:f>
              <c:numCache>
                <c:formatCode>General</c:formatCode>
                <c:ptCount val="1"/>
                <c:pt idx="0">
                  <c:v>1</c:v>
                </c:pt>
              </c:numCache>
            </c:numRef>
          </c:xVal>
          <c:yVal>
            <c:numRef>
              <c:f>'Winter Storm'!$J$798</c:f>
              <c:numCache>
                <c:formatCode>General</c:formatCode>
                <c:ptCount val="1"/>
                <c:pt idx="0">
                  <c:v>0</c:v>
                </c:pt>
              </c:numCache>
            </c:numRef>
          </c:yVal>
          <c:smooth val="0"/>
          <c:extLst>
            <c:ext xmlns:c16="http://schemas.microsoft.com/office/drawing/2014/chart" uri="{C3380CC4-5D6E-409C-BE32-E72D297353CC}">
              <c16:uniqueId val="{00000002-EA88-4BFA-931A-FDA2278A9695}"/>
            </c:ext>
          </c:extLst>
        </c:ser>
        <c:ser>
          <c:idx val="2"/>
          <c:order val="2"/>
          <c:tx>
            <c:strRef>
              <c:f>'Winter Storm'!$C$801</c:f>
              <c:strCache>
                <c:ptCount val="1"/>
                <c:pt idx="0">
                  <c:v>Children 18 and under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Storm'!$J$803</c:f>
              <c:numCache>
                <c:formatCode>General</c:formatCode>
                <c:ptCount val="1"/>
                <c:pt idx="0">
                  <c:v>2</c:v>
                </c:pt>
              </c:numCache>
            </c:numRef>
          </c:xVal>
          <c:yVal>
            <c:numRef>
              <c:f>'Winter Storm'!$J$802</c:f>
              <c:numCache>
                <c:formatCode>General</c:formatCode>
                <c:ptCount val="1"/>
                <c:pt idx="0">
                  <c:v>0</c:v>
                </c:pt>
              </c:numCache>
            </c:numRef>
          </c:yVal>
          <c:smooth val="0"/>
          <c:extLst>
            <c:ext xmlns:c16="http://schemas.microsoft.com/office/drawing/2014/chart" uri="{C3380CC4-5D6E-409C-BE32-E72D297353CC}">
              <c16:uniqueId val="{00000003-EA88-4BFA-931A-FDA2278A9695}"/>
            </c:ext>
          </c:extLst>
        </c:ser>
        <c:ser>
          <c:idx val="3"/>
          <c:order val="3"/>
          <c:tx>
            <c:strRef>
              <c:f>'Winter Storm'!$C$805</c:f>
              <c:strCache>
                <c:ptCount val="1"/>
                <c:pt idx="0">
                  <c:v>Elderly 65 and older</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Storm'!$J$807</c:f>
              <c:numCache>
                <c:formatCode>General</c:formatCode>
                <c:ptCount val="1"/>
                <c:pt idx="0">
                  <c:v>1</c:v>
                </c:pt>
              </c:numCache>
            </c:numRef>
          </c:xVal>
          <c:yVal>
            <c:numRef>
              <c:f>'Winter Storm'!$J$806</c:f>
              <c:numCache>
                <c:formatCode>General</c:formatCode>
                <c:ptCount val="1"/>
                <c:pt idx="0">
                  <c:v>0</c:v>
                </c:pt>
              </c:numCache>
            </c:numRef>
          </c:yVal>
          <c:smooth val="0"/>
          <c:extLst>
            <c:ext xmlns:c16="http://schemas.microsoft.com/office/drawing/2014/chart" uri="{C3380CC4-5D6E-409C-BE32-E72D297353CC}">
              <c16:uniqueId val="{00000004-EA88-4BFA-931A-FDA2278A9695}"/>
            </c:ext>
          </c:extLst>
        </c:ser>
        <c:ser>
          <c:idx val="4"/>
          <c:order val="4"/>
          <c:tx>
            <c:strRef>
              <c:f>'Winter Storm'!$C$773</c:f>
              <c:strCache>
                <c:ptCount val="1"/>
                <c:pt idx="0">
                  <c:v>Hearing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Storm'!$J$775</c:f>
              <c:numCache>
                <c:formatCode>General</c:formatCode>
                <c:ptCount val="1"/>
                <c:pt idx="0">
                  <c:v>2</c:v>
                </c:pt>
              </c:numCache>
            </c:numRef>
          </c:xVal>
          <c:yVal>
            <c:numRef>
              <c:f>'Winter Storm'!$J$774</c:f>
              <c:numCache>
                <c:formatCode>General</c:formatCode>
                <c:ptCount val="1"/>
                <c:pt idx="0">
                  <c:v>0</c:v>
                </c:pt>
              </c:numCache>
            </c:numRef>
          </c:yVal>
          <c:smooth val="0"/>
          <c:extLst>
            <c:ext xmlns:c16="http://schemas.microsoft.com/office/drawing/2014/chart" uri="{C3380CC4-5D6E-409C-BE32-E72D297353CC}">
              <c16:uniqueId val="{00000005-EA88-4BFA-931A-FDA2278A9695}"/>
            </c:ext>
          </c:extLst>
        </c:ser>
        <c:ser>
          <c:idx val="5"/>
          <c:order val="5"/>
          <c:tx>
            <c:strRef>
              <c:f>'Winter Storm'!$C$777</c:f>
              <c:strCache>
                <c:ptCount val="1"/>
                <c:pt idx="0">
                  <c:v>Vision Disability</c:v>
                </c:pt>
              </c:strCache>
            </c:strRef>
          </c:tx>
          <c:spPr>
            <a:ln w="66675">
              <a:noFill/>
            </a:ln>
          </c:spP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Storm'!$J$779</c:f>
              <c:numCache>
                <c:formatCode>General</c:formatCode>
                <c:ptCount val="1"/>
                <c:pt idx="0">
                  <c:v>2</c:v>
                </c:pt>
              </c:numCache>
            </c:numRef>
          </c:xVal>
          <c:yVal>
            <c:numRef>
              <c:f>'Winter Storm'!$J$778</c:f>
              <c:numCache>
                <c:formatCode>General</c:formatCode>
                <c:ptCount val="1"/>
                <c:pt idx="0">
                  <c:v>0</c:v>
                </c:pt>
              </c:numCache>
            </c:numRef>
          </c:yVal>
          <c:smooth val="0"/>
          <c:extLst>
            <c:ext xmlns:c16="http://schemas.microsoft.com/office/drawing/2014/chart" uri="{C3380CC4-5D6E-409C-BE32-E72D297353CC}">
              <c16:uniqueId val="{00000006-EA88-4BFA-931A-FDA2278A9695}"/>
            </c:ext>
          </c:extLst>
        </c:ser>
        <c:ser>
          <c:idx val="6"/>
          <c:order val="6"/>
          <c:tx>
            <c:strRef>
              <c:f>'Winter Storm'!$C$781</c:f>
              <c:strCache>
                <c:ptCount val="1"/>
                <c:pt idx="0">
                  <c:v>Ambulatory Disability</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Storm'!$J$783</c:f>
              <c:numCache>
                <c:formatCode>General</c:formatCode>
                <c:ptCount val="1"/>
                <c:pt idx="0">
                  <c:v>1</c:v>
                </c:pt>
              </c:numCache>
            </c:numRef>
          </c:xVal>
          <c:yVal>
            <c:numRef>
              <c:f>'Winter Storm'!$J$782</c:f>
              <c:numCache>
                <c:formatCode>General</c:formatCode>
                <c:ptCount val="1"/>
                <c:pt idx="0">
                  <c:v>0</c:v>
                </c:pt>
              </c:numCache>
            </c:numRef>
          </c:yVal>
          <c:smooth val="0"/>
          <c:extLst>
            <c:ext xmlns:c16="http://schemas.microsoft.com/office/drawing/2014/chart" uri="{C3380CC4-5D6E-409C-BE32-E72D297353CC}">
              <c16:uniqueId val="{00000007-EA88-4BFA-931A-FDA2278A9695}"/>
            </c:ext>
          </c:extLst>
        </c:ser>
        <c:ser>
          <c:idx val="7"/>
          <c:order val="7"/>
          <c:tx>
            <c:strRef>
              <c:f>'Winter Storm'!$C$785</c:f>
              <c:strCache>
                <c:ptCount val="1"/>
                <c:pt idx="0">
                  <c:v>Cognitive Disability</c:v>
                </c:pt>
              </c:strCache>
            </c:strRef>
          </c:tx>
          <c:spPr>
            <a:ln w="66675">
              <a:noFill/>
            </a:ln>
          </c:spPr>
          <c:dLbls>
            <c:dLbl>
              <c:idx val="0"/>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EA88-4BFA-931A-FDA2278A9695}"/>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'Winter Storm'!$J$787</c:f>
              <c:numCache>
                <c:formatCode>General</c:formatCode>
                <c:ptCount val="1"/>
                <c:pt idx="0">
                  <c:v>2</c:v>
                </c:pt>
              </c:numCache>
            </c:numRef>
          </c:xVal>
          <c:yVal>
            <c:numRef>
              <c:f>'Winter Storm'!$J$786</c:f>
              <c:numCache>
                <c:formatCode>General</c:formatCode>
                <c:ptCount val="1"/>
                <c:pt idx="0">
                  <c:v>0</c:v>
                </c:pt>
              </c:numCache>
            </c:numRef>
          </c:yVal>
          <c:smooth val="0"/>
          <c:extLst>
            <c:ext xmlns:c16="http://schemas.microsoft.com/office/drawing/2014/chart" uri="{C3380CC4-5D6E-409C-BE32-E72D297353CC}">
              <c16:uniqueId val="{00000009-EA88-4BFA-931A-FDA2278A9695}"/>
            </c:ext>
          </c:extLst>
        </c:ser>
        <c:ser>
          <c:idx val="8"/>
          <c:order val="8"/>
          <c:tx>
            <c:strRef>
              <c:f>'Winter Storm'!$C$789</c:f>
              <c:strCache>
                <c:ptCount val="1"/>
                <c:pt idx="0">
                  <c:v>Limited English Proficiency</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Storm'!$J$791</c:f>
              <c:numCache>
                <c:formatCode>General</c:formatCode>
                <c:ptCount val="1"/>
                <c:pt idx="0">
                  <c:v>2</c:v>
                </c:pt>
              </c:numCache>
            </c:numRef>
          </c:xVal>
          <c:yVal>
            <c:numRef>
              <c:f>'Winter Storm'!$J$790</c:f>
              <c:numCache>
                <c:formatCode>General</c:formatCode>
                <c:ptCount val="1"/>
                <c:pt idx="0">
                  <c:v>0</c:v>
                </c:pt>
              </c:numCache>
            </c:numRef>
          </c:yVal>
          <c:smooth val="0"/>
          <c:extLst>
            <c:ext xmlns:c16="http://schemas.microsoft.com/office/drawing/2014/chart" uri="{C3380CC4-5D6E-409C-BE32-E72D297353CC}">
              <c16:uniqueId val="{0000000A-EA88-4BFA-931A-FDA2278A9695}"/>
            </c:ext>
          </c:extLst>
        </c:ser>
        <c:dLbls>
          <c:showLegendKey val="0"/>
          <c:showVal val="1"/>
          <c:showCatName val="0"/>
          <c:showSerName val="0"/>
          <c:showPercent val="0"/>
          <c:showBubbleSize val="0"/>
        </c:dLbls>
        <c:axId val="152380160"/>
        <c:axId val="152382080"/>
      </c:scatterChart>
      <c:valAx>
        <c:axId val="152380160"/>
        <c:scaling>
          <c:orientation val="minMax"/>
          <c:max val="4.5"/>
          <c:min val="0"/>
        </c:scaling>
        <c:delete val="0"/>
        <c:axPos val="b"/>
        <c:majorGridlines/>
        <c:title>
          <c:tx>
            <c:rich>
              <a:bodyPr/>
              <a:lstStyle/>
              <a:p>
                <a:pPr>
                  <a:defRPr b="0">
                    <a:latin typeface="+mj-lt"/>
                  </a:defRPr>
                </a:pPr>
                <a:r>
                  <a:rPr lang="en-US" sz="1600" b="0">
                    <a:latin typeface="+mj-lt"/>
                  </a:rPr>
                  <a:t>Access Planning Score</a:t>
                </a:r>
              </a:p>
            </c:rich>
          </c:tx>
          <c:overlay val="0"/>
        </c:title>
        <c:numFmt formatCode="General" sourceLinked="1"/>
        <c:majorTickMark val="out"/>
        <c:minorTickMark val="none"/>
        <c:tickLblPos val="nextTo"/>
        <c:spPr>
          <a:ln>
            <a:solidFill>
              <a:schemeClr val="tx1"/>
            </a:solidFill>
          </a:ln>
        </c:spPr>
        <c:crossAx val="152382080"/>
        <c:crosses val="autoZero"/>
        <c:crossBetween val="midCat"/>
        <c:majorUnit val="1"/>
        <c:minorUnit val="0.1"/>
      </c:valAx>
      <c:valAx>
        <c:axId val="152382080"/>
        <c:scaling>
          <c:orientation val="minMax"/>
          <c:max val="4.5"/>
          <c:min val="0"/>
        </c:scaling>
        <c:delete val="0"/>
        <c:axPos val="l"/>
        <c:majorGridlines/>
        <c:title>
          <c:tx>
            <c:rich>
              <a:bodyPr rot="-5400000" vert="horz"/>
              <a:lstStyle/>
              <a:p>
                <a:pPr>
                  <a:defRPr sz="1600" b="0">
                    <a:latin typeface="+mj-lt"/>
                  </a:defRPr>
                </a:pPr>
                <a:r>
                  <a:rPr lang="en-US" sz="1600" b="0">
                    <a:latin typeface="+mj-lt"/>
                  </a:rPr>
                  <a:t>Population Size Score</a:t>
                </a:r>
              </a:p>
            </c:rich>
          </c:tx>
          <c:overlay val="0"/>
        </c:title>
        <c:numFmt formatCode="General" sourceLinked="1"/>
        <c:majorTickMark val="out"/>
        <c:minorTickMark val="none"/>
        <c:tickLblPos val="nextTo"/>
        <c:spPr>
          <a:ln>
            <a:solidFill>
              <a:schemeClr val="tx1"/>
            </a:solidFill>
          </a:ln>
        </c:spPr>
        <c:crossAx val="152380160"/>
        <c:crosses val="autoZero"/>
        <c:crossBetween val="midCat"/>
        <c:majorUnit val="1"/>
        <c:minorUnit val="0.1"/>
      </c:valAx>
      <c:spPr>
        <a:gradFill flip="none" rotWithShape="1">
          <a:gsLst>
            <a:gs pos="0">
              <a:srgbClr val="63BE7B"/>
            </a:gs>
            <a:gs pos="50000">
              <a:srgbClr val="FFEB84"/>
            </a:gs>
            <a:gs pos="100000">
              <a:srgbClr val="F8696B"/>
            </a:gs>
          </a:gsLst>
          <a:lin ang="189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Public Health Preparedness</a:t>
            </a:r>
          </a:p>
        </c:rich>
      </c:tx>
      <c:layout>
        <c:manualLayout>
          <c:xMode val="edge"/>
          <c:yMode val="edge"/>
          <c:x val="0.30532356317913795"/>
          <c:y val="1.3244983721297133E-2"/>
        </c:manualLayout>
      </c:layout>
      <c:overlay val="0"/>
    </c:title>
    <c:autoTitleDeleted val="0"/>
    <c:plotArea>
      <c:layout/>
      <c:scatterChart>
        <c:scatterStyle val="lineMarker"/>
        <c:varyColors val="0"/>
        <c:ser>
          <c:idx val="0"/>
          <c:order val="0"/>
          <c:tx>
            <c:strRef>
              <c:f>'Winter Storm'!$C$853</c:f>
              <c:strCache>
                <c:ptCount val="1"/>
                <c:pt idx="0">
                  <c:v>Info Sharing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Storm'!$J$854</c:f>
              <c:numCache>
                <c:formatCode>General</c:formatCode>
                <c:ptCount val="1"/>
                <c:pt idx="0">
                  <c:v>4</c:v>
                </c:pt>
              </c:numCache>
            </c:numRef>
          </c:xVal>
          <c:yVal>
            <c:numRef>
              <c:f>'Winter Storm'!$J$855</c:f>
              <c:numCache>
                <c:formatCode>General</c:formatCode>
                <c:ptCount val="1"/>
                <c:pt idx="0">
                  <c:v>0</c:v>
                </c:pt>
              </c:numCache>
            </c:numRef>
          </c:yVal>
          <c:smooth val="0"/>
          <c:extLst>
            <c:ext xmlns:c16="http://schemas.microsoft.com/office/drawing/2014/chart" uri="{C3380CC4-5D6E-409C-BE32-E72D297353CC}">
              <c16:uniqueId val="{00000000-3636-4607-B87D-8CF5ECB31CBB}"/>
            </c:ext>
          </c:extLst>
        </c:ser>
        <c:ser>
          <c:idx val="1"/>
          <c:order val="1"/>
          <c:tx>
            <c:strRef>
              <c:f>'Winter Storm'!$C$857</c:f>
              <c:strCache>
                <c:ptCount val="1"/>
                <c:pt idx="0">
                  <c:v>Mass Care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Storm'!$J$858</c:f>
              <c:numCache>
                <c:formatCode>General</c:formatCode>
                <c:ptCount val="1"/>
                <c:pt idx="0">
                  <c:v>1</c:v>
                </c:pt>
              </c:numCache>
            </c:numRef>
          </c:xVal>
          <c:yVal>
            <c:numRef>
              <c:f>'Winter Storm'!$J$859</c:f>
              <c:numCache>
                <c:formatCode>General</c:formatCode>
                <c:ptCount val="1"/>
                <c:pt idx="0">
                  <c:v>0</c:v>
                </c:pt>
              </c:numCache>
            </c:numRef>
          </c:yVal>
          <c:smooth val="0"/>
          <c:extLst>
            <c:ext xmlns:c16="http://schemas.microsoft.com/office/drawing/2014/chart" uri="{C3380CC4-5D6E-409C-BE32-E72D297353CC}">
              <c16:uniqueId val="{00000001-3636-4607-B87D-8CF5ECB31CBB}"/>
            </c:ext>
          </c:extLst>
        </c:ser>
        <c:ser>
          <c:idx val="2"/>
          <c:order val="2"/>
          <c:tx>
            <c:strRef>
              <c:f>'Winter Storm'!$C$861</c:f>
              <c:strCache>
                <c:ptCount val="1"/>
                <c:pt idx="0">
                  <c:v>MCM Dispens</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Storm'!$J$862</c:f>
              <c:numCache>
                <c:formatCode>General</c:formatCode>
                <c:ptCount val="1"/>
                <c:pt idx="0">
                  <c:v>0</c:v>
                </c:pt>
              </c:numCache>
            </c:numRef>
          </c:xVal>
          <c:yVal>
            <c:numRef>
              <c:f>'Winter Storm'!$J$863</c:f>
              <c:numCache>
                <c:formatCode>General</c:formatCode>
                <c:ptCount val="1"/>
                <c:pt idx="0">
                  <c:v>0</c:v>
                </c:pt>
              </c:numCache>
            </c:numRef>
          </c:yVal>
          <c:smooth val="0"/>
          <c:extLst>
            <c:ext xmlns:c16="http://schemas.microsoft.com/office/drawing/2014/chart" uri="{C3380CC4-5D6E-409C-BE32-E72D297353CC}">
              <c16:uniqueId val="{00000002-3636-4607-B87D-8CF5ECB31CBB}"/>
            </c:ext>
          </c:extLst>
        </c:ser>
        <c:ser>
          <c:idx val="3"/>
          <c:order val="3"/>
          <c:tx>
            <c:strRef>
              <c:f>'Winter Storm'!$C$865</c:f>
              <c:strCache>
                <c:ptCount val="1"/>
                <c:pt idx="0">
                  <c:v>Med Materiel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Storm'!$J$866</c:f>
              <c:numCache>
                <c:formatCode>General</c:formatCode>
                <c:ptCount val="1"/>
                <c:pt idx="0">
                  <c:v>2</c:v>
                </c:pt>
              </c:numCache>
            </c:numRef>
          </c:xVal>
          <c:yVal>
            <c:numRef>
              <c:f>'Winter Storm'!$J$867</c:f>
              <c:numCache>
                <c:formatCode>General</c:formatCode>
                <c:ptCount val="1"/>
                <c:pt idx="0">
                  <c:v>0</c:v>
                </c:pt>
              </c:numCache>
            </c:numRef>
          </c:yVal>
          <c:smooth val="0"/>
          <c:extLst>
            <c:ext xmlns:c16="http://schemas.microsoft.com/office/drawing/2014/chart" uri="{C3380CC4-5D6E-409C-BE32-E72D297353CC}">
              <c16:uniqueId val="{00000003-3636-4607-B87D-8CF5ECB31CBB}"/>
            </c:ext>
          </c:extLst>
        </c:ser>
        <c:ser>
          <c:idx val="4"/>
          <c:order val="4"/>
          <c:tx>
            <c:strRef>
              <c:f>'Winter Storm'!$C$869</c:f>
              <c:strCache>
                <c:ptCount val="1"/>
                <c:pt idx="0">
                  <c:v>Medical Surge</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Storm'!$J$870</c:f>
              <c:numCache>
                <c:formatCode>General</c:formatCode>
                <c:ptCount val="1"/>
                <c:pt idx="0">
                  <c:v>1</c:v>
                </c:pt>
              </c:numCache>
            </c:numRef>
          </c:xVal>
          <c:yVal>
            <c:numRef>
              <c:f>'Winter Storm'!$J$871</c:f>
              <c:numCache>
                <c:formatCode>General</c:formatCode>
                <c:ptCount val="1"/>
                <c:pt idx="0">
                  <c:v>0</c:v>
                </c:pt>
              </c:numCache>
            </c:numRef>
          </c:yVal>
          <c:smooth val="0"/>
          <c:extLst>
            <c:ext xmlns:c16="http://schemas.microsoft.com/office/drawing/2014/chart" uri="{C3380CC4-5D6E-409C-BE32-E72D297353CC}">
              <c16:uniqueId val="{00000004-3636-4607-B87D-8CF5ECB31CBB}"/>
            </c:ext>
          </c:extLst>
        </c:ser>
        <c:ser>
          <c:idx val="5"/>
          <c:order val="5"/>
          <c:tx>
            <c:strRef>
              <c:f>'Winter Storm'!$C$873</c:f>
              <c:strCache>
                <c:ptCount val="1"/>
                <c:pt idx="0">
                  <c:v>Non-Pharm Interv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Storm'!$J$874</c:f>
              <c:numCache>
                <c:formatCode>General</c:formatCode>
                <c:ptCount val="1"/>
                <c:pt idx="0">
                  <c:v>0</c:v>
                </c:pt>
              </c:numCache>
            </c:numRef>
          </c:xVal>
          <c:yVal>
            <c:numRef>
              <c:f>'Winter Storm'!$J$875</c:f>
              <c:numCache>
                <c:formatCode>General</c:formatCode>
                <c:ptCount val="1"/>
                <c:pt idx="0">
                  <c:v>0</c:v>
                </c:pt>
              </c:numCache>
            </c:numRef>
          </c:yVal>
          <c:smooth val="0"/>
          <c:extLst>
            <c:ext xmlns:c16="http://schemas.microsoft.com/office/drawing/2014/chart" uri="{C3380CC4-5D6E-409C-BE32-E72D297353CC}">
              <c16:uniqueId val="{00000005-3636-4607-B87D-8CF5ECB31CBB}"/>
            </c:ext>
          </c:extLst>
        </c:ser>
        <c:ser>
          <c:idx val="6"/>
          <c:order val="6"/>
          <c:tx>
            <c:strRef>
              <c:f>'Winter Storm'!$C$877</c:f>
              <c:strCache>
                <c:ptCount val="1"/>
                <c:pt idx="0">
                  <c:v>PH Lab Testing</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Storm'!$J$878</c:f>
              <c:numCache>
                <c:formatCode>General</c:formatCode>
                <c:ptCount val="1"/>
                <c:pt idx="0">
                  <c:v>0</c:v>
                </c:pt>
              </c:numCache>
            </c:numRef>
          </c:xVal>
          <c:yVal>
            <c:numRef>
              <c:f>'Winter Storm'!$J$879</c:f>
              <c:numCache>
                <c:formatCode>General</c:formatCode>
                <c:ptCount val="1"/>
                <c:pt idx="0">
                  <c:v>0</c:v>
                </c:pt>
              </c:numCache>
            </c:numRef>
          </c:yVal>
          <c:smooth val="0"/>
          <c:extLst>
            <c:ext xmlns:c16="http://schemas.microsoft.com/office/drawing/2014/chart" uri="{C3380CC4-5D6E-409C-BE32-E72D297353CC}">
              <c16:uniqueId val="{00000006-3636-4607-B87D-8CF5ECB31CBB}"/>
            </c:ext>
          </c:extLst>
        </c:ser>
        <c:ser>
          <c:idx val="7"/>
          <c:order val="7"/>
          <c:tx>
            <c:strRef>
              <c:f>'Winter Storm'!$C$881</c:f>
              <c:strCache>
                <c:ptCount val="1"/>
                <c:pt idx="0">
                  <c:v>PH Surv &amp; Epi</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Storm'!$J$882</c:f>
              <c:numCache>
                <c:formatCode>General</c:formatCode>
                <c:ptCount val="1"/>
                <c:pt idx="0">
                  <c:v>1</c:v>
                </c:pt>
              </c:numCache>
            </c:numRef>
          </c:xVal>
          <c:yVal>
            <c:numRef>
              <c:f>'Winter Storm'!$J$883</c:f>
              <c:numCache>
                <c:formatCode>General</c:formatCode>
                <c:ptCount val="1"/>
                <c:pt idx="0">
                  <c:v>0</c:v>
                </c:pt>
              </c:numCache>
            </c:numRef>
          </c:yVal>
          <c:smooth val="0"/>
          <c:extLst>
            <c:ext xmlns:c16="http://schemas.microsoft.com/office/drawing/2014/chart" uri="{C3380CC4-5D6E-409C-BE32-E72D297353CC}">
              <c16:uniqueId val="{00000007-3636-4607-B87D-8CF5ECB31CBB}"/>
            </c:ext>
          </c:extLst>
        </c:ser>
        <c:ser>
          <c:idx val="8"/>
          <c:order val="8"/>
          <c:tx>
            <c:strRef>
              <c:f>'Winter Storm'!$C$885</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Storm'!$J$886</c:f>
              <c:numCache>
                <c:formatCode>General</c:formatCode>
                <c:ptCount val="1"/>
                <c:pt idx="0">
                  <c:v>1</c:v>
                </c:pt>
              </c:numCache>
            </c:numRef>
          </c:xVal>
          <c:yVal>
            <c:numRef>
              <c:f>'Winter Storm'!$J$887</c:f>
              <c:numCache>
                <c:formatCode>General</c:formatCode>
                <c:ptCount val="1"/>
                <c:pt idx="0">
                  <c:v>0</c:v>
                </c:pt>
              </c:numCache>
            </c:numRef>
          </c:yVal>
          <c:smooth val="0"/>
          <c:extLst>
            <c:ext xmlns:c16="http://schemas.microsoft.com/office/drawing/2014/chart" uri="{C3380CC4-5D6E-409C-BE32-E72D297353CC}">
              <c16:uniqueId val="{00000008-3636-4607-B87D-8CF5ECB31CBB}"/>
            </c:ext>
          </c:extLst>
        </c:ser>
        <c:ser>
          <c:idx val="9"/>
          <c:order val="9"/>
          <c:tx>
            <c:strRef>
              <c:f>'Winter Storm'!$C$889</c:f>
              <c:strCache>
                <c:ptCount val="1"/>
                <c:pt idx="0">
                  <c:v>Volunteer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Storm'!$J$890</c:f>
              <c:numCache>
                <c:formatCode>General</c:formatCode>
                <c:ptCount val="1"/>
                <c:pt idx="0">
                  <c:v>1</c:v>
                </c:pt>
              </c:numCache>
            </c:numRef>
          </c:xVal>
          <c:yVal>
            <c:numRef>
              <c:f>'Winter Storm'!$J$891</c:f>
              <c:numCache>
                <c:formatCode>General</c:formatCode>
                <c:ptCount val="1"/>
                <c:pt idx="0">
                  <c:v>0</c:v>
                </c:pt>
              </c:numCache>
            </c:numRef>
          </c:yVal>
          <c:smooth val="0"/>
          <c:extLst>
            <c:ext xmlns:c16="http://schemas.microsoft.com/office/drawing/2014/chart" uri="{C3380CC4-5D6E-409C-BE32-E72D297353CC}">
              <c16:uniqueId val="{00000009-3636-4607-B87D-8CF5ECB31CBB}"/>
            </c:ext>
          </c:extLst>
        </c:ser>
        <c:ser>
          <c:idx val="10"/>
          <c:order val="10"/>
          <c:tx>
            <c:strRef>
              <c:f>'Winter Storm'!$C$833</c:f>
              <c:strCache>
                <c:ptCount val="1"/>
                <c:pt idx="0">
                  <c:v>Community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Storm'!$J$834</c:f>
              <c:numCache>
                <c:formatCode>General</c:formatCode>
                <c:ptCount val="1"/>
                <c:pt idx="0">
                  <c:v>4</c:v>
                </c:pt>
              </c:numCache>
            </c:numRef>
          </c:xVal>
          <c:yVal>
            <c:numRef>
              <c:f>'Winter Storm'!$J$835</c:f>
              <c:numCache>
                <c:formatCode>General</c:formatCode>
                <c:ptCount val="1"/>
                <c:pt idx="0">
                  <c:v>0</c:v>
                </c:pt>
              </c:numCache>
            </c:numRef>
          </c:yVal>
          <c:smooth val="0"/>
          <c:extLst>
            <c:ext xmlns:c16="http://schemas.microsoft.com/office/drawing/2014/chart" uri="{C3380CC4-5D6E-409C-BE32-E72D297353CC}">
              <c16:uniqueId val="{0000000A-3636-4607-B87D-8CF5ECB31CBB}"/>
            </c:ext>
          </c:extLst>
        </c:ser>
        <c:ser>
          <c:idx val="11"/>
          <c:order val="11"/>
          <c:tx>
            <c:strRef>
              <c:f>'Winter Storm'!$C$837</c:f>
              <c:strCache>
                <c:ptCount val="1"/>
                <c:pt idx="0">
                  <c:v>Community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Storm'!$J$838</c:f>
              <c:numCache>
                <c:formatCode>General</c:formatCode>
                <c:ptCount val="1"/>
                <c:pt idx="0">
                  <c:v>3</c:v>
                </c:pt>
              </c:numCache>
            </c:numRef>
          </c:xVal>
          <c:yVal>
            <c:numRef>
              <c:f>'Winter Storm'!$J$839</c:f>
              <c:numCache>
                <c:formatCode>General</c:formatCode>
                <c:ptCount val="1"/>
                <c:pt idx="0">
                  <c:v>0</c:v>
                </c:pt>
              </c:numCache>
            </c:numRef>
          </c:yVal>
          <c:smooth val="0"/>
          <c:extLst>
            <c:ext xmlns:c16="http://schemas.microsoft.com/office/drawing/2014/chart" uri="{C3380CC4-5D6E-409C-BE32-E72D297353CC}">
              <c16:uniqueId val="{0000000B-3636-4607-B87D-8CF5ECB31CBB}"/>
            </c:ext>
          </c:extLst>
        </c:ser>
        <c:ser>
          <c:idx val="12"/>
          <c:order val="12"/>
          <c:tx>
            <c:strRef>
              <c:f>'Winter Storm'!$C$841</c:f>
              <c:strCache>
                <c:ptCount val="1"/>
                <c:pt idx="0">
                  <c:v>Emerg Ops Coord</c:v>
                </c:pt>
              </c:strCache>
            </c:strRef>
          </c:tx>
          <c:spPr>
            <a:ln w="66675">
              <a:noFill/>
            </a:ln>
          </c:spPr>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Storm'!$J$842</c:f>
              <c:numCache>
                <c:formatCode>General</c:formatCode>
                <c:ptCount val="1"/>
                <c:pt idx="0">
                  <c:v>4</c:v>
                </c:pt>
              </c:numCache>
            </c:numRef>
          </c:xVal>
          <c:yVal>
            <c:numRef>
              <c:f>'Winter Storm'!$J$843</c:f>
              <c:numCache>
                <c:formatCode>General</c:formatCode>
                <c:ptCount val="1"/>
                <c:pt idx="0">
                  <c:v>0</c:v>
                </c:pt>
              </c:numCache>
            </c:numRef>
          </c:yVal>
          <c:smooth val="0"/>
          <c:extLst>
            <c:ext xmlns:c16="http://schemas.microsoft.com/office/drawing/2014/chart" uri="{C3380CC4-5D6E-409C-BE32-E72D297353CC}">
              <c16:uniqueId val="{0000000C-3636-4607-B87D-8CF5ECB31CBB}"/>
            </c:ext>
          </c:extLst>
        </c:ser>
        <c:ser>
          <c:idx val="13"/>
          <c:order val="13"/>
          <c:tx>
            <c:strRef>
              <c:f>'Winter Storm'!$C$845</c:f>
              <c:strCache>
                <c:ptCount val="1"/>
                <c:pt idx="0">
                  <c:v>Emerg Public Info</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Storm'!$J$846</c:f>
              <c:numCache>
                <c:formatCode>General</c:formatCode>
                <c:ptCount val="1"/>
                <c:pt idx="0">
                  <c:v>4</c:v>
                </c:pt>
              </c:numCache>
            </c:numRef>
          </c:xVal>
          <c:yVal>
            <c:numRef>
              <c:f>'Winter Storm'!$J$847</c:f>
              <c:numCache>
                <c:formatCode>General</c:formatCode>
                <c:ptCount val="1"/>
                <c:pt idx="0">
                  <c:v>0</c:v>
                </c:pt>
              </c:numCache>
            </c:numRef>
          </c:yVal>
          <c:smooth val="0"/>
          <c:extLst>
            <c:ext xmlns:c16="http://schemas.microsoft.com/office/drawing/2014/chart" uri="{C3380CC4-5D6E-409C-BE32-E72D297353CC}">
              <c16:uniqueId val="{0000000D-3636-4607-B87D-8CF5ECB31CBB}"/>
            </c:ext>
          </c:extLst>
        </c:ser>
        <c:ser>
          <c:idx val="14"/>
          <c:order val="14"/>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0E-3636-4607-B87D-8CF5ECB31CBB}"/>
            </c:ext>
          </c:extLst>
        </c:ser>
        <c:dLbls>
          <c:showLegendKey val="0"/>
          <c:showVal val="1"/>
          <c:showCatName val="0"/>
          <c:showSerName val="0"/>
          <c:showPercent val="0"/>
          <c:showBubbleSize val="0"/>
        </c:dLbls>
        <c:axId val="152653824"/>
        <c:axId val="152655744"/>
      </c:scatterChart>
      <c:valAx>
        <c:axId val="152653824"/>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2655744"/>
        <c:crosses val="autoZero"/>
        <c:crossBetween val="midCat"/>
        <c:majorUnit val="1"/>
        <c:minorUnit val="0.1"/>
      </c:valAx>
      <c:valAx>
        <c:axId val="152655744"/>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2653824"/>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chart>
    <c:title>
      <c:tx>
        <c:rich>
          <a:bodyPr/>
          <a:lstStyle/>
          <a:p>
            <a:pPr>
              <a:defRPr b="0" u="sng">
                <a:latin typeface="+mj-lt"/>
              </a:defRPr>
            </a:pPr>
            <a:r>
              <a:rPr lang="en-US" b="0" u="sng">
                <a:latin typeface="+mj-lt"/>
              </a:rPr>
              <a:t>Healthcare Preparedness</a:t>
            </a:r>
          </a:p>
        </c:rich>
      </c:tx>
      <c:layout>
        <c:manualLayout>
          <c:xMode val="edge"/>
          <c:yMode val="edge"/>
          <c:x val="0.38019690321630595"/>
          <c:y val="1.3244983721297133E-2"/>
        </c:manualLayout>
      </c:layout>
      <c:overlay val="0"/>
    </c:title>
    <c:autoTitleDeleted val="0"/>
    <c:plotArea>
      <c:layout/>
      <c:scatterChart>
        <c:scatterStyle val="lineMarker"/>
        <c:varyColors val="0"/>
        <c:ser>
          <c:idx val="0"/>
          <c:order val="0"/>
          <c:tx>
            <c:strRef>
              <c:f>'Winter Storm'!$C$903</c:f>
              <c:strCache>
                <c:ptCount val="1"/>
                <c:pt idx="0">
                  <c:v>HC System Prep</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Storm'!$J$904</c:f>
              <c:numCache>
                <c:formatCode>General</c:formatCode>
                <c:ptCount val="1"/>
                <c:pt idx="0">
                  <c:v>4</c:v>
                </c:pt>
              </c:numCache>
            </c:numRef>
          </c:xVal>
          <c:yVal>
            <c:numRef>
              <c:f>'Winter Storm'!$J$905</c:f>
              <c:numCache>
                <c:formatCode>General</c:formatCode>
                <c:ptCount val="1"/>
                <c:pt idx="0">
                  <c:v>0</c:v>
                </c:pt>
              </c:numCache>
            </c:numRef>
          </c:yVal>
          <c:smooth val="0"/>
          <c:extLst>
            <c:ext xmlns:c16="http://schemas.microsoft.com/office/drawing/2014/chart" uri="{C3380CC4-5D6E-409C-BE32-E72D297353CC}">
              <c16:uniqueId val="{00000000-39D1-4DF6-8F4A-246144486475}"/>
            </c:ext>
          </c:extLst>
        </c:ser>
        <c:ser>
          <c:idx val="1"/>
          <c:order val="1"/>
          <c:tx>
            <c:strRef>
              <c:f>'Winter Storm'!$C$907</c:f>
              <c:strCache>
                <c:ptCount val="1"/>
                <c:pt idx="0">
                  <c:v>HC System Recov</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Storm'!$J$908</c:f>
              <c:numCache>
                <c:formatCode>General</c:formatCode>
                <c:ptCount val="1"/>
                <c:pt idx="0">
                  <c:v>3</c:v>
                </c:pt>
              </c:numCache>
            </c:numRef>
          </c:xVal>
          <c:yVal>
            <c:numRef>
              <c:f>'Winter Storm'!$J$909</c:f>
              <c:numCache>
                <c:formatCode>General</c:formatCode>
                <c:ptCount val="1"/>
                <c:pt idx="0">
                  <c:v>0</c:v>
                </c:pt>
              </c:numCache>
            </c:numRef>
          </c:yVal>
          <c:smooth val="0"/>
          <c:extLst>
            <c:ext xmlns:c16="http://schemas.microsoft.com/office/drawing/2014/chart" uri="{C3380CC4-5D6E-409C-BE32-E72D297353CC}">
              <c16:uniqueId val="{00000001-39D1-4DF6-8F4A-246144486475}"/>
            </c:ext>
          </c:extLst>
        </c:ser>
        <c:ser>
          <c:idx val="2"/>
          <c:order val="2"/>
          <c:tx>
            <c:strRef>
              <c:f>'Winter Storm'!$C$911</c:f>
              <c:strCache>
                <c:ptCount val="1"/>
                <c:pt idx="0">
                  <c:v>Emerg Ops Coord</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Storm'!$J$912</c:f>
              <c:numCache>
                <c:formatCode>General</c:formatCode>
                <c:ptCount val="1"/>
                <c:pt idx="0">
                  <c:v>4</c:v>
                </c:pt>
              </c:numCache>
            </c:numRef>
          </c:xVal>
          <c:yVal>
            <c:numRef>
              <c:f>'Winter Storm'!$J$913</c:f>
              <c:numCache>
                <c:formatCode>General</c:formatCode>
                <c:ptCount val="1"/>
                <c:pt idx="0">
                  <c:v>0</c:v>
                </c:pt>
              </c:numCache>
            </c:numRef>
          </c:yVal>
          <c:smooth val="0"/>
          <c:extLst>
            <c:ext xmlns:c16="http://schemas.microsoft.com/office/drawing/2014/chart" uri="{C3380CC4-5D6E-409C-BE32-E72D297353CC}">
              <c16:uniqueId val="{00000002-39D1-4DF6-8F4A-246144486475}"/>
            </c:ext>
          </c:extLst>
        </c:ser>
        <c:ser>
          <c:idx val="3"/>
          <c:order val="3"/>
          <c:tx>
            <c:strRef>
              <c:f>'Winter Storm'!$C$915</c:f>
              <c:strCache>
                <c:ptCount val="1"/>
                <c:pt idx="0">
                  <c:v>Fatality Mgmt</c:v>
                </c:pt>
              </c:strCache>
            </c:strRef>
          </c:tx>
          <c:spPr>
            <a:ln w="66675">
              <a:noFill/>
            </a:ln>
          </c:spPr>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Storm'!$J$916</c:f>
              <c:numCache>
                <c:formatCode>General</c:formatCode>
                <c:ptCount val="1"/>
                <c:pt idx="0">
                  <c:v>2</c:v>
                </c:pt>
              </c:numCache>
            </c:numRef>
          </c:xVal>
          <c:yVal>
            <c:numRef>
              <c:f>'Winter Storm'!$J$917</c:f>
              <c:numCache>
                <c:formatCode>General</c:formatCode>
                <c:ptCount val="1"/>
                <c:pt idx="0">
                  <c:v>0</c:v>
                </c:pt>
              </c:numCache>
            </c:numRef>
          </c:yVal>
          <c:smooth val="0"/>
          <c:extLst>
            <c:ext xmlns:c16="http://schemas.microsoft.com/office/drawing/2014/chart" uri="{C3380CC4-5D6E-409C-BE32-E72D297353CC}">
              <c16:uniqueId val="{00000003-39D1-4DF6-8F4A-246144486475}"/>
            </c:ext>
          </c:extLst>
        </c:ser>
        <c:ser>
          <c:idx val="4"/>
          <c:order val="4"/>
          <c:tx>
            <c:strRef>
              <c:f>'Winter Storm'!$C$919</c:f>
              <c:strCache>
                <c:ptCount val="1"/>
                <c:pt idx="0">
                  <c:v>Info Sharing</c:v>
                </c:pt>
              </c:strCache>
            </c:strRef>
          </c:tx>
          <c:spPr>
            <a:ln w="66675">
              <a:noFill/>
            </a:ln>
          </c:spP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Storm'!$J$920</c:f>
              <c:numCache>
                <c:formatCode>General</c:formatCode>
                <c:ptCount val="1"/>
                <c:pt idx="0">
                  <c:v>4</c:v>
                </c:pt>
              </c:numCache>
            </c:numRef>
          </c:xVal>
          <c:yVal>
            <c:numRef>
              <c:f>'Winter Storm'!$J$921</c:f>
              <c:numCache>
                <c:formatCode>General</c:formatCode>
                <c:ptCount val="1"/>
                <c:pt idx="0">
                  <c:v>0</c:v>
                </c:pt>
              </c:numCache>
            </c:numRef>
          </c:yVal>
          <c:smooth val="0"/>
          <c:extLst>
            <c:ext xmlns:c16="http://schemas.microsoft.com/office/drawing/2014/chart" uri="{C3380CC4-5D6E-409C-BE32-E72D297353CC}">
              <c16:uniqueId val="{00000004-39D1-4DF6-8F4A-246144486475}"/>
            </c:ext>
          </c:extLst>
        </c:ser>
        <c:ser>
          <c:idx val="5"/>
          <c:order val="5"/>
          <c:tx>
            <c:strRef>
              <c:f>'Winter Storm'!$C$923</c:f>
              <c:strCache>
                <c:ptCount val="1"/>
                <c:pt idx="0">
                  <c:v>Medical Surge</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Storm'!$J$924</c:f>
              <c:numCache>
                <c:formatCode>General</c:formatCode>
                <c:ptCount val="1"/>
                <c:pt idx="0">
                  <c:v>1</c:v>
                </c:pt>
              </c:numCache>
            </c:numRef>
          </c:xVal>
          <c:yVal>
            <c:numRef>
              <c:f>'Winter Storm'!$J$925</c:f>
              <c:numCache>
                <c:formatCode>General</c:formatCode>
                <c:ptCount val="1"/>
                <c:pt idx="0">
                  <c:v>0</c:v>
                </c:pt>
              </c:numCache>
            </c:numRef>
          </c:yVal>
          <c:smooth val="0"/>
          <c:extLst>
            <c:ext xmlns:c16="http://schemas.microsoft.com/office/drawing/2014/chart" uri="{C3380CC4-5D6E-409C-BE32-E72D297353CC}">
              <c16:uniqueId val="{00000005-39D1-4DF6-8F4A-246144486475}"/>
            </c:ext>
          </c:extLst>
        </c:ser>
        <c:ser>
          <c:idx val="6"/>
          <c:order val="6"/>
          <c:tx>
            <c:strRef>
              <c:f>'Winter Storm'!$C$927</c:f>
              <c:strCache>
                <c:ptCount val="1"/>
                <c:pt idx="0">
                  <c:v>Responder Safety</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Storm'!$J$928</c:f>
              <c:numCache>
                <c:formatCode>General</c:formatCode>
                <c:ptCount val="1"/>
                <c:pt idx="0">
                  <c:v>1</c:v>
                </c:pt>
              </c:numCache>
            </c:numRef>
          </c:xVal>
          <c:yVal>
            <c:numRef>
              <c:f>'Winter Storm'!$J$929</c:f>
              <c:numCache>
                <c:formatCode>General</c:formatCode>
                <c:ptCount val="1"/>
                <c:pt idx="0">
                  <c:v>0</c:v>
                </c:pt>
              </c:numCache>
            </c:numRef>
          </c:yVal>
          <c:smooth val="0"/>
          <c:extLst>
            <c:ext xmlns:c16="http://schemas.microsoft.com/office/drawing/2014/chart" uri="{C3380CC4-5D6E-409C-BE32-E72D297353CC}">
              <c16:uniqueId val="{00000006-39D1-4DF6-8F4A-246144486475}"/>
            </c:ext>
          </c:extLst>
        </c:ser>
        <c:ser>
          <c:idx val="7"/>
          <c:order val="7"/>
          <c:tx>
            <c:strRef>
              <c:f>'Winter Storm'!$C$931</c:f>
              <c:strCache>
                <c:ptCount val="1"/>
                <c:pt idx="0">
                  <c:v>Volunteer Mgmt</c:v>
                </c:pt>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'Winter Storm'!$J$932</c:f>
              <c:numCache>
                <c:formatCode>General</c:formatCode>
                <c:ptCount val="1"/>
                <c:pt idx="0">
                  <c:v>1</c:v>
                </c:pt>
              </c:numCache>
            </c:numRef>
          </c:xVal>
          <c:yVal>
            <c:numRef>
              <c:f>'Winter Storm'!$J$933</c:f>
              <c:numCache>
                <c:formatCode>General</c:formatCode>
                <c:ptCount val="1"/>
                <c:pt idx="0">
                  <c:v>0</c:v>
                </c:pt>
              </c:numCache>
            </c:numRef>
          </c:yVal>
          <c:smooth val="0"/>
          <c:extLst>
            <c:ext xmlns:c16="http://schemas.microsoft.com/office/drawing/2014/chart" uri="{C3380CC4-5D6E-409C-BE32-E72D297353CC}">
              <c16:uniqueId val="{00000007-39D1-4DF6-8F4A-246144486475}"/>
            </c:ext>
          </c:extLst>
        </c:ser>
        <c:ser>
          <c:idx val="14"/>
          <c:order val="8"/>
          <c:tx>
            <c:strRef>
              <c:f>Drought!$C$964</c:f>
              <c:strCache>
                <c:ptCount val="1"/>
              </c:strCache>
            </c:strRef>
          </c:tx>
          <c:spPr>
            <a:ln w="66675">
              <a:noFill/>
            </a:ln>
          </c:spP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Drought!$J$965</c:f>
            </c:numRef>
          </c:xVal>
          <c:yVal>
            <c:numRef>
              <c:f>Drought!$J$966</c:f>
            </c:numRef>
          </c:yVal>
          <c:smooth val="0"/>
          <c:extLst>
            <c:ext xmlns:c16="http://schemas.microsoft.com/office/drawing/2014/chart" uri="{C3380CC4-5D6E-409C-BE32-E72D297353CC}">
              <c16:uniqueId val="{00000008-39D1-4DF6-8F4A-246144486475}"/>
            </c:ext>
          </c:extLst>
        </c:ser>
        <c:dLbls>
          <c:showLegendKey val="0"/>
          <c:showVal val="1"/>
          <c:showCatName val="0"/>
          <c:showSerName val="0"/>
          <c:showPercent val="0"/>
          <c:showBubbleSize val="0"/>
        </c:dLbls>
        <c:axId val="152743936"/>
        <c:axId val="152745856"/>
      </c:scatterChart>
      <c:valAx>
        <c:axId val="152743936"/>
        <c:scaling>
          <c:orientation val="minMax"/>
          <c:max val="4.5"/>
          <c:min val="0"/>
        </c:scaling>
        <c:delete val="0"/>
        <c:axPos val="b"/>
        <c:majorGridlines/>
        <c:title>
          <c:tx>
            <c:rich>
              <a:bodyPr/>
              <a:lstStyle/>
              <a:p>
                <a:pPr>
                  <a:defRPr b="0">
                    <a:latin typeface="+mj-lt"/>
                  </a:defRPr>
                </a:pPr>
                <a:r>
                  <a:rPr lang="en-US" sz="1600" b="0">
                    <a:latin typeface="+mj-lt"/>
                  </a:rPr>
                  <a:t>Capability Relevance to Hazard</a:t>
                </a:r>
              </a:p>
            </c:rich>
          </c:tx>
          <c:overlay val="0"/>
        </c:title>
        <c:numFmt formatCode="General" sourceLinked="1"/>
        <c:majorTickMark val="out"/>
        <c:minorTickMark val="none"/>
        <c:tickLblPos val="nextTo"/>
        <c:spPr>
          <a:ln>
            <a:solidFill>
              <a:schemeClr val="tx1"/>
            </a:solidFill>
          </a:ln>
        </c:spPr>
        <c:crossAx val="152745856"/>
        <c:crosses val="autoZero"/>
        <c:crossBetween val="midCat"/>
        <c:majorUnit val="1"/>
        <c:minorUnit val="0.1"/>
      </c:valAx>
      <c:valAx>
        <c:axId val="152745856"/>
        <c:scaling>
          <c:orientation val="minMax"/>
          <c:max val="4.5"/>
          <c:min val="0"/>
        </c:scaling>
        <c:delete val="0"/>
        <c:axPos val="l"/>
        <c:majorGridlines/>
        <c:title>
          <c:tx>
            <c:rich>
              <a:bodyPr rot="-5400000" vert="horz"/>
              <a:lstStyle/>
              <a:p>
                <a:pPr>
                  <a:defRPr sz="1600" b="0">
                    <a:latin typeface="+mj-lt"/>
                  </a:defRPr>
                </a:pPr>
                <a:r>
                  <a:rPr lang="en-US" sz="1600" b="0">
                    <a:latin typeface="+mj-lt"/>
                  </a:rPr>
                  <a:t>Capability Status</a:t>
                </a:r>
              </a:p>
            </c:rich>
          </c:tx>
          <c:overlay val="0"/>
        </c:title>
        <c:numFmt formatCode="General" sourceLinked="1"/>
        <c:majorTickMark val="out"/>
        <c:minorTickMark val="none"/>
        <c:tickLblPos val="nextTo"/>
        <c:spPr>
          <a:ln>
            <a:solidFill>
              <a:schemeClr val="tx1"/>
            </a:solidFill>
          </a:ln>
        </c:spPr>
        <c:crossAx val="152743936"/>
        <c:crosses val="autoZero"/>
        <c:crossBetween val="midCat"/>
        <c:majorUnit val="1"/>
        <c:minorUnit val="0.1"/>
      </c:valAx>
      <c:spPr>
        <a:gradFill flip="none" rotWithShape="1">
          <a:gsLst>
            <a:gs pos="0">
              <a:srgbClr val="63BE7B"/>
            </a:gs>
            <a:gs pos="50000">
              <a:srgbClr val="FFEB84"/>
            </a:gs>
            <a:gs pos="100000">
              <a:srgbClr val="F8696B"/>
            </a:gs>
          </a:gsLst>
          <a:lin ang="2700000" scaled="1"/>
          <a:tileRect/>
        </a:gradFill>
        <a:ln>
          <a:solidFill>
            <a:schemeClr val="tx1"/>
          </a:solidFill>
        </a:ln>
      </c:spPr>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Conventional Explosive'!A1"/><Relationship Id="rId13" Type="http://schemas.openxmlformats.org/officeDocument/2006/relationships/hyperlink" Target="#Flood!A1"/><Relationship Id="rId18" Type="http://schemas.openxmlformats.org/officeDocument/2006/relationships/hyperlink" Target="#'Radiation Dispersal Device'!A1"/><Relationship Id="rId26" Type="http://schemas.openxmlformats.org/officeDocument/2006/relationships/hyperlink" Target="#'Community Characteristics'!A1"/><Relationship Id="rId3" Type="http://schemas.openxmlformats.org/officeDocument/2006/relationships/hyperlink" Target="#'Active Shooter'!A1"/><Relationship Id="rId21" Type="http://schemas.openxmlformats.org/officeDocument/2006/relationships/hyperlink" Target="#'Utility Interruption'!A1"/><Relationship Id="rId34" Type="http://schemas.openxmlformats.org/officeDocument/2006/relationships/hyperlink" Target="#'Baseline PHP'!A1"/><Relationship Id="rId7" Type="http://schemas.openxmlformats.org/officeDocument/2006/relationships/hyperlink" Target="#'Coastal Storm'!A1"/><Relationship Id="rId12" Type="http://schemas.openxmlformats.org/officeDocument/2006/relationships/hyperlink" Target="#Fire!A1"/><Relationship Id="rId17" Type="http://schemas.openxmlformats.org/officeDocument/2006/relationships/hyperlink" Target="#Pandemic!A1"/><Relationship Id="rId25" Type="http://schemas.openxmlformats.org/officeDocument/2006/relationships/hyperlink" Target="#'Baseline HP'!A1"/><Relationship Id="rId33" Type="http://schemas.openxmlformats.org/officeDocument/2006/relationships/hyperlink" Target="#'Hazard Analyses Menu'!A1"/><Relationship Id="rId38" Type="http://schemas.openxmlformats.org/officeDocument/2006/relationships/image" Target="../media/image2.png"/><Relationship Id="rId2" Type="http://schemas.openxmlformats.org/officeDocument/2006/relationships/hyperlink" Target="#Overview!A1"/><Relationship Id="rId16" Type="http://schemas.openxmlformats.org/officeDocument/2006/relationships/hyperlink" Target="#'Nuclear Facility Accident'!A1"/><Relationship Id="rId20" Type="http://schemas.openxmlformats.org/officeDocument/2006/relationships/hyperlink" Target="#Tornado!A1"/><Relationship Id="rId29" Type="http://schemas.openxmlformats.org/officeDocument/2006/relationships/hyperlink" Target="#'Summary of Scores'!A1"/><Relationship Id="rId1" Type="http://schemas.openxmlformats.org/officeDocument/2006/relationships/hyperlink" Target="#ReadMe!A1"/><Relationship Id="rId6" Type="http://schemas.openxmlformats.org/officeDocument/2006/relationships/hyperlink" Target="#'Civil Disturbance'!A1"/><Relationship Id="rId11" Type="http://schemas.openxmlformats.org/officeDocument/2006/relationships/hyperlink" Target="#Earthquake!A1"/><Relationship Id="rId24" Type="http://schemas.openxmlformats.org/officeDocument/2006/relationships/hyperlink" Target="#'Baseline At-Risk Pops'!A1"/><Relationship Id="rId32" Type="http://schemas.openxmlformats.org/officeDocument/2006/relationships/hyperlink" Target="#'At-Risk Populations'!A1"/><Relationship Id="rId37" Type="http://schemas.openxmlformats.org/officeDocument/2006/relationships/image" Target="../media/image1.png"/><Relationship Id="rId5" Type="http://schemas.openxmlformats.org/officeDocument/2006/relationships/hyperlink" Target="#'Chemical Terrorism'!A1"/><Relationship Id="rId15" Type="http://schemas.openxmlformats.org/officeDocument/2006/relationships/hyperlink" Target="#'Localized Infectious Disease'!A1"/><Relationship Id="rId23" Type="http://schemas.openxmlformats.org/officeDocument/2006/relationships/hyperlink" Target="#'Baseline Health'!A1"/><Relationship Id="rId28" Type="http://schemas.openxmlformats.org/officeDocument/2006/relationships/hyperlink" Target="#'Planning Priority Scores'!A1"/><Relationship Id="rId36" Type="http://schemas.openxmlformats.org/officeDocument/2006/relationships/hyperlink" Target="#Severity!A1"/><Relationship Id="rId10" Type="http://schemas.openxmlformats.org/officeDocument/2006/relationships/hyperlink" Target="#Drought!A1"/><Relationship Id="rId19" Type="http://schemas.openxmlformats.org/officeDocument/2006/relationships/hyperlink" Target="#'Temperature Extremes'!A1"/><Relationship Id="rId31" Type="http://schemas.openxmlformats.org/officeDocument/2006/relationships/hyperlink" Target="#'Adjusted Risk vs. Preparedness'!A1"/><Relationship Id="rId4" Type="http://schemas.openxmlformats.org/officeDocument/2006/relationships/hyperlink" Target="#'Biological Terrorism'!A1"/><Relationship Id="rId9" Type="http://schemas.openxmlformats.org/officeDocument/2006/relationships/hyperlink" Target="#'Cyber Terrorism'!A1"/><Relationship Id="rId14" Type="http://schemas.openxmlformats.org/officeDocument/2006/relationships/hyperlink" Target="#'Hazardous Materials Release'!A1"/><Relationship Id="rId22" Type="http://schemas.openxmlformats.org/officeDocument/2006/relationships/hyperlink" Target="#'Winter Storm'!A1"/><Relationship Id="rId27" Type="http://schemas.openxmlformats.org/officeDocument/2006/relationships/hyperlink" Target="#'Summary of Impacts'!A1"/><Relationship Id="rId30" Type="http://schemas.openxmlformats.org/officeDocument/2006/relationships/hyperlink" Target="#'Probability vs. Severity'!A1"/><Relationship Id="rId35" Type="http://schemas.openxmlformats.org/officeDocument/2006/relationships/hyperlink" Target="#'PH vs. HC vs. Overall'!A1"/></Relationships>
</file>

<file path=xl/drawings/_rels/drawing2.xml.rels><?xml version="1.0" encoding="UTF-8" standalone="yes"?>
<Relationships xmlns="http://schemas.openxmlformats.org/package/2006/relationships"><Relationship Id="rId1" Type="http://schemas.openxmlformats.org/officeDocument/2006/relationships/hyperlink" Target="#'Main Menu'!A1"/></Relationships>
</file>

<file path=xl/drawings/_rels/drawing3.xml.rels><?xml version="1.0" encoding="UTF-8" standalone="yes"?>
<Relationships xmlns="http://schemas.openxmlformats.org/package/2006/relationships"><Relationship Id="rId3" Type="http://schemas.openxmlformats.org/officeDocument/2006/relationships/hyperlink" Target="#'Overview HC'!A1"/><Relationship Id="rId2" Type="http://schemas.openxmlformats.org/officeDocument/2006/relationships/hyperlink" Target="#'Overview PH'!A1"/><Relationship Id="rId1" Type="http://schemas.openxmlformats.org/officeDocument/2006/relationships/hyperlink" Target="#Overview!A1"/><Relationship Id="rId4" Type="http://schemas.openxmlformats.org/officeDocument/2006/relationships/hyperlink" Target="#'Main Menu'!A1"/></Relationships>
</file>

<file path=xl/drawings/_rels/drawing4.xml.rels><?xml version="1.0" encoding="UTF-8" standalone="yes"?>
<Relationships xmlns="http://schemas.openxmlformats.org/package/2006/relationships"><Relationship Id="rId3" Type="http://schemas.openxmlformats.org/officeDocument/2006/relationships/hyperlink" Target="#'Overview HC'!A1"/><Relationship Id="rId2" Type="http://schemas.openxmlformats.org/officeDocument/2006/relationships/hyperlink" Target="#'Overview PH'!A1"/><Relationship Id="rId1" Type="http://schemas.openxmlformats.org/officeDocument/2006/relationships/hyperlink" Target="#Overview!A1"/><Relationship Id="rId4" Type="http://schemas.openxmlformats.org/officeDocument/2006/relationships/hyperlink" Target="#'Main Menu'!A1"/></Relationships>
</file>

<file path=xl/drawings/_rels/drawing5.xml.rels><?xml version="1.0" encoding="UTF-8" standalone="yes"?>
<Relationships xmlns="http://schemas.openxmlformats.org/package/2006/relationships"><Relationship Id="rId3" Type="http://schemas.openxmlformats.org/officeDocument/2006/relationships/hyperlink" Target="#'Overview HC'!A1"/><Relationship Id="rId2" Type="http://schemas.openxmlformats.org/officeDocument/2006/relationships/hyperlink" Target="#'Overview PH'!A1"/><Relationship Id="rId1" Type="http://schemas.openxmlformats.org/officeDocument/2006/relationships/hyperlink" Target="#Overview!A1"/><Relationship Id="rId4" Type="http://schemas.openxmlformats.org/officeDocument/2006/relationships/hyperlink" Target="#'Main Menu'!A1"/></Relationships>
</file>

<file path=xl/drawings/_rels/drawing6.xml.rels><?xml version="1.0" encoding="UTF-8" standalone="yes"?>
<Relationships xmlns="http://schemas.openxmlformats.org/package/2006/relationships"><Relationship Id="rId1" Type="http://schemas.openxmlformats.org/officeDocument/2006/relationships/hyperlink" Target="#'Main Menu'!A1"/></Relationships>
</file>

<file path=xl/drawings/_rels/drawing7.xml.rels><?xml version="1.0" encoding="UTF-8" standalone="yes"?>
<Relationships xmlns="http://schemas.openxmlformats.org/package/2006/relationships"><Relationship Id="rId1" Type="http://schemas.openxmlformats.org/officeDocument/2006/relationships/hyperlink" Target="#'Main Menu'!A1"/></Relationships>
</file>

<file path=xl/drawings/_rels/drawing8.xml.rels><?xml version="1.0" encoding="UTF-8" standalone="yes"?>
<Relationships xmlns="http://schemas.openxmlformats.org/package/2006/relationships"><Relationship Id="rId1" Type="http://schemas.openxmlformats.org/officeDocument/2006/relationships/hyperlink" Target="#'Main Menu'!A1"/></Relationships>
</file>

<file path=xl/drawings/_rels/drawing9.xml.rels><?xml version="1.0" encoding="UTF-8" standalone="yes"?>
<Relationships xmlns="http://schemas.openxmlformats.org/package/2006/relationships"><Relationship Id="rId1" Type="http://schemas.openxmlformats.org/officeDocument/2006/relationships/hyperlink" Target="#'Main Menu'!A1"/></Relationships>
</file>

<file path=xl/drawings/_rels/drawing10.xml.rels><?xml version="1.0" encoding="UTF-8" standalone="yes"?>
<Relationships xmlns="http://schemas.openxmlformats.org/package/2006/relationships"><Relationship Id="rId1" Type="http://schemas.openxmlformats.org/officeDocument/2006/relationships/hyperlink" Target="#'Main Menu'!A1"/></Relationships>
</file>

<file path=xl/drawings/_rels/drawing11.xml.rels><?xml version="1.0" encoding="UTF-8" standalone="yes"?>
<Relationships xmlns="http://schemas.openxmlformats.org/package/2006/relationships"><Relationship Id="rId2" Type="http://schemas.openxmlformats.org/officeDocument/2006/relationships/hyperlink" Target="#'Active Shooter Analysis'!A1"/><Relationship Id="rId1" Type="http://schemas.openxmlformats.org/officeDocument/2006/relationships/hyperlink" Target="#'Main Menu'!A1"/></Relationships>
</file>

<file path=xl/drawings/_rels/drawing12.xml.rels><?xml version="1.0" encoding="UTF-8" standalone="yes"?>
<Relationships xmlns="http://schemas.openxmlformats.org/package/2006/relationships"><Relationship Id="rId2" Type="http://schemas.openxmlformats.org/officeDocument/2006/relationships/hyperlink" Target="#'Biological Terrorism Analysis'!A1"/><Relationship Id="rId1" Type="http://schemas.openxmlformats.org/officeDocument/2006/relationships/hyperlink" Target="#'Main Menu'!A1"/></Relationships>
</file>

<file path=xl/drawings/_rels/drawing13.xml.rels><?xml version="1.0" encoding="UTF-8" standalone="yes"?>
<Relationships xmlns="http://schemas.openxmlformats.org/package/2006/relationships"><Relationship Id="rId2" Type="http://schemas.openxmlformats.org/officeDocument/2006/relationships/hyperlink" Target="#'Chemical Terrorism Analysis'!A1"/><Relationship Id="rId1" Type="http://schemas.openxmlformats.org/officeDocument/2006/relationships/hyperlink" Target="#'Main Menu'!A1"/></Relationships>
</file>

<file path=xl/drawings/_rels/drawing14.xml.rels><?xml version="1.0" encoding="UTF-8" standalone="yes"?>
<Relationships xmlns="http://schemas.openxmlformats.org/package/2006/relationships"><Relationship Id="rId2" Type="http://schemas.openxmlformats.org/officeDocument/2006/relationships/hyperlink" Target="#'Civil Disturbance Analysis'!A1"/><Relationship Id="rId1" Type="http://schemas.openxmlformats.org/officeDocument/2006/relationships/hyperlink" Target="#'Main Menu'!A1"/></Relationships>
</file>

<file path=xl/drawings/_rels/drawing15.xml.rels><?xml version="1.0" encoding="UTF-8" standalone="yes"?>
<Relationships xmlns="http://schemas.openxmlformats.org/package/2006/relationships"><Relationship Id="rId2" Type="http://schemas.openxmlformats.org/officeDocument/2006/relationships/hyperlink" Target="#'Coastal Storm Analysis'!A1"/><Relationship Id="rId1" Type="http://schemas.openxmlformats.org/officeDocument/2006/relationships/hyperlink" Target="#'Main Menu'!A1"/></Relationships>
</file>

<file path=xl/drawings/_rels/drawing16.xml.rels><?xml version="1.0" encoding="UTF-8" standalone="yes"?>
<Relationships xmlns="http://schemas.openxmlformats.org/package/2006/relationships"><Relationship Id="rId2" Type="http://schemas.openxmlformats.org/officeDocument/2006/relationships/hyperlink" Target="#'Conventional Explosive Analysis'!A1"/><Relationship Id="rId1" Type="http://schemas.openxmlformats.org/officeDocument/2006/relationships/hyperlink" Target="#'Main Menu'!A1"/></Relationships>
</file>

<file path=xl/drawings/_rels/drawing17.xml.rels><?xml version="1.0" encoding="UTF-8" standalone="yes"?>
<Relationships xmlns="http://schemas.openxmlformats.org/package/2006/relationships"><Relationship Id="rId2" Type="http://schemas.openxmlformats.org/officeDocument/2006/relationships/hyperlink" Target="#'Cyber Terrorism Analysis'!A1"/><Relationship Id="rId1" Type="http://schemas.openxmlformats.org/officeDocument/2006/relationships/hyperlink" Target="#'Main Menu'!A1"/></Relationships>
</file>

<file path=xl/drawings/_rels/drawing18.xml.rels><?xml version="1.0" encoding="UTF-8" standalone="yes"?>
<Relationships xmlns="http://schemas.openxmlformats.org/package/2006/relationships"><Relationship Id="rId2" Type="http://schemas.openxmlformats.org/officeDocument/2006/relationships/hyperlink" Target="#'Drought Analysis'!A1"/><Relationship Id="rId1" Type="http://schemas.openxmlformats.org/officeDocument/2006/relationships/hyperlink" Target="#'Main Menu'!A1"/></Relationships>
</file>

<file path=xl/drawings/_rels/drawing19.xml.rels><?xml version="1.0" encoding="UTF-8" standalone="yes"?>
<Relationships xmlns="http://schemas.openxmlformats.org/package/2006/relationships"><Relationship Id="rId2" Type="http://schemas.openxmlformats.org/officeDocument/2006/relationships/hyperlink" Target="#'Earthquake Analysis'!A1"/><Relationship Id="rId1" Type="http://schemas.openxmlformats.org/officeDocument/2006/relationships/hyperlink" Target="#'Main Menu'!A1"/></Relationships>
</file>

<file path=xl/drawings/_rels/drawing20.xml.rels><?xml version="1.0" encoding="UTF-8" standalone="yes"?>
<Relationships xmlns="http://schemas.openxmlformats.org/package/2006/relationships"><Relationship Id="rId2" Type="http://schemas.openxmlformats.org/officeDocument/2006/relationships/hyperlink" Target="#'Fire Analysis'!A1"/><Relationship Id="rId1" Type="http://schemas.openxmlformats.org/officeDocument/2006/relationships/hyperlink" Target="#'Main Menu'!A1"/></Relationships>
</file>

<file path=xl/drawings/_rels/drawing21.xml.rels><?xml version="1.0" encoding="UTF-8" standalone="yes"?>
<Relationships xmlns="http://schemas.openxmlformats.org/package/2006/relationships"><Relationship Id="rId2" Type="http://schemas.openxmlformats.org/officeDocument/2006/relationships/hyperlink" Target="#'Flood Analysis'!A1"/><Relationship Id="rId1" Type="http://schemas.openxmlformats.org/officeDocument/2006/relationships/hyperlink" Target="#'Main Menu'!A1"/></Relationships>
</file>

<file path=xl/drawings/_rels/drawing22.xml.rels><?xml version="1.0" encoding="UTF-8" standalone="yes"?>
<Relationships xmlns="http://schemas.openxmlformats.org/package/2006/relationships"><Relationship Id="rId2" Type="http://schemas.openxmlformats.org/officeDocument/2006/relationships/hyperlink" Target="#'HazMat Release Analysis'!A1"/><Relationship Id="rId1" Type="http://schemas.openxmlformats.org/officeDocument/2006/relationships/hyperlink" Target="#'Main Menu'!A1"/></Relationships>
</file>

<file path=xl/drawings/_rels/drawing23.xml.rels><?xml version="1.0" encoding="UTF-8" standalone="yes"?>
<Relationships xmlns="http://schemas.openxmlformats.org/package/2006/relationships"><Relationship Id="rId2" Type="http://schemas.openxmlformats.org/officeDocument/2006/relationships/hyperlink" Target="#'Localized Inf Disease Analysis'!A1"/><Relationship Id="rId1" Type="http://schemas.openxmlformats.org/officeDocument/2006/relationships/hyperlink" Target="#'Main Menu'!A1"/></Relationships>
</file>

<file path=xl/drawings/_rels/drawing24.xml.rels><?xml version="1.0" encoding="UTF-8" standalone="yes"?>
<Relationships xmlns="http://schemas.openxmlformats.org/package/2006/relationships"><Relationship Id="rId2" Type="http://schemas.openxmlformats.org/officeDocument/2006/relationships/hyperlink" Target="#'Nuc Facility Accident Analysis'!A1"/><Relationship Id="rId1" Type="http://schemas.openxmlformats.org/officeDocument/2006/relationships/hyperlink" Target="#'Main Menu'!A1"/></Relationships>
</file>

<file path=xl/drawings/_rels/drawing25.xml.rels><?xml version="1.0" encoding="UTF-8" standalone="yes"?>
<Relationships xmlns="http://schemas.openxmlformats.org/package/2006/relationships"><Relationship Id="rId2" Type="http://schemas.openxmlformats.org/officeDocument/2006/relationships/hyperlink" Target="#'Pandemic Analysis'!A1"/><Relationship Id="rId1" Type="http://schemas.openxmlformats.org/officeDocument/2006/relationships/hyperlink" Target="#'Main Menu'!A1"/></Relationships>
</file>

<file path=xl/drawings/_rels/drawing26.xml.rels><?xml version="1.0" encoding="UTF-8" standalone="yes"?>
<Relationships xmlns="http://schemas.openxmlformats.org/package/2006/relationships"><Relationship Id="rId2" Type="http://schemas.openxmlformats.org/officeDocument/2006/relationships/hyperlink" Target="#'RDD Analysis'!A1"/><Relationship Id="rId1" Type="http://schemas.openxmlformats.org/officeDocument/2006/relationships/hyperlink" Target="#'Main Menu'!A1"/></Relationships>
</file>

<file path=xl/drawings/_rels/drawing27.xml.rels><?xml version="1.0" encoding="UTF-8" standalone="yes"?>
<Relationships xmlns="http://schemas.openxmlformats.org/package/2006/relationships"><Relationship Id="rId2" Type="http://schemas.openxmlformats.org/officeDocument/2006/relationships/hyperlink" Target="#'Temperature Extremes Analysis'!A1"/><Relationship Id="rId1" Type="http://schemas.openxmlformats.org/officeDocument/2006/relationships/hyperlink" Target="#'Main Menu'!A1"/></Relationships>
</file>

<file path=xl/drawings/_rels/drawing28.xml.rels><?xml version="1.0" encoding="UTF-8" standalone="yes"?>
<Relationships xmlns="http://schemas.openxmlformats.org/package/2006/relationships"><Relationship Id="rId2" Type="http://schemas.openxmlformats.org/officeDocument/2006/relationships/hyperlink" Target="#'Tornado Analysis'!A1"/><Relationship Id="rId1" Type="http://schemas.openxmlformats.org/officeDocument/2006/relationships/hyperlink" Target="#'Main Menu'!A1"/></Relationships>
</file>

<file path=xl/drawings/_rels/drawing29.xml.rels><?xml version="1.0" encoding="UTF-8" standalone="yes"?>
<Relationships xmlns="http://schemas.openxmlformats.org/package/2006/relationships"><Relationship Id="rId2" Type="http://schemas.openxmlformats.org/officeDocument/2006/relationships/hyperlink" Target="#'Utility Interruption Analysis'!A1"/><Relationship Id="rId1" Type="http://schemas.openxmlformats.org/officeDocument/2006/relationships/hyperlink" Target="#'Main Menu'!A1"/></Relationships>
</file>

<file path=xl/drawings/_rels/drawing30.xml.rels><?xml version="1.0" encoding="UTF-8" standalone="yes"?>
<Relationships xmlns="http://schemas.openxmlformats.org/package/2006/relationships"><Relationship Id="rId2" Type="http://schemas.openxmlformats.org/officeDocument/2006/relationships/hyperlink" Target="#'Winter Storm Analysis'!A1"/><Relationship Id="rId1" Type="http://schemas.openxmlformats.org/officeDocument/2006/relationships/hyperlink" Target="#'Main Menu'!A1"/></Relationships>
</file>

<file path=xl/drawings/_rels/drawing31.xml.rels><?xml version="1.0" encoding="UTF-8" standalone="yes"?>
<Relationships xmlns="http://schemas.openxmlformats.org/package/2006/relationships"><Relationship Id="rId1" Type="http://schemas.openxmlformats.org/officeDocument/2006/relationships/hyperlink" Target="#'Main Menu'!A1"/></Relationships>
</file>

<file path=xl/drawings/_rels/drawing3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Main Menu'!A1"/><Relationship Id="rId5" Type="http://schemas.openxmlformats.org/officeDocument/2006/relationships/chart" Target="../charts/chart5.xml"/><Relationship Id="rId4" Type="http://schemas.openxmlformats.org/officeDocument/2006/relationships/chart" Target="../charts/chart4.xml"/></Relationships>
</file>

<file path=xl/drawings/_rels/drawing33.xml.rels><?xml version="1.0" encoding="UTF-8" standalone="yes"?>
<Relationships xmlns="http://schemas.openxmlformats.org/package/2006/relationships"><Relationship Id="rId1" Type="http://schemas.openxmlformats.org/officeDocument/2006/relationships/hyperlink" Target="#'Main Menu'!A1"/></Relationships>
</file>

<file path=xl/drawings/_rels/drawing34.xml.rels><?xml version="1.0" encoding="UTF-8" standalone="yes"?>
<Relationships xmlns="http://schemas.openxmlformats.org/package/2006/relationships"><Relationship Id="rId1" Type="http://schemas.openxmlformats.org/officeDocument/2006/relationships/hyperlink" Target="#'Main Menu'!A1"/></Relationships>
</file>

<file path=xl/drawings/_rels/drawing3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Main Menu'!A1"/><Relationship Id="rId1" Type="http://schemas.openxmlformats.org/officeDocument/2006/relationships/chart" Target="../charts/chart6.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hyperlink" Target="#'Main Menu'!A1"/><Relationship Id="rId4" Type="http://schemas.openxmlformats.org/officeDocument/2006/relationships/chart" Target="../charts/chart13.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hyperlink" Target="#'Main Menu'!A1"/><Relationship Id="rId4" Type="http://schemas.openxmlformats.org/officeDocument/2006/relationships/chart" Target="../charts/chart16.xml"/></Relationships>
</file>

<file path=xl/drawings/_rels/drawing38.xml.rels><?xml version="1.0" encoding="UTF-8" standalone="yes"?>
<Relationships xmlns="http://schemas.openxmlformats.org/package/2006/relationships"><Relationship Id="rId2" Type="http://schemas.openxmlformats.org/officeDocument/2006/relationships/hyperlink" Target="#'Main Menu'!A1"/><Relationship Id="rId1" Type="http://schemas.openxmlformats.org/officeDocument/2006/relationships/chart" Target="../charts/chart17.xml"/></Relationships>
</file>

<file path=xl/drawings/_rels/drawing39.xml.rels><?xml version="1.0" encoding="UTF-8" standalone="yes"?>
<Relationships xmlns="http://schemas.openxmlformats.org/package/2006/relationships"><Relationship Id="rId8" Type="http://schemas.openxmlformats.org/officeDocument/2006/relationships/hyperlink" Target="#'Cyber Terrorism Analysis'!A1"/><Relationship Id="rId13" Type="http://schemas.openxmlformats.org/officeDocument/2006/relationships/hyperlink" Target="#'HazMat Release Analysis'!A1"/><Relationship Id="rId18" Type="http://schemas.openxmlformats.org/officeDocument/2006/relationships/hyperlink" Target="#'Temperature Extremes Analysis'!A1"/><Relationship Id="rId3" Type="http://schemas.openxmlformats.org/officeDocument/2006/relationships/hyperlink" Target="#'Biological Terrorism Analysis'!A1"/><Relationship Id="rId21" Type="http://schemas.openxmlformats.org/officeDocument/2006/relationships/hyperlink" Target="#'Winter Storm Analysis'!A1"/><Relationship Id="rId7" Type="http://schemas.openxmlformats.org/officeDocument/2006/relationships/hyperlink" Target="#'Conventional Explosive Analysis'!A1"/><Relationship Id="rId12" Type="http://schemas.openxmlformats.org/officeDocument/2006/relationships/hyperlink" Target="#'Flood Analysis'!A1"/><Relationship Id="rId17" Type="http://schemas.openxmlformats.org/officeDocument/2006/relationships/hyperlink" Target="#'RDD Analysis'!A1"/><Relationship Id="rId2" Type="http://schemas.openxmlformats.org/officeDocument/2006/relationships/hyperlink" Target="#'Active Shooter Analysis'!A1"/><Relationship Id="rId16" Type="http://schemas.openxmlformats.org/officeDocument/2006/relationships/hyperlink" Target="#'Pandemic Analysis'!A1"/><Relationship Id="rId20" Type="http://schemas.openxmlformats.org/officeDocument/2006/relationships/hyperlink" Target="#'Utility Interruption Analysis'!A1"/><Relationship Id="rId1" Type="http://schemas.openxmlformats.org/officeDocument/2006/relationships/hyperlink" Target="#'Main Menu'!A1"/><Relationship Id="rId6" Type="http://schemas.openxmlformats.org/officeDocument/2006/relationships/hyperlink" Target="#'Coastal Storm Analysis'!A1"/><Relationship Id="rId11" Type="http://schemas.openxmlformats.org/officeDocument/2006/relationships/hyperlink" Target="#'Fire Analysis'!A1"/><Relationship Id="rId5" Type="http://schemas.openxmlformats.org/officeDocument/2006/relationships/hyperlink" Target="#'Civil Disturbance Analysis'!A1"/><Relationship Id="rId15" Type="http://schemas.openxmlformats.org/officeDocument/2006/relationships/hyperlink" Target="#'Nuc Facility Accident Analysis'!A1"/><Relationship Id="rId10" Type="http://schemas.openxmlformats.org/officeDocument/2006/relationships/hyperlink" Target="#'Earthquake Analysis'!A1"/><Relationship Id="rId19" Type="http://schemas.openxmlformats.org/officeDocument/2006/relationships/hyperlink" Target="#'Tornado Analysis'!A1"/><Relationship Id="rId4" Type="http://schemas.openxmlformats.org/officeDocument/2006/relationships/hyperlink" Target="#'Chemical Terrorism Analysis'!A1"/><Relationship Id="rId9" Type="http://schemas.openxmlformats.org/officeDocument/2006/relationships/hyperlink" Target="#'Drought Analysis'!A1"/><Relationship Id="rId14" Type="http://schemas.openxmlformats.org/officeDocument/2006/relationships/hyperlink" Target="#'Localized Inf Disease Analysis'!A1"/></Relationships>
</file>

<file path=xl/drawings/_rels/drawing40.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1.xml"/><Relationship Id="rId5" Type="http://schemas.openxmlformats.org/officeDocument/2006/relationships/hyperlink" Target="#'Active Shooter'!A1"/><Relationship Id="rId4" Type="http://schemas.openxmlformats.org/officeDocument/2006/relationships/hyperlink" Target="#'Hazard Analyses Menu'!A1"/></Relationships>
</file>

<file path=xl/drawings/_rels/drawing4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5.xml"/><Relationship Id="rId5" Type="http://schemas.openxmlformats.org/officeDocument/2006/relationships/hyperlink" Target="#'Biological Terrorism'!A1"/><Relationship Id="rId4" Type="http://schemas.openxmlformats.org/officeDocument/2006/relationships/hyperlink" Target="#'Hazard Analyses Menu'!A1"/></Relationships>
</file>

<file path=xl/drawings/_rels/drawing4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hyperlink" Target="#'Chemical Terrorism'!A1"/><Relationship Id="rId1" Type="http://schemas.openxmlformats.org/officeDocument/2006/relationships/hyperlink" Target="#'Hazard Analyses Menu'!A1"/><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_rels/drawing43.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3.xml"/><Relationship Id="rId5" Type="http://schemas.openxmlformats.org/officeDocument/2006/relationships/hyperlink" Target="#'Civil Disturbance'!A1"/><Relationship Id="rId4" Type="http://schemas.openxmlformats.org/officeDocument/2006/relationships/hyperlink" Target="#'Hazard Analyses Menu'!A1"/></Relationships>
</file>

<file path=xl/drawings/_rels/drawing44.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7.xml"/><Relationship Id="rId5" Type="http://schemas.openxmlformats.org/officeDocument/2006/relationships/hyperlink" Target="#'Coastal Storm'!A1"/><Relationship Id="rId4" Type="http://schemas.openxmlformats.org/officeDocument/2006/relationships/hyperlink" Target="#'Hazard Analyses Menu'!A1"/></Relationships>
</file>

<file path=xl/drawings/_rels/drawing45.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1.xml"/><Relationship Id="rId5" Type="http://schemas.openxmlformats.org/officeDocument/2006/relationships/hyperlink" Target="#'Conventional Explosive'!A1"/><Relationship Id="rId4" Type="http://schemas.openxmlformats.org/officeDocument/2006/relationships/hyperlink" Target="#'Hazard Analyses Menu'!A1"/></Relationships>
</file>

<file path=xl/drawings/_rels/drawing46.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6" Type="http://schemas.openxmlformats.org/officeDocument/2006/relationships/chart" Target="../charts/chart45.xml"/><Relationship Id="rId5" Type="http://schemas.openxmlformats.org/officeDocument/2006/relationships/hyperlink" Target="#'Cyber Terrorism'!A1"/><Relationship Id="rId4" Type="http://schemas.openxmlformats.org/officeDocument/2006/relationships/hyperlink" Target="#'Hazard Analyses Menu'!A1"/></Relationships>
</file>

<file path=xl/drawings/_rels/drawing47.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chart" Target="../charts/chart49.xml"/><Relationship Id="rId5" Type="http://schemas.openxmlformats.org/officeDocument/2006/relationships/hyperlink" Target="#Drought!A1"/><Relationship Id="rId4" Type="http://schemas.openxmlformats.org/officeDocument/2006/relationships/hyperlink" Target="#'Hazard Analyses Menu'!A1"/></Relationships>
</file>

<file path=xl/drawings/_rels/drawing48.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6" Type="http://schemas.openxmlformats.org/officeDocument/2006/relationships/chart" Target="../charts/chart53.xml"/><Relationship Id="rId5" Type="http://schemas.openxmlformats.org/officeDocument/2006/relationships/hyperlink" Target="#Earthquake!A1"/><Relationship Id="rId4" Type="http://schemas.openxmlformats.org/officeDocument/2006/relationships/hyperlink" Target="#'Hazard Analyses Menu'!A1"/></Relationships>
</file>

<file path=xl/drawings/_rels/drawing49.xml.rels><?xml version="1.0" encoding="UTF-8" standalone="yes"?>
<Relationships xmlns="http://schemas.openxmlformats.org/package/2006/relationships"><Relationship Id="rId3" Type="http://schemas.openxmlformats.org/officeDocument/2006/relationships/chart" Target="../charts/chart56.xml"/><Relationship Id="rId2" Type="http://schemas.openxmlformats.org/officeDocument/2006/relationships/chart" Target="../charts/chart55.xml"/><Relationship Id="rId1" Type="http://schemas.openxmlformats.org/officeDocument/2006/relationships/chart" Target="../charts/chart54.xml"/><Relationship Id="rId6" Type="http://schemas.openxmlformats.org/officeDocument/2006/relationships/chart" Target="../charts/chart57.xml"/><Relationship Id="rId5" Type="http://schemas.openxmlformats.org/officeDocument/2006/relationships/hyperlink" Target="#Fire!A1"/><Relationship Id="rId4" Type="http://schemas.openxmlformats.org/officeDocument/2006/relationships/hyperlink" Target="#'Hazard Analyses Menu'!A1"/></Relationships>
</file>

<file path=xl/drawings/_rels/drawing50.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1.xml"/><Relationship Id="rId5" Type="http://schemas.openxmlformats.org/officeDocument/2006/relationships/hyperlink" Target="#Flood!A1"/><Relationship Id="rId4" Type="http://schemas.openxmlformats.org/officeDocument/2006/relationships/hyperlink" Target="#'Hazard Analyses Menu'!A1"/></Relationships>
</file>

<file path=xl/drawings/_rels/drawing51.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chart" Target="../charts/chart62.xml"/><Relationship Id="rId6" Type="http://schemas.openxmlformats.org/officeDocument/2006/relationships/chart" Target="../charts/chart65.xml"/><Relationship Id="rId5" Type="http://schemas.openxmlformats.org/officeDocument/2006/relationships/hyperlink" Target="#'Hazardous Materials Release'!A1"/><Relationship Id="rId4" Type="http://schemas.openxmlformats.org/officeDocument/2006/relationships/hyperlink" Target="#'Hazard Analyses Menu'!A1"/></Relationships>
</file>

<file path=xl/drawings/_rels/drawing52.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6" Type="http://schemas.openxmlformats.org/officeDocument/2006/relationships/chart" Target="../charts/chart69.xml"/><Relationship Id="rId5" Type="http://schemas.openxmlformats.org/officeDocument/2006/relationships/hyperlink" Target="#'Localized Infectious Disease'!A1"/><Relationship Id="rId4" Type="http://schemas.openxmlformats.org/officeDocument/2006/relationships/hyperlink" Target="#'Hazard Analyses Menu'!A1"/></Relationships>
</file>

<file path=xl/drawings/_rels/drawing53.xml.rels><?xml version="1.0" encoding="UTF-8" standalone="yes"?>
<Relationships xmlns="http://schemas.openxmlformats.org/package/2006/relationships"><Relationship Id="rId3" Type="http://schemas.openxmlformats.org/officeDocument/2006/relationships/hyperlink" Target="#'Hazard Analyses Menu'!A1"/><Relationship Id="rId2" Type="http://schemas.openxmlformats.org/officeDocument/2006/relationships/chart" Target="../charts/chart71.xml"/><Relationship Id="rId1" Type="http://schemas.openxmlformats.org/officeDocument/2006/relationships/chart" Target="../charts/chart70.xml"/><Relationship Id="rId6" Type="http://schemas.openxmlformats.org/officeDocument/2006/relationships/chart" Target="../charts/chart73.xml"/><Relationship Id="rId5" Type="http://schemas.openxmlformats.org/officeDocument/2006/relationships/chart" Target="../charts/chart72.xml"/><Relationship Id="rId4" Type="http://schemas.openxmlformats.org/officeDocument/2006/relationships/hyperlink" Target="#'Nuclear Facility Accident'!A1"/></Relationships>
</file>

<file path=xl/drawings/_rels/drawing54.xml.rels><?xml version="1.0" encoding="UTF-8" standalone="yes"?>
<Relationships xmlns="http://schemas.openxmlformats.org/package/2006/relationships"><Relationship Id="rId3" Type="http://schemas.openxmlformats.org/officeDocument/2006/relationships/chart" Target="../charts/chart76.xml"/><Relationship Id="rId2" Type="http://schemas.openxmlformats.org/officeDocument/2006/relationships/chart" Target="../charts/chart75.xml"/><Relationship Id="rId1" Type="http://schemas.openxmlformats.org/officeDocument/2006/relationships/chart" Target="../charts/chart74.xml"/><Relationship Id="rId6" Type="http://schemas.openxmlformats.org/officeDocument/2006/relationships/chart" Target="../charts/chart77.xml"/><Relationship Id="rId5" Type="http://schemas.openxmlformats.org/officeDocument/2006/relationships/hyperlink" Target="#Pandemic!A1"/><Relationship Id="rId4" Type="http://schemas.openxmlformats.org/officeDocument/2006/relationships/hyperlink" Target="#'Hazard Analyses Menu'!A1"/></Relationships>
</file>

<file path=xl/drawings/_rels/drawing55.xml.rels><?xml version="1.0" encoding="UTF-8" standalone="yes"?>
<Relationships xmlns="http://schemas.openxmlformats.org/package/2006/relationships"><Relationship Id="rId3" Type="http://schemas.openxmlformats.org/officeDocument/2006/relationships/chart" Target="../charts/chart80.xml"/><Relationship Id="rId2" Type="http://schemas.openxmlformats.org/officeDocument/2006/relationships/chart" Target="../charts/chart79.xml"/><Relationship Id="rId1" Type="http://schemas.openxmlformats.org/officeDocument/2006/relationships/chart" Target="../charts/chart78.xml"/><Relationship Id="rId6" Type="http://schemas.openxmlformats.org/officeDocument/2006/relationships/chart" Target="../charts/chart81.xml"/><Relationship Id="rId5" Type="http://schemas.openxmlformats.org/officeDocument/2006/relationships/hyperlink" Target="#'Radiation Dispersal Device'!A1"/><Relationship Id="rId4" Type="http://schemas.openxmlformats.org/officeDocument/2006/relationships/hyperlink" Target="#'Hazard Analyses Menu'!A1"/></Relationships>
</file>

<file path=xl/drawings/_rels/drawing56.xml.rels><?xml version="1.0" encoding="UTF-8" standalone="yes"?>
<Relationships xmlns="http://schemas.openxmlformats.org/package/2006/relationships"><Relationship Id="rId3" Type="http://schemas.openxmlformats.org/officeDocument/2006/relationships/chart" Target="../charts/chart84.xml"/><Relationship Id="rId2" Type="http://schemas.openxmlformats.org/officeDocument/2006/relationships/chart" Target="../charts/chart83.xml"/><Relationship Id="rId1" Type="http://schemas.openxmlformats.org/officeDocument/2006/relationships/chart" Target="../charts/chart82.xml"/><Relationship Id="rId6" Type="http://schemas.openxmlformats.org/officeDocument/2006/relationships/chart" Target="../charts/chart85.xml"/><Relationship Id="rId5" Type="http://schemas.openxmlformats.org/officeDocument/2006/relationships/hyperlink" Target="#'Temperature Extremes'!A1"/><Relationship Id="rId4" Type="http://schemas.openxmlformats.org/officeDocument/2006/relationships/hyperlink" Target="#'Hazard Analyses Menu'!A1"/></Relationships>
</file>

<file path=xl/drawings/_rels/drawing57.xml.rels><?xml version="1.0" encoding="UTF-8" standalone="yes"?>
<Relationships xmlns="http://schemas.openxmlformats.org/package/2006/relationships"><Relationship Id="rId3" Type="http://schemas.openxmlformats.org/officeDocument/2006/relationships/chart" Target="../charts/chart88.xml"/><Relationship Id="rId2" Type="http://schemas.openxmlformats.org/officeDocument/2006/relationships/chart" Target="../charts/chart87.xml"/><Relationship Id="rId1" Type="http://schemas.openxmlformats.org/officeDocument/2006/relationships/chart" Target="../charts/chart86.xml"/><Relationship Id="rId6" Type="http://schemas.openxmlformats.org/officeDocument/2006/relationships/chart" Target="../charts/chart89.xml"/><Relationship Id="rId5" Type="http://schemas.openxmlformats.org/officeDocument/2006/relationships/hyperlink" Target="#Tornado!A1"/><Relationship Id="rId4" Type="http://schemas.openxmlformats.org/officeDocument/2006/relationships/hyperlink" Target="#'Hazard Analyses Menu'!A1"/></Relationships>
</file>

<file path=xl/drawings/_rels/drawing58.xml.rels><?xml version="1.0" encoding="UTF-8" standalone="yes"?>
<Relationships xmlns="http://schemas.openxmlformats.org/package/2006/relationships"><Relationship Id="rId3" Type="http://schemas.openxmlformats.org/officeDocument/2006/relationships/chart" Target="../charts/chart92.xml"/><Relationship Id="rId2" Type="http://schemas.openxmlformats.org/officeDocument/2006/relationships/chart" Target="../charts/chart91.xml"/><Relationship Id="rId1" Type="http://schemas.openxmlformats.org/officeDocument/2006/relationships/chart" Target="../charts/chart90.xml"/><Relationship Id="rId6" Type="http://schemas.openxmlformats.org/officeDocument/2006/relationships/chart" Target="../charts/chart93.xml"/><Relationship Id="rId5" Type="http://schemas.openxmlformats.org/officeDocument/2006/relationships/hyperlink" Target="#'Utility Interruption'!A1"/><Relationship Id="rId4" Type="http://schemas.openxmlformats.org/officeDocument/2006/relationships/hyperlink" Target="#'Hazard Analyses Menu'!A1"/></Relationships>
</file>

<file path=xl/drawings/_rels/drawing59.xml.rels><?xml version="1.0" encoding="UTF-8" standalone="yes"?>
<Relationships xmlns="http://schemas.openxmlformats.org/package/2006/relationships"><Relationship Id="rId3" Type="http://schemas.openxmlformats.org/officeDocument/2006/relationships/chart" Target="../charts/chart96.xml"/><Relationship Id="rId2" Type="http://schemas.openxmlformats.org/officeDocument/2006/relationships/chart" Target="../charts/chart95.xml"/><Relationship Id="rId1" Type="http://schemas.openxmlformats.org/officeDocument/2006/relationships/chart" Target="../charts/chart94.xml"/><Relationship Id="rId6" Type="http://schemas.openxmlformats.org/officeDocument/2006/relationships/chart" Target="../charts/chart97.xml"/><Relationship Id="rId5" Type="http://schemas.openxmlformats.org/officeDocument/2006/relationships/hyperlink" Target="#'Winter Storm'!A1"/><Relationship Id="rId4" Type="http://schemas.openxmlformats.org/officeDocument/2006/relationships/hyperlink" Target="#'Hazard Analyses Menu'!A1"/></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10</xdr:col>
      <xdr:colOff>9525</xdr:colOff>
      <xdr:row>12</xdr:row>
      <xdr:rowOff>9525</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5476875" y="23622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Read Me</a:t>
          </a:r>
          <a:r>
            <a:rPr lang="en-US" sz="1100" baseline="0">
              <a:solidFill>
                <a:schemeClr val="tx1"/>
              </a:solidFill>
            </a:rPr>
            <a:t> First!</a:t>
          </a:r>
          <a:endParaRPr lang="en-US" sz="1100">
            <a:solidFill>
              <a:schemeClr val="tx1"/>
            </a:solidFill>
          </a:endParaRPr>
        </a:p>
      </xdr:txBody>
    </xdr:sp>
    <xdr:clientData/>
  </xdr:twoCellAnchor>
  <xdr:twoCellAnchor>
    <xdr:from>
      <xdr:col>9</xdr:col>
      <xdr:colOff>0</xdr:colOff>
      <xdr:row>13</xdr:row>
      <xdr:rowOff>0</xdr:rowOff>
    </xdr:from>
    <xdr:to>
      <xdr:col>10</xdr:col>
      <xdr:colOff>9525</xdr:colOff>
      <xdr:row>14</xdr:row>
      <xdr:rowOff>9525</xdr:rowOff>
    </xdr:to>
    <xdr:sp macro="" textlink="">
      <xdr:nvSpPr>
        <xdr:cNvPr id="8" name="Rounded Rectangle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5476875" y="27813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Overview of the Tool</a:t>
          </a:r>
        </a:p>
      </xdr:txBody>
    </xdr:sp>
    <xdr:clientData/>
  </xdr:twoCellAnchor>
  <xdr:twoCellAnchor>
    <xdr:from>
      <xdr:col>9</xdr:col>
      <xdr:colOff>0</xdr:colOff>
      <xdr:row>29</xdr:row>
      <xdr:rowOff>0</xdr:rowOff>
    </xdr:from>
    <xdr:to>
      <xdr:col>10</xdr:col>
      <xdr:colOff>9525</xdr:colOff>
      <xdr:row>30</xdr:row>
      <xdr:rowOff>9525</xdr:rowOff>
    </xdr:to>
    <xdr:sp macro="" textlink="">
      <xdr:nvSpPr>
        <xdr:cNvPr id="10" name="Rounded Rectangle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5476875" y="59817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Active Shooter</a:t>
          </a:r>
        </a:p>
      </xdr:txBody>
    </xdr:sp>
    <xdr:clientData/>
  </xdr:twoCellAnchor>
  <xdr:twoCellAnchor>
    <xdr:from>
      <xdr:col>9</xdr:col>
      <xdr:colOff>0</xdr:colOff>
      <xdr:row>31</xdr:row>
      <xdr:rowOff>0</xdr:rowOff>
    </xdr:from>
    <xdr:to>
      <xdr:col>10</xdr:col>
      <xdr:colOff>9525</xdr:colOff>
      <xdr:row>32</xdr:row>
      <xdr:rowOff>9525</xdr:rowOff>
    </xdr:to>
    <xdr:sp macro="" textlink="">
      <xdr:nvSpPr>
        <xdr:cNvPr id="11" name="Rounded Rectangle 10">
          <a:hlinkClick xmlns:r="http://schemas.openxmlformats.org/officeDocument/2006/relationships" r:id="rId4"/>
          <a:extLst>
            <a:ext uri="{FF2B5EF4-FFF2-40B4-BE49-F238E27FC236}">
              <a16:creationId xmlns:a16="http://schemas.microsoft.com/office/drawing/2014/main" id="{00000000-0008-0000-0000-00000B000000}"/>
            </a:ext>
          </a:extLst>
        </xdr:cNvPr>
        <xdr:cNvSpPr/>
      </xdr:nvSpPr>
      <xdr:spPr>
        <a:xfrm>
          <a:off x="5476875" y="656272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Biological Terrorism</a:t>
          </a:r>
        </a:p>
      </xdr:txBody>
    </xdr:sp>
    <xdr:clientData/>
  </xdr:twoCellAnchor>
  <xdr:twoCellAnchor>
    <xdr:from>
      <xdr:col>9</xdr:col>
      <xdr:colOff>0</xdr:colOff>
      <xdr:row>33</xdr:row>
      <xdr:rowOff>0</xdr:rowOff>
    </xdr:from>
    <xdr:to>
      <xdr:col>10</xdr:col>
      <xdr:colOff>9525</xdr:colOff>
      <xdr:row>34</xdr:row>
      <xdr:rowOff>9525</xdr:rowOff>
    </xdr:to>
    <xdr:sp macro="" textlink="">
      <xdr:nvSpPr>
        <xdr:cNvPr id="12" name="Rounded Rectangle 11">
          <a:hlinkClick xmlns:r="http://schemas.openxmlformats.org/officeDocument/2006/relationships" r:id="rId5"/>
          <a:extLst>
            <a:ext uri="{FF2B5EF4-FFF2-40B4-BE49-F238E27FC236}">
              <a16:creationId xmlns:a16="http://schemas.microsoft.com/office/drawing/2014/main" id="{00000000-0008-0000-0000-00000C000000}"/>
            </a:ext>
          </a:extLst>
        </xdr:cNvPr>
        <xdr:cNvSpPr/>
      </xdr:nvSpPr>
      <xdr:spPr>
        <a:xfrm>
          <a:off x="5476875" y="714375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Chemical Terrorism</a:t>
          </a:r>
        </a:p>
      </xdr:txBody>
    </xdr:sp>
    <xdr:clientData/>
  </xdr:twoCellAnchor>
  <xdr:twoCellAnchor>
    <xdr:from>
      <xdr:col>9</xdr:col>
      <xdr:colOff>0</xdr:colOff>
      <xdr:row>35</xdr:row>
      <xdr:rowOff>0</xdr:rowOff>
    </xdr:from>
    <xdr:to>
      <xdr:col>10</xdr:col>
      <xdr:colOff>9525</xdr:colOff>
      <xdr:row>36</xdr:row>
      <xdr:rowOff>9525</xdr:rowOff>
    </xdr:to>
    <xdr:sp macro="" textlink="">
      <xdr:nvSpPr>
        <xdr:cNvPr id="13" name="Rounded Rectangle 12">
          <a:hlinkClick xmlns:r="http://schemas.openxmlformats.org/officeDocument/2006/relationships" r:id="rId6"/>
          <a:extLst>
            <a:ext uri="{FF2B5EF4-FFF2-40B4-BE49-F238E27FC236}">
              <a16:creationId xmlns:a16="http://schemas.microsoft.com/office/drawing/2014/main" id="{00000000-0008-0000-0000-00000D000000}"/>
            </a:ext>
          </a:extLst>
        </xdr:cNvPr>
        <xdr:cNvSpPr/>
      </xdr:nvSpPr>
      <xdr:spPr>
        <a:xfrm>
          <a:off x="5476875" y="772477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Civil Disturbance</a:t>
          </a:r>
        </a:p>
      </xdr:txBody>
    </xdr:sp>
    <xdr:clientData/>
  </xdr:twoCellAnchor>
  <xdr:twoCellAnchor>
    <xdr:from>
      <xdr:col>9</xdr:col>
      <xdr:colOff>0</xdr:colOff>
      <xdr:row>37</xdr:row>
      <xdr:rowOff>0</xdr:rowOff>
    </xdr:from>
    <xdr:to>
      <xdr:col>10</xdr:col>
      <xdr:colOff>9525</xdr:colOff>
      <xdr:row>38</xdr:row>
      <xdr:rowOff>9525</xdr:rowOff>
    </xdr:to>
    <xdr:sp macro="" textlink="">
      <xdr:nvSpPr>
        <xdr:cNvPr id="14" name="Rounded Rectangle 13">
          <a:hlinkClick xmlns:r="http://schemas.openxmlformats.org/officeDocument/2006/relationships" r:id="rId7"/>
          <a:extLst>
            <a:ext uri="{FF2B5EF4-FFF2-40B4-BE49-F238E27FC236}">
              <a16:creationId xmlns:a16="http://schemas.microsoft.com/office/drawing/2014/main" id="{00000000-0008-0000-0000-00000E000000}"/>
            </a:ext>
          </a:extLst>
        </xdr:cNvPr>
        <xdr:cNvSpPr/>
      </xdr:nvSpPr>
      <xdr:spPr>
        <a:xfrm>
          <a:off x="5476875" y="83058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Coastal Storm</a:t>
          </a:r>
        </a:p>
      </xdr:txBody>
    </xdr:sp>
    <xdr:clientData/>
  </xdr:twoCellAnchor>
  <xdr:twoCellAnchor>
    <xdr:from>
      <xdr:col>9</xdr:col>
      <xdr:colOff>0</xdr:colOff>
      <xdr:row>39</xdr:row>
      <xdr:rowOff>0</xdr:rowOff>
    </xdr:from>
    <xdr:to>
      <xdr:col>10</xdr:col>
      <xdr:colOff>9525</xdr:colOff>
      <xdr:row>40</xdr:row>
      <xdr:rowOff>9525</xdr:rowOff>
    </xdr:to>
    <xdr:sp macro="" textlink="">
      <xdr:nvSpPr>
        <xdr:cNvPr id="15" name="Rounded Rectangle 14">
          <a:hlinkClick xmlns:r="http://schemas.openxmlformats.org/officeDocument/2006/relationships" r:id="rId8"/>
          <a:extLst>
            <a:ext uri="{FF2B5EF4-FFF2-40B4-BE49-F238E27FC236}">
              <a16:creationId xmlns:a16="http://schemas.microsoft.com/office/drawing/2014/main" id="{00000000-0008-0000-0000-00000F000000}"/>
            </a:ext>
          </a:extLst>
        </xdr:cNvPr>
        <xdr:cNvSpPr/>
      </xdr:nvSpPr>
      <xdr:spPr>
        <a:xfrm>
          <a:off x="5476875" y="888682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Conventional Explosive</a:t>
          </a:r>
        </a:p>
      </xdr:txBody>
    </xdr:sp>
    <xdr:clientData/>
  </xdr:twoCellAnchor>
  <xdr:twoCellAnchor>
    <xdr:from>
      <xdr:col>9</xdr:col>
      <xdr:colOff>0</xdr:colOff>
      <xdr:row>41</xdr:row>
      <xdr:rowOff>0</xdr:rowOff>
    </xdr:from>
    <xdr:to>
      <xdr:col>10</xdr:col>
      <xdr:colOff>9525</xdr:colOff>
      <xdr:row>42</xdr:row>
      <xdr:rowOff>9525</xdr:rowOff>
    </xdr:to>
    <xdr:sp macro="" textlink="">
      <xdr:nvSpPr>
        <xdr:cNvPr id="16" name="Rounded Rectangle 15">
          <a:hlinkClick xmlns:r="http://schemas.openxmlformats.org/officeDocument/2006/relationships" r:id="rId9"/>
          <a:extLst>
            <a:ext uri="{FF2B5EF4-FFF2-40B4-BE49-F238E27FC236}">
              <a16:creationId xmlns:a16="http://schemas.microsoft.com/office/drawing/2014/main" id="{00000000-0008-0000-0000-000010000000}"/>
            </a:ext>
          </a:extLst>
        </xdr:cNvPr>
        <xdr:cNvSpPr/>
      </xdr:nvSpPr>
      <xdr:spPr>
        <a:xfrm>
          <a:off x="5476875" y="946785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Cyber Terrorism</a:t>
          </a:r>
        </a:p>
      </xdr:txBody>
    </xdr:sp>
    <xdr:clientData/>
  </xdr:twoCellAnchor>
  <xdr:twoCellAnchor>
    <xdr:from>
      <xdr:col>9</xdr:col>
      <xdr:colOff>0</xdr:colOff>
      <xdr:row>43</xdr:row>
      <xdr:rowOff>0</xdr:rowOff>
    </xdr:from>
    <xdr:to>
      <xdr:col>10</xdr:col>
      <xdr:colOff>9525</xdr:colOff>
      <xdr:row>44</xdr:row>
      <xdr:rowOff>9525</xdr:rowOff>
    </xdr:to>
    <xdr:sp macro="" textlink="">
      <xdr:nvSpPr>
        <xdr:cNvPr id="17" name="Rounded Rectangle 16">
          <a:hlinkClick xmlns:r="http://schemas.openxmlformats.org/officeDocument/2006/relationships" r:id="rId10"/>
          <a:extLst>
            <a:ext uri="{FF2B5EF4-FFF2-40B4-BE49-F238E27FC236}">
              <a16:creationId xmlns:a16="http://schemas.microsoft.com/office/drawing/2014/main" id="{00000000-0008-0000-0000-000011000000}"/>
            </a:ext>
          </a:extLst>
        </xdr:cNvPr>
        <xdr:cNvSpPr/>
      </xdr:nvSpPr>
      <xdr:spPr>
        <a:xfrm>
          <a:off x="5476875" y="1004887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Drought</a:t>
          </a:r>
        </a:p>
      </xdr:txBody>
    </xdr:sp>
    <xdr:clientData/>
  </xdr:twoCellAnchor>
  <xdr:twoCellAnchor>
    <xdr:from>
      <xdr:col>9</xdr:col>
      <xdr:colOff>0</xdr:colOff>
      <xdr:row>45</xdr:row>
      <xdr:rowOff>0</xdr:rowOff>
    </xdr:from>
    <xdr:to>
      <xdr:col>10</xdr:col>
      <xdr:colOff>9525</xdr:colOff>
      <xdr:row>46</xdr:row>
      <xdr:rowOff>9525</xdr:rowOff>
    </xdr:to>
    <xdr:sp macro="" textlink="">
      <xdr:nvSpPr>
        <xdr:cNvPr id="18" name="Rounded Rectangle 17">
          <a:hlinkClick xmlns:r="http://schemas.openxmlformats.org/officeDocument/2006/relationships" r:id="rId11"/>
          <a:extLst>
            <a:ext uri="{FF2B5EF4-FFF2-40B4-BE49-F238E27FC236}">
              <a16:creationId xmlns:a16="http://schemas.microsoft.com/office/drawing/2014/main" id="{00000000-0008-0000-0000-000012000000}"/>
            </a:ext>
          </a:extLst>
        </xdr:cNvPr>
        <xdr:cNvSpPr/>
      </xdr:nvSpPr>
      <xdr:spPr>
        <a:xfrm>
          <a:off x="5476875" y="106299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Earthquake</a:t>
          </a:r>
        </a:p>
      </xdr:txBody>
    </xdr:sp>
    <xdr:clientData/>
  </xdr:twoCellAnchor>
  <xdr:twoCellAnchor>
    <xdr:from>
      <xdr:col>9</xdr:col>
      <xdr:colOff>0</xdr:colOff>
      <xdr:row>47</xdr:row>
      <xdr:rowOff>0</xdr:rowOff>
    </xdr:from>
    <xdr:to>
      <xdr:col>10</xdr:col>
      <xdr:colOff>9525</xdr:colOff>
      <xdr:row>48</xdr:row>
      <xdr:rowOff>9525</xdr:rowOff>
    </xdr:to>
    <xdr:sp macro="" textlink="">
      <xdr:nvSpPr>
        <xdr:cNvPr id="19" name="Rounded Rectangle 18">
          <a:hlinkClick xmlns:r="http://schemas.openxmlformats.org/officeDocument/2006/relationships" r:id="rId12"/>
          <a:extLst>
            <a:ext uri="{FF2B5EF4-FFF2-40B4-BE49-F238E27FC236}">
              <a16:creationId xmlns:a16="http://schemas.microsoft.com/office/drawing/2014/main" id="{00000000-0008-0000-0000-000013000000}"/>
            </a:ext>
          </a:extLst>
        </xdr:cNvPr>
        <xdr:cNvSpPr/>
      </xdr:nvSpPr>
      <xdr:spPr>
        <a:xfrm>
          <a:off x="5476875" y="1121092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Fire</a:t>
          </a:r>
        </a:p>
      </xdr:txBody>
    </xdr:sp>
    <xdr:clientData/>
  </xdr:twoCellAnchor>
  <xdr:twoCellAnchor>
    <xdr:from>
      <xdr:col>9</xdr:col>
      <xdr:colOff>0</xdr:colOff>
      <xdr:row>49</xdr:row>
      <xdr:rowOff>0</xdr:rowOff>
    </xdr:from>
    <xdr:to>
      <xdr:col>10</xdr:col>
      <xdr:colOff>9525</xdr:colOff>
      <xdr:row>50</xdr:row>
      <xdr:rowOff>9525</xdr:rowOff>
    </xdr:to>
    <xdr:sp macro="" textlink="">
      <xdr:nvSpPr>
        <xdr:cNvPr id="20" name="Rounded Rectangle 19">
          <a:hlinkClick xmlns:r="http://schemas.openxmlformats.org/officeDocument/2006/relationships" r:id="rId13"/>
          <a:extLst>
            <a:ext uri="{FF2B5EF4-FFF2-40B4-BE49-F238E27FC236}">
              <a16:creationId xmlns:a16="http://schemas.microsoft.com/office/drawing/2014/main" id="{00000000-0008-0000-0000-000014000000}"/>
            </a:ext>
          </a:extLst>
        </xdr:cNvPr>
        <xdr:cNvSpPr/>
      </xdr:nvSpPr>
      <xdr:spPr>
        <a:xfrm>
          <a:off x="5476875" y="1179195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Flood</a:t>
          </a:r>
        </a:p>
      </xdr:txBody>
    </xdr:sp>
    <xdr:clientData/>
  </xdr:twoCellAnchor>
  <xdr:twoCellAnchor>
    <xdr:from>
      <xdr:col>9</xdr:col>
      <xdr:colOff>0</xdr:colOff>
      <xdr:row>51</xdr:row>
      <xdr:rowOff>0</xdr:rowOff>
    </xdr:from>
    <xdr:to>
      <xdr:col>10</xdr:col>
      <xdr:colOff>9525</xdr:colOff>
      <xdr:row>52</xdr:row>
      <xdr:rowOff>9525</xdr:rowOff>
    </xdr:to>
    <xdr:sp macro="" textlink="">
      <xdr:nvSpPr>
        <xdr:cNvPr id="21" name="Rounded Rectangle 20">
          <a:hlinkClick xmlns:r="http://schemas.openxmlformats.org/officeDocument/2006/relationships" r:id="rId14"/>
          <a:extLst>
            <a:ext uri="{FF2B5EF4-FFF2-40B4-BE49-F238E27FC236}">
              <a16:creationId xmlns:a16="http://schemas.microsoft.com/office/drawing/2014/main" id="{00000000-0008-0000-0000-000015000000}"/>
            </a:ext>
          </a:extLst>
        </xdr:cNvPr>
        <xdr:cNvSpPr/>
      </xdr:nvSpPr>
      <xdr:spPr>
        <a:xfrm>
          <a:off x="5476875" y="1237297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Hazardous Materials Release</a:t>
          </a:r>
        </a:p>
      </xdr:txBody>
    </xdr:sp>
    <xdr:clientData/>
  </xdr:twoCellAnchor>
  <xdr:twoCellAnchor>
    <xdr:from>
      <xdr:col>9</xdr:col>
      <xdr:colOff>0</xdr:colOff>
      <xdr:row>53</xdr:row>
      <xdr:rowOff>0</xdr:rowOff>
    </xdr:from>
    <xdr:to>
      <xdr:col>10</xdr:col>
      <xdr:colOff>9525</xdr:colOff>
      <xdr:row>54</xdr:row>
      <xdr:rowOff>9525</xdr:rowOff>
    </xdr:to>
    <xdr:sp macro="" textlink="">
      <xdr:nvSpPr>
        <xdr:cNvPr id="22" name="Rounded Rectangle 21">
          <a:hlinkClick xmlns:r="http://schemas.openxmlformats.org/officeDocument/2006/relationships" r:id="rId15"/>
          <a:extLst>
            <a:ext uri="{FF2B5EF4-FFF2-40B4-BE49-F238E27FC236}">
              <a16:creationId xmlns:a16="http://schemas.microsoft.com/office/drawing/2014/main" id="{00000000-0008-0000-0000-000016000000}"/>
            </a:ext>
          </a:extLst>
        </xdr:cNvPr>
        <xdr:cNvSpPr/>
      </xdr:nvSpPr>
      <xdr:spPr>
        <a:xfrm>
          <a:off x="5476875" y="129540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Localized Infectious Disease</a:t>
          </a:r>
        </a:p>
      </xdr:txBody>
    </xdr:sp>
    <xdr:clientData/>
  </xdr:twoCellAnchor>
  <xdr:twoCellAnchor>
    <xdr:from>
      <xdr:col>9</xdr:col>
      <xdr:colOff>0</xdr:colOff>
      <xdr:row>55</xdr:row>
      <xdr:rowOff>0</xdr:rowOff>
    </xdr:from>
    <xdr:to>
      <xdr:col>10</xdr:col>
      <xdr:colOff>9525</xdr:colOff>
      <xdr:row>56</xdr:row>
      <xdr:rowOff>9525</xdr:rowOff>
    </xdr:to>
    <xdr:sp macro="" textlink="">
      <xdr:nvSpPr>
        <xdr:cNvPr id="23" name="Rounded Rectangle 22">
          <a:hlinkClick xmlns:r="http://schemas.openxmlformats.org/officeDocument/2006/relationships" r:id="rId16"/>
          <a:extLst>
            <a:ext uri="{FF2B5EF4-FFF2-40B4-BE49-F238E27FC236}">
              <a16:creationId xmlns:a16="http://schemas.microsoft.com/office/drawing/2014/main" id="{00000000-0008-0000-0000-000017000000}"/>
            </a:ext>
          </a:extLst>
        </xdr:cNvPr>
        <xdr:cNvSpPr/>
      </xdr:nvSpPr>
      <xdr:spPr>
        <a:xfrm>
          <a:off x="5476875" y="1353502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Nuclear Facility Accident</a:t>
          </a:r>
        </a:p>
      </xdr:txBody>
    </xdr:sp>
    <xdr:clientData/>
  </xdr:twoCellAnchor>
  <xdr:twoCellAnchor>
    <xdr:from>
      <xdr:col>9</xdr:col>
      <xdr:colOff>0</xdr:colOff>
      <xdr:row>57</xdr:row>
      <xdr:rowOff>0</xdr:rowOff>
    </xdr:from>
    <xdr:to>
      <xdr:col>10</xdr:col>
      <xdr:colOff>9525</xdr:colOff>
      <xdr:row>58</xdr:row>
      <xdr:rowOff>9525</xdr:rowOff>
    </xdr:to>
    <xdr:sp macro="" textlink="">
      <xdr:nvSpPr>
        <xdr:cNvPr id="24" name="Rounded Rectangle 23">
          <a:hlinkClick xmlns:r="http://schemas.openxmlformats.org/officeDocument/2006/relationships" r:id="rId17"/>
          <a:extLst>
            <a:ext uri="{FF2B5EF4-FFF2-40B4-BE49-F238E27FC236}">
              <a16:creationId xmlns:a16="http://schemas.microsoft.com/office/drawing/2014/main" id="{00000000-0008-0000-0000-000018000000}"/>
            </a:ext>
          </a:extLst>
        </xdr:cNvPr>
        <xdr:cNvSpPr/>
      </xdr:nvSpPr>
      <xdr:spPr>
        <a:xfrm>
          <a:off x="5476875" y="1411605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Pandemic</a:t>
          </a:r>
        </a:p>
      </xdr:txBody>
    </xdr:sp>
    <xdr:clientData/>
  </xdr:twoCellAnchor>
  <xdr:twoCellAnchor>
    <xdr:from>
      <xdr:col>9</xdr:col>
      <xdr:colOff>0</xdr:colOff>
      <xdr:row>59</xdr:row>
      <xdr:rowOff>0</xdr:rowOff>
    </xdr:from>
    <xdr:to>
      <xdr:col>10</xdr:col>
      <xdr:colOff>9525</xdr:colOff>
      <xdr:row>60</xdr:row>
      <xdr:rowOff>9525</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0000-000019000000}"/>
            </a:ext>
          </a:extLst>
        </xdr:cNvPr>
        <xdr:cNvSpPr/>
      </xdr:nvSpPr>
      <xdr:spPr>
        <a:xfrm>
          <a:off x="5476875" y="1469707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Radiation Disperal Device</a:t>
          </a:r>
        </a:p>
      </xdr:txBody>
    </xdr:sp>
    <xdr:clientData/>
  </xdr:twoCellAnchor>
  <xdr:twoCellAnchor>
    <xdr:from>
      <xdr:col>9</xdr:col>
      <xdr:colOff>0</xdr:colOff>
      <xdr:row>61</xdr:row>
      <xdr:rowOff>0</xdr:rowOff>
    </xdr:from>
    <xdr:to>
      <xdr:col>10</xdr:col>
      <xdr:colOff>9525</xdr:colOff>
      <xdr:row>62</xdr:row>
      <xdr:rowOff>9525</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0000-00001A000000}"/>
            </a:ext>
          </a:extLst>
        </xdr:cNvPr>
        <xdr:cNvSpPr/>
      </xdr:nvSpPr>
      <xdr:spPr>
        <a:xfrm>
          <a:off x="5476875" y="152781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Temperature Extremes</a:t>
          </a:r>
        </a:p>
      </xdr:txBody>
    </xdr:sp>
    <xdr:clientData/>
  </xdr:twoCellAnchor>
  <xdr:twoCellAnchor>
    <xdr:from>
      <xdr:col>9</xdr:col>
      <xdr:colOff>0</xdr:colOff>
      <xdr:row>63</xdr:row>
      <xdr:rowOff>0</xdr:rowOff>
    </xdr:from>
    <xdr:to>
      <xdr:col>10</xdr:col>
      <xdr:colOff>9525</xdr:colOff>
      <xdr:row>64</xdr:row>
      <xdr:rowOff>9525</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0000-00001B000000}"/>
            </a:ext>
          </a:extLst>
        </xdr:cNvPr>
        <xdr:cNvSpPr/>
      </xdr:nvSpPr>
      <xdr:spPr>
        <a:xfrm>
          <a:off x="5476875" y="1585912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Tornado</a:t>
          </a:r>
        </a:p>
      </xdr:txBody>
    </xdr:sp>
    <xdr:clientData/>
  </xdr:twoCellAnchor>
  <xdr:twoCellAnchor>
    <xdr:from>
      <xdr:col>9</xdr:col>
      <xdr:colOff>0</xdr:colOff>
      <xdr:row>65</xdr:row>
      <xdr:rowOff>0</xdr:rowOff>
    </xdr:from>
    <xdr:to>
      <xdr:col>10</xdr:col>
      <xdr:colOff>9525</xdr:colOff>
      <xdr:row>66</xdr:row>
      <xdr:rowOff>9525</xdr:rowOff>
    </xdr:to>
    <xdr:sp macro="" textlink="">
      <xdr:nvSpPr>
        <xdr:cNvPr id="28" name="Rounded Rectangle 27">
          <a:hlinkClick xmlns:r="http://schemas.openxmlformats.org/officeDocument/2006/relationships" r:id="rId21"/>
          <a:extLst>
            <a:ext uri="{FF2B5EF4-FFF2-40B4-BE49-F238E27FC236}">
              <a16:creationId xmlns:a16="http://schemas.microsoft.com/office/drawing/2014/main" id="{00000000-0008-0000-0000-00001C000000}"/>
            </a:ext>
          </a:extLst>
        </xdr:cNvPr>
        <xdr:cNvSpPr/>
      </xdr:nvSpPr>
      <xdr:spPr>
        <a:xfrm>
          <a:off x="5476875" y="1644015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Utility Interruption</a:t>
          </a:r>
        </a:p>
      </xdr:txBody>
    </xdr:sp>
    <xdr:clientData/>
  </xdr:twoCellAnchor>
  <xdr:twoCellAnchor>
    <xdr:from>
      <xdr:col>9</xdr:col>
      <xdr:colOff>0</xdr:colOff>
      <xdr:row>67</xdr:row>
      <xdr:rowOff>0</xdr:rowOff>
    </xdr:from>
    <xdr:to>
      <xdr:col>10</xdr:col>
      <xdr:colOff>9525</xdr:colOff>
      <xdr:row>68</xdr:row>
      <xdr:rowOff>9525</xdr:rowOff>
    </xdr:to>
    <xdr:sp macro="" textlink="">
      <xdr:nvSpPr>
        <xdr:cNvPr id="29" name="Rounded Rectangle 28">
          <a:hlinkClick xmlns:r="http://schemas.openxmlformats.org/officeDocument/2006/relationships" r:id="rId22"/>
          <a:extLst>
            <a:ext uri="{FF2B5EF4-FFF2-40B4-BE49-F238E27FC236}">
              <a16:creationId xmlns:a16="http://schemas.microsoft.com/office/drawing/2014/main" id="{00000000-0008-0000-0000-00001D000000}"/>
            </a:ext>
          </a:extLst>
        </xdr:cNvPr>
        <xdr:cNvSpPr/>
      </xdr:nvSpPr>
      <xdr:spPr>
        <a:xfrm>
          <a:off x="5476875" y="17021175"/>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Winter</a:t>
          </a:r>
          <a:r>
            <a:rPr lang="en-US" sz="1100" baseline="0">
              <a:solidFill>
                <a:schemeClr val="tx1"/>
              </a:solidFill>
            </a:rPr>
            <a:t> Storm</a:t>
          </a:r>
          <a:endParaRPr lang="en-US" sz="1100">
            <a:solidFill>
              <a:schemeClr val="tx1"/>
            </a:solidFill>
          </a:endParaRPr>
        </a:p>
      </xdr:txBody>
    </xdr:sp>
    <xdr:clientData/>
  </xdr:twoCellAnchor>
  <xdr:twoCellAnchor>
    <xdr:from>
      <xdr:col>9</xdr:col>
      <xdr:colOff>0</xdr:colOff>
      <xdr:row>17</xdr:row>
      <xdr:rowOff>0</xdr:rowOff>
    </xdr:from>
    <xdr:to>
      <xdr:col>10</xdr:col>
      <xdr:colOff>9525</xdr:colOff>
      <xdr:row>18</xdr:row>
      <xdr:rowOff>9525</xdr:rowOff>
    </xdr:to>
    <xdr:sp macro="" textlink="">
      <xdr:nvSpPr>
        <xdr:cNvPr id="31" name="Rounded Rectangle 30">
          <a:hlinkClick xmlns:r="http://schemas.openxmlformats.org/officeDocument/2006/relationships" r:id="rId23"/>
          <a:extLst>
            <a:ext uri="{FF2B5EF4-FFF2-40B4-BE49-F238E27FC236}">
              <a16:creationId xmlns:a16="http://schemas.microsoft.com/office/drawing/2014/main" id="{00000000-0008-0000-0000-00001F000000}"/>
            </a:ext>
          </a:extLst>
        </xdr:cNvPr>
        <xdr:cNvSpPr/>
      </xdr:nvSpPr>
      <xdr:spPr>
        <a:xfrm>
          <a:off x="5476875" y="3600450"/>
          <a:ext cx="1828800" cy="400050"/>
        </a:xfrm>
        <a:prstGeom prst="roundRect">
          <a:avLst/>
        </a:prstGeom>
        <a:gradFill>
          <a:gsLst>
            <a:gs pos="0">
              <a:schemeClr val="accent4">
                <a:lumMod val="50000"/>
              </a:schemeClr>
            </a:gs>
            <a:gs pos="50000">
              <a:schemeClr val="accent4">
                <a:lumMod val="60000"/>
                <a:lumOff val="40000"/>
              </a:schemeClr>
            </a:gs>
            <a:gs pos="70000">
              <a:schemeClr val="accent4">
                <a:lumMod val="40000"/>
                <a:lumOff val="60000"/>
              </a:schemeClr>
            </a:gs>
            <a:gs pos="100000">
              <a:schemeClr val="accent4">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Baseline Health, Services, and Infrastructure</a:t>
          </a:r>
        </a:p>
      </xdr:txBody>
    </xdr:sp>
    <xdr:clientData/>
  </xdr:twoCellAnchor>
  <xdr:twoCellAnchor>
    <xdr:from>
      <xdr:col>9</xdr:col>
      <xdr:colOff>0</xdr:colOff>
      <xdr:row>19</xdr:row>
      <xdr:rowOff>0</xdr:rowOff>
    </xdr:from>
    <xdr:to>
      <xdr:col>10</xdr:col>
      <xdr:colOff>9525</xdr:colOff>
      <xdr:row>20</xdr:row>
      <xdr:rowOff>9525</xdr:rowOff>
    </xdr:to>
    <xdr:sp macro="" textlink="">
      <xdr:nvSpPr>
        <xdr:cNvPr id="32" name="Rounded Rectangle 31">
          <a:hlinkClick xmlns:r="http://schemas.openxmlformats.org/officeDocument/2006/relationships" r:id="rId24"/>
          <a:extLst>
            <a:ext uri="{FF2B5EF4-FFF2-40B4-BE49-F238E27FC236}">
              <a16:creationId xmlns:a16="http://schemas.microsoft.com/office/drawing/2014/main" id="{00000000-0008-0000-0000-000020000000}"/>
            </a:ext>
          </a:extLst>
        </xdr:cNvPr>
        <xdr:cNvSpPr/>
      </xdr:nvSpPr>
      <xdr:spPr>
        <a:xfrm>
          <a:off x="5476875" y="4181475"/>
          <a:ext cx="1828800" cy="400050"/>
        </a:xfrm>
        <a:prstGeom prst="roundRect">
          <a:avLst/>
        </a:prstGeom>
        <a:gradFill>
          <a:gsLst>
            <a:gs pos="0">
              <a:schemeClr val="tx2">
                <a:lumMod val="50000"/>
              </a:schemeClr>
            </a:gs>
            <a:gs pos="50000">
              <a:schemeClr val="tx2">
                <a:lumMod val="60000"/>
                <a:lumOff val="40000"/>
              </a:schemeClr>
            </a:gs>
            <a:gs pos="70000">
              <a:schemeClr val="tx2">
                <a:lumMod val="40000"/>
                <a:lumOff val="60000"/>
              </a:schemeClr>
            </a:gs>
            <a:gs pos="100000">
              <a:schemeClr val="tx2">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Baseline At-Risk Populations</a:t>
          </a:r>
        </a:p>
      </xdr:txBody>
    </xdr:sp>
    <xdr:clientData/>
  </xdr:twoCellAnchor>
  <xdr:twoCellAnchor>
    <xdr:from>
      <xdr:col>9</xdr:col>
      <xdr:colOff>0</xdr:colOff>
      <xdr:row>23</xdr:row>
      <xdr:rowOff>0</xdr:rowOff>
    </xdr:from>
    <xdr:to>
      <xdr:col>10</xdr:col>
      <xdr:colOff>9525</xdr:colOff>
      <xdr:row>24</xdr:row>
      <xdr:rowOff>9525</xdr:rowOff>
    </xdr:to>
    <xdr:sp macro="" textlink="">
      <xdr:nvSpPr>
        <xdr:cNvPr id="33" name="Rounded Rectangle 32">
          <a:hlinkClick xmlns:r="http://schemas.openxmlformats.org/officeDocument/2006/relationships" r:id="rId25"/>
          <a:extLst>
            <a:ext uri="{FF2B5EF4-FFF2-40B4-BE49-F238E27FC236}">
              <a16:creationId xmlns:a16="http://schemas.microsoft.com/office/drawing/2014/main" id="{00000000-0008-0000-0000-000021000000}"/>
            </a:ext>
          </a:extLst>
        </xdr:cNvPr>
        <xdr:cNvSpPr/>
      </xdr:nvSpPr>
      <xdr:spPr>
        <a:xfrm>
          <a:off x="5476875" y="4762500"/>
          <a:ext cx="1828800" cy="400050"/>
        </a:xfrm>
        <a:prstGeom prst="roundRect">
          <a:avLst/>
        </a:prstGeom>
        <a:gradFill>
          <a:gsLst>
            <a:gs pos="0">
              <a:schemeClr val="accent6">
                <a:lumMod val="50000"/>
              </a:schemeClr>
            </a:gs>
            <a:gs pos="50000">
              <a:schemeClr val="accent6">
                <a:lumMod val="60000"/>
                <a:lumOff val="40000"/>
              </a:schemeClr>
            </a:gs>
            <a:gs pos="70000">
              <a:schemeClr val="accent6">
                <a:lumMod val="40000"/>
                <a:lumOff val="60000"/>
              </a:schemeClr>
            </a:gs>
            <a:gs pos="100000">
              <a:schemeClr val="accent6">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Baseline Healthcare Preparedness</a:t>
          </a:r>
          <a:r>
            <a:rPr lang="en-US" sz="1100" baseline="0">
              <a:solidFill>
                <a:schemeClr val="tx1"/>
              </a:solidFill>
            </a:rPr>
            <a:t> </a:t>
          </a:r>
          <a:r>
            <a:rPr lang="en-US" sz="1100">
              <a:solidFill>
                <a:schemeClr val="tx1"/>
              </a:solidFill>
            </a:rPr>
            <a:t> Capabilities</a:t>
          </a:r>
        </a:p>
      </xdr:txBody>
    </xdr:sp>
    <xdr:clientData/>
  </xdr:twoCellAnchor>
  <xdr:twoCellAnchor>
    <xdr:from>
      <xdr:col>9</xdr:col>
      <xdr:colOff>0</xdr:colOff>
      <xdr:row>25</xdr:row>
      <xdr:rowOff>0</xdr:rowOff>
    </xdr:from>
    <xdr:to>
      <xdr:col>10</xdr:col>
      <xdr:colOff>9525</xdr:colOff>
      <xdr:row>26</xdr:row>
      <xdr:rowOff>9525</xdr:rowOff>
    </xdr:to>
    <xdr:sp macro="" textlink="">
      <xdr:nvSpPr>
        <xdr:cNvPr id="34" name="Rounded Rectangle 33">
          <a:hlinkClick xmlns:r="http://schemas.openxmlformats.org/officeDocument/2006/relationships" r:id="rId26"/>
          <a:extLst>
            <a:ext uri="{FF2B5EF4-FFF2-40B4-BE49-F238E27FC236}">
              <a16:creationId xmlns:a16="http://schemas.microsoft.com/office/drawing/2014/main" id="{00000000-0008-0000-0000-000022000000}"/>
            </a:ext>
          </a:extLst>
        </xdr:cNvPr>
        <xdr:cNvSpPr/>
      </xdr:nvSpPr>
      <xdr:spPr>
        <a:xfrm>
          <a:off x="5476875" y="5343525"/>
          <a:ext cx="1828800" cy="400050"/>
        </a:xfrm>
        <a:prstGeom prst="roundRect">
          <a:avLst/>
        </a:prstGeom>
        <a:gradFill>
          <a:gsLst>
            <a:gs pos="0">
              <a:srgbClr val="B27AAB"/>
            </a:gs>
            <a:gs pos="50000">
              <a:srgbClr val="FF66FF"/>
            </a:gs>
            <a:gs pos="70000">
              <a:srgbClr val="FF99FF"/>
            </a:gs>
            <a:gs pos="100000">
              <a:srgbClr val="FFCCFF"/>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Community Characteristics</a:t>
          </a:r>
        </a:p>
      </xdr:txBody>
    </xdr:sp>
    <xdr:clientData/>
  </xdr:twoCellAnchor>
  <xdr:twoCellAnchor>
    <xdr:from>
      <xdr:col>9</xdr:col>
      <xdr:colOff>0</xdr:colOff>
      <xdr:row>71</xdr:row>
      <xdr:rowOff>0</xdr:rowOff>
    </xdr:from>
    <xdr:to>
      <xdr:col>10</xdr:col>
      <xdr:colOff>9525</xdr:colOff>
      <xdr:row>72</xdr:row>
      <xdr:rowOff>9525</xdr:rowOff>
    </xdr:to>
    <xdr:sp macro="" textlink="">
      <xdr:nvSpPr>
        <xdr:cNvPr id="35" name="Rounded Rectangle 34">
          <a:hlinkClick xmlns:r="http://schemas.openxmlformats.org/officeDocument/2006/relationships" r:id="rId27"/>
          <a:extLst>
            <a:ext uri="{FF2B5EF4-FFF2-40B4-BE49-F238E27FC236}">
              <a16:creationId xmlns:a16="http://schemas.microsoft.com/office/drawing/2014/main" id="{00000000-0008-0000-0000-000023000000}"/>
            </a:ext>
          </a:extLst>
        </xdr:cNvPr>
        <xdr:cNvSpPr/>
      </xdr:nvSpPr>
      <xdr:spPr>
        <a:xfrm>
          <a:off x="5476875" y="18535650"/>
          <a:ext cx="1828800" cy="400050"/>
        </a:xfrm>
        <a:prstGeom prst="roundRect">
          <a:avLst/>
        </a:prstGeom>
        <a:gradFill>
          <a:gsLst>
            <a:gs pos="0">
              <a:schemeClr val="bg1">
                <a:lumMod val="50000"/>
              </a:schemeClr>
            </a:gs>
            <a:gs pos="50000">
              <a:schemeClr val="bg1">
                <a:lumMod val="75000"/>
              </a:schemeClr>
            </a:gs>
            <a:gs pos="70000">
              <a:schemeClr val="bg1">
                <a:lumMod val="85000"/>
              </a:schemeClr>
            </a:gs>
            <a:gs pos="100000">
              <a:schemeClr val="bg1">
                <a:lumMod val="95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Summary of Impacts</a:t>
          </a:r>
        </a:p>
      </xdr:txBody>
    </xdr:sp>
    <xdr:clientData/>
  </xdr:twoCellAnchor>
  <xdr:twoCellAnchor>
    <xdr:from>
      <xdr:col>9</xdr:col>
      <xdr:colOff>0</xdr:colOff>
      <xdr:row>75</xdr:row>
      <xdr:rowOff>0</xdr:rowOff>
    </xdr:from>
    <xdr:to>
      <xdr:col>10</xdr:col>
      <xdr:colOff>9525</xdr:colOff>
      <xdr:row>76</xdr:row>
      <xdr:rowOff>9525</xdr:rowOff>
    </xdr:to>
    <xdr:sp macro="" textlink="">
      <xdr:nvSpPr>
        <xdr:cNvPr id="36" name="Rounded Rectangle 35">
          <a:hlinkClick xmlns:r="http://schemas.openxmlformats.org/officeDocument/2006/relationships" r:id="rId28"/>
          <a:extLst>
            <a:ext uri="{FF2B5EF4-FFF2-40B4-BE49-F238E27FC236}">
              <a16:creationId xmlns:a16="http://schemas.microsoft.com/office/drawing/2014/main" id="{00000000-0008-0000-0000-000024000000}"/>
            </a:ext>
          </a:extLst>
        </xdr:cNvPr>
        <xdr:cNvSpPr/>
      </xdr:nvSpPr>
      <xdr:spPr>
        <a:xfrm>
          <a:off x="5476875" y="19116675"/>
          <a:ext cx="1828800" cy="400050"/>
        </a:xfrm>
        <a:prstGeom prst="roundRect">
          <a:avLst/>
        </a:prstGeom>
        <a:gradFill>
          <a:gsLst>
            <a:gs pos="0">
              <a:schemeClr val="bg1">
                <a:lumMod val="50000"/>
              </a:schemeClr>
            </a:gs>
            <a:gs pos="50000">
              <a:schemeClr val="bg1">
                <a:lumMod val="75000"/>
              </a:schemeClr>
            </a:gs>
            <a:gs pos="70000">
              <a:schemeClr val="bg1">
                <a:lumMod val="85000"/>
              </a:schemeClr>
            </a:gs>
            <a:gs pos="100000">
              <a:schemeClr val="bg1">
                <a:lumMod val="95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Planning Priority Scores</a:t>
          </a:r>
        </a:p>
      </xdr:txBody>
    </xdr:sp>
    <xdr:clientData/>
  </xdr:twoCellAnchor>
  <xdr:twoCellAnchor>
    <xdr:from>
      <xdr:col>9</xdr:col>
      <xdr:colOff>0</xdr:colOff>
      <xdr:row>77</xdr:row>
      <xdr:rowOff>0</xdr:rowOff>
    </xdr:from>
    <xdr:to>
      <xdr:col>10</xdr:col>
      <xdr:colOff>9525</xdr:colOff>
      <xdr:row>78</xdr:row>
      <xdr:rowOff>9525</xdr:rowOff>
    </xdr:to>
    <xdr:sp macro="" textlink="">
      <xdr:nvSpPr>
        <xdr:cNvPr id="37" name="Rounded Rectangle 36">
          <a:hlinkClick xmlns:r="http://schemas.openxmlformats.org/officeDocument/2006/relationships" r:id="rId29"/>
          <a:extLst>
            <a:ext uri="{FF2B5EF4-FFF2-40B4-BE49-F238E27FC236}">
              <a16:creationId xmlns:a16="http://schemas.microsoft.com/office/drawing/2014/main" id="{00000000-0008-0000-0000-000025000000}"/>
            </a:ext>
          </a:extLst>
        </xdr:cNvPr>
        <xdr:cNvSpPr/>
      </xdr:nvSpPr>
      <xdr:spPr>
        <a:xfrm>
          <a:off x="5476875" y="196977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Summary of Scores</a:t>
          </a:r>
        </a:p>
      </xdr:txBody>
    </xdr:sp>
    <xdr:clientData/>
  </xdr:twoCellAnchor>
  <xdr:twoCellAnchor>
    <xdr:from>
      <xdr:col>9</xdr:col>
      <xdr:colOff>0</xdr:colOff>
      <xdr:row>81</xdr:row>
      <xdr:rowOff>0</xdr:rowOff>
    </xdr:from>
    <xdr:to>
      <xdr:col>10</xdr:col>
      <xdr:colOff>9525</xdr:colOff>
      <xdr:row>82</xdr:row>
      <xdr:rowOff>9525</xdr:rowOff>
    </xdr:to>
    <xdr:sp macro="" textlink="">
      <xdr:nvSpPr>
        <xdr:cNvPr id="38" name="Rounded Rectangle 37">
          <a:hlinkClick xmlns:r="http://schemas.openxmlformats.org/officeDocument/2006/relationships" r:id="rId30"/>
          <a:extLst>
            <a:ext uri="{FF2B5EF4-FFF2-40B4-BE49-F238E27FC236}">
              <a16:creationId xmlns:a16="http://schemas.microsoft.com/office/drawing/2014/main" id="{00000000-0008-0000-0000-000026000000}"/>
            </a:ext>
          </a:extLst>
        </xdr:cNvPr>
        <xdr:cNvSpPr/>
      </xdr:nvSpPr>
      <xdr:spPr>
        <a:xfrm>
          <a:off x="5476875" y="20278725"/>
          <a:ext cx="1828800" cy="400050"/>
        </a:xfrm>
        <a:prstGeom prst="roundRect">
          <a:avLst/>
        </a:prstGeom>
        <a:gradFill>
          <a:gsLst>
            <a:gs pos="0">
              <a:schemeClr val="accent2">
                <a:lumMod val="50000"/>
              </a:schemeClr>
            </a:gs>
            <a:gs pos="50000">
              <a:schemeClr val="accent2">
                <a:lumMod val="60000"/>
                <a:lumOff val="40000"/>
              </a:schemeClr>
            </a:gs>
            <a:gs pos="70000">
              <a:schemeClr val="accent2">
                <a:lumMod val="40000"/>
                <a:lumOff val="60000"/>
              </a:schemeClr>
            </a:gs>
            <a:gs pos="100000">
              <a:schemeClr val="accent2">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aseline="0">
              <a:solidFill>
                <a:schemeClr val="tx1"/>
              </a:solidFill>
            </a:rPr>
            <a:t>Probability vs. Severity</a:t>
          </a:r>
          <a:endParaRPr lang="en-US" sz="1100">
            <a:solidFill>
              <a:schemeClr val="tx1"/>
            </a:solidFill>
          </a:endParaRPr>
        </a:p>
      </xdr:txBody>
    </xdr:sp>
    <xdr:clientData/>
  </xdr:twoCellAnchor>
  <xdr:twoCellAnchor>
    <xdr:from>
      <xdr:col>9</xdr:col>
      <xdr:colOff>0</xdr:colOff>
      <xdr:row>83</xdr:row>
      <xdr:rowOff>0</xdr:rowOff>
    </xdr:from>
    <xdr:to>
      <xdr:col>10</xdr:col>
      <xdr:colOff>9525</xdr:colOff>
      <xdr:row>84</xdr:row>
      <xdr:rowOff>9525</xdr:rowOff>
    </xdr:to>
    <xdr:sp macro="" textlink="">
      <xdr:nvSpPr>
        <xdr:cNvPr id="39" name="Rounded Rectangle 38">
          <a:hlinkClick xmlns:r="http://schemas.openxmlformats.org/officeDocument/2006/relationships" r:id="rId31"/>
          <a:extLst>
            <a:ext uri="{FF2B5EF4-FFF2-40B4-BE49-F238E27FC236}">
              <a16:creationId xmlns:a16="http://schemas.microsoft.com/office/drawing/2014/main" id="{00000000-0008-0000-0000-000027000000}"/>
            </a:ext>
          </a:extLst>
        </xdr:cNvPr>
        <xdr:cNvSpPr/>
      </xdr:nvSpPr>
      <xdr:spPr>
        <a:xfrm>
          <a:off x="5476875" y="20859750"/>
          <a:ext cx="1828800" cy="400050"/>
        </a:xfrm>
        <a:prstGeom prst="roundRect">
          <a:avLst/>
        </a:prstGeom>
        <a:gradFill>
          <a:gsLst>
            <a:gs pos="0">
              <a:schemeClr val="accent6">
                <a:lumMod val="50000"/>
              </a:schemeClr>
            </a:gs>
            <a:gs pos="50000">
              <a:schemeClr val="accent6">
                <a:lumMod val="60000"/>
                <a:lumOff val="40000"/>
              </a:schemeClr>
            </a:gs>
            <a:gs pos="70000">
              <a:schemeClr val="accent6">
                <a:lumMod val="40000"/>
                <a:lumOff val="60000"/>
              </a:schemeClr>
            </a:gs>
            <a:gs pos="100000">
              <a:schemeClr val="accent6">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lIns="91440" tIns="0" rIns="91440" bIns="0" rtlCol="0" anchor="ctr"/>
        <a:lstStyle/>
        <a:p>
          <a:pPr algn="ctr"/>
          <a:r>
            <a:rPr lang="en-US" sz="1100">
              <a:solidFill>
                <a:schemeClr val="tx1"/>
              </a:solidFill>
            </a:rPr>
            <a:t>Adjusted Risk vs. Preparedness</a:t>
          </a:r>
        </a:p>
      </xdr:txBody>
    </xdr:sp>
    <xdr:clientData/>
  </xdr:twoCellAnchor>
  <xdr:twoCellAnchor>
    <xdr:from>
      <xdr:col>9</xdr:col>
      <xdr:colOff>0</xdr:colOff>
      <xdr:row>85</xdr:row>
      <xdr:rowOff>0</xdr:rowOff>
    </xdr:from>
    <xdr:to>
      <xdr:col>10</xdr:col>
      <xdr:colOff>9525</xdr:colOff>
      <xdr:row>86</xdr:row>
      <xdr:rowOff>9525</xdr:rowOff>
    </xdr:to>
    <xdr:sp macro="" textlink="">
      <xdr:nvSpPr>
        <xdr:cNvPr id="40" name="Rounded Rectangle 39">
          <a:hlinkClick xmlns:r="http://schemas.openxmlformats.org/officeDocument/2006/relationships" r:id="rId32"/>
          <a:extLst>
            <a:ext uri="{FF2B5EF4-FFF2-40B4-BE49-F238E27FC236}">
              <a16:creationId xmlns:a16="http://schemas.microsoft.com/office/drawing/2014/main" id="{00000000-0008-0000-0000-000028000000}"/>
            </a:ext>
          </a:extLst>
        </xdr:cNvPr>
        <xdr:cNvSpPr/>
      </xdr:nvSpPr>
      <xdr:spPr>
        <a:xfrm>
          <a:off x="5476875" y="21440775"/>
          <a:ext cx="1828800" cy="400050"/>
        </a:xfrm>
        <a:prstGeom prst="roundRect">
          <a:avLst/>
        </a:prstGeom>
        <a:gradFill>
          <a:gsLst>
            <a:gs pos="0">
              <a:schemeClr val="tx2">
                <a:lumMod val="50000"/>
              </a:schemeClr>
            </a:gs>
            <a:gs pos="50000">
              <a:schemeClr val="tx2">
                <a:lumMod val="60000"/>
                <a:lumOff val="40000"/>
              </a:schemeClr>
            </a:gs>
            <a:gs pos="70000">
              <a:schemeClr val="tx2">
                <a:lumMod val="40000"/>
                <a:lumOff val="60000"/>
              </a:schemeClr>
            </a:gs>
            <a:gs pos="100000">
              <a:schemeClr val="tx2">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At-Risk Populations</a:t>
          </a:r>
        </a:p>
      </xdr:txBody>
    </xdr:sp>
    <xdr:clientData/>
  </xdr:twoCellAnchor>
  <xdr:twoCellAnchor>
    <xdr:from>
      <xdr:col>9</xdr:col>
      <xdr:colOff>0</xdr:colOff>
      <xdr:row>87</xdr:row>
      <xdr:rowOff>0</xdr:rowOff>
    </xdr:from>
    <xdr:to>
      <xdr:col>10</xdr:col>
      <xdr:colOff>9525</xdr:colOff>
      <xdr:row>88</xdr:row>
      <xdr:rowOff>9525</xdr:rowOff>
    </xdr:to>
    <xdr:sp macro="" textlink="">
      <xdr:nvSpPr>
        <xdr:cNvPr id="41" name="Rounded Rectangle 40">
          <a:hlinkClick xmlns:r="http://schemas.openxmlformats.org/officeDocument/2006/relationships" r:id="rId33"/>
          <a:extLst>
            <a:ext uri="{FF2B5EF4-FFF2-40B4-BE49-F238E27FC236}">
              <a16:creationId xmlns:a16="http://schemas.microsoft.com/office/drawing/2014/main" id="{00000000-0008-0000-0000-000029000000}"/>
            </a:ext>
          </a:extLst>
        </xdr:cNvPr>
        <xdr:cNvSpPr/>
      </xdr:nvSpPr>
      <xdr:spPr>
        <a:xfrm>
          <a:off x="5476875" y="22021800"/>
          <a:ext cx="1828800" cy="400050"/>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Individual Hazard Analyses</a:t>
          </a:r>
        </a:p>
      </xdr:txBody>
    </xdr:sp>
    <xdr:clientData/>
  </xdr:twoCellAnchor>
  <xdr:twoCellAnchor>
    <xdr:from>
      <xdr:col>9</xdr:col>
      <xdr:colOff>0</xdr:colOff>
      <xdr:row>21</xdr:row>
      <xdr:rowOff>0</xdr:rowOff>
    </xdr:from>
    <xdr:to>
      <xdr:col>10</xdr:col>
      <xdr:colOff>9525</xdr:colOff>
      <xdr:row>22</xdr:row>
      <xdr:rowOff>9525</xdr:rowOff>
    </xdr:to>
    <xdr:sp macro="" textlink="">
      <xdr:nvSpPr>
        <xdr:cNvPr id="42" name="Rounded Rectangle 41">
          <a:hlinkClick xmlns:r="http://schemas.openxmlformats.org/officeDocument/2006/relationships" r:id="rId34"/>
          <a:extLst>
            <a:ext uri="{FF2B5EF4-FFF2-40B4-BE49-F238E27FC236}">
              <a16:creationId xmlns:a16="http://schemas.microsoft.com/office/drawing/2014/main" id="{00000000-0008-0000-0000-00002A000000}"/>
            </a:ext>
          </a:extLst>
        </xdr:cNvPr>
        <xdr:cNvSpPr/>
      </xdr:nvSpPr>
      <xdr:spPr>
        <a:xfrm>
          <a:off x="5446059" y="5390029"/>
          <a:ext cx="1824878" cy="513790"/>
        </a:xfrm>
        <a:prstGeom prst="roundRect">
          <a:avLst/>
        </a:prstGeom>
        <a:gradFill>
          <a:gsLst>
            <a:gs pos="0">
              <a:schemeClr val="accent6">
                <a:lumMod val="50000"/>
              </a:schemeClr>
            </a:gs>
            <a:gs pos="50000">
              <a:schemeClr val="accent6">
                <a:lumMod val="60000"/>
                <a:lumOff val="40000"/>
              </a:schemeClr>
            </a:gs>
            <a:gs pos="70000">
              <a:schemeClr val="accent6">
                <a:lumMod val="40000"/>
                <a:lumOff val="60000"/>
              </a:schemeClr>
            </a:gs>
            <a:gs pos="100000">
              <a:schemeClr val="accent6">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Baseline Public Health Preparedness  Capabilities</a:t>
          </a:r>
        </a:p>
      </xdr:txBody>
    </xdr:sp>
    <xdr:clientData/>
  </xdr:twoCellAnchor>
  <xdr:twoCellAnchor>
    <xdr:from>
      <xdr:col>9</xdr:col>
      <xdr:colOff>0</xdr:colOff>
      <xdr:row>79</xdr:row>
      <xdr:rowOff>0</xdr:rowOff>
    </xdr:from>
    <xdr:to>
      <xdr:col>10</xdr:col>
      <xdr:colOff>9525</xdr:colOff>
      <xdr:row>80</xdr:row>
      <xdr:rowOff>9525</xdr:rowOff>
    </xdr:to>
    <xdr:sp macro="" textlink="">
      <xdr:nvSpPr>
        <xdr:cNvPr id="43" name="Rounded Rectangle 42">
          <a:hlinkClick xmlns:r="http://schemas.openxmlformats.org/officeDocument/2006/relationships" r:id="rId35"/>
          <a:extLst>
            <a:ext uri="{FF2B5EF4-FFF2-40B4-BE49-F238E27FC236}">
              <a16:creationId xmlns:a16="http://schemas.microsoft.com/office/drawing/2014/main" id="{00000000-0008-0000-0000-00002B000000}"/>
            </a:ext>
          </a:extLst>
        </xdr:cNvPr>
        <xdr:cNvSpPr/>
      </xdr:nvSpPr>
      <xdr:spPr>
        <a:xfrm>
          <a:off x="5446059" y="21492882"/>
          <a:ext cx="1824878" cy="401731"/>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Public Health vs. Healthcare</a:t>
          </a:r>
        </a:p>
      </xdr:txBody>
    </xdr:sp>
    <xdr:clientData/>
  </xdr:twoCellAnchor>
  <xdr:twoCellAnchor>
    <xdr:from>
      <xdr:col>9</xdr:col>
      <xdr:colOff>0</xdr:colOff>
      <xdr:row>73</xdr:row>
      <xdr:rowOff>0</xdr:rowOff>
    </xdr:from>
    <xdr:to>
      <xdr:col>10</xdr:col>
      <xdr:colOff>9525</xdr:colOff>
      <xdr:row>74</xdr:row>
      <xdr:rowOff>9525</xdr:rowOff>
    </xdr:to>
    <xdr:sp macro="" textlink="">
      <xdr:nvSpPr>
        <xdr:cNvPr id="44" name="Rounded Rectangle 43">
          <a:hlinkClick xmlns:r="http://schemas.openxmlformats.org/officeDocument/2006/relationships" r:id="rId36"/>
          <a:extLst>
            <a:ext uri="{FF2B5EF4-FFF2-40B4-BE49-F238E27FC236}">
              <a16:creationId xmlns:a16="http://schemas.microsoft.com/office/drawing/2014/main" id="{00000000-0008-0000-0000-00002C000000}"/>
            </a:ext>
          </a:extLst>
        </xdr:cNvPr>
        <xdr:cNvSpPr/>
      </xdr:nvSpPr>
      <xdr:spPr>
        <a:xfrm>
          <a:off x="5446059" y="19744765"/>
          <a:ext cx="1824878" cy="401731"/>
        </a:xfrm>
        <a:prstGeom prst="roundRect">
          <a:avLst/>
        </a:prstGeom>
        <a:gradFill>
          <a:gsLst>
            <a:gs pos="0">
              <a:schemeClr val="accent4">
                <a:lumMod val="50000"/>
              </a:schemeClr>
            </a:gs>
            <a:gs pos="50000">
              <a:schemeClr val="accent4">
                <a:lumMod val="60000"/>
                <a:lumOff val="40000"/>
              </a:schemeClr>
            </a:gs>
            <a:gs pos="70000">
              <a:schemeClr val="accent4">
                <a:lumMod val="40000"/>
                <a:lumOff val="60000"/>
              </a:schemeClr>
            </a:gs>
            <a:gs pos="100000">
              <a:schemeClr val="accent4">
                <a:lumMod val="20000"/>
                <a:lumOff val="80000"/>
              </a:schemeClr>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Severity</a:t>
          </a:r>
        </a:p>
      </xdr:txBody>
    </xdr:sp>
    <xdr:clientData/>
  </xdr:twoCellAnchor>
  <xdr:twoCellAnchor editAs="oneCell">
    <xdr:from>
      <xdr:col>2</xdr:col>
      <xdr:colOff>0</xdr:colOff>
      <xdr:row>1</xdr:row>
      <xdr:rowOff>0</xdr:rowOff>
    </xdr:from>
    <xdr:to>
      <xdr:col>7</xdr:col>
      <xdr:colOff>110233</xdr:colOff>
      <xdr:row>4</xdr:row>
      <xdr:rowOff>188801</xdr:rowOff>
    </xdr:to>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1210235" y="190500"/>
          <a:ext cx="3135822" cy="760301"/>
        </a:xfrm>
        <a:prstGeom prst="rect">
          <a:avLst/>
        </a:prstGeom>
      </xdr:spPr>
    </xdr:pic>
    <xdr:clientData/>
  </xdr:twoCellAnchor>
  <xdr:twoCellAnchor editAs="oneCell">
    <xdr:from>
      <xdr:col>8</xdr:col>
      <xdr:colOff>0</xdr:colOff>
      <xdr:row>1</xdr:row>
      <xdr:rowOff>0</xdr:rowOff>
    </xdr:from>
    <xdr:to>
      <xdr:col>11</xdr:col>
      <xdr:colOff>124539</xdr:colOff>
      <xdr:row>6</xdr:row>
      <xdr:rowOff>130595</xdr:rowOff>
    </xdr:to>
    <xdr:pic>
      <xdr:nvPicPr>
        <xdr:cNvPr id="49" name="Pictur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4840941" y="190500"/>
          <a:ext cx="3150127" cy="10830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15</xdr:col>
      <xdr:colOff>600075</xdr:colOff>
      <xdr:row>2</xdr:row>
      <xdr:rowOff>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8471647"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9</xdr:row>
      <xdr:rowOff>72838</xdr:rowOff>
    </xdr:from>
    <xdr:to>
      <xdr:col>3</xdr:col>
      <xdr:colOff>0</xdr:colOff>
      <xdr:row>9</xdr:row>
      <xdr:rowOff>72838</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2386853" y="1103779"/>
          <a:ext cx="336176" cy="0"/>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57150</xdr:colOff>
      <xdr:row>11</xdr:row>
      <xdr:rowOff>0</xdr:rowOff>
    </xdr:from>
    <xdr:to>
      <xdr:col>2</xdr:col>
      <xdr:colOff>228600</xdr:colOff>
      <xdr:row>22</xdr:row>
      <xdr:rowOff>0</xdr:rowOff>
    </xdr:to>
    <xdr:sp macro="" textlink="">
      <xdr:nvSpPr>
        <xdr:cNvPr id="10" name="Right Brace 9">
          <a:extLst>
            <a:ext uri="{FF2B5EF4-FFF2-40B4-BE49-F238E27FC236}">
              <a16:creationId xmlns:a16="http://schemas.microsoft.com/office/drawing/2014/main" id="{00000000-0008-0000-0200-00000A000000}"/>
            </a:ext>
          </a:extLst>
        </xdr:cNvPr>
        <xdr:cNvSpPr/>
      </xdr:nvSpPr>
      <xdr:spPr>
        <a:xfrm>
          <a:off x="2247900" y="2762250"/>
          <a:ext cx="171450" cy="1343025"/>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23</xdr:row>
      <xdr:rowOff>9525</xdr:rowOff>
    </xdr:from>
    <xdr:to>
      <xdr:col>2</xdr:col>
      <xdr:colOff>228600</xdr:colOff>
      <xdr:row>34</xdr:row>
      <xdr:rowOff>9525</xdr:rowOff>
    </xdr:to>
    <xdr:sp macro="" textlink="">
      <xdr:nvSpPr>
        <xdr:cNvPr id="11" name="Right Brace 10">
          <a:extLst>
            <a:ext uri="{FF2B5EF4-FFF2-40B4-BE49-F238E27FC236}">
              <a16:creationId xmlns:a16="http://schemas.microsoft.com/office/drawing/2014/main" id="{00000000-0008-0000-0200-00000B000000}"/>
            </a:ext>
          </a:extLst>
        </xdr:cNvPr>
        <xdr:cNvSpPr/>
      </xdr:nvSpPr>
      <xdr:spPr>
        <a:xfrm>
          <a:off x="2247900" y="4314825"/>
          <a:ext cx="171450" cy="1343025"/>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35</xdr:row>
      <xdr:rowOff>9525</xdr:rowOff>
    </xdr:from>
    <xdr:to>
      <xdr:col>2</xdr:col>
      <xdr:colOff>228600</xdr:colOff>
      <xdr:row>50</xdr:row>
      <xdr:rowOff>0</xdr:rowOff>
    </xdr:to>
    <xdr:sp macro="" textlink="">
      <xdr:nvSpPr>
        <xdr:cNvPr id="12" name="Right Brace 11">
          <a:extLst>
            <a:ext uri="{FF2B5EF4-FFF2-40B4-BE49-F238E27FC236}">
              <a16:creationId xmlns:a16="http://schemas.microsoft.com/office/drawing/2014/main" id="{00000000-0008-0000-0200-00000C000000}"/>
            </a:ext>
          </a:extLst>
        </xdr:cNvPr>
        <xdr:cNvSpPr/>
      </xdr:nvSpPr>
      <xdr:spPr>
        <a:xfrm>
          <a:off x="2247900" y="5857875"/>
          <a:ext cx="171450" cy="2362200"/>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51</xdr:row>
      <xdr:rowOff>0</xdr:rowOff>
    </xdr:from>
    <xdr:to>
      <xdr:col>2</xdr:col>
      <xdr:colOff>238125</xdr:colOff>
      <xdr:row>64</xdr:row>
      <xdr:rowOff>0</xdr:rowOff>
    </xdr:to>
    <xdr:sp macro="" textlink="">
      <xdr:nvSpPr>
        <xdr:cNvPr id="13" name="Right Brace 12">
          <a:extLst>
            <a:ext uri="{FF2B5EF4-FFF2-40B4-BE49-F238E27FC236}">
              <a16:creationId xmlns:a16="http://schemas.microsoft.com/office/drawing/2014/main" id="{00000000-0008-0000-0200-00000D000000}"/>
            </a:ext>
          </a:extLst>
        </xdr:cNvPr>
        <xdr:cNvSpPr/>
      </xdr:nvSpPr>
      <xdr:spPr>
        <a:xfrm>
          <a:off x="2257425" y="8420100"/>
          <a:ext cx="171450" cy="1762125"/>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64</xdr:row>
      <xdr:rowOff>121584</xdr:rowOff>
    </xdr:from>
    <xdr:to>
      <xdr:col>2</xdr:col>
      <xdr:colOff>238125</xdr:colOff>
      <xdr:row>77</xdr:row>
      <xdr:rowOff>121584</xdr:rowOff>
    </xdr:to>
    <xdr:sp macro="" textlink="">
      <xdr:nvSpPr>
        <xdr:cNvPr id="14" name="Right Brace 13">
          <a:extLst>
            <a:ext uri="{FF2B5EF4-FFF2-40B4-BE49-F238E27FC236}">
              <a16:creationId xmlns:a16="http://schemas.microsoft.com/office/drawing/2014/main" id="{00000000-0008-0000-0200-00000E000000}"/>
            </a:ext>
          </a:extLst>
        </xdr:cNvPr>
        <xdr:cNvSpPr/>
      </xdr:nvSpPr>
      <xdr:spPr>
        <a:xfrm>
          <a:off x="2453528" y="5612466"/>
          <a:ext cx="171450" cy="997324"/>
        </a:xfrm>
        <a:prstGeom prst="rightBrace">
          <a:avLst/>
        </a:prstGeom>
        <a:noFill/>
        <a:ln w="9525">
          <a:solidFill>
            <a:schemeClr val="accent4"/>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79</xdr:row>
      <xdr:rowOff>9525</xdr:rowOff>
    </xdr:from>
    <xdr:to>
      <xdr:col>2</xdr:col>
      <xdr:colOff>238125</xdr:colOff>
      <xdr:row>95</xdr:row>
      <xdr:rowOff>190500</xdr:rowOff>
    </xdr:to>
    <xdr:sp macro="" textlink="">
      <xdr:nvSpPr>
        <xdr:cNvPr id="15" name="Right Brace 14">
          <a:extLst>
            <a:ext uri="{FF2B5EF4-FFF2-40B4-BE49-F238E27FC236}">
              <a16:creationId xmlns:a16="http://schemas.microsoft.com/office/drawing/2014/main" id="{00000000-0008-0000-0200-00000F000000}"/>
            </a:ext>
          </a:extLst>
        </xdr:cNvPr>
        <xdr:cNvSpPr/>
      </xdr:nvSpPr>
      <xdr:spPr>
        <a:xfrm>
          <a:off x="2238375" y="12353925"/>
          <a:ext cx="190500" cy="2200275"/>
        </a:xfrm>
        <a:prstGeom prst="rightBrac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97</xdr:row>
      <xdr:rowOff>9525</xdr:rowOff>
    </xdr:from>
    <xdr:to>
      <xdr:col>2</xdr:col>
      <xdr:colOff>238125</xdr:colOff>
      <xdr:row>126</xdr:row>
      <xdr:rowOff>0</xdr:rowOff>
    </xdr:to>
    <xdr:sp macro="" textlink="">
      <xdr:nvSpPr>
        <xdr:cNvPr id="16" name="Right Brace 15">
          <a:extLst>
            <a:ext uri="{FF2B5EF4-FFF2-40B4-BE49-F238E27FC236}">
              <a16:creationId xmlns:a16="http://schemas.microsoft.com/office/drawing/2014/main" id="{00000000-0008-0000-0200-000010000000}"/>
            </a:ext>
          </a:extLst>
        </xdr:cNvPr>
        <xdr:cNvSpPr/>
      </xdr:nvSpPr>
      <xdr:spPr>
        <a:xfrm>
          <a:off x="2238375" y="14773275"/>
          <a:ext cx="190500" cy="5105400"/>
        </a:xfrm>
        <a:prstGeom prst="rightBrac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1426369</xdr:colOff>
      <xdr:row>17</xdr:row>
      <xdr:rowOff>41672</xdr:rowOff>
    </xdr:from>
    <xdr:to>
      <xdr:col>5</xdr:col>
      <xdr:colOff>235744</xdr:colOff>
      <xdr:row>17</xdr:row>
      <xdr:rowOff>41672</xdr:rowOff>
    </xdr:to>
    <xdr:cxnSp macro="">
      <xdr:nvCxnSpPr>
        <xdr:cNvPr id="30" name="Straight Connector 29">
          <a:extLst>
            <a:ext uri="{FF2B5EF4-FFF2-40B4-BE49-F238E27FC236}">
              <a16:creationId xmlns:a16="http://schemas.microsoft.com/office/drawing/2014/main" id="{00000000-0008-0000-0200-00001E000000}"/>
            </a:ext>
          </a:extLst>
        </xdr:cNvPr>
        <xdr:cNvCxnSpPr/>
      </xdr:nvCxnSpPr>
      <xdr:spPr>
        <a:xfrm>
          <a:off x="4146947" y="2369344"/>
          <a:ext cx="845344"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0</xdr:colOff>
      <xdr:row>29</xdr:row>
      <xdr:rowOff>53578</xdr:rowOff>
    </xdr:from>
    <xdr:to>
      <xdr:col>4</xdr:col>
      <xdr:colOff>416719</xdr:colOff>
      <xdr:row>29</xdr:row>
      <xdr:rowOff>54769</xdr:rowOff>
    </xdr:to>
    <xdr:cxnSp macro="">
      <xdr:nvCxnSpPr>
        <xdr:cNvPr id="31" name="Straight Connector 30">
          <a:extLst>
            <a:ext uri="{FF2B5EF4-FFF2-40B4-BE49-F238E27FC236}">
              <a16:creationId xmlns:a16="http://schemas.microsoft.com/office/drawing/2014/main" id="{00000000-0008-0000-0200-00001F000000}"/>
            </a:ext>
          </a:extLst>
        </xdr:cNvPr>
        <xdr:cNvCxnSpPr/>
      </xdr:nvCxnSpPr>
      <xdr:spPr>
        <a:xfrm flipV="1">
          <a:off x="4149328" y="3345656"/>
          <a:ext cx="416719" cy="119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7144</xdr:colOff>
      <xdr:row>57</xdr:row>
      <xdr:rowOff>23812</xdr:rowOff>
    </xdr:from>
    <xdr:to>
      <xdr:col>4</xdr:col>
      <xdr:colOff>435769</xdr:colOff>
      <xdr:row>57</xdr:row>
      <xdr:rowOff>23812</xdr:rowOff>
    </xdr:to>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4156472" y="5530453"/>
          <a:ext cx="4286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1426369</xdr:colOff>
      <xdr:row>71</xdr:row>
      <xdr:rowOff>34528</xdr:rowOff>
    </xdr:from>
    <xdr:to>
      <xdr:col>5</xdr:col>
      <xdr:colOff>235744</xdr:colOff>
      <xdr:row>71</xdr:row>
      <xdr:rowOff>34528</xdr:rowOff>
    </xdr:to>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4146947" y="6648450"/>
          <a:ext cx="845344"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238125</xdr:colOff>
      <xdr:row>45</xdr:row>
      <xdr:rowOff>59533</xdr:rowOff>
    </xdr:from>
    <xdr:to>
      <xdr:col>5</xdr:col>
      <xdr:colOff>238125</xdr:colOff>
      <xdr:row>71</xdr:row>
      <xdr:rowOff>35719</xdr:rowOff>
    </xdr:to>
    <xdr:cxnSp macro="">
      <xdr:nvCxnSpPr>
        <xdr:cNvPr id="37" name="Straight Connector 36">
          <a:extLst>
            <a:ext uri="{FF2B5EF4-FFF2-40B4-BE49-F238E27FC236}">
              <a16:creationId xmlns:a16="http://schemas.microsoft.com/office/drawing/2014/main" id="{00000000-0008-0000-0200-000025000000}"/>
            </a:ext>
          </a:extLst>
        </xdr:cNvPr>
        <xdr:cNvCxnSpPr/>
      </xdr:nvCxnSpPr>
      <xdr:spPr>
        <a:xfrm flipV="1">
          <a:off x="4994672" y="4601767"/>
          <a:ext cx="0" cy="2047874"/>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226219</xdr:colOff>
      <xdr:row>17</xdr:row>
      <xdr:rowOff>41672</xdr:rowOff>
    </xdr:from>
    <xdr:to>
      <xdr:col>5</xdr:col>
      <xdr:colOff>238125</xdr:colOff>
      <xdr:row>41</xdr:row>
      <xdr:rowOff>23813</xdr:rowOff>
    </xdr:to>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flipV="1">
          <a:off x="4982766" y="2369344"/>
          <a:ext cx="11906" cy="1910953"/>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416719</xdr:colOff>
      <xdr:row>29</xdr:row>
      <xdr:rowOff>53578</xdr:rowOff>
    </xdr:from>
    <xdr:to>
      <xdr:col>4</xdr:col>
      <xdr:colOff>422673</xdr:colOff>
      <xdr:row>41</xdr:row>
      <xdr:rowOff>101204</xdr:rowOff>
    </xdr:to>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H="1" flipV="1">
          <a:off x="4566047" y="3345656"/>
          <a:ext cx="5954" cy="1012032"/>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428625</xdr:colOff>
      <xdr:row>44</xdr:row>
      <xdr:rowOff>0</xdr:rowOff>
    </xdr:from>
    <xdr:to>
      <xdr:col>4</xdr:col>
      <xdr:colOff>434578</xdr:colOff>
      <xdr:row>57</xdr:row>
      <xdr:rowOff>23812</xdr:rowOff>
    </xdr:to>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flipH="1" flipV="1">
          <a:off x="4577953" y="4524375"/>
          <a:ext cx="5953" cy="1006078"/>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1409700</xdr:colOff>
      <xdr:row>43</xdr:row>
      <xdr:rowOff>42864</xdr:rowOff>
    </xdr:from>
    <xdr:to>
      <xdr:col>5</xdr:col>
      <xdr:colOff>600636</xdr:colOff>
      <xdr:row>43</xdr:row>
      <xdr:rowOff>45665</xdr:rowOff>
    </xdr:to>
    <xdr:cxnSp macro="">
      <xdr:nvCxnSpPr>
        <xdr:cNvPr id="49" name="Straight Arrow Connector 48">
          <a:extLst>
            <a:ext uri="{FF2B5EF4-FFF2-40B4-BE49-F238E27FC236}">
              <a16:creationId xmlns:a16="http://schemas.microsoft.com/office/drawing/2014/main" id="{00000000-0008-0000-0200-000031000000}"/>
            </a:ext>
          </a:extLst>
        </xdr:cNvPr>
        <xdr:cNvCxnSpPr>
          <a:endCxn id="111" idx="1"/>
        </xdr:cNvCxnSpPr>
      </xdr:nvCxnSpPr>
      <xdr:spPr>
        <a:xfrm>
          <a:off x="4130278" y="4442223"/>
          <a:ext cx="1226905" cy="2801"/>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4</xdr:col>
      <xdr:colOff>422672</xdr:colOff>
      <xdr:row>41</xdr:row>
      <xdr:rowOff>101204</xdr:rowOff>
    </xdr:from>
    <xdr:to>
      <xdr:col>6</xdr:col>
      <xdr:colOff>3340</xdr:colOff>
      <xdr:row>41</xdr:row>
      <xdr:rowOff>101931</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4572000" y="4357688"/>
          <a:ext cx="795106" cy="727"/>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4</xdr:col>
      <xdr:colOff>428625</xdr:colOff>
      <xdr:row>43</xdr:row>
      <xdr:rowOff>123593</xdr:rowOff>
    </xdr:from>
    <xdr:to>
      <xdr:col>6</xdr:col>
      <xdr:colOff>4646</xdr:colOff>
      <xdr:row>44</xdr:row>
      <xdr:rowOff>0</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V="1">
          <a:off x="4577953" y="4522952"/>
          <a:ext cx="790459" cy="1423"/>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228600</xdr:colOff>
      <xdr:row>41</xdr:row>
      <xdr:rowOff>22624</xdr:rowOff>
    </xdr:from>
    <xdr:to>
      <xdr:col>6</xdr:col>
      <xdr:colOff>9293</xdr:colOff>
      <xdr:row>41</xdr:row>
      <xdr:rowOff>23089</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a:off x="4985147" y="4279108"/>
          <a:ext cx="387912"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241610</xdr:colOff>
      <xdr:row>45</xdr:row>
      <xdr:rowOff>60662</xdr:rowOff>
    </xdr:from>
    <xdr:to>
      <xdr:col>6</xdr:col>
      <xdr:colOff>0</xdr:colOff>
      <xdr:row>45</xdr:row>
      <xdr:rowOff>60662</xdr:rowOff>
    </xdr:to>
    <xdr:cxnSp macro="">
      <xdr:nvCxnSpPr>
        <xdr:cNvPr id="64" name="Straight Arrow Connector 63">
          <a:extLst>
            <a:ext uri="{FF2B5EF4-FFF2-40B4-BE49-F238E27FC236}">
              <a16:creationId xmlns:a16="http://schemas.microsoft.com/office/drawing/2014/main" id="{00000000-0008-0000-0200-000040000000}"/>
            </a:ext>
          </a:extLst>
        </xdr:cNvPr>
        <xdr:cNvCxnSpPr/>
      </xdr:nvCxnSpPr>
      <xdr:spPr>
        <a:xfrm>
          <a:off x="4998157" y="4602896"/>
          <a:ext cx="365609" cy="0"/>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7</xdr:col>
      <xdr:colOff>427435</xdr:colOff>
      <xdr:row>43</xdr:row>
      <xdr:rowOff>42862</xdr:rowOff>
    </xdr:from>
    <xdr:to>
      <xdr:col>8</xdr:col>
      <xdr:colOff>246460</xdr:colOff>
      <xdr:row>43</xdr:row>
      <xdr:rowOff>42862</xdr:rowOff>
    </xdr:to>
    <xdr:cxnSp macro="">
      <xdr:nvCxnSpPr>
        <xdr:cNvPr id="86" name="Straight Connector 85">
          <a:extLst>
            <a:ext uri="{FF2B5EF4-FFF2-40B4-BE49-F238E27FC236}">
              <a16:creationId xmlns:a16="http://schemas.microsoft.com/office/drawing/2014/main" id="{00000000-0008-0000-0200-000056000000}"/>
            </a:ext>
          </a:extLst>
        </xdr:cNvPr>
        <xdr:cNvCxnSpPr/>
      </xdr:nvCxnSpPr>
      <xdr:spPr>
        <a:xfrm>
          <a:off x="6398419" y="4442221"/>
          <a:ext cx="426244"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242888</xdr:colOff>
      <xdr:row>25</xdr:row>
      <xdr:rowOff>95250</xdr:rowOff>
    </xdr:from>
    <xdr:to>
      <xdr:col>8</xdr:col>
      <xdr:colOff>244078</xdr:colOff>
      <xdr:row>43</xdr:row>
      <xdr:rowOff>40482</xdr:rowOff>
    </xdr:to>
    <xdr:cxnSp macro="">
      <xdr:nvCxnSpPr>
        <xdr:cNvPr id="87" name="Straight Connector 86">
          <a:extLst>
            <a:ext uri="{FF2B5EF4-FFF2-40B4-BE49-F238E27FC236}">
              <a16:creationId xmlns:a16="http://schemas.microsoft.com/office/drawing/2014/main" id="{00000000-0008-0000-0200-000057000000}"/>
            </a:ext>
          </a:extLst>
        </xdr:cNvPr>
        <xdr:cNvCxnSpPr/>
      </xdr:nvCxnSpPr>
      <xdr:spPr>
        <a:xfrm flipV="1">
          <a:off x="6821091" y="3101578"/>
          <a:ext cx="1190" cy="1338263"/>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1420415</xdr:colOff>
      <xdr:row>9</xdr:row>
      <xdr:rowOff>80962</xdr:rowOff>
    </xdr:from>
    <xdr:to>
      <xdr:col>8</xdr:col>
      <xdr:colOff>238125</xdr:colOff>
      <xdr:row>9</xdr:row>
      <xdr:rowOff>83343</xdr:rowOff>
    </xdr:to>
    <xdr:cxnSp macro="">
      <xdr:nvCxnSpPr>
        <xdr:cNvPr id="89" name="Straight Connector 88">
          <a:extLst>
            <a:ext uri="{FF2B5EF4-FFF2-40B4-BE49-F238E27FC236}">
              <a16:creationId xmlns:a16="http://schemas.microsoft.com/office/drawing/2014/main" id="{00000000-0008-0000-0200-000059000000}"/>
            </a:ext>
          </a:extLst>
        </xdr:cNvPr>
        <xdr:cNvCxnSpPr/>
      </xdr:nvCxnSpPr>
      <xdr:spPr>
        <a:xfrm>
          <a:off x="4140993" y="1729978"/>
          <a:ext cx="2675335" cy="2381"/>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238125</xdr:colOff>
      <xdr:row>9</xdr:row>
      <xdr:rowOff>83343</xdr:rowOff>
    </xdr:from>
    <xdr:to>
      <xdr:col>8</xdr:col>
      <xdr:colOff>238125</xdr:colOff>
      <xdr:row>23</xdr:row>
      <xdr:rowOff>107156</xdr:rowOff>
    </xdr:to>
    <xdr:cxnSp macro="">
      <xdr:nvCxnSpPr>
        <xdr:cNvPr id="91" name="Straight Connector 90">
          <a:extLst>
            <a:ext uri="{FF2B5EF4-FFF2-40B4-BE49-F238E27FC236}">
              <a16:creationId xmlns:a16="http://schemas.microsoft.com/office/drawing/2014/main" id="{00000000-0008-0000-0200-00005B000000}"/>
            </a:ext>
          </a:extLst>
        </xdr:cNvPr>
        <xdr:cNvCxnSpPr/>
      </xdr:nvCxnSpPr>
      <xdr:spPr>
        <a:xfrm flipV="1">
          <a:off x="6816328" y="1732359"/>
          <a:ext cx="0" cy="1238250"/>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233595</xdr:colOff>
      <xdr:row>25</xdr:row>
      <xdr:rowOff>93014</xdr:rowOff>
    </xdr:from>
    <xdr:to>
      <xdr:col>9</xdr:col>
      <xdr:colOff>16669</xdr:colOff>
      <xdr:row>25</xdr:row>
      <xdr:rowOff>93479</xdr:rowOff>
    </xdr:to>
    <xdr:cxnSp macro="">
      <xdr:nvCxnSpPr>
        <xdr:cNvPr id="97" name="Straight Arrow Connector 96">
          <a:extLst>
            <a:ext uri="{FF2B5EF4-FFF2-40B4-BE49-F238E27FC236}">
              <a16:creationId xmlns:a16="http://schemas.microsoft.com/office/drawing/2014/main" id="{00000000-0008-0000-0200-000061000000}"/>
            </a:ext>
          </a:extLst>
        </xdr:cNvPr>
        <xdr:cNvCxnSpPr/>
      </xdr:nvCxnSpPr>
      <xdr:spPr>
        <a:xfrm>
          <a:off x="6811798" y="3099342"/>
          <a:ext cx="390293"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8</xdr:col>
      <xdr:colOff>238125</xdr:colOff>
      <xdr:row>23</xdr:row>
      <xdr:rowOff>113109</xdr:rowOff>
    </xdr:from>
    <xdr:to>
      <xdr:col>9</xdr:col>
      <xdr:colOff>20024</xdr:colOff>
      <xdr:row>23</xdr:row>
      <xdr:rowOff>113110</xdr:rowOff>
    </xdr:to>
    <xdr:cxnSp macro="">
      <xdr:nvCxnSpPr>
        <xdr:cNvPr id="98" name="Straight Arrow Connector 97">
          <a:extLst>
            <a:ext uri="{FF2B5EF4-FFF2-40B4-BE49-F238E27FC236}">
              <a16:creationId xmlns:a16="http://schemas.microsoft.com/office/drawing/2014/main" id="{00000000-0008-0000-0200-000062000000}"/>
            </a:ext>
          </a:extLst>
        </xdr:cNvPr>
        <xdr:cNvCxnSpPr/>
      </xdr:nvCxnSpPr>
      <xdr:spPr>
        <a:xfrm flipV="1">
          <a:off x="6816328" y="2976562"/>
          <a:ext cx="389118" cy="1"/>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10</xdr:col>
      <xdr:colOff>312965</xdr:colOff>
      <xdr:row>25</xdr:row>
      <xdr:rowOff>28030</xdr:rowOff>
    </xdr:from>
    <xdr:to>
      <xdr:col>11</xdr:col>
      <xdr:colOff>19707</xdr:colOff>
      <xdr:row>25</xdr:row>
      <xdr:rowOff>29419</xdr:rowOff>
    </xdr:to>
    <xdr:cxnSp macro="">
      <xdr:nvCxnSpPr>
        <xdr:cNvPr id="102" name="Straight Connector 101">
          <a:extLst>
            <a:ext uri="{FF2B5EF4-FFF2-40B4-BE49-F238E27FC236}">
              <a16:creationId xmlns:a16="http://schemas.microsoft.com/office/drawing/2014/main" id="{00000000-0008-0000-0200-000066000000}"/>
            </a:ext>
          </a:extLst>
        </xdr:cNvPr>
        <xdr:cNvCxnSpPr>
          <a:stCxn id="127" idx="3"/>
        </xdr:cNvCxnSpPr>
      </xdr:nvCxnSpPr>
      <xdr:spPr>
        <a:xfrm>
          <a:off x="8150679" y="3429816"/>
          <a:ext cx="319064" cy="1389"/>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17860</xdr:colOff>
      <xdr:row>25</xdr:row>
      <xdr:rowOff>32845</xdr:rowOff>
    </xdr:from>
    <xdr:to>
      <xdr:col>11</xdr:col>
      <xdr:colOff>18105</xdr:colOff>
      <xdr:row>55</xdr:row>
      <xdr:rowOff>23812</xdr:rowOff>
    </xdr:to>
    <xdr:cxnSp macro="">
      <xdr:nvCxnSpPr>
        <xdr:cNvPr id="103" name="Straight Connector 102">
          <a:extLst>
            <a:ext uri="{FF2B5EF4-FFF2-40B4-BE49-F238E27FC236}">
              <a16:creationId xmlns:a16="http://schemas.microsoft.com/office/drawing/2014/main" id="{00000000-0008-0000-0200-000067000000}"/>
            </a:ext>
          </a:extLst>
        </xdr:cNvPr>
        <xdr:cNvCxnSpPr/>
      </xdr:nvCxnSpPr>
      <xdr:spPr>
        <a:xfrm flipV="1">
          <a:off x="8417719" y="3039173"/>
          <a:ext cx="245" cy="2348405"/>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1427378</xdr:colOff>
      <xdr:row>87</xdr:row>
      <xdr:rowOff>35719</xdr:rowOff>
    </xdr:from>
    <xdr:to>
      <xdr:col>11</xdr:col>
      <xdr:colOff>17860</xdr:colOff>
      <xdr:row>87</xdr:row>
      <xdr:rowOff>38282</xdr:rowOff>
    </xdr:to>
    <xdr:cxnSp macro="">
      <xdr:nvCxnSpPr>
        <xdr:cNvPr id="110" name="Straight Connector 109">
          <a:extLst>
            <a:ext uri="{FF2B5EF4-FFF2-40B4-BE49-F238E27FC236}">
              <a16:creationId xmlns:a16="http://schemas.microsoft.com/office/drawing/2014/main" id="{00000000-0008-0000-0200-00006E000000}"/>
            </a:ext>
          </a:extLst>
        </xdr:cNvPr>
        <xdr:cNvCxnSpPr/>
      </xdr:nvCxnSpPr>
      <xdr:spPr>
        <a:xfrm flipV="1">
          <a:off x="4147956" y="7899797"/>
          <a:ext cx="4269763" cy="2563"/>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15479</xdr:colOff>
      <xdr:row>56</xdr:row>
      <xdr:rowOff>5953</xdr:rowOff>
    </xdr:from>
    <xdr:to>
      <xdr:col>11</xdr:col>
      <xdr:colOff>17860</xdr:colOff>
      <xdr:row>87</xdr:row>
      <xdr:rowOff>44147</xdr:rowOff>
    </xdr:to>
    <xdr:cxnSp macro="">
      <xdr:nvCxnSpPr>
        <xdr:cNvPr id="114" name="Straight Connector 113">
          <a:extLst>
            <a:ext uri="{FF2B5EF4-FFF2-40B4-BE49-F238E27FC236}">
              <a16:creationId xmlns:a16="http://schemas.microsoft.com/office/drawing/2014/main" id="{00000000-0008-0000-0200-000072000000}"/>
            </a:ext>
          </a:extLst>
        </xdr:cNvPr>
        <xdr:cNvCxnSpPr/>
      </xdr:nvCxnSpPr>
      <xdr:spPr>
        <a:xfrm flipV="1">
          <a:off x="8415338" y="5494734"/>
          <a:ext cx="2381" cy="2413491"/>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20083</xdr:colOff>
      <xdr:row>55</xdr:row>
      <xdr:rowOff>24645</xdr:rowOff>
    </xdr:from>
    <xdr:to>
      <xdr:col>11</xdr:col>
      <xdr:colOff>397569</xdr:colOff>
      <xdr:row>55</xdr:row>
      <xdr:rowOff>24645</xdr:rowOff>
    </xdr:to>
    <xdr:cxnSp macro="">
      <xdr:nvCxnSpPr>
        <xdr:cNvPr id="116" name="Straight Arrow Connector 115">
          <a:extLst>
            <a:ext uri="{FF2B5EF4-FFF2-40B4-BE49-F238E27FC236}">
              <a16:creationId xmlns:a16="http://schemas.microsoft.com/office/drawing/2014/main" id="{00000000-0008-0000-0200-000074000000}"/>
            </a:ext>
          </a:extLst>
        </xdr:cNvPr>
        <xdr:cNvCxnSpPr/>
      </xdr:nvCxnSpPr>
      <xdr:spPr>
        <a:xfrm>
          <a:off x="8419942" y="5388411"/>
          <a:ext cx="377486" cy="0"/>
        </a:xfrm>
        <a:prstGeom prst="straightConnector1">
          <a:avLst/>
        </a:prstGeom>
        <a:ln w="9525">
          <a:solidFill>
            <a:schemeClr val="accent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18618</xdr:colOff>
      <xdr:row>56</xdr:row>
      <xdr:rowOff>4497</xdr:rowOff>
    </xdr:from>
    <xdr:to>
      <xdr:col>11</xdr:col>
      <xdr:colOff>396104</xdr:colOff>
      <xdr:row>56</xdr:row>
      <xdr:rowOff>4497</xdr:rowOff>
    </xdr:to>
    <xdr:cxnSp macro="">
      <xdr:nvCxnSpPr>
        <xdr:cNvPr id="117" name="Straight Arrow Connector 116">
          <a:extLst>
            <a:ext uri="{FF2B5EF4-FFF2-40B4-BE49-F238E27FC236}">
              <a16:creationId xmlns:a16="http://schemas.microsoft.com/office/drawing/2014/main" id="{00000000-0008-0000-0200-000075000000}"/>
            </a:ext>
          </a:extLst>
        </xdr:cNvPr>
        <xdr:cNvCxnSpPr/>
      </xdr:nvCxnSpPr>
      <xdr:spPr>
        <a:xfrm>
          <a:off x="8418477" y="5493278"/>
          <a:ext cx="377486" cy="0"/>
        </a:xfrm>
        <a:prstGeom prst="straightConnector1">
          <a:avLst/>
        </a:prstGeom>
        <a:ln w="9525">
          <a:solidFill>
            <a:schemeClr val="tx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404813</xdr:colOff>
      <xdr:row>50</xdr:row>
      <xdr:rowOff>98660</xdr:rowOff>
    </xdr:from>
    <xdr:to>
      <xdr:col>13</xdr:col>
      <xdr:colOff>193585</xdr:colOff>
      <xdr:row>61</xdr:row>
      <xdr:rowOff>27212</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8854849" y="5364624"/>
          <a:ext cx="1013415" cy="731374"/>
        </a:xfrm>
        <a:prstGeom prst="rect">
          <a:avLst/>
        </a:prstGeom>
        <a:solidFill>
          <a:schemeClr val="accent5">
            <a:lumMod val="40000"/>
            <a:lumOff val="60000"/>
          </a:schemeClr>
        </a:solidFill>
        <a:ln w="38100"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a:t>Adjusted Risk Score</a:t>
          </a:r>
          <a:endParaRPr lang="en-US" sz="1600" baseline="0"/>
        </a:p>
      </xdr:txBody>
    </xdr:sp>
    <xdr:clientData/>
  </xdr:twoCellAnchor>
  <xdr:twoCellAnchor>
    <xdr:from>
      <xdr:col>13</xdr:col>
      <xdr:colOff>197460</xdr:colOff>
      <xdr:row>55</xdr:row>
      <xdr:rowOff>71437</xdr:rowOff>
    </xdr:from>
    <xdr:to>
      <xdr:col>13</xdr:col>
      <xdr:colOff>565547</xdr:colOff>
      <xdr:row>55</xdr:row>
      <xdr:rowOff>73086</xdr:rowOff>
    </xdr:to>
    <xdr:cxnSp macro="">
      <xdr:nvCxnSpPr>
        <xdr:cNvPr id="122" name="Straight Connector 121">
          <a:extLst>
            <a:ext uri="{FF2B5EF4-FFF2-40B4-BE49-F238E27FC236}">
              <a16:creationId xmlns:a16="http://schemas.microsoft.com/office/drawing/2014/main" id="{00000000-0008-0000-0200-00007A000000}"/>
            </a:ext>
          </a:extLst>
        </xdr:cNvPr>
        <xdr:cNvCxnSpPr/>
      </xdr:nvCxnSpPr>
      <xdr:spPr>
        <a:xfrm flipV="1">
          <a:off x="9811757" y="5435203"/>
          <a:ext cx="368087" cy="1649"/>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565088</xdr:colOff>
      <xdr:row>55</xdr:row>
      <xdr:rowOff>77448</xdr:rowOff>
    </xdr:from>
    <xdr:to>
      <xdr:col>13</xdr:col>
      <xdr:colOff>566250</xdr:colOff>
      <xdr:row>85</xdr:row>
      <xdr:rowOff>23355</xdr:rowOff>
    </xdr:to>
    <xdr:cxnSp macro="">
      <xdr:nvCxnSpPr>
        <xdr:cNvPr id="123" name="Straight Connector 122">
          <a:extLst>
            <a:ext uri="{FF2B5EF4-FFF2-40B4-BE49-F238E27FC236}">
              <a16:creationId xmlns:a16="http://schemas.microsoft.com/office/drawing/2014/main" id="{00000000-0008-0000-0200-00007B000000}"/>
            </a:ext>
          </a:extLst>
        </xdr:cNvPr>
        <xdr:cNvCxnSpPr/>
      </xdr:nvCxnSpPr>
      <xdr:spPr>
        <a:xfrm flipV="1">
          <a:off x="10179385" y="5441214"/>
          <a:ext cx="1162" cy="2303344"/>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7237</xdr:colOff>
      <xdr:row>111</xdr:row>
      <xdr:rowOff>43917</xdr:rowOff>
    </xdr:from>
    <xdr:to>
      <xdr:col>10</xdr:col>
      <xdr:colOff>94900</xdr:colOff>
      <xdr:row>111</xdr:row>
      <xdr:rowOff>44823</xdr:rowOff>
    </xdr:to>
    <xdr:cxnSp macro="">
      <xdr:nvCxnSpPr>
        <xdr:cNvPr id="124" name="Straight Connector 123">
          <a:extLst>
            <a:ext uri="{FF2B5EF4-FFF2-40B4-BE49-F238E27FC236}">
              <a16:creationId xmlns:a16="http://schemas.microsoft.com/office/drawing/2014/main" id="{00000000-0008-0000-0200-00007C000000}"/>
            </a:ext>
          </a:extLst>
        </xdr:cNvPr>
        <xdr:cNvCxnSpPr/>
      </xdr:nvCxnSpPr>
      <xdr:spPr>
        <a:xfrm>
          <a:off x="4156565" y="9729651"/>
          <a:ext cx="3730976" cy="906"/>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564785</xdr:colOff>
      <xdr:row>85</xdr:row>
      <xdr:rowOff>113990</xdr:rowOff>
    </xdr:from>
    <xdr:to>
      <xdr:col>13</xdr:col>
      <xdr:colOff>565547</xdr:colOff>
      <xdr:row>123</xdr:row>
      <xdr:rowOff>83343</xdr:rowOff>
    </xdr:to>
    <xdr:cxnSp macro="">
      <xdr:nvCxnSpPr>
        <xdr:cNvPr id="125" name="Straight Connector 124">
          <a:extLst>
            <a:ext uri="{FF2B5EF4-FFF2-40B4-BE49-F238E27FC236}">
              <a16:creationId xmlns:a16="http://schemas.microsoft.com/office/drawing/2014/main" id="{00000000-0008-0000-0200-00007D000000}"/>
            </a:ext>
          </a:extLst>
        </xdr:cNvPr>
        <xdr:cNvCxnSpPr/>
      </xdr:nvCxnSpPr>
      <xdr:spPr>
        <a:xfrm flipH="1" flipV="1">
          <a:off x="10179082" y="7835193"/>
          <a:ext cx="762" cy="2791134"/>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557604</xdr:colOff>
      <xdr:row>85</xdr:row>
      <xdr:rowOff>17227</xdr:rowOff>
    </xdr:from>
    <xdr:to>
      <xdr:col>14</xdr:col>
      <xdr:colOff>328786</xdr:colOff>
      <xdr:row>85</xdr:row>
      <xdr:rowOff>17227</xdr:rowOff>
    </xdr:to>
    <xdr:cxnSp macro="">
      <xdr:nvCxnSpPr>
        <xdr:cNvPr id="130" name="Straight Arrow Connector 129">
          <a:extLst>
            <a:ext uri="{FF2B5EF4-FFF2-40B4-BE49-F238E27FC236}">
              <a16:creationId xmlns:a16="http://schemas.microsoft.com/office/drawing/2014/main" id="{00000000-0008-0000-0200-000082000000}"/>
            </a:ext>
          </a:extLst>
        </xdr:cNvPr>
        <xdr:cNvCxnSpPr/>
      </xdr:nvCxnSpPr>
      <xdr:spPr>
        <a:xfrm>
          <a:off x="10171901" y="7738430"/>
          <a:ext cx="378401" cy="0"/>
        </a:xfrm>
        <a:prstGeom prst="straightConnector1">
          <a:avLst/>
        </a:prstGeom>
        <a:ln w="9525">
          <a:solidFill>
            <a:schemeClr val="accent5"/>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13</xdr:col>
      <xdr:colOff>557511</xdr:colOff>
      <xdr:row>85</xdr:row>
      <xdr:rowOff>110187</xdr:rowOff>
    </xdr:from>
    <xdr:to>
      <xdr:col>14</xdr:col>
      <xdr:colOff>328693</xdr:colOff>
      <xdr:row>85</xdr:row>
      <xdr:rowOff>110187</xdr:rowOff>
    </xdr:to>
    <xdr:cxnSp macro="">
      <xdr:nvCxnSpPr>
        <xdr:cNvPr id="131" name="Straight Arrow Connector 130">
          <a:extLst>
            <a:ext uri="{FF2B5EF4-FFF2-40B4-BE49-F238E27FC236}">
              <a16:creationId xmlns:a16="http://schemas.microsoft.com/office/drawing/2014/main" id="{00000000-0008-0000-0200-000083000000}"/>
            </a:ext>
          </a:extLst>
        </xdr:cNvPr>
        <xdr:cNvCxnSpPr/>
      </xdr:nvCxnSpPr>
      <xdr:spPr>
        <a:xfrm>
          <a:off x="10171808" y="7831390"/>
          <a:ext cx="378401" cy="0"/>
        </a:xfrm>
        <a:prstGeom prst="straightConnector1">
          <a:avLst/>
        </a:prstGeom>
        <a:ln w="9525">
          <a:solidFill>
            <a:schemeClr val="accent6"/>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1008528</xdr:colOff>
      <xdr:row>93</xdr:row>
      <xdr:rowOff>44824</xdr:rowOff>
    </xdr:from>
    <xdr:to>
      <xdr:col>10</xdr:col>
      <xdr:colOff>537881</xdr:colOff>
      <xdr:row>101</xdr:row>
      <xdr:rowOff>78441</xdr:rowOff>
    </xdr:to>
    <mc:AlternateContent xmlns:mc="http://schemas.openxmlformats.org/markup-compatibility/2006" xmlns:a14="http://schemas.microsoft.com/office/drawing/2010/main">
      <mc:Choice Requires="a14">
        <xdr:sp macro="" textlink="">
          <xdr:nvSpPr>
            <xdr:cNvPr id="52" name="Text Box 2">
              <a:extLst>
                <a:ext uri="{FF2B5EF4-FFF2-40B4-BE49-F238E27FC236}">
                  <a16:creationId xmlns:a16="http://schemas.microsoft.com/office/drawing/2014/main" id="{00000000-0008-0000-0200-000034000000}"/>
                </a:ext>
              </a:extLst>
            </xdr:cNvPr>
            <xdr:cNvSpPr txBox="1">
              <a:spLocks noChangeArrowheads="1"/>
            </xdr:cNvSpPr>
          </xdr:nvSpPr>
          <xdr:spPr bwMode="auto">
            <a:xfrm>
              <a:off x="3731557" y="8438030"/>
              <a:ext cx="4594412" cy="717176"/>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Population</m:t>
                    </m:r>
                    <m:r>
                      <a:rPr lang="en-US" sz="1000">
                        <a:effectLst/>
                        <a:latin typeface="Cambria Math"/>
                        <a:ea typeface="Calibri"/>
                        <a:cs typeface="Times New Roman"/>
                      </a:rPr>
                      <m:t> </m:t>
                    </m:r>
                    <m:r>
                      <m:rPr>
                        <m:sty m:val="p"/>
                      </m:rPr>
                      <a:rPr lang="en-US" sz="1000">
                        <a:effectLst/>
                        <a:latin typeface="Cambria Math"/>
                        <a:ea typeface="Calibri"/>
                        <a:cs typeface="Times New Roman"/>
                      </a:rPr>
                      <m:t>Impact</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Population</m:t>
                        </m:r>
                        <m:r>
                          <a:rPr lang="en-US" sz="1000" i="1">
                            <a:effectLst/>
                            <a:latin typeface="Cambria Math"/>
                            <a:ea typeface="Calibri"/>
                            <a:cs typeface="Times New Roman"/>
                          </a:rPr>
                          <m:t> </m:t>
                        </m:r>
                        <m:r>
                          <m:rPr>
                            <m:sty m:val="p"/>
                          </m:rPr>
                          <a:rPr lang="en-US" sz="1000">
                            <a:effectLst/>
                            <a:latin typeface="Cambria Math"/>
                            <a:ea typeface="Calibri"/>
                            <a:cs typeface="Times New Roman"/>
                          </a:rPr>
                          <m:t>Size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Access</m:t>
                        </m:r>
                        <m:r>
                          <a:rPr lang="en-US" sz="1000">
                            <a:effectLst/>
                            <a:latin typeface="Cambria Math"/>
                            <a:ea typeface="Calibri"/>
                            <a:cs typeface="Times New Roman"/>
                          </a:rPr>
                          <m:t> </m:t>
                        </m:r>
                        <m:r>
                          <m:rPr>
                            <m:sty m:val="p"/>
                          </m:rPr>
                          <a:rPr lang="en-US" sz="1000">
                            <a:effectLst/>
                            <a:latin typeface="Cambria Math"/>
                            <a:ea typeface="Calibri"/>
                            <a:cs typeface="Times New Roman"/>
                          </a:rPr>
                          <m:t>Planning</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oMath>
                </m:oMathPara>
              </a14:m>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Choice>
      <mc:Fallback xmlns="">
        <xdr:sp macro="" textlink="">
          <xdr:nvSpPr>
            <xdr:cNvPr id="52" name="Text Box 2"/>
            <xdr:cNvSpPr txBox="1">
              <a:spLocks noChangeArrowheads="1"/>
            </xdr:cNvSpPr>
          </xdr:nvSpPr>
          <xdr:spPr bwMode="auto">
            <a:xfrm>
              <a:off x="3731557" y="8438030"/>
              <a:ext cx="4594412" cy="717176"/>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r>
                <a:rPr lang="en-US" sz="1000" i="0">
                  <a:effectLst/>
                  <a:latin typeface="Cambria Math"/>
                  <a:ea typeface="Calibri"/>
                  <a:cs typeface="Times New Roman"/>
                </a:rPr>
                <a:t>Population Impact Score = </a:t>
              </a:r>
              <a:r>
                <a:rPr lang="en-US" sz="1000" i="0">
                  <a:effectLst/>
                  <a:latin typeface="Cambria Math"/>
                  <a:cs typeface="Times New Roman"/>
                </a:rPr>
                <a:t> (</a:t>
              </a:r>
              <a:r>
                <a:rPr lang="en-US" sz="1000" i="0">
                  <a:effectLst/>
                  <a:latin typeface="Cambria Math"/>
                  <a:ea typeface="Calibri"/>
                  <a:cs typeface="Times New Roman"/>
                </a:rPr>
                <a:t>Population Size Score ×Access Planning Score)/4</a:t>
              </a:r>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Fallback>
    </mc:AlternateContent>
    <xdr:clientData/>
  </xdr:twoCellAnchor>
  <xdr:twoCellAnchor>
    <xdr:from>
      <xdr:col>9</xdr:col>
      <xdr:colOff>248931</xdr:colOff>
      <xdr:row>41</xdr:row>
      <xdr:rowOff>21610</xdr:rowOff>
    </xdr:from>
    <xdr:to>
      <xdr:col>16</xdr:col>
      <xdr:colOff>92048</xdr:colOff>
      <xdr:row>47</xdr:row>
      <xdr:rowOff>17080</xdr:rowOff>
    </xdr:to>
    <mc:AlternateContent xmlns:mc="http://schemas.openxmlformats.org/markup-compatibility/2006" xmlns:a14="http://schemas.microsoft.com/office/drawing/2010/main">
      <mc:Choice Requires="a14">
        <xdr:sp macro="" textlink="">
          <xdr:nvSpPr>
            <xdr:cNvPr id="54" name="Text Box 2">
              <a:extLst>
                <a:ext uri="{FF2B5EF4-FFF2-40B4-BE49-F238E27FC236}">
                  <a16:creationId xmlns:a16="http://schemas.microsoft.com/office/drawing/2014/main" id="{00000000-0008-0000-0200-000036000000}"/>
                </a:ext>
              </a:extLst>
            </xdr:cNvPr>
            <xdr:cNvSpPr txBox="1">
              <a:spLocks noChangeArrowheads="1"/>
            </xdr:cNvSpPr>
          </xdr:nvSpPr>
          <xdr:spPr bwMode="auto">
            <a:xfrm>
              <a:off x="7474324" y="4620824"/>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Adjusted</m:t>
                    </m:r>
                    <m:r>
                      <a:rPr lang="en-US" sz="1000" i="1">
                        <a:effectLst/>
                        <a:latin typeface="Cambria Math"/>
                        <a:ea typeface="Calibri"/>
                        <a:cs typeface="Times New Roman"/>
                      </a:rPr>
                      <m:t> </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d>
                      <m:dPr>
                        <m:ctrlPr>
                          <a:rPr lang="en-US" sz="1000" i="1">
                            <a:effectLst/>
                            <a:latin typeface="Cambria Math" panose="02040503050406030204" pitchFamily="18" charset="0"/>
                            <a:ea typeface="Calibri"/>
                            <a:cs typeface="Times New Roman"/>
                          </a:rPr>
                        </m:ctrlPr>
                      </m:dPr>
                      <m:e>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At</m:t>
                            </m:r>
                            <m:r>
                              <a:rPr lang="en-US" sz="1000">
                                <a:effectLst/>
                                <a:latin typeface="Cambria Math"/>
                                <a:ea typeface="Calibri"/>
                                <a:cs typeface="Calibri"/>
                              </a:rPr>
                              <m:t>­</m:t>
                            </m:r>
                            <m:r>
                              <a:rPr lang="en-US" sz="1000" b="0" i="0">
                                <a:effectLst/>
                                <a:latin typeface="Cambria Math"/>
                                <a:ea typeface="Calibri"/>
                                <a:cs typeface="Calibri"/>
                              </a:rPr>
                              <m:t>­</m:t>
                            </m:r>
                            <m:r>
                              <a:rPr lang="en-US" sz="1000" b="0" i="1">
                                <a:effectLst/>
                                <a:latin typeface="Cambria Math"/>
                                <a:ea typeface="Calibri"/>
                                <a:cs typeface="Calibri"/>
                              </a:rPr>
                              <m:t>−</m:t>
                            </m:r>
                            <m:r>
                              <m:rPr>
                                <m:sty m:val="p"/>
                              </m:rPr>
                              <a:rPr lang="en-US" sz="1000">
                                <a:effectLst/>
                                <a:latin typeface="Cambria Math"/>
                                <a:ea typeface="Calibri"/>
                                <a:cs typeface="Times New Roman"/>
                              </a:rPr>
                              <m:t>Risk</m:t>
                            </m:r>
                            <m:r>
                              <a:rPr lang="en-US" sz="1000">
                                <a:effectLst/>
                                <a:latin typeface="Cambria Math"/>
                                <a:ea typeface="Calibri"/>
                                <a:cs typeface="Times New Roman"/>
                              </a:rPr>
                              <m:t> </m:t>
                            </m:r>
                            <m:r>
                              <m:rPr>
                                <m:sty m:val="p"/>
                              </m:rPr>
                              <a:rPr lang="en-US" sz="1000">
                                <a:effectLst/>
                                <a:latin typeface="Cambria Math"/>
                                <a:ea typeface="Calibri"/>
                                <a:cs typeface="Times New Roman"/>
                              </a:rPr>
                              <m:t>Populations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r>
                          <a:rPr lang="en-US" sz="1000">
                            <a:effectLst/>
                            <a:latin typeface="Cambria Math"/>
                            <a:ea typeface="Calibri"/>
                            <a:cs typeface="Times New Roman"/>
                          </a:rPr>
                          <m:t>+1</m:t>
                        </m:r>
                      </m:e>
                    </m:d>
                  </m:oMath>
                </m:oMathPara>
              </a14:m>
              <a:endParaRPr lang="en-US" sz="1000">
                <a:effectLst/>
                <a:latin typeface="Calibri"/>
                <a:ea typeface="Calibri"/>
                <a:cs typeface="Times New Roman"/>
              </a:endParaRPr>
            </a:p>
          </xdr:txBody>
        </xdr:sp>
      </mc:Choice>
      <mc:Fallback xmlns="">
        <xdr:sp macro="" textlink="">
          <xdr:nvSpPr>
            <xdr:cNvPr id="54" name="Text Box 2"/>
            <xdr:cNvSpPr txBox="1">
              <a:spLocks noChangeArrowheads="1"/>
            </xdr:cNvSpPr>
          </xdr:nvSpPr>
          <xdr:spPr bwMode="auto">
            <a:xfrm>
              <a:off x="7474324" y="4620824"/>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Adjusted Risk Score =Risk Score ×</a:t>
              </a:r>
              <a:r>
                <a:rPr lang="en-US" sz="1000" i="0">
                  <a:effectLst/>
                  <a:latin typeface="Cambria Math"/>
                  <a:cs typeface="Times New Roman"/>
                </a:rPr>
                <a:t>((</a:t>
              </a:r>
              <a:r>
                <a:rPr lang="en-US" sz="1000" i="0">
                  <a:effectLst/>
                  <a:latin typeface="Cambria Math"/>
                  <a:ea typeface="Calibri"/>
                  <a:cs typeface="Times New Roman"/>
                </a:rPr>
                <a:t>At</a:t>
              </a:r>
              <a:r>
                <a:rPr lang="en-US" sz="1000" i="0">
                  <a:effectLst/>
                  <a:latin typeface="Cambria Math"/>
                  <a:ea typeface="Calibri"/>
                  <a:cs typeface="Calibri"/>
                </a:rPr>
                <a:t>­</a:t>
              </a:r>
              <a:r>
                <a:rPr lang="en-US" sz="1000" b="0" i="0">
                  <a:effectLst/>
                  <a:latin typeface="Cambria Math"/>
                  <a:ea typeface="Calibri"/>
                  <a:cs typeface="Calibri"/>
                </a:rPr>
                <a:t>­−</a:t>
              </a:r>
              <a:r>
                <a:rPr lang="en-US" sz="1000" i="0">
                  <a:effectLst/>
                  <a:latin typeface="Cambria Math"/>
                  <a:ea typeface="Calibri"/>
                  <a:cs typeface="Times New Roman"/>
                </a:rPr>
                <a:t>Risk Populations Score)/4+1)</a:t>
              </a:r>
              <a:endParaRPr lang="en-US" sz="1000">
                <a:effectLst/>
                <a:latin typeface="Calibri"/>
                <a:ea typeface="Calibri"/>
                <a:cs typeface="Times New Roman"/>
              </a:endParaRPr>
            </a:p>
          </xdr:txBody>
        </xdr:sp>
      </mc:Fallback>
    </mc:AlternateContent>
    <xdr:clientData/>
  </xdr:twoCellAnchor>
  <xdr:twoCellAnchor>
    <xdr:from>
      <xdr:col>10</xdr:col>
      <xdr:colOff>79493</xdr:colOff>
      <xdr:row>13</xdr:row>
      <xdr:rowOff>89646</xdr:rowOff>
    </xdr:from>
    <xdr:to>
      <xdr:col>15</xdr:col>
      <xdr:colOff>236375</xdr:colOff>
      <xdr:row>21</xdr:row>
      <xdr:rowOff>4553</xdr:rowOff>
    </xdr:to>
    <mc:AlternateContent xmlns:mc="http://schemas.openxmlformats.org/markup-compatibility/2006" xmlns:a14="http://schemas.microsoft.com/office/drawing/2010/main">
      <mc:Choice Requires="a14">
        <xdr:sp macro="" textlink="">
          <xdr:nvSpPr>
            <xdr:cNvPr id="55" name="Text Box 2">
              <a:extLst>
                <a:ext uri="{FF2B5EF4-FFF2-40B4-BE49-F238E27FC236}">
                  <a16:creationId xmlns:a16="http://schemas.microsoft.com/office/drawing/2014/main" id="{00000000-0008-0000-0200-000037000000}"/>
                </a:ext>
              </a:extLst>
            </xdr:cNvPr>
            <xdr:cNvSpPr txBox="1">
              <a:spLocks noChangeArrowheads="1"/>
            </xdr:cNvSpPr>
          </xdr:nvSpPr>
          <xdr:spPr bwMode="auto">
            <a:xfrm>
              <a:off x="7872134" y="2131568"/>
              <a:ext cx="3192975"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Probability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Severity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16</m:t>
                        </m:r>
                      </m:den>
                    </m:f>
                    <m:r>
                      <a:rPr lang="en-US" sz="1000">
                        <a:effectLst/>
                        <a:latin typeface="Cambria Math"/>
                        <a:ea typeface="Calibri"/>
                        <a:cs typeface="Times New Roman"/>
                      </a:rPr>
                      <m:t>×100</m:t>
                    </m:r>
                  </m:oMath>
                </m:oMathPara>
              </a14:m>
              <a:endParaRPr lang="en-US" sz="1000">
                <a:effectLst/>
                <a:latin typeface="Calibri"/>
                <a:ea typeface="Calibri"/>
                <a:cs typeface="Times New Roman"/>
              </a:endParaRPr>
            </a:p>
          </xdr:txBody>
        </xdr:sp>
      </mc:Choice>
      <mc:Fallback xmlns="">
        <xdr:sp macro="" textlink="">
          <xdr:nvSpPr>
            <xdr:cNvPr id="55" name="Text Box 2"/>
            <xdr:cNvSpPr txBox="1">
              <a:spLocks noChangeArrowheads="1"/>
            </xdr:cNvSpPr>
          </xdr:nvSpPr>
          <xdr:spPr bwMode="auto">
            <a:xfrm>
              <a:off x="7872134" y="2131568"/>
              <a:ext cx="3192975"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Risk Score=</a:t>
              </a:r>
              <a:r>
                <a:rPr lang="en-US" sz="1000" i="0">
                  <a:effectLst/>
                  <a:latin typeface="Cambria Math"/>
                  <a:cs typeface="Times New Roman"/>
                </a:rPr>
                <a:t>(</a:t>
              </a:r>
              <a:r>
                <a:rPr lang="en-US" sz="1000" i="0">
                  <a:effectLst/>
                  <a:latin typeface="Cambria Math"/>
                  <a:ea typeface="Calibri"/>
                  <a:cs typeface="Times New Roman"/>
                </a:rPr>
                <a:t>Probability Score × Severity Score)/16×100</a:t>
              </a:r>
              <a:endParaRPr lang="en-US" sz="1000">
                <a:effectLst/>
                <a:latin typeface="Calibri"/>
                <a:ea typeface="Calibri"/>
                <a:cs typeface="Times New Roman"/>
              </a:endParaRPr>
            </a:p>
          </xdr:txBody>
        </xdr:sp>
      </mc:Fallback>
    </mc:AlternateContent>
    <xdr:clientData/>
  </xdr:twoCellAnchor>
  <xdr:twoCellAnchor>
    <xdr:from>
      <xdr:col>6</xdr:col>
      <xdr:colOff>282598</xdr:colOff>
      <xdr:row>34</xdr:row>
      <xdr:rowOff>113110</xdr:rowOff>
    </xdr:from>
    <xdr:to>
      <xdr:col>10</xdr:col>
      <xdr:colOff>506717</xdr:colOff>
      <xdr:row>37</xdr:row>
      <xdr:rowOff>70688</xdr:rowOff>
    </xdr:to>
    <xdr:sp macro="" textlink="">
      <xdr:nvSpPr>
        <xdr:cNvPr id="57" name="Text Box 2">
          <a:extLst>
            <a:ext uri="{FF2B5EF4-FFF2-40B4-BE49-F238E27FC236}">
              <a16:creationId xmlns:a16="http://schemas.microsoft.com/office/drawing/2014/main" id="{00000000-0008-0000-0200-000039000000}"/>
            </a:ext>
          </a:extLst>
        </xdr:cNvPr>
        <xdr:cNvSpPr txBox="1">
          <a:spLocks noChangeArrowheads="1"/>
        </xdr:cNvSpPr>
      </xdr:nvSpPr>
      <xdr:spPr bwMode="auto">
        <a:xfrm>
          <a:off x="5646364" y="3815954"/>
          <a:ext cx="2652994" cy="225468"/>
        </a:xfrm>
        <a:prstGeom prst="rect">
          <a:avLst/>
        </a:prstGeom>
        <a:solidFill>
          <a:srgbClr val="FFFFFF">
            <a:alpha val="70000"/>
          </a:srgbClr>
        </a:solidFill>
        <a:ln w="9525">
          <a:solidFill>
            <a:srgbClr val="000000"/>
          </a:solidFill>
          <a:miter lim="800000"/>
          <a:headEnd/>
          <a:tailEnd/>
        </a:ln>
      </xdr:spPr>
      <xdr:txBody>
        <a:bodyPr rot="0" vert="horz" wrap="square" lIns="91440" tIns="91440" rIns="91440" bIns="91440" anchor="ctr" anchorCtr="0">
          <a:noAutofit/>
        </a:bodyPr>
        <a:lstStyle/>
        <a:p>
          <a:pPr marL="0" marR="0">
            <a:lnSpc>
              <a:spcPct val="115000"/>
            </a:lnSpc>
            <a:spcBef>
              <a:spcPts val="0"/>
            </a:spcBef>
            <a:spcAft>
              <a:spcPts val="1000"/>
            </a:spcAft>
          </a:pPr>
          <a:r>
            <a:rPr lang="en-US" sz="1000">
              <a:effectLst/>
              <a:latin typeface="Cambria Math"/>
              <a:ea typeface="Calibri"/>
              <a:cs typeface="Times New Roman"/>
            </a:rPr>
            <a:t>Severity Score = Average of all Impact Scores</a:t>
          </a:r>
          <a:endParaRPr lang="en-US" sz="1000">
            <a:effectLst/>
            <a:latin typeface="Calibri"/>
            <a:ea typeface="Calibri"/>
            <a:cs typeface="Times New Roman"/>
          </a:endParaRPr>
        </a:p>
      </xdr:txBody>
    </xdr:sp>
    <xdr:clientData/>
  </xdr:twoCellAnchor>
  <xdr:twoCellAnchor>
    <xdr:from>
      <xdr:col>10</xdr:col>
      <xdr:colOff>462293</xdr:colOff>
      <xdr:row>71</xdr:row>
      <xdr:rowOff>84194</xdr:rowOff>
    </xdr:from>
    <xdr:to>
      <xdr:col>15</xdr:col>
      <xdr:colOff>159034</xdr:colOff>
      <xdr:row>77</xdr:row>
      <xdr:rowOff>23812</xdr:rowOff>
    </xdr:to>
    <mc:AlternateContent xmlns:mc="http://schemas.openxmlformats.org/markup-compatibility/2006" xmlns:a14="http://schemas.microsoft.com/office/drawing/2010/main">
      <mc:Choice Requires="a14">
        <xdr:sp macro="" textlink="">
          <xdr:nvSpPr>
            <xdr:cNvPr id="59" name="Text Box 2">
              <a:extLst>
                <a:ext uri="{FF2B5EF4-FFF2-40B4-BE49-F238E27FC236}">
                  <a16:creationId xmlns:a16="http://schemas.microsoft.com/office/drawing/2014/main" id="{00000000-0008-0000-0200-00003B000000}"/>
                </a:ext>
              </a:extLst>
            </xdr:cNvPr>
            <xdr:cNvSpPr txBox="1">
              <a:spLocks noChangeArrowheads="1"/>
            </xdr:cNvSpPr>
          </xdr:nvSpPr>
          <xdr:spPr bwMode="auto">
            <a:xfrm>
              <a:off x="8300007" y="6942194"/>
              <a:ext cx="2758348" cy="347832"/>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14:m>
                <m:oMath xmlns:m="http://schemas.openxmlformats.org/officeDocument/2006/math">
                  <m:r>
                    <m:rPr>
                      <m:sty m:val="p"/>
                    </m:rPr>
                    <a:rPr lang="en-US" sz="1000">
                      <a:effectLst/>
                      <a:latin typeface="Cambria Math"/>
                      <a:ea typeface="Calibri"/>
                      <a:cs typeface="Calibri"/>
                    </a:rPr>
                    <m:t>Planning</m:t>
                  </m:r>
                  <m:r>
                    <a:rPr lang="en-US" sz="1000" i="1">
                      <a:effectLst/>
                      <a:latin typeface="Cambria Math"/>
                      <a:ea typeface="Calibri"/>
                      <a:cs typeface="Calibri"/>
                    </a:rPr>
                    <m:t> </m:t>
                  </m:r>
                  <m:r>
                    <m:rPr>
                      <m:sty m:val="p"/>
                    </m:rPr>
                    <a:rPr lang="en-US" sz="1000">
                      <a:effectLst/>
                      <a:latin typeface="Cambria Math"/>
                      <a:ea typeface="Calibri"/>
                      <a:cs typeface="Calibri"/>
                    </a:rPr>
                    <m:t>Priority</m:t>
                  </m:r>
                  <m:r>
                    <a:rPr lang="en-US" sz="1000" i="1">
                      <a:effectLst/>
                      <a:latin typeface="Cambria Math"/>
                      <a:ea typeface="Calibri"/>
                      <a:cs typeface="Calibri"/>
                    </a:rPr>
                    <m:t> </m:t>
                  </m:r>
                  <m:r>
                    <m:rPr>
                      <m:sty m:val="p"/>
                    </m:rPr>
                    <a:rPr lang="en-US" sz="1000">
                      <a:effectLst/>
                      <a:latin typeface="Cambria Math"/>
                      <a:ea typeface="Calibri"/>
                      <a:cs typeface="Calibri"/>
                    </a:rPr>
                    <m:t>Indicator</m:t>
                  </m:r>
                  <m:r>
                    <a:rPr lang="en-US" sz="1000" i="1">
                      <a:effectLst/>
                      <a:latin typeface="Cambria Math"/>
                      <a:ea typeface="Calibri"/>
                      <a:cs typeface="Calibri"/>
                    </a:rPr>
                    <m:t> </m:t>
                  </m:r>
                  <m:r>
                    <a:rPr lang="en-US" sz="1000">
                      <a:effectLst/>
                      <a:latin typeface="Cambria Math"/>
                      <a:ea typeface="Calibri"/>
                      <a:cs typeface="Calibri"/>
                    </a:rPr>
                    <m:t>=</m:t>
                  </m:r>
                  <m:r>
                    <a:rPr lang="en-US" sz="1000" i="1">
                      <a:effectLst/>
                      <a:latin typeface="Cambria Math"/>
                      <a:ea typeface="Calibri"/>
                      <a:cs typeface="Calibri"/>
                    </a:rPr>
                    <m:t> </m:t>
                  </m:r>
                  <m:f>
                    <m:fPr>
                      <m:ctrlPr>
                        <a:rPr lang="en-US" sz="1000" i="1">
                          <a:effectLst/>
                          <a:latin typeface="Cambria Math" panose="02040503050406030204" pitchFamily="18" charset="0"/>
                          <a:ea typeface="Calibri"/>
                          <a:cs typeface="Calibri"/>
                        </a:rPr>
                      </m:ctrlPr>
                    </m:fPr>
                    <m:num>
                      <m:r>
                        <m:rPr>
                          <m:sty m:val="p"/>
                        </m:rPr>
                        <a:rPr lang="en-US" sz="1000">
                          <a:effectLst/>
                          <a:latin typeface="Cambria Math"/>
                          <a:ea typeface="Calibri"/>
                          <a:cs typeface="Calibri"/>
                        </a:rPr>
                        <m:t>Adjusted</m:t>
                      </m:r>
                      <m:r>
                        <a:rPr lang="en-US" sz="1000" i="1">
                          <a:effectLst/>
                          <a:latin typeface="Cambria Math"/>
                          <a:ea typeface="Calibri"/>
                          <a:cs typeface="Calibri"/>
                        </a:rPr>
                        <m:t> </m:t>
                      </m:r>
                      <m:r>
                        <m:rPr>
                          <m:sty m:val="p"/>
                        </m:rPr>
                        <a:rPr lang="en-US" sz="1000">
                          <a:effectLst/>
                          <a:latin typeface="Cambria Math"/>
                          <a:ea typeface="Calibri"/>
                          <a:cs typeface="Calibri"/>
                        </a:rPr>
                        <m:t>Risk</m:t>
                      </m:r>
                      <m:r>
                        <a:rPr lang="en-US" sz="1000" i="1">
                          <a:effectLst/>
                          <a:latin typeface="Cambria Math"/>
                          <a:ea typeface="Calibri"/>
                          <a:cs typeface="Calibri"/>
                        </a:rPr>
                        <m:t> </m:t>
                      </m:r>
                      <m:r>
                        <m:rPr>
                          <m:sty m:val="p"/>
                        </m:rPr>
                        <a:rPr lang="en-US" sz="1000">
                          <a:effectLst/>
                          <a:latin typeface="Cambria Math"/>
                          <a:ea typeface="Calibri"/>
                          <a:cs typeface="Calibri"/>
                        </a:rPr>
                        <m:t>Score</m:t>
                      </m:r>
                    </m:num>
                    <m:den>
                      <m:r>
                        <m:rPr>
                          <m:sty m:val="p"/>
                        </m:rPr>
                        <a:rPr lang="en-US" sz="1000">
                          <a:effectLst/>
                          <a:latin typeface="Cambria Math"/>
                          <a:ea typeface="Calibri"/>
                          <a:cs typeface="Calibri"/>
                        </a:rPr>
                        <m:t>Preparedness</m:t>
                      </m:r>
                      <m:r>
                        <a:rPr lang="en-US" sz="1000" i="1">
                          <a:effectLst/>
                          <a:latin typeface="Cambria Math"/>
                          <a:ea typeface="Calibri"/>
                          <a:cs typeface="Calibri"/>
                        </a:rPr>
                        <m:t> </m:t>
                      </m:r>
                      <m:r>
                        <m:rPr>
                          <m:sty m:val="p"/>
                        </m:rPr>
                        <a:rPr lang="en-US" sz="1000">
                          <a:effectLst/>
                          <a:latin typeface="Cambria Math"/>
                          <a:ea typeface="Calibri"/>
                          <a:cs typeface="Calibri"/>
                        </a:rPr>
                        <m:t>Score</m:t>
                      </m:r>
                    </m:den>
                  </m:f>
                </m:oMath>
              </a14:m>
              <a:r>
                <a:rPr lang="en-US" sz="1000">
                  <a:effectLst/>
                  <a:latin typeface="Calibri"/>
                  <a:ea typeface="Calibri"/>
                  <a:cs typeface="Times New Roman"/>
                </a:rPr>
                <a:t> </a:t>
              </a:r>
            </a:p>
          </xdr:txBody>
        </xdr:sp>
      </mc:Choice>
      <mc:Fallback xmlns="">
        <xdr:sp macro="" textlink="">
          <xdr:nvSpPr>
            <xdr:cNvPr id="59" name="Text Box 2"/>
            <xdr:cNvSpPr txBox="1">
              <a:spLocks noChangeArrowheads="1"/>
            </xdr:cNvSpPr>
          </xdr:nvSpPr>
          <xdr:spPr bwMode="auto">
            <a:xfrm>
              <a:off x="8300007" y="6942194"/>
              <a:ext cx="2758348" cy="347832"/>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r>
                <a:rPr lang="en-US" sz="1000" i="0">
                  <a:effectLst/>
                  <a:latin typeface="Cambria Math"/>
                  <a:ea typeface="Calibri"/>
                  <a:cs typeface="Calibri"/>
                </a:rPr>
                <a:t>Planning Priority Indicator = </a:t>
              </a:r>
              <a:r>
                <a:rPr lang="en-US" sz="1000" i="0">
                  <a:effectLst/>
                  <a:latin typeface="Cambria Math"/>
                </a:rPr>
                <a:t> (</a:t>
              </a:r>
              <a:r>
                <a:rPr lang="en-US" sz="1000" i="0">
                  <a:effectLst/>
                  <a:latin typeface="Cambria Math"/>
                  <a:ea typeface="Calibri"/>
                  <a:cs typeface="Calibri"/>
                </a:rPr>
                <a:t>Adjusted Risk Score)/(Preparedness Score)</a:t>
              </a:r>
              <a:r>
                <a:rPr lang="en-US" sz="1000">
                  <a:effectLst/>
                  <a:latin typeface="Calibri"/>
                  <a:ea typeface="Calibri"/>
                  <a:cs typeface="Times New Roman"/>
                </a:rPr>
                <a:t> </a:t>
              </a:r>
            </a:p>
          </xdr:txBody>
        </xdr:sp>
      </mc:Fallback>
    </mc:AlternateContent>
    <xdr:clientData/>
  </xdr:twoCellAnchor>
  <xdr:twoCellAnchor>
    <xdr:from>
      <xdr:col>14</xdr:col>
      <xdr:colOff>271343</xdr:colOff>
      <xdr:row>74</xdr:row>
      <xdr:rowOff>1360</xdr:rowOff>
    </xdr:from>
    <xdr:to>
      <xdr:col>16</xdr:col>
      <xdr:colOff>95250</xdr:colOff>
      <xdr:row>89</xdr:row>
      <xdr:rowOff>27213</xdr:rowOff>
    </xdr:to>
    <xdr:sp macro="" textlink="">
      <xdr:nvSpPr>
        <xdr:cNvPr id="4" name="Arc 3">
          <a:extLst>
            <a:ext uri="{FF2B5EF4-FFF2-40B4-BE49-F238E27FC236}">
              <a16:creationId xmlns:a16="http://schemas.microsoft.com/office/drawing/2014/main" id="{00000000-0008-0000-0200-000004000000}"/>
            </a:ext>
          </a:extLst>
        </xdr:cNvPr>
        <xdr:cNvSpPr/>
      </xdr:nvSpPr>
      <xdr:spPr>
        <a:xfrm>
          <a:off x="10558343" y="7117896"/>
          <a:ext cx="1048550" cy="1100817"/>
        </a:xfrm>
        <a:prstGeom prst="arc">
          <a:avLst>
            <a:gd name="adj1" fmla="val 16091276"/>
            <a:gd name="adj2" fmla="val 2134138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1074012</xdr:colOff>
      <xdr:row>111</xdr:row>
      <xdr:rowOff>65485</xdr:rowOff>
    </xdr:from>
    <xdr:to>
      <xdr:col>4</xdr:col>
      <xdr:colOff>303609</xdr:colOff>
      <xdr:row>117</xdr:row>
      <xdr:rowOff>41672</xdr:rowOff>
    </xdr:to>
    <xdr:sp macro="" textlink="">
      <xdr:nvSpPr>
        <xdr:cNvPr id="63" name="Arc 62">
          <a:extLst>
            <a:ext uri="{FF2B5EF4-FFF2-40B4-BE49-F238E27FC236}">
              <a16:creationId xmlns:a16="http://schemas.microsoft.com/office/drawing/2014/main" id="{00000000-0008-0000-0200-00003F000000}"/>
            </a:ext>
          </a:extLst>
        </xdr:cNvPr>
        <xdr:cNvSpPr/>
      </xdr:nvSpPr>
      <xdr:spPr>
        <a:xfrm flipH="1">
          <a:off x="3794590" y="9751219"/>
          <a:ext cx="658347" cy="404812"/>
        </a:xfrm>
        <a:prstGeom prst="arc">
          <a:avLst>
            <a:gd name="adj1" fmla="val 10983352"/>
            <a:gd name="adj2" fmla="val 15733796"/>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649942</xdr:colOff>
      <xdr:row>79</xdr:row>
      <xdr:rowOff>22411</xdr:rowOff>
    </xdr:from>
    <xdr:to>
      <xdr:col>4</xdr:col>
      <xdr:colOff>537883</xdr:colOff>
      <xdr:row>97</xdr:row>
      <xdr:rowOff>33616</xdr:rowOff>
    </xdr:to>
    <xdr:sp macro="" textlink="">
      <xdr:nvSpPr>
        <xdr:cNvPr id="65" name="Arc 64">
          <a:extLst>
            <a:ext uri="{FF2B5EF4-FFF2-40B4-BE49-F238E27FC236}">
              <a16:creationId xmlns:a16="http://schemas.microsoft.com/office/drawing/2014/main" id="{00000000-0008-0000-0200-000041000000}"/>
            </a:ext>
          </a:extLst>
        </xdr:cNvPr>
        <xdr:cNvSpPr/>
      </xdr:nvSpPr>
      <xdr:spPr>
        <a:xfrm flipH="1" flipV="1">
          <a:off x="3372971" y="7395882"/>
          <a:ext cx="1322294" cy="1423146"/>
        </a:xfrm>
        <a:prstGeom prst="arc">
          <a:avLst>
            <a:gd name="adj1" fmla="val 17813179"/>
            <a:gd name="adj2" fmla="val 2123564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41671</xdr:colOff>
      <xdr:row>36</xdr:row>
      <xdr:rowOff>5954</xdr:rowOff>
    </xdr:from>
    <xdr:to>
      <xdr:col>6</xdr:col>
      <xdr:colOff>470297</xdr:colOff>
      <xdr:row>45</xdr:row>
      <xdr:rowOff>35719</xdr:rowOff>
    </xdr:to>
    <xdr:sp macro="" textlink="">
      <xdr:nvSpPr>
        <xdr:cNvPr id="66" name="Arc 65">
          <a:extLst>
            <a:ext uri="{FF2B5EF4-FFF2-40B4-BE49-F238E27FC236}">
              <a16:creationId xmlns:a16="http://schemas.microsoft.com/office/drawing/2014/main" id="{00000000-0008-0000-0200-000042000000}"/>
            </a:ext>
          </a:extLst>
        </xdr:cNvPr>
        <xdr:cNvSpPr/>
      </xdr:nvSpPr>
      <xdr:spPr>
        <a:xfrm flipH="1">
          <a:off x="5405437" y="3958829"/>
          <a:ext cx="428626" cy="619124"/>
        </a:xfrm>
        <a:prstGeom prst="arc">
          <a:avLst>
            <a:gd name="adj1" fmla="val 15892405"/>
            <a:gd name="adj2" fmla="val 21457183"/>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9</xdr:col>
      <xdr:colOff>387289</xdr:colOff>
      <xdr:row>13</xdr:row>
      <xdr:rowOff>2552</xdr:rowOff>
    </xdr:from>
    <xdr:to>
      <xdr:col>11</xdr:col>
      <xdr:colOff>47625</xdr:colOff>
      <xdr:row>23</xdr:row>
      <xdr:rowOff>92900</xdr:rowOff>
    </xdr:to>
    <xdr:sp macro="" textlink="">
      <xdr:nvSpPr>
        <xdr:cNvPr id="67" name="Arc 66">
          <a:extLst>
            <a:ext uri="{FF2B5EF4-FFF2-40B4-BE49-F238E27FC236}">
              <a16:creationId xmlns:a16="http://schemas.microsoft.com/office/drawing/2014/main" id="{00000000-0008-0000-0200-000043000000}"/>
            </a:ext>
          </a:extLst>
        </xdr:cNvPr>
        <xdr:cNvSpPr/>
      </xdr:nvSpPr>
      <xdr:spPr>
        <a:xfrm flipH="1" flipV="1">
          <a:off x="7612682" y="2479052"/>
          <a:ext cx="884979" cy="879562"/>
        </a:xfrm>
        <a:prstGeom prst="arc">
          <a:avLst>
            <a:gd name="adj1" fmla="val 11525482"/>
            <a:gd name="adj2" fmla="val 1536356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127</xdr:row>
      <xdr:rowOff>9525</xdr:rowOff>
    </xdr:from>
    <xdr:to>
      <xdr:col>2</xdr:col>
      <xdr:colOff>238125</xdr:colOff>
      <xdr:row>142</xdr:row>
      <xdr:rowOff>0</xdr:rowOff>
    </xdr:to>
    <xdr:sp macro="" textlink="">
      <xdr:nvSpPr>
        <xdr:cNvPr id="68" name="Right Brace 67">
          <a:extLst>
            <a:ext uri="{FF2B5EF4-FFF2-40B4-BE49-F238E27FC236}">
              <a16:creationId xmlns:a16="http://schemas.microsoft.com/office/drawing/2014/main" id="{00000000-0008-0000-0200-000044000000}"/>
            </a:ext>
          </a:extLst>
        </xdr:cNvPr>
        <xdr:cNvSpPr/>
      </xdr:nvSpPr>
      <xdr:spPr>
        <a:xfrm>
          <a:off x="2232772" y="13714319"/>
          <a:ext cx="190500" cy="5201210"/>
        </a:xfrm>
        <a:prstGeom prst="rightBrac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0</xdr:colOff>
      <xdr:row>9</xdr:row>
      <xdr:rowOff>0</xdr:rowOff>
    </xdr:from>
    <xdr:to>
      <xdr:col>4</xdr:col>
      <xdr:colOff>0</xdr:colOff>
      <xdr:row>10</xdr:row>
      <xdr:rowOff>33618</xdr:rowOff>
    </xdr:to>
    <xdr:sp macro="" textlink="">
      <xdr:nvSpPr>
        <xdr:cNvPr id="81" name="TextBox 80">
          <a:extLst>
            <a:ext uri="{FF2B5EF4-FFF2-40B4-BE49-F238E27FC236}">
              <a16:creationId xmlns:a16="http://schemas.microsoft.com/office/drawing/2014/main" id="{00000000-0008-0000-0200-000051000000}"/>
            </a:ext>
          </a:extLst>
        </xdr:cNvPr>
        <xdr:cNvSpPr txBox="1"/>
      </xdr:nvSpPr>
      <xdr:spPr>
        <a:xfrm>
          <a:off x="2723029" y="1669676"/>
          <a:ext cx="1434353" cy="156883"/>
        </a:xfrm>
        <a:prstGeom prst="rect">
          <a:avLst/>
        </a:prstGeom>
        <a:solidFill>
          <a:schemeClr val="accent3">
            <a:lumMod val="40000"/>
            <a:lumOff val="60000"/>
          </a:schemeClr>
        </a:solidFill>
        <a:ln w="9525"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Probability Score</a:t>
          </a:r>
          <a:endParaRPr lang="en-US" sz="1100" baseline="0"/>
        </a:p>
      </xdr:txBody>
    </xdr:sp>
    <xdr:clientData/>
  </xdr:twoCellAnchor>
  <xdr:twoCellAnchor>
    <xdr:from>
      <xdr:col>3</xdr:col>
      <xdr:colOff>0</xdr:colOff>
      <xdr:row>27</xdr:row>
      <xdr:rowOff>0</xdr:rowOff>
    </xdr:from>
    <xdr:to>
      <xdr:col>4</xdr:col>
      <xdr:colOff>0</xdr:colOff>
      <xdr:row>31</xdr:row>
      <xdr:rowOff>77881</xdr:rowOff>
    </xdr:to>
    <xdr:sp macro="" textlink="">
      <xdr:nvSpPr>
        <xdr:cNvPr id="82" name="TextBox 81">
          <a:extLst>
            <a:ext uri="{FF2B5EF4-FFF2-40B4-BE49-F238E27FC236}">
              <a16:creationId xmlns:a16="http://schemas.microsoft.com/office/drawing/2014/main" id="{00000000-0008-0000-0200-000052000000}"/>
            </a:ext>
          </a:extLst>
        </xdr:cNvPr>
        <xdr:cNvSpPr txBox="1"/>
      </xdr:nvSpPr>
      <xdr:spPr>
        <a:xfrm>
          <a:off x="2723029" y="3182471"/>
          <a:ext cx="1434353" cy="369234"/>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a:t>
          </a:r>
          <a:r>
            <a:rPr lang="en-US" sz="1100" baseline="0"/>
            <a:t> Service Impact Score</a:t>
          </a:r>
        </a:p>
      </xdr:txBody>
    </xdr:sp>
    <xdr:clientData/>
  </xdr:twoCellAnchor>
  <xdr:twoCellAnchor>
    <xdr:from>
      <xdr:col>2</xdr:col>
      <xdr:colOff>315686</xdr:colOff>
      <xdr:row>14</xdr:row>
      <xdr:rowOff>1</xdr:rowOff>
    </xdr:from>
    <xdr:to>
      <xdr:col>3</xdr:col>
      <xdr:colOff>1436914</xdr:colOff>
      <xdr:row>19</xdr:row>
      <xdr:rowOff>66996</xdr:rowOff>
    </xdr:to>
    <xdr:sp macro="" textlink="">
      <xdr:nvSpPr>
        <xdr:cNvPr id="83" name="TextBox 82">
          <a:extLst>
            <a:ext uri="{FF2B5EF4-FFF2-40B4-BE49-F238E27FC236}">
              <a16:creationId xmlns:a16="http://schemas.microsoft.com/office/drawing/2014/main" id="{00000000-0008-0000-0200-000053000000}"/>
            </a:ext>
          </a:extLst>
        </xdr:cNvPr>
        <xdr:cNvSpPr txBox="1"/>
      </xdr:nvSpPr>
      <xdr:spPr>
        <a:xfrm>
          <a:off x="2764972" y="2579915"/>
          <a:ext cx="1469571" cy="339138"/>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Human Impact </a:t>
          </a:r>
          <a:r>
            <a:rPr lang="en-US" sz="1100" baseline="0"/>
            <a:t>Score</a:t>
          </a:r>
        </a:p>
      </xdr:txBody>
    </xdr:sp>
    <xdr:clientData/>
  </xdr:twoCellAnchor>
  <xdr:twoCellAnchor>
    <xdr:from>
      <xdr:col>3</xdr:col>
      <xdr:colOff>0</xdr:colOff>
      <xdr:row>39</xdr:row>
      <xdr:rowOff>0</xdr:rowOff>
    </xdr:from>
    <xdr:to>
      <xdr:col>4</xdr:col>
      <xdr:colOff>0</xdr:colOff>
      <xdr:row>47</xdr:row>
      <xdr:rowOff>0</xdr:rowOff>
    </xdr:to>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2723029" y="4157382"/>
          <a:ext cx="1434353" cy="582706"/>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Inpatient</a:t>
          </a:r>
          <a:r>
            <a:rPr lang="en-US" sz="1100" baseline="0"/>
            <a:t> Healthcare Facility Infrastructure Impact Score</a:t>
          </a:r>
        </a:p>
      </xdr:txBody>
    </xdr:sp>
    <xdr:clientData/>
  </xdr:twoCellAnchor>
  <xdr:twoCellAnchor>
    <xdr:from>
      <xdr:col>3</xdr:col>
      <xdr:colOff>0</xdr:colOff>
      <xdr:row>55</xdr:row>
      <xdr:rowOff>0</xdr:rowOff>
    </xdr:from>
    <xdr:to>
      <xdr:col>4</xdr:col>
      <xdr:colOff>0</xdr:colOff>
      <xdr:row>59</xdr:row>
      <xdr:rowOff>77881</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2723029" y="5423647"/>
          <a:ext cx="1434353" cy="369234"/>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Community </a:t>
          </a:r>
          <a:r>
            <a:rPr lang="en-US" sz="1100" baseline="0"/>
            <a:t>Impact </a:t>
          </a:r>
        </a:p>
        <a:p>
          <a:pPr algn="ctr"/>
          <a:r>
            <a:rPr lang="en-US" sz="1100" baseline="0"/>
            <a:t>Score</a:t>
          </a:r>
        </a:p>
      </xdr:txBody>
    </xdr:sp>
    <xdr:clientData/>
  </xdr:twoCellAnchor>
  <xdr:twoCellAnchor>
    <xdr:from>
      <xdr:col>3</xdr:col>
      <xdr:colOff>0</xdr:colOff>
      <xdr:row>69</xdr:row>
      <xdr:rowOff>0</xdr:rowOff>
    </xdr:from>
    <xdr:to>
      <xdr:col>4</xdr:col>
      <xdr:colOff>0</xdr:colOff>
      <xdr:row>73</xdr:row>
      <xdr:rowOff>77881</xdr:rowOff>
    </xdr:to>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2723029" y="6544235"/>
          <a:ext cx="1434353" cy="369234"/>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 Health </a:t>
          </a:r>
          <a:r>
            <a:rPr lang="en-US" sz="1100" baseline="0"/>
            <a:t>Service Impact Score</a:t>
          </a:r>
        </a:p>
      </xdr:txBody>
    </xdr:sp>
    <xdr:clientData/>
  </xdr:twoCellAnchor>
  <xdr:twoCellAnchor>
    <xdr:from>
      <xdr:col>3</xdr:col>
      <xdr:colOff>0</xdr:colOff>
      <xdr:row>85</xdr:row>
      <xdr:rowOff>0</xdr:rowOff>
    </xdr:from>
    <xdr:to>
      <xdr:col>4</xdr:col>
      <xdr:colOff>0</xdr:colOff>
      <xdr:row>89</xdr:row>
      <xdr:rowOff>77881</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2723029" y="7810500"/>
          <a:ext cx="1434353" cy="369234"/>
        </a:xfrm>
        <a:prstGeom prst="rect">
          <a:avLst/>
        </a:prstGeom>
        <a:solidFill>
          <a:schemeClr val="tx2">
            <a:lumMod val="40000"/>
            <a:lumOff val="60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At-Risk Populations </a:t>
          </a:r>
          <a:r>
            <a:rPr lang="en-US" sz="1100" baseline="0"/>
            <a:t>Score</a:t>
          </a:r>
        </a:p>
      </xdr:txBody>
    </xdr:sp>
    <xdr:clientData/>
  </xdr:twoCellAnchor>
  <xdr:twoCellAnchor>
    <xdr:from>
      <xdr:col>3</xdr:col>
      <xdr:colOff>0</xdr:colOff>
      <xdr:row>109</xdr:row>
      <xdr:rowOff>0</xdr:rowOff>
    </xdr:from>
    <xdr:to>
      <xdr:col>4</xdr:col>
      <xdr:colOff>0</xdr:colOff>
      <xdr:row>113</xdr:row>
      <xdr:rowOff>77881</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2723029" y="9659471"/>
          <a:ext cx="1434353" cy="369234"/>
        </a:xfrm>
        <a:prstGeom prst="rect">
          <a:avLst/>
        </a:prstGeom>
        <a:solidFill>
          <a:schemeClr val="accent6">
            <a:lumMod val="40000"/>
            <a:lumOff val="6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 Health </a:t>
          </a:r>
          <a:r>
            <a:rPr lang="en-US" sz="1100" baseline="0"/>
            <a:t>Preparedness  Score</a:t>
          </a:r>
        </a:p>
      </xdr:txBody>
    </xdr:sp>
    <xdr:clientData/>
  </xdr:twoCellAnchor>
  <xdr:twoCellAnchor>
    <xdr:from>
      <xdr:col>3</xdr:col>
      <xdr:colOff>0</xdr:colOff>
      <xdr:row>133</xdr:row>
      <xdr:rowOff>0</xdr:rowOff>
    </xdr:from>
    <xdr:to>
      <xdr:col>4</xdr:col>
      <xdr:colOff>78442</xdr:colOff>
      <xdr:row>137</xdr:row>
      <xdr:rowOff>77881</xdr:rowOff>
    </xdr:to>
    <xdr:sp macro="" textlink="">
      <xdr:nvSpPr>
        <xdr:cNvPr id="94" name="TextBox 93">
          <a:extLst>
            <a:ext uri="{FF2B5EF4-FFF2-40B4-BE49-F238E27FC236}">
              <a16:creationId xmlns:a16="http://schemas.microsoft.com/office/drawing/2014/main" id="{00000000-0008-0000-0200-00005E000000}"/>
            </a:ext>
          </a:extLst>
        </xdr:cNvPr>
        <xdr:cNvSpPr txBox="1"/>
      </xdr:nvSpPr>
      <xdr:spPr>
        <a:xfrm>
          <a:off x="2723029" y="11508441"/>
          <a:ext cx="1512795" cy="369234"/>
        </a:xfrm>
        <a:prstGeom prst="rect">
          <a:avLst/>
        </a:prstGeom>
        <a:solidFill>
          <a:schemeClr val="accent6">
            <a:lumMod val="40000"/>
            <a:lumOff val="6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 </a:t>
          </a:r>
          <a:r>
            <a:rPr lang="en-US" sz="1100" baseline="0"/>
            <a:t>Preparedness Score</a:t>
          </a:r>
        </a:p>
      </xdr:txBody>
    </xdr:sp>
    <xdr:clientData/>
  </xdr:twoCellAnchor>
  <xdr:twoCellAnchor>
    <xdr:from>
      <xdr:col>3</xdr:col>
      <xdr:colOff>1148670</xdr:colOff>
      <xdr:row>128</xdr:row>
      <xdr:rowOff>3151</xdr:rowOff>
    </xdr:from>
    <xdr:to>
      <xdr:col>4</xdr:col>
      <xdr:colOff>353052</xdr:colOff>
      <xdr:row>135</xdr:row>
      <xdr:rowOff>11905</xdr:rowOff>
    </xdr:to>
    <xdr:sp macro="" textlink="">
      <xdr:nvSpPr>
        <xdr:cNvPr id="95" name="Arc 94">
          <a:extLst>
            <a:ext uri="{FF2B5EF4-FFF2-40B4-BE49-F238E27FC236}">
              <a16:creationId xmlns:a16="http://schemas.microsoft.com/office/drawing/2014/main" id="{00000000-0008-0000-0200-00005F000000}"/>
            </a:ext>
          </a:extLst>
        </xdr:cNvPr>
        <xdr:cNvSpPr/>
      </xdr:nvSpPr>
      <xdr:spPr>
        <a:xfrm flipH="1" flipV="1">
          <a:off x="3871699" y="11197827"/>
          <a:ext cx="638735" cy="468196"/>
        </a:xfrm>
        <a:prstGeom prst="arc">
          <a:avLst>
            <a:gd name="adj1" fmla="val 11032550"/>
            <a:gd name="adj2" fmla="val 1572036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535781</xdr:colOff>
      <xdr:row>121</xdr:row>
      <xdr:rowOff>53578</xdr:rowOff>
    </xdr:from>
    <xdr:to>
      <xdr:col>13</xdr:col>
      <xdr:colOff>152681</xdr:colOff>
      <xdr:row>126</xdr:row>
      <xdr:rowOff>6443</xdr:rowOff>
    </xdr:to>
    <xdr:sp macro="" textlink="">
      <xdr:nvSpPr>
        <xdr:cNvPr id="96" name="TextBox 95">
          <a:extLst>
            <a:ext uri="{FF2B5EF4-FFF2-40B4-BE49-F238E27FC236}">
              <a16:creationId xmlns:a16="http://schemas.microsoft.com/office/drawing/2014/main" id="{00000000-0008-0000-0200-000060000000}"/>
            </a:ext>
          </a:extLst>
        </xdr:cNvPr>
        <xdr:cNvSpPr txBox="1"/>
      </xdr:nvSpPr>
      <xdr:spPr>
        <a:xfrm>
          <a:off x="8328422" y="10453687"/>
          <a:ext cx="1438556" cy="363631"/>
        </a:xfrm>
        <a:prstGeom prst="rect">
          <a:avLst/>
        </a:prstGeom>
        <a:solidFill>
          <a:schemeClr val="accent6">
            <a:lumMod val="40000"/>
            <a:lumOff val="6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baseline="0"/>
            <a:t>Preparedness Score</a:t>
          </a:r>
        </a:p>
      </xdr:txBody>
    </xdr:sp>
    <xdr:clientData/>
  </xdr:twoCellAnchor>
  <xdr:twoCellAnchor>
    <xdr:from>
      <xdr:col>4</xdr:col>
      <xdr:colOff>78442</xdr:colOff>
      <xdr:row>135</xdr:row>
      <xdr:rowOff>38941</xdr:rowOff>
    </xdr:from>
    <xdr:to>
      <xdr:col>10</xdr:col>
      <xdr:colOff>96371</xdr:colOff>
      <xdr:row>135</xdr:row>
      <xdr:rowOff>40341</xdr:rowOff>
    </xdr:to>
    <xdr:cxnSp macro="">
      <xdr:nvCxnSpPr>
        <xdr:cNvPr id="99" name="Straight Connector 98">
          <a:extLst>
            <a:ext uri="{FF2B5EF4-FFF2-40B4-BE49-F238E27FC236}">
              <a16:creationId xmlns:a16="http://schemas.microsoft.com/office/drawing/2014/main" id="{00000000-0008-0000-0200-000063000000}"/>
            </a:ext>
          </a:extLst>
        </xdr:cNvPr>
        <xdr:cNvCxnSpPr>
          <a:stCxn id="94" idx="3"/>
        </xdr:cNvCxnSpPr>
      </xdr:nvCxnSpPr>
      <xdr:spPr>
        <a:xfrm>
          <a:off x="4227770" y="11546332"/>
          <a:ext cx="3661242" cy="1400"/>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10</xdr:col>
      <xdr:colOff>95250</xdr:colOff>
      <xdr:row>124</xdr:row>
      <xdr:rowOff>11906</xdr:rowOff>
    </xdr:from>
    <xdr:to>
      <xdr:col>10</xdr:col>
      <xdr:colOff>96371</xdr:colOff>
      <xdr:row>135</xdr:row>
      <xdr:rowOff>40342</xdr:rowOff>
    </xdr:to>
    <xdr:cxnSp macro="">
      <xdr:nvCxnSpPr>
        <xdr:cNvPr id="105" name="Straight Connector 104">
          <a:extLst>
            <a:ext uri="{FF2B5EF4-FFF2-40B4-BE49-F238E27FC236}">
              <a16:creationId xmlns:a16="http://schemas.microsoft.com/office/drawing/2014/main" id="{00000000-0008-0000-0200-000069000000}"/>
            </a:ext>
          </a:extLst>
        </xdr:cNvPr>
        <xdr:cNvCxnSpPr/>
      </xdr:nvCxnSpPr>
      <xdr:spPr>
        <a:xfrm flipH="1" flipV="1">
          <a:off x="7887891" y="10679906"/>
          <a:ext cx="1121" cy="867827"/>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10</xdr:col>
      <xdr:colOff>95905</xdr:colOff>
      <xdr:row>124</xdr:row>
      <xdr:rowOff>17859</xdr:rowOff>
    </xdr:from>
    <xdr:to>
      <xdr:col>10</xdr:col>
      <xdr:colOff>523875</xdr:colOff>
      <xdr:row>125</xdr:row>
      <xdr:rowOff>1394</xdr:rowOff>
    </xdr:to>
    <xdr:cxnSp macro="">
      <xdr:nvCxnSpPr>
        <xdr:cNvPr id="107" name="Straight Arrow Connector 106">
          <a:extLst>
            <a:ext uri="{FF2B5EF4-FFF2-40B4-BE49-F238E27FC236}">
              <a16:creationId xmlns:a16="http://schemas.microsoft.com/office/drawing/2014/main" id="{00000000-0008-0000-0200-00006B000000}"/>
            </a:ext>
          </a:extLst>
        </xdr:cNvPr>
        <xdr:cNvCxnSpPr/>
      </xdr:nvCxnSpPr>
      <xdr:spPr>
        <a:xfrm flipV="1">
          <a:off x="7888546" y="10685859"/>
          <a:ext cx="427970" cy="1394"/>
        </a:xfrm>
        <a:prstGeom prst="straightConnector1">
          <a:avLst/>
        </a:prstGeom>
        <a:ln w="9525">
          <a:solidFill>
            <a:schemeClr val="accent6"/>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13</xdr:col>
      <xdr:colOff>153684</xdr:colOff>
      <xdr:row>123</xdr:row>
      <xdr:rowOff>83208</xdr:rowOff>
    </xdr:from>
    <xdr:to>
      <xdr:col>13</xdr:col>
      <xdr:colOff>571499</xdr:colOff>
      <xdr:row>123</xdr:row>
      <xdr:rowOff>83344</xdr:rowOff>
    </xdr:to>
    <xdr:cxnSp macro="">
      <xdr:nvCxnSpPr>
        <xdr:cNvPr id="108" name="Straight Connector 107">
          <a:extLst>
            <a:ext uri="{FF2B5EF4-FFF2-40B4-BE49-F238E27FC236}">
              <a16:creationId xmlns:a16="http://schemas.microsoft.com/office/drawing/2014/main" id="{00000000-0008-0000-0200-00006C000000}"/>
            </a:ext>
          </a:extLst>
        </xdr:cNvPr>
        <xdr:cNvCxnSpPr/>
      </xdr:nvCxnSpPr>
      <xdr:spPr>
        <a:xfrm>
          <a:off x="9767981" y="10626192"/>
          <a:ext cx="417815" cy="136"/>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14</xdr:col>
      <xdr:colOff>344600</xdr:colOff>
      <xdr:row>81</xdr:row>
      <xdr:rowOff>3</xdr:rowOff>
    </xdr:from>
    <xdr:to>
      <xdr:col>16</xdr:col>
      <xdr:colOff>287451</xdr:colOff>
      <xdr:row>91</xdr:row>
      <xdr:rowOff>4</xdr:rowOff>
    </xdr:to>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0631600" y="7647217"/>
          <a:ext cx="1167494" cy="680358"/>
        </a:xfrm>
        <a:prstGeom prst="rect">
          <a:avLst/>
        </a:prstGeom>
        <a:solidFill>
          <a:schemeClr val="bg1">
            <a:lumMod val="85000"/>
          </a:schemeClr>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baseline="0"/>
            <a:t>Planning Priority Score</a:t>
          </a:r>
        </a:p>
      </xdr:txBody>
    </xdr:sp>
    <xdr:clientData/>
  </xdr:twoCellAnchor>
  <xdr:twoCellAnchor>
    <xdr:from>
      <xdr:col>3</xdr:col>
      <xdr:colOff>205208</xdr:colOff>
      <xdr:row>113</xdr:row>
      <xdr:rowOff>118823</xdr:rowOff>
    </xdr:from>
    <xdr:to>
      <xdr:col>9</xdr:col>
      <xdr:colOff>480078</xdr:colOff>
      <xdr:row>131</xdr:row>
      <xdr:rowOff>97533</xdr:rowOff>
    </xdr:to>
    <mc:AlternateContent xmlns:mc="http://schemas.openxmlformats.org/markup-compatibility/2006" xmlns:a14="http://schemas.microsoft.com/office/drawing/2010/main">
      <mc:Choice Requires="a14">
        <xdr:sp macro="" textlink="">
          <xdr:nvSpPr>
            <xdr:cNvPr id="60" name="Text Box 2">
              <a:extLst>
                <a:ext uri="{FF2B5EF4-FFF2-40B4-BE49-F238E27FC236}">
                  <a16:creationId xmlns:a16="http://schemas.microsoft.com/office/drawing/2014/main" id="{00000000-0008-0000-0200-00003C000000}"/>
                </a:ext>
              </a:extLst>
            </xdr:cNvPr>
            <xdr:cNvSpPr txBox="1">
              <a:spLocks noChangeArrowheads="1"/>
            </xdr:cNvSpPr>
          </xdr:nvSpPr>
          <xdr:spPr bwMode="auto">
            <a:xfrm>
              <a:off x="2931329" y="10031392"/>
              <a:ext cx="4761473" cy="1384469"/>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14:m>
                <m:oMath xmlns:m="http://schemas.openxmlformats.org/officeDocument/2006/math">
                  <m:r>
                    <a:rPr lang="en-US" sz="1000" i="1">
                      <a:effectLst/>
                      <a:latin typeface="Cambria Math"/>
                      <a:ea typeface="Calibri"/>
                      <a:cs typeface="Times New Roman"/>
                    </a:rPr>
                    <m:t> </m:t>
                  </m:r>
                  <m:r>
                    <a:rPr lang="en-US" sz="1000" i="1">
                      <a:effectLst/>
                      <a:latin typeface="Cambria Math"/>
                      <a:ea typeface="Calibri"/>
                      <a:cs typeface="Times New Roman"/>
                    </a:rPr>
                    <m:t>𝑛</m:t>
                  </m:r>
                </m:oMath>
              </a14:m>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Preparedness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a:rPr lang="en-US" sz="1000">
                                <a:effectLst/>
                                <a:latin typeface="Cambria Math"/>
                                <a:ea typeface="Calibri"/>
                                <a:cs typeface="Times New Roman"/>
                              </a:rPr>
                              <m:t>(</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e>
                        </m:nary>
                      </m:num>
                      <m:den>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e>
                        </m:nary>
                      </m:den>
                    </m:f>
                  </m:oMath>
                </m:oMathPara>
              </a14:m>
              <a:endParaRPr lang="en-US" sz="1000">
                <a:effectLst/>
                <a:latin typeface="Calibri"/>
                <a:ea typeface="Calibri"/>
                <a:cs typeface="Times New Roman"/>
              </a:endParaRPr>
            </a:p>
          </xdr:txBody>
        </xdr:sp>
      </mc:Choice>
      <mc:Fallback xmlns="">
        <xdr:sp macro="" textlink="">
          <xdr:nvSpPr>
            <xdr:cNvPr id="60" name="Text Box 2"/>
            <xdr:cNvSpPr txBox="1">
              <a:spLocks noChangeArrowheads="1"/>
            </xdr:cNvSpPr>
          </xdr:nvSpPr>
          <xdr:spPr bwMode="auto">
            <a:xfrm>
              <a:off x="2931329" y="10031392"/>
              <a:ext cx="4761473" cy="1384469"/>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r>
                <a:rPr lang="en-US" sz="1000" i="0">
                  <a:effectLst/>
                  <a:latin typeface="Cambria Math"/>
                  <a:ea typeface="Calibri"/>
                  <a:cs typeface="Times New Roman"/>
                </a:rPr>
                <a:t> 𝑛</a:t>
              </a:r>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r>
                <a:rPr lang="en-US" sz="1000" i="0">
                  <a:effectLst/>
                  <a:latin typeface="Cambria Math"/>
                  <a:ea typeface="Calibri"/>
                  <a:cs typeface="Times New Roman"/>
                </a:rPr>
                <a:t>Preparedness Score= </a:t>
              </a:r>
              <a:r>
                <a:rPr lang="en-US" sz="1000" i="0">
                  <a:effectLst/>
                  <a:latin typeface="Cambria Math"/>
                  <a:cs typeface="Times New Roman"/>
                </a:rPr>
                <a:t> (∑_(</a:t>
              </a:r>
              <a:r>
                <a:rPr lang="en-US" sz="1000" i="0">
                  <a:effectLst/>
                  <a:latin typeface="Cambria Math"/>
                  <a:ea typeface="Calibri"/>
                  <a:cs typeface="Times New Roman"/>
                </a:rPr>
                <a:t>𝑛=1)^15▒〖(Capability 𝑛 Score× Capability 𝑛 Relevance Score)〗)/(∑_(𝑛=1)^15▒〖Capability 𝑛 Relevance Score〗)</a:t>
              </a:r>
              <a:endParaRPr lang="en-US" sz="1000">
                <a:effectLst/>
                <a:latin typeface="Calibri"/>
                <a:ea typeface="Calibri"/>
                <a:cs typeface="Times New Roman"/>
              </a:endParaRPr>
            </a:p>
          </xdr:txBody>
        </xdr:sp>
      </mc:Fallback>
    </mc:AlternateContent>
    <xdr:clientData/>
  </xdr:twoCellAnchor>
  <xdr:twoCellAnchor>
    <xdr:from>
      <xdr:col>5</xdr:col>
      <xdr:colOff>600636</xdr:colOff>
      <xdr:row>41</xdr:row>
      <xdr:rowOff>6724</xdr:rowOff>
    </xdr:from>
    <xdr:to>
      <xdr:col>7</xdr:col>
      <xdr:colOff>437031</xdr:colOff>
      <xdr:row>45</xdr:row>
      <xdr:rowOff>84605</xdr:rowOff>
    </xdr:to>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5363136" y="4309783"/>
          <a:ext cx="1046630" cy="369234"/>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Severity </a:t>
          </a:r>
          <a:r>
            <a:rPr lang="en-US" sz="1100" baseline="0"/>
            <a:t>Score</a:t>
          </a:r>
        </a:p>
      </xdr:txBody>
    </xdr:sp>
    <xdr:clientData/>
  </xdr:twoCellAnchor>
  <xdr:twoCellAnchor>
    <xdr:from>
      <xdr:col>9</xdr:col>
      <xdr:colOff>17229</xdr:colOff>
      <xdr:row>22</xdr:row>
      <xdr:rowOff>112829</xdr:rowOff>
    </xdr:from>
    <xdr:to>
      <xdr:col>10</xdr:col>
      <xdr:colOff>312965</xdr:colOff>
      <xdr:row>27</xdr:row>
      <xdr:rowOff>65695</xdr:rowOff>
    </xdr:to>
    <xdr:sp macro="" textlink="">
      <xdr:nvSpPr>
        <xdr:cNvPr id="127" name="TextBox 126">
          <a:extLst>
            <a:ext uri="{FF2B5EF4-FFF2-40B4-BE49-F238E27FC236}">
              <a16:creationId xmlns:a16="http://schemas.microsoft.com/office/drawing/2014/main" id="{00000000-0008-0000-0200-00007F000000}"/>
            </a:ext>
          </a:extLst>
        </xdr:cNvPr>
        <xdr:cNvSpPr txBox="1"/>
      </xdr:nvSpPr>
      <xdr:spPr>
        <a:xfrm>
          <a:off x="7242622" y="3256079"/>
          <a:ext cx="908057" cy="347473"/>
        </a:xfrm>
        <a:prstGeom prst="rect">
          <a:avLst/>
        </a:prstGeom>
        <a:solidFill>
          <a:schemeClr val="accent2">
            <a:lumMod val="40000"/>
            <a:lumOff val="60000"/>
          </a:schemeClr>
        </a:solidFill>
        <a:ln w="9525"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Risk </a:t>
          </a:r>
          <a:r>
            <a:rPr lang="en-US" sz="1100" baseline="0"/>
            <a:t>Score</a:t>
          </a:r>
        </a:p>
      </xdr:txBody>
    </xdr:sp>
    <xdr:clientData/>
  </xdr:twoCellAnchor>
  <xdr:twoCellAnchor>
    <xdr:from>
      <xdr:col>10</xdr:col>
      <xdr:colOff>92869</xdr:colOff>
      <xdr:row>111</xdr:row>
      <xdr:rowOff>39291</xdr:rowOff>
    </xdr:from>
    <xdr:to>
      <xdr:col>10</xdr:col>
      <xdr:colOff>93990</xdr:colOff>
      <xdr:row>123</xdr:row>
      <xdr:rowOff>49868</xdr:rowOff>
    </xdr:to>
    <xdr:cxnSp macro="">
      <xdr:nvCxnSpPr>
        <xdr:cNvPr id="142" name="Straight Connector 141">
          <a:extLst>
            <a:ext uri="{FF2B5EF4-FFF2-40B4-BE49-F238E27FC236}">
              <a16:creationId xmlns:a16="http://schemas.microsoft.com/office/drawing/2014/main" id="{00000000-0008-0000-0200-00008E000000}"/>
            </a:ext>
          </a:extLst>
        </xdr:cNvPr>
        <xdr:cNvCxnSpPr/>
      </xdr:nvCxnSpPr>
      <xdr:spPr>
        <a:xfrm flipH="1" flipV="1">
          <a:off x="7885510" y="9725025"/>
          <a:ext cx="1121" cy="867827"/>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10</xdr:col>
      <xdr:colOff>93523</xdr:colOff>
      <xdr:row>123</xdr:row>
      <xdr:rowOff>45244</xdr:rowOff>
    </xdr:from>
    <xdr:to>
      <xdr:col>10</xdr:col>
      <xdr:colOff>521493</xdr:colOff>
      <xdr:row>123</xdr:row>
      <xdr:rowOff>46638</xdr:rowOff>
    </xdr:to>
    <xdr:cxnSp macro="">
      <xdr:nvCxnSpPr>
        <xdr:cNvPr id="146" name="Straight Arrow Connector 145">
          <a:extLst>
            <a:ext uri="{FF2B5EF4-FFF2-40B4-BE49-F238E27FC236}">
              <a16:creationId xmlns:a16="http://schemas.microsoft.com/office/drawing/2014/main" id="{00000000-0008-0000-0200-000092000000}"/>
            </a:ext>
          </a:extLst>
        </xdr:cNvPr>
        <xdr:cNvCxnSpPr/>
      </xdr:nvCxnSpPr>
      <xdr:spPr>
        <a:xfrm flipV="1">
          <a:off x="7886164" y="10588228"/>
          <a:ext cx="427970" cy="1394"/>
        </a:xfrm>
        <a:prstGeom prst="straightConnector1">
          <a:avLst/>
        </a:prstGeom>
        <a:ln w="9525">
          <a:solidFill>
            <a:schemeClr val="accent6"/>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57829</xdr:colOff>
      <xdr:row>121</xdr:row>
      <xdr:rowOff>95250</xdr:rowOff>
    </xdr:from>
    <xdr:to>
      <xdr:col>12</xdr:col>
      <xdr:colOff>231322</xdr:colOff>
      <xdr:row>129</xdr:row>
      <xdr:rowOff>12757</xdr:rowOff>
    </xdr:to>
    <xdr:sp macro="" textlink="">
      <xdr:nvSpPr>
        <xdr:cNvPr id="156" name="Arc 155">
          <a:extLst>
            <a:ext uri="{FF2B5EF4-FFF2-40B4-BE49-F238E27FC236}">
              <a16:creationId xmlns:a16="http://schemas.microsoft.com/office/drawing/2014/main" id="{00000000-0008-0000-0200-00009C000000}"/>
            </a:ext>
          </a:extLst>
        </xdr:cNvPr>
        <xdr:cNvSpPr/>
      </xdr:nvSpPr>
      <xdr:spPr>
        <a:xfrm flipH="1" flipV="1">
          <a:off x="8507865" y="10572750"/>
          <a:ext cx="785814" cy="570650"/>
        </a:xfrm>
        <a:prstGeom prst="arc">
          <a:avLst>
            <a:gd name="adj1" fmla="val 15892405"/>
            <a:gd name="adj2" fmla="val 21457183"/>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11</xdr:col>
      <xdr:colOff>475649</xdr:colOff>
      <xdr:row>127</xdr:row>
      <xdr:rowOff>46776</xdr:rowOff>
    </xdr:from>
    <xdr:to>
      <xdr:col>16</xdr:col>
      <xdr:colOff>11206</xdr:colOff>
      <xdr:row>133</xdr:row>
      <xdr:rowOff>27214</xdr:rowOff>
    </xdr:to>
    <xdr:sp macro="" textlink="">
      <xdr:nvSpPr>
        <xdr:cNvPr id="157" name="Text Box 2">
          <a:extLst>
            <a:ext uri="{FF2B5EF4-FFF2-40B4-BE49-F238E27FC236}">
              <a16:creationId xmlns:a16="http://schemas.microsoft.com/office/drawing/2014/main" id="{00000000-0008-0000-0200-00009D000000}"/>
            </a:ext>
          </a:extLst>
        </xdr:cNvPr>
        <xdr:cNvSpPr txBox="1">
          <a:spLocks noChangeArrowheads="1"/>
        </xdr:cNvSpPr>
      </xdr:nvSpPr>
      <xdr:spPr bwMode="auto">
        <a:xfrm>
          <a:off x="8868855" y="11588835"/>
          <a:ext cx="2561145" cy="417467"/>
        </a:xfrm>
        <a:prstGeom prst="rect">
          <a:avLst/>
        </a:prstGeom>
        <a:solidFill>
          <a:srgbClr val="FFFFFF">
            <a:alpha val="70000"/>
          </a:srgbClr>
        </a:solidFill>
        <a:ln w="9525">
          <a:solidFill>
            <a:srgbClr val="000000"/>
          </a:solidFill>
          <a:miter lim="800000"/>
          <a:headEnd/>
          <a:tailEnd/>
        </a:ln>
      </xdr:spPr>
      <xdr:txBody>
        <a:bodyPr rot="0" vert="horz" wrap="square" lIns="91440" tIns="91440" rIns="91440" bIns="91440" anchor="ctr" anchorCtr="0">
          <a:noAutofit/>
        </a:bodyPr>
        <a:lstStyle/>
        <a:p>
          <a:pPr marL="0" marR="0">
            <a:lnSpc>
              <a:spcPct val="115000"/>
            </a:lnSpc>
            <a:spcBef>
              <a:spcPts val="0"/>
            </a:spcBef>
            <a:spcAft>
              <a:spcPts val="1000"/>
            </a:spcAft>
          </a:pPr>
          <a:r>
            <a:rPr lang="en-US" sz="1000">
              <a:effectLst/>
              <a:latin typeface="Cambria Math"/>
              <a:ea typeface="Calibri"/>
              <a:cs typeface="Times New Roman"/>
            </a:rPr>
            <a:t>Overall Preparedness</a:t>
          </a:r>
          <a:r>
            <a:rPr lang="en-US" sz="1000" baseline="0">
              <a:effectLst/>
              <a:latin typeface="Cambria Math"/>
              <a:ea typeface="Calibri"/>
              <a:cs typeface="Times New Roman"/>
            </a:rPr>
            <a:t> </a:t>
          </a:r>
          <a:r>
            <a:rPr lang="en-US" sz="1000">
              <a:effectLst/>
              <a:latin typeface="Cambria Math"/>
              <a:ea typeface="Calibri"/>
              <a:cs typeface="Times New Roman"/>
            </a:rPr>
            <a:t>= Average of Public</a:t>
          </a:r>
          <a:r>
            <a:rPr lang="en-US" sz="1000" baseline="0">
              <a:effectLst/>
              <a:latin typeface="Cambria Math"/>
              <a:ea typeface="Calibri"/>
              <a:cs typeface="Times New Roman"/>
            </a:rPr>
            <a:t> Health and Healthcare Preparedness</a:t>
          </a:r>
          <a:endParaRPr lang="en-US" sz="1000">
            <a:effectLst/>
            <a:latin typeface="Calibri"/>
            <a:ea typeface="Calibri"/>
            <a:cs typeface="Times New Roman"/>
          </a:endParaRPr>
        </a:p>
      </xdr:txBody>
    </xdr:sp>
    <xdr:clientData/>
  </xdr:twoCellAnchor>
  <xdr:twoCellAnchor>
    <xdr:from>
      <xdr:col>11</xdr:col>
      <xdr:colOff>585108</xdr:colOff>
      <xdr:row>41</xdr:row>
      <xdr:rowOff>27214</xdr:rowOff>
    </xdr:from>
    <xdr:to>
      <xdr:col>14</xdr:col>
      <xdr:colOff>40821</xdr:colOff>
      <xdr:row>52</xdr:row>
      <xdr:rowOff>4321</xdr:rowOff>
    </xdr:to>
    <xdr:sp macro="" textlink="">
      <xdr:nvSpPr>
        <xdr:cNvPr id="100" name="Arc 99">
          <a:extLst>
            <a:ext uri="{FF2B5EF4-FFF2-40B4-BE49-F238E27FC236}">
              <a16:creationId xmlns:a16="http://schemas.microsoft.com/office/drawing/2014/main" id="{00000000-0008-0000-0200-000064000000}"/>
            </a:ext>
          </a:extLst>
        </xdr:cNvPr>
        <xdr:cNvSpPr/>
      </xdr:nvSpPr>
      <xdr:spPr>
        <a:xfrm>
          <a:off x="9035144" y="4626428"/>
          <a:ext cx="1292677" cy="888786"/>
        </a:xfrm>
        <a:prstGeom prst="arc">
          <a:avLst>
            <a:gd name="adj1" fmla="val 21479538"/>
            <a:gd name="adj2" fmla="val 3895131"/>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13</xdr:col>
      <xdr:colOff>278547</xdr:colOff>
      <xdr:row>51</xdr:row>
      <xdr:rowOff>44823</xdr:rowOff>
    </xdr:from>
    <xdr:to>
      <xdr:col>18</xdr:col>
      <xdr:colOff>413017</xdr:colOff>
      <xdr:row>63</xdr:row>
      <xdr:rowOff>76041</xdr:rowOff>
    </xdr:to>
    <xdr:sp macro="" textlink="">
      <xdr:nvSpPr>
        <xdr:cNvPr id="3" name="Left Arrow Callout 2">
          <a:extLst>
            <a:ext uri="{FF2B5EF4-FFF2-40B4-BE49-F238E27FC236}">
              <a16:creationId xmlns:a16="http://schemas.microsoft.com/office/drawing/2014/main" id="{00000000-0008-0000-0200-000003000000}"/>
            </a:ext>
          </a:extLst>
        </xdr:cNvPr>
        <xdr:cNvSpPr/>
      </xdr:nvSpPr>
      <xdr:spPr>
        <a:xfrm>
          <a:off x="9953226" y="5433252"/>
          <a:ext cx="3196077" cy="847646"/>
        </a:xfrm>
        <a:prstGeom prst="lef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400" i="1">
              <a:solidFill>
                <a:schemeClr val="lt1"/>
              </a:solidFill>
              <a:effectLst/>
              <a:latin typeface="+mn-lt"/>
              <a:ea typeface="+mn-ea"/>
              <a:cs typeface="+mn-cs"/>
            </a:rPr>
            <a:t>If no </a:t>
          </a:r>
          <a:r>
            <a:rPr lang="en-US" sz="1400" i="1" baseline="0">
              <a:solidFill>
                <a:schemeClr val="lt1"/>
              </a:solidFill>
              <a:effectLst/>
              <a:latin typeface="+mn-lt"/>
              <a:ea typeface="+mn-ea"/>
              <a:cs typeface="+mn-cs"/>
            </a:rPr>
            <a:t>Preparedness Scores are available, Adjusted Risk is final score.</a:t>
          </a:r>
          <a:endParaRPr lang="en-US" sz="1400">
            <a:effectLst/>
          </a:endParaRPr>
        </a:p>
      </xdr:txBody>
    </xdr:sp>
    <xdr:clientData/>
  </xdr:twoCellAnchor>
  <xdr:twoCellAnchor>
    <xdr:from>
      <xdr:col>1</xdr:col>
      <xdr:colOff>0</xdr:colOff>
      <xdr:row>3</xdr:row>
      <xdr:rowOff>0</xdr:rowOff>
    </xdr:from>
    <xdr:to>
      <xdr:col>1</xdr:col>
      <xdr:colOff>1746755</xdr:colOff>
      <xdr:row>5</xdr:row>
      <xdr:rowOff>156883</xdr:rowOff>
    </xdr:to>
    <xdr:sp macro="" textlink="">
      <xdr:nvSpPr>
        <xdr:cNvPr id="119" name="Rounded Rectangle 118">
          <a:hlinkClick xmlns:r="http://schemas.openxmlformats.org/officeDocument/2006/relationships" r:id="rId1"/>
          <a:extLst>
            <a:ext uri="{FF2B5EF4-FFF2-40B4-BE49-F238E27FC236}">
              <a16:creationId xmlns:a16="http://schemas.microsoft.com/office/drawing/2014/main" id="{00000000-0008-0000-0200-000077000000}"/>
            </a:ext>
          </a:extLst>
        </xdr:cNvPr>
        <xdr:cNvSpPr/>
      </xdr:nvSpPr>
      <xdr:spPr>
        <a:xfrm>
          <a:off x="612321" y="816429"/>
          <a:ext cx="1746755" cy="565097"/>
        </a:xfrm>
        <a:prstGeom prst="roundRect">
          <a:avLst/>
        </a:prstGeom>
        <a:solidFill>
          <a:schemeClr val="bg2">
            <a:lumMod val="90000"/>
          </a:schemeClr>
        </a:solidFill>
        <a:ln w="19050">
          <a:solidFill>
            <a:schemeClr val="bg1">
              <a:lumMod val="7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lumMod val="75000"/>
                </a:schemeClr>
              </a:solidFill>
              <a:latin typeface="+mj-lt"/>
            </a:rPr>
            <a:t>Overall Tool</a:t>
          </a:r>
        </a:p>
      </xdr:txBody>
    </xdr:sp>
    <xdr:clientData/>
  </xdr:twoCellAnchor>
  <xdr:twoCellAnchor>
    <xdr:from>
      <xdr:col>4</xdr:col>
      <xdr:colOff>163290</xdr:colOff>
      <xdr:row>3</xdr:row>
      <xdr:rowOff>0</xdr:rowOff>
    </xdr:from>
    <xdr:to>
      <xdr:col>7</xdr:col>
      <xdr:colOff>56274</xdr:colOff>
      <xdr:row>5</xdr:row>
      <xdr:rowOff>156883</xdr:rowOff>
    </xdr:to>
    <xdr:sp macro="" textlink="">
      <xdr:nvSpPr>
        <xdr:cNvPr id="126" name="Rounded Rectangle 125">
          <a:hlinkClick xmlns:r="http://schemas.openxmlformats.org/officeDocument/2006/relationships" r:id="rId2"/>
          <a:extLst>
            <a:ext uri="{FF2B5EF4-FFF2-40B4-BE49-F238E27FC236}">
              <a16:creationId xmlns:a16="http://schemas.microsoft.com/office/drawing/2014/main" id="{00000000-0008-0000-0200-00007E000000}"/>
            </a:ext>
          </a:extLst>
        </xdr:cNvPr>
        <xdr:cNvSpPr/>
      </xdr:nvSpPr>
      <xdr:spPr>
        <a:xfrm>
          <a:off x="4327076" y="816429"/>
          <a:ext cx="1729948" cy="565097"/>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tx1"/>
              </a:solidFill>
              <a:latin typeface="+mj-lt"/>
            </a:rPr>
            <a:t>Public Health System Assessment</a:t>
          </a:r>
        </a:p>
      </xdr:txBody>
    </xdr:sp>
    <xdr:clientData/>
  </xdr:twoCellAnchor>
  <xdr:twoCellAnchor>
    <xdr:from>
      <xdr:col>7</xdr:col>
      <xdr:colOff>381009</xdr:colOff>
      <xdr:row>3</xdr:row>
      <xdr:rowOff>0</xdr:rowOff>
    </xdr:from>
    <xdr:to>
      <xdr:col>10</xdr:col>
      <xdr:colOff>270789</xdr:colOff>
      <xdr:row>5</xdr:row>
      <xdr:rowOff>156883</xdr:rowOff>
    </xdr:to>
    <xdr:sp macro="" textlink="">
      <xdr:nvSpPr>
        <xdr:cNvPr id="129" name="Rounded Rectangle 128">
          <a:hlinkClick xmlns:r="http://schemas.openxmlformats.org/officeDocument/2006/relationships" r:id="rId3"/>
          <a:extLst>
            <a:ext uri="{FF2B5EF4-FFF2-40B4-BE49-F238E27FC236}">
              <a16:creationId xmlns:a16="http://schemas.microsoft.com/office/drawing/2014/main" id="{00000000-0008-0000-0200-000081000000}"/>
            </a:ext>
          </a:extLst>
        </xdr:cNvPr>
        <xdr:cNvSpPr/>
      </xdr:nvSpPr>
      <xdr:spPr>
        <a:xfrm>
          <a:off x="6381759" y="816429"/>
          <a:ext cx="1726744" cy="565097"/>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tx1"/>
              </a:solidFill>
              <a:latin typeface="+mj-lt"/>
            </a:rPr>
            <a:t>Healthcare System Assessment</a:t>
          </a:r>
        </a:p>
      </xdr:txBody>
    </xdr:sp>
    <xdr:clientData/>
  </xdr:twoCellAnchor>
  <xdr:twoCellAnchor>
    <xdr:from>
      <xdr:col>11</xdr:col>
      <xdr:colOff>0</xdr:colOff>
      <xdr:row>1</xdr:row>
      <xdr:rowOff>0</xdr:rowOff>
    </xdr:from>
    <xdr:to>
      <xdr:col>12</xdr:col>
      <xdr:colOff>604558</xdr:colOff>
      <xdr:row>2</xdr:row>
      <xdr:rowOff>4482</xdr:rowOff>
    </xdr:to>
    <xdr:sp macro="" textlink="">
      <xdr:nvSpPr>
        <xdr:cNvPr id="84" name="Rounded Rectangle 83">
          <a:hlinkClick xmlns:r="http://schemas.openxmlformats.org/officeDocument/2006/relationships" r:id="rId4"/>
          <a:extLst>
            <a:ext uri="{FF2B5EF4-FFF2-40B4-BE49-F238E27FC236}">
              <a16:creationId xmlns:a16="http://schemas.microsoft.com/office/drawing/2014/main" id="{00000000-0008-0000-0200-000054000000}"/>
            </a:ext>
          </a:extLst>
        </xdr:cNvPr>
        <xdr:cNvSpPr/>
      </xdr:nvSpPr>
      <xdr:spPr>
        <a:xfrm>
          <a:off x="8450036" y="190500"/>
          <a:ext cx="1216879" cy="426303"/>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9</xdr:row>
      <xdr:rowOff>72838</xdr:rowOff>
    </xdr:from>
    <xdr:to>
      <xdr:col>3</xdr:col>
      <xdr:colOff>0</xdr:colOff>
      <xdr:row>9</xdr:row>
      <xdr:rowOff>72838</xdr:rowOff>
    </xdr:to>
    <xdr:cxnSp macro="">
      <xdr:nvCxnSpPr>
        <xdr:cNvPr id="2" name="Straight Arrow Connector 1">
          <a:extLst>
            <a:ext uri="{FF2B5EF4-FFF2-40B4-BE49-F238E27FC236}">
              <a16:creationId xmlns:a16="http://schemas.microsoft.com/office/drawing/2014/main" id="{00000000-0008-0000-0300-000002000000}"/>
            </a:ext>
          </a:extLst>
        </xdr:cNvPr>
        <xdr:cNvCxnSpPr/>
      </xdr:nvCxnSpPr>
      <xdr:spPr>
        <a:xfrm>
          <a:off x="2390775" y="1730188"/>
          <a:ext cx="333375" cy="0"/>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57150</xdr:colOff>
      <xdr:row>11</xdr:row>
      <xdr:rowOff>0</xdr:rowOff>
    </xdr:from>
    <xdr:to>
      <xdr:col>2</xdr:col>
      <xdr:colOff>228600</xdr:colOff>
      <xdr:row>22</xdr:row>
      <xdr:rowOff>0</xdr:rowOff>
    </xdr:to>
    <xdr:sp macro="" textlink="">
      <xdr:nvSpPr>
        <xdr:cNvPr id="3" name="Right Brace 2">
          <a:extLst>
            <a:ext uri="{FF2B5EF4-FFF2-40B4-BE49-F238E27FC236}">
              <a16:creationId xmlns:a16="http://schemas.microsoft.com/office/drawing/2014/main" id="{00000000-0008-0000-0300-000003000000}"/>
            </a:ext>
          </a:extLst>
        </xdr:cNvPr>
        <xdr:cNvSpPr/>
      </xdr:nvSpPr>
      <xdr:spPr>
        <a:xfrm>
          <a:off x="2447925" y="1905000"/>
          <a:ext cx="171450" cy="838200"/>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23</xdr:row>
      <xdr:rowOff>9525</xdr:rowOff>
    </xdr:from>
    <xdr:to>
      <xdr:col>2</xdr:col>
      <xdr:colOff>228600</xdr:colOff>
      <xdr:row>34</xdr:row>
      <xdr:rowOff>9525</xdr:rowOff>
    </xdr:to>
    <xdr:sp macro="" textlink="">
      <xdr:nvSpPr>
        <xdr:cNvPr id="4" name="Right Brace 3">
          <a:extLst>
            <a:ext uri="{FF2B5EF4-FFF2-40B4-BE49-F238E27FC236}">
              <a16:creationId xmlns:a16="http://schemas.microsoft.com/office/drawing/2014/main" id="{00000000-0008-0000-0300-000004000000}"/>
            </a:ext>
          </a:extLst>
        </xdr:cNvPr>
        <xdr:cNvSpPr/>
      </xdr:nvSpPr>
      <xdr:spPr>
        <a:xfrm>
          <a:off x="2447925" y="2876550"/>
          <a:ext cx="171450" cy="838200"/>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35</xdr:row>
      <xdr:rowOff>9525</xdr:rowOff>
    </xdr:from>
    <xdr:to>
      <xdr:col>2</xdr:col>
      <xdr:colOff>228600</xdr:colOff>
      <xdr:row>50</xdr:row>
      <xdr:rowOff>0</xdr:rowOff>
    </xdr:to>
    <xdr:sp macro="" textlink="">
      <xdr:nvSpPr>
        <xdr:cNvPr id="5" name="Right Brace 4">
          <a:extLst>
            <a:ext uri="{FF2B5EF4-FFF2-40B4-BE49-F238E27FC236}">
              <a16:creationId xmlns:a16="http://schemas.microsoft.com/office/drawing/2014/main" id="{00000000-0008-0000-0300-000005000000}"/>
            </a:ext>
          </a:extLst>
        </xdr:cNvPr>
        <xdr:cNvSpPr/>
      </xdr:nvSpPr>
      <xdr:spPr>
        <a:xfrm>
          <a:off x="2447925" y="3838575"/>
          <a:ext cx="171450" cy="1114425"/>
        </a:xfrm>
        <a:prstGeom prst="rightBrace">
          <a:avLst/>
        </a:prstGeom>
        <a:ln w="9525">
          <a:solidFill>
            <a:schemeClr val="accent4">
              <a:lumMod val="40000"/>
              <a:lumOff val="60000"/>
            </a:schemeClr>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51</xdr:row>
      <xdr:rowOff>0</xdr:rowOff>
    </xdr:from>
    <xdr:to>
      <xdr:col>2</xdr:col>
      <xdr:colOff>238125</xdr:colOff>
      <xdr:row>64</xdr:row>
      <xdr:rowOff>0</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2457450" y="5076825"/>
          <a:ext cx="171450" cy="981075"/>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64</xdr:row>
      <xdr:rowOff>121584</xdr:rowOff>
    </xdr:from>
    <xdr:to>
      <xdr:col>2</xdr:col>
      <xdr:colOff>238125</xdr:colOff>
      <xdr:row>77</xdr:row>
      <xdr:rowOff>121584</xdr:rowOff>
    </xdr:to>
    <xdr:sp macro="" textlink="">
      <xdr:nvSpPr>
        <xdr:cNvPr id="7" name="Right Brace 6">
          <a:extLst>
            <a:ext uri="{FF2B5EF4-FFF2-40B4-BE49-F238E27FC236}">
              <a16:creationId xmlns:a16="http://schemas.microsoft.com/office/drawing/2014/main" id="{00000000-0008-0000-0300-000007000000}"/>
            </a:ext>
          </a:extLst>
        </xdr:cNvPr>
        <xdr:cNvSpPr/>
      </xdr:nvSpPr>
      <xdr:spPr>
        <a:xfrm>
          <a:off x="2457450" y="6179484"/>
          <a:ext cx="171450" cy="981075"/>
        </a:xfrm>
        <a:prstGeom prst="rightBrace">
          <a:avLst/>
        </a:prstGeom>
        <a:noFill/>
        <a:ln w="9525">
          <a:solidFill>
            <a:schemeClr val="accent4"/>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79</xdr:row>
      <xdr:rowOff>9525</xdr:rowOff>
    </xdr:from>
    <xdr:to>
      <xdr:col>2</xdr:col>
      <xdr:colOff>238125</xdr:colOff>
      <xdr:row>95</xdr:row>
      <xdr:rowOff>190500</xdr:rowOff>
    </xdr:to>
    <xdr:sp macro="" textlink="">
      <xdr:nvSpPr>
        <xdr:cNvPr id="8" name="Right Brace 7">
          <a:extLst>
            <a:ext uri="{FF2B5EF4-FFF2-40B4-BE49-F238E27FC236}">
              <a16:creationId xmlns:a16="http://schemas.microsoft.com/office/drawing/2014/main" id="{00000000-0008-0000-0300-000008000000}"/>
            </a:ext>
          </a:extLst>
        </xdr:cNvPr>
        <xdr:cNvSpPr/>
      </xdr:nvSpPr>
      <xdr:spPr>
        <a:xfrm>
          <a:off x="2438400" y="7296150"/>
          <a:ext cx="190500" cy="1257300"/>
        </a:xfrm>
        <a:prstGeom prst="rightBrac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97</xdr:row>
      <xdr:rowOff>9525</xdr:rowOff>
    </xdr:from>
    <xdr:to>
      <xdr:col>2</xdr:col>
      <xdr:colOff>238125</xdr:colOff>
      <xdr:row>126</xdr:row>
      <xdr:rowOff>0</xdr:rowOff>
    </xdr:to>
    <xdr:sp macro="" textlink="">
      <xdr:nvSpPr>
        <xdr:cNvPr id="9" name="Right Brace 8">
          <a:extLst>
            <a:ext uri="{FF2B5EF4-FFF2-40B4-BE49-F238E27FC236}">
              <a16:creationId xmlns:a16="http://schemas.microsoft.com/office/drawing/2014/main" id="{00000000-0008-0000-0300-000009000000}"/>
            </a:ext>
          </a:extLst>
        </xdr:cNvPr>
        <xdr:cNvSpPr/>
      </xdr:nvSpPr>
      <xdr:spPr>
        <a:xfrm>
          <a:off x="2438400" y="8686800"/>
          <a:ext cx="190500" cy="2114550"/>
        </a:xfrm>
        <a:prstGeom prst="rightBrac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1426369</xdr:colOff>
      <xdr:row>17</xdr:row>
      <xdr:rowOff>41672</xdr:rowOff>
    </xdr:from>
    <xdr:to>
      <xdr:col>5</xdr:col>
      <xdr:colOff>235744</xdr:colOff>
      <xdr:row>17</xdr:row>
      <xdr:rowOff>41672</xdr:rowOff>
    </xdr:to>
    <xdr:cxnSp macro="">
      <xdr:nvCxnSpPr>
        <xdr:cNvPr id="10" name="Straight Connector 9">
          <a:extLst>
            <a:ext uri="{FF2B5EF4-FFF2-40B4-BE49-F238E27FC236}">
              <a16:creationId xmlns:a16="http://schemas.microsoft.com/office/drawing/2014/main" id="{00000000-0008-0000-0300-00000A000000}"/>
            </a:ext>
          </a:extLst>
        </xdr:cNvPr>
        <xdr:cNvCxnSpPr/>
      </xdr:nvCxnSpPr>
      <xdr:spPr>
        <a:xfrm>
          <a:off x="4150519" y="2375297"/>
          <a:ext cx="8477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0</xdr:colOff>
      <xdr:row>29</xdr:row>
      <xdr:rowOff>53578</xdr:rowOff>
    </xdr:from>
    <xdr:to>
      <xdr:col>4</xdr:col>
      <xdr:colOff>416719</xdr:colOff>
      <xdr:row>29</xdr:row>
      <xdr:rowOff>54769</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flipV="1">
          <a:off x="4152900" y="3349228"/>
          <a:ext cx="416719" cy="119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7144</xdr:colOff>
      <xdr:row>57</xdr:row>
      <xdr:rowOff>23812</xdr:rowOff>
    </xdr:from>
    <xdr:to>
      <xdr:col>4</xdr:col>
      <xdr:colOff>435769</xdr:colOff>
      <xdr:row>57</xdr:row>
      <xdr:rowOff>23812</xdr:rowOff>
    </xdr:to>
    <xdr:cxnSp macro="">
      <xdr:nvCxnSpPr>
        <xdr:cNvPr id="12" name="Straight Connector 11">
          <a:extLst>
            <a:ext uri="{FF2B5EF4-FFF2-40B4-BE49-F238E27FC236}">
              <a16:creationId xmlns:a16="http://schemas.microsoft.com/office/drawing/2014/main" id="{00000000-0008-0000-0300-00000C000000}"/>
            </a:ext>
          </a:extLst>
        </xdr:cNvPr>
        <xdr:cNvCxnSpPr/>
      </xdr:nvCxnSpPr>
      <xdr:spPr>
        <a:xfrm>
          <a:off x="4160044" y="5529262"/>
          <a:ext cx="4286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1426369</xdr:colOff>
      <xdr:row>71</xdr:row>
      <xdr:rowOff>34528</xdr:rowOff>
    </xdr:from>
    <xdr:to>
      <xdr:col>5</xdr:col>
      <xdr:colOff>235744</xdr:colOff>
      <xdr:row>71</xdr:row>
      <xdr:rowOff>34528</xdr:rowOff>
    </xdr:to>
    <xdr:cxnSp macro="">
      <xdr:nvCxnSpPr>
        <xdr:cNvPr id="13" name="Straight Connector 12">
          <a:extLst>
            <a:ext uri="{FF2B5EF4-FFF2-40B4-BE49-F238E27FC236}">
              <a16:creationId xmlns:a16="http://schemas.microsoft.com/office/drawing/2014/main" id="{00000000-0008-0000-0300-00000D000000}"/>
            </a:ext>
          </a:extLst>
        </xdr:cNvPr>
        <xdr:cNvCxnSpPr/>
      </xdr:nvCxnSpPr>
      <xdr:spPr>
        <a:xfrm>
          <a:off x="4150519" y="6644878"/>
          <a:ext cx="8477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238125</xdr:colOff>
      <xdr:row>45</xdr:row>
      <xdr:rowOff>59533</xdr:rowOff>
    </xdr:from>
    <xdr:to>
      <xdr:col>5</xdr:col>
      <xdr:colOff>238125</xdr:colOff>
      <xdr:row>71</xdr:row>
      <xdr:rowOff>35719</xdr:rowOff>
    </xdr:to>
    <xdr:cxnSp macro="">
      <xdr:nvCxnSpPr>
        <xdr:cNvPr id="14" name="Straight Connector 13">
          <a:extLst>
            <a:ext uri="{FF2B5EF4-FFF2-40B4-BE49-F238E27FC236}">
              <a16:creationId xmlns:a16="http://schemas.microsoft.com/office/drawing/2014/main" id="{00000000-0008-0000-0300-00000E000000}"/>
            </a:ext>
          </a:extLst>
        </xdr:cNvPr>
        <xdr:cNvCxnSpPr/>
      </xdr:nvCxnSpPr>
      <xdr:spPr>
        <a:xfrm flipV="1">
          <a:off x="5000625" y="4602958"/>
          <a:ext cx="0" cy="204311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226219</xdr:colOff>
      <xdr:row>17</xdr:row>
      <xdr:rowOff>41672</xdr:rowOff>
    </xdr:from>
    <xdr:to>
      <xdr:col>5</xdr:col>
      <xdr:colOff>238125</xdr:colOff>
      <xdr:row>41</xdr:row>
      <xdr:rowOff>23813</xdr:rowOff>
    </xdr:to>
    <xdr:cxnSp macro="">
      <xdr:nvCxnSpPr>
        <xdr:cNvPr id="15" name="Straight Connector 14">
          <a:extLst>
            <a:ext uri="{FF2B5EF4-FFF2-40B4-BE49-F238E27FC236}">
              <a16:creationId xmlns:a16="http://schemas.microsoft.com/office/drawing/2014/main" id="{00000000-0008-0000-0300-00000F000000}"/>
            </a:ext>
          </a:extLst>
        </xdr:cNvPr>
        <xdr:cNvCxnSpPr/>
      </xdr:nvCxnSpPr>
      <xdr:spPr>
        <a:xfrm flipV="1">
          <a:off x="4988719" y="2375297"/>
          <a:ext cx="11906" cy="190619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416719</xdr:colOff>
      <xdr:row>29</xdr:row>
      <xdr:rowOff>53578</xdr:rowOff>
    </xdr:from>
    <xdr:to>
      <xdr:col>4</xdr:col>
      <xdr:colOff>424962</xdr:colOff>
      <xdr:row>42</xdr:row>
      <xdr:rowOff>7327</xdr:rowOff>
    </xdr:to>
    <xdr:cxnSp macro="">
      <xdr:nvCxnSpPr>
        <xdr:cNvPr id="16" name="Straight Connector 15">
          <a:extLst>
            <a:ext uri="{FF2B5EF4-FFF2-40B4-BE49-F238E27FC236}">
              <a16:creationId xmlns:a16="http://schemas.microsoft.com/office/drawing/2014/main" id="{00000000-0008-0000-0300-000010000000}"/>
            </a:ext>
          </a:extLst>
        </xdr:cNvPr>
        <xdr:cNvCxnSpPr/>
      </xdr:nvCxnSpPr>
      <xdr:spPr>
        <a:xfrm flipH="1" flipV="1">
          <a:off x="4571084" y="3863578"/>
          <a:ext cx="8243" cy="1060114"/>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424962</xdr:colOff>
      <xdr:row>43</xdr:row>
      <xdr:rowOff>102577</xdr:rowOff>
    </xdr:from>
    <xdr:to>
      <xdr:col>4</xdr:col>
      <xdr:colOff>434579</xdr:colOff>
      <xdr:row>57</xdr:row>
      <xdr:rowOff>23812</xdr:rowOff>
    </xdr:to>
    <xdr:cxnSp macro="">
      <xdr:nvCxnSpPr>
        <xdr:cNvPr id="17" name="Straight Connector 16">
          <a:extLst>
            <a:ext uri="{FF2B5EF4-FFF2-40B4-BE49-F238E27FC236}">
              <a16:creationId xmlns:a16="http://schemas.microsoft.com/office/drawing/2014/main" id="{00000000-0008-0000-0300-000011000000}"/>
            </a:ext>
          </a:extLst>
        </xdr:cNvPr>
        <xdr:cNvCxnSpPr/>
      </xdr:nvCxnSpPr>
      <xdr:spPr>
        <a:xfrm flipH="1" flipV="1">
          <a:off x="4579327" y="5040923"/>
          <a:ext cx="9617" cy="104958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422672</xdr:colOff>
      <xdr:row>42</xdr:row>
      <xdr:rowOff>351</xdr:rowOff>
    </xdr:from>
    <xdr:to>
      <xdr:col>6</xdr:col>
      <xdr:colOff>3340</xdr:colOff>
      <xdr:row>42</xdr:row>
      <xdr:rowOff>1078</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4580054" y="4897322"/>
          <a:ext cx="790904" cy="727"/>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4</xdr:col>
      <xdr:colOff>428625</xdr:colOff>
      <xdr:row>43</xdr:row>
      <xdr:rowOff>101181</xdr:rowOff>
    </xdr:from>
    <xdr:to>
      <xdr:col>6</xdr:col>
      <xdr:colOff>4646</xdr:colOff>
      <xdr:row>43</xdr:row>
      <xdr:rowOff>101181</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flipV="1">
          <a:off x="4586007" y="5020563"/>
          <a:ext cx="786257" cy="0"/>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228600</xdr:colOff>
      <xdr:row>41</xdr:row>
      <xdr:rowOff>22624</xdr:rowOff>
    </xdr:from>
    <xdr:to>
      <xdr:col>6</xdr:col>
      <xdr:colOff>9293</xdr:colOff>
      <xdr:row>41</xdr:row>
      <xdr:rowOff>23089</xdr:rowOff>
    </xdr:to>
    <xdr:cxnSp macro="">
      <xdr:nvCxnSpPr>
        <xdr:cNvPr id="21" name="Straight Arrow Connector 20">
          <a:extLst>
            <a:ext uri="{FF2B5EF4-FFF2-40B4-BE49-F238E27FC236}">
              <a16:creationId xmlns:a16="http://schemas.microsoft.com/office/drawing/2014/main" id="{00000000-0008-0000-0300-000015000000}"/>
            </a:ext>
          </a:extLst>
        </xdr:cNvPr>
        <xdr:cNvCxnSpPr/>
      </xdr:nvCxnSpPr>
      <xdr:spPr>
        <a:xfrm>
          <a:off x="4991100" y="4280299"/>
          <a:ext cx="390293"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241610</xdr:colOff>
      <xdr:row>45</xdr:row>
      <xdr:rowOff>60662</xdr:rowOff>
    </xdr:from>
    <xdr:to>
      <xdr:col>6</xdr:col>
      <xdr:colOff>0</xdr:colOff>
      <xdr:row>45</xdr:row>
      <xdr:rowOff>60662</xdr:rowOff>
    </xdr:to>
    <xdr:cxnSp macro="">
      <xdr:nvCxnSpPr>
        <xdr:cNvPr id="22" name="Straight Arrow Connector 21">
          <a:extLst>
            <a:ext uri="{FF2B5EF4-FFF2-40B4-BE49-F238E27FC236}">
              <a16:creationId xmlns:a16="http://schemas.microsoft.com/office/drawing/2014/main" id="{00000000-0008-0000-0300-000016000000}"/>
            </a:ext>
          </a:extLst>
        </xdr:cNvPr>
        <xdr:cNvCxnSpPr/>
      </xdr:nvCxnSpPr>
      <xdr:spPr>
        <a:xfrm>
          <a:off x="5004110" y="4604087"/>
          <a:ext cx="367990" cy="0"/>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7</xdr:col>
      <xdr:colOff>427435</xdr:colOff>
      <xdr:row>43</xdr:row>
      <xdr:rowOff>42862</xdr:rowOff>
    </xdr:from>
    <xdr:to>
      <xdr:col>8</xdr:col>
      <xdr:colOff>246460</xdr:colOff>
      <xdr:row>43</xdr:row>
      <xdr:rowOff>42862</xdr:rowOff>
    </xdr:to>
    <xdr:cxnSp macro="">
      <xdr:nvCxnSpPr>
        <xdr:cNvPr id="23" name="Straight Connector 22">
          <a:extLst>
            <a:ext uri="{FF2B5EF4-FFF2-40B4-BE49-F238E27FC236}">
              <a16:creationId xmlns:a16="http://schemas.microsoft.com/office/drawing/2014/main" id="{00000000-0008-0000-0300-000017000000}"/>
            </a:ext>
          </a:extLst>
        </xdr:cNvPr>
        <xdr:cNvCxnSpPr/>
      </xdr:nvCxnSpPr>
      <xdr:spPr>
        <a:xfrm>
          <a:off x="6409135" y="4443412"/>
          <a:ext cx="4286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242888</xdr:colOff>
      <xdr:row>25</xdr:row>
      <xdr:rowOff>95250</xdr:rowOff>
    </xdr:from>
    <xdr:to>
      <xdr:col>8</xdr:col>
      <xdr:colOff>244078</xdr:colOff>
      <xdr:row>43</xdr:row>
      <xdr:rowOff>40482</xdr:rowOff>
    </xdr:to>
    <xdr:cxnSp macro="">
      <xdr:nvCxnSpPr>
        <xdr:cNvPr id="24" name="Straight Connector 23">
          <a:extLst>
            <a:ext uri="{FF2B5EF4-FFF2-40B4-BE49-F238E27FC236}">
              <a16:creationId xmlns:a16="http://schemas.microsoft.com/office/drawing/2014/main" id="{00000000-0008-0000-0300-000018000000}"/>
            </a:ext>
          </a:extLst>
        </xdr:cNvPr>
        <xdr:cNvCxnSpPr/>
      </xdr:nvCxnSpPr>
      <xdr:spPr>
        <a:xfrm flipV="1">
          <a:off x="6834188" y="3105150"/>
          <a:ext cx="1190" cy="1335882"/>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1420415</xdr:colOff>
      <xdr:row>9</xdr:row>
      <xdr:rowOff>80962</xdr:rowOff>
    </xdr:from>
    <xdr:to>
      <xdr:col>8</xdr:col>
      <xdr:colOff>238125</xdr:colOff>
      <xdr:row>9</xdr:row>
      <xdr:rowOff>83343</xdr:rowOff>
    </xdr:to>
    <xdr:cxnSp macro="">
      <xdr:nvCxnSpPr>
        <xdr:cNvPr id="25" name="Straight Connector 24">
          <a:extLst>
            <a:ext uri="{FF2B5EF4-FFF2-40B4-BE49-F238E27FC236}">
              <a16:creationId xmlns:a16="http://schemas.microsoft.com/office/drawing/2014/main" id="{00000000-0008-0000-0300-000019000000}"/>
            </a:ext>
          </a:extLst>
        </xdr:cNvPr>
        <xdr:cNvCxnSpPr/>
      </xdr:nvCxnSpPr>
      <xdr:spPr>
        <a:xfrm>
          <a:off x="4144565" y="1738312"/>
          <a:ext cx="2684860" cy="2381"/>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238125</xdr:colOff>
      <xdr:row>9</xdr:row>
      <xdr:rowOff>83343</xdr:rowOff>
    </xdr:from>
    <xdr:to>
      <xdr:col>8</xdr:col>
      <xdr:colOff>238125</xdr:colOff>
      <xdr:row>23</xdr:row>
      <xdr:rowOff>107156</xdr:rowOff>
    </xdr:to>
    <xdr:cxnSp macro="">
      <xdr:nvCxnSpPr>
        <xdr:cNvPr id="26" name="Straight Connector 25">
          <a:extLst>
            <a:ext uri="{FF2B5EF4-FFF2-40B4-BE49-F238E27FC236}">
              <a16:creationId xmlns:a16="http://schemas.microsoft.com/office/drawing/2014/main" id="{00000000-0008-0000-0300-00001A000000}"/>
            </a:ext>
          </a:extLst>
        </xdr:cNvPr>
        <xdr:cNvCxnSpPr/>
      </xdr:nvCxnSpPr>
      <xdr:spPr>
        <a:xfrm flipV="1">
          <a:off x="6829425" y="1740693"/>
          <a:ext cx="0" cy="1233488"/>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233595</xdr:colOff>
      <xdr:row>25</xdr:row>
      <xdr:rowOff>93014</xdr:rowOff>
    </xdr:from>
    <xdr:to>
      <xdr:col>9</xdr:col>
      <xdr:colOff>16669</xdr:colOff>
      <xdr:row>25</xdr:row>
      <xdr:rowOff>93479</xdr:rowOff>
    </xdr:to>
    <xdr:cxnSp macro="">
      <xdr:nvCxnSpPr>
        <xdr:cNvPr id="27" name="Straight Arrow Connector 26">
          <a:extLst>
            <a:ext uri="{FF2B5EF4-FFF2-40B4-BE49-F238E27FC236}">
              <a16:creationId xmlns:a16="http://schemas.microsoft.com/office/drawing/2014/main" id="{00000000-0008-0000-0300-00001B000000}"/>
            </a:ext>
          </a:extLst>
        </xdr:cNvPr>
        <xdr:cNvCxnSpPr/>
      </xdr:nvCxnSpPr>
      <xdr:spPr>
        <a:xfrm>
          <a:off x="6824895" y="3102914"/>
          <a:ext cx="392674"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8</xdr:col>
      <xdr:colOff>238125</xdr:colOff>
      <xdr:row>23</xdr:row>
      <xdr:rowOff>113109</xdr:rowOff>
    </xdr:from>
    <xdr:to>
      <xdr:col>9</xdr:col>
      <xdr:colOff>20024</xdr:colOff>
      <xdr:row>23</xdr:row>
      <xdr:rowOff>113110</xdr:rowOff>
    </xdr:to>
    <xdr:cxnSp macro="">
      <xdr:nvCxnSpPr>
        <xdr:cNvPr id="28" name="Straight Arrow Connector 27">
          <a:extLst>
            <a:ext uri="{FF2B5EF4-FFF2-40B4-BE49-F238E27FC236}">
              <a16:creationId xmlns:a16="http://schemas.microsoft.com/office/drawing/2014/main" id="{00000000-0008-0000-0300-00001C000000}"/>
            </a:ext>
          </a:extLst>
        </xdr:cNvPr>
        <xdr:cNvCxnSpPr/>
      </xdr:nvCxnSpPr>
      <xdr:spPr>
        <a:xfrm flipV="1">
          <a:off x="6829425" y="2980134"/>
          <a:ext cx="391499" cy="1"/>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10</xdr:col>
      <xdr:colOff>280147</xdr:colOff>
      <xdr:row>25</xdr:row>
      <xdr:rowOff>32844</xdr:rowOff>
    </xdr:from>
    <xdr:to>
      <xdr:col>11</xdr:col>
      <xdr:colOff>26276</xdr:colOff>
      <xdr:row>25</xdr:row>
      <xdr:rowOff>34002</xdr:rowOff>
    </xdr:to>
    <xdr:cxnSp macro="">
      <xdr:nvCxnSpPr>
        <xdr:cNvPr id="29" name="Straight Connector 28">
          <a:extLst>
            <a:ext uri="{FF2B5EF4-FFF2-40B4-BE49-F238E27FC236}">
              <a16:creationId xmlns:a16="http://schemas.microsoft.com/office/drawing/2014/main" id="{00000000-0008-0000-0300-00001D000000}"/>
            </a:ext>
          </a:extLst>
        </xdr:cNvPr>
        <xdr:cNvCxnSpPr>
          <a:stCxn id="76" idx="3"/>
        </xdr:cNvCxnSpPr>
      </xdr:nvCxnSpPr>
      <xdr:spPr>
        <a:xfrm flipV="1">
          <a:off x="8103785" y="3527534"/>
          <a:ext cx="357043" cy="1158"/>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17860</xdr:colOff>
      <xdr:row>25</xdr:row>
      <xdr:rowOff>39413</xdr:rowOff>
    </xdr:from>
    <xdr:to>
      <xdr:col>11</xdr:col>
      <xdr:colOff>26276</xdr:colOff>
      <xdr:row>55</xdr:row>
      <xdr:rowOff>23812</xdr:rowOff>
    </xdr:to>
    <xdr:cxnSp macro="">
      <xdr:nvCxnSpPr>
        <xdr:cNvPr id="30" name="Straight Connector 29">
          <a:extLst>
            <a:ext uri="{FF2B5EF4-FFF2-40B4-BE49-F238E27FC236}">
              <a16:creationId xmlns:a16="http://schemas.microsoft.com/office/drawing/2014/main" id="{00000000-0008-0000-0300-00001E000000}"/>
            </a:ext>
          </a:extLst>
        </xdr:cNvPr>
        <xdr:cNvCxnSpPr/>
      </xdr:nvCxnSpPr>
      <xdr:spPr>
        <a:xfrm flipV="1">
          <a:off x="8452412" y="3534103"/>
          <a:ext cx="8416" cy="2362364"/>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1427378</xdr:colOff>
      <xdr:row>87</xdr:row>
      <xdr:rowOff>35719</xdr:rowOff>
    </xdr:from>
    <xdr:to>
      <xdr:col>11</xdr:col>
      <xdr:colOff>17860</xdr:colOff>
      <xdr:row>87</xdr:row>
      <xdr:rowOff>38282</xdr:rowOff>
    </xdr:to>
    <xdr:cxnSp macro="">
      <xdr:nvCxnSpPr>
        <xdr:cNvPr id="31" name="Straight Connector 30">
          <a:extLst>
            <a:ext uri="{FF2B5EF4-FFF2-40B4-BE49-F238E27FC236}">
              <a16:creationId xmlns:a16="http://schemas.microsoft.com/office/drawing/2014/main" id="{00000000-0008-0000-0300-00001F000000}"/>
            </a:ext>
          </a:extLst>
        </xdr:cNvPr>
        <xdr:cNvCxnSpPr/>
      </xdr:nvCxnSpPr>
      <xdr:spPr>
        <a:xfrm flipV="1">
          <a:off x="4151528" y="7893844"/>
          <a:ext cx="4286432" cy="2563"/>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15479</xdr:colOff>
      <xdr:row>56</xdr:row>
      <xdr:rowOff>5953</xdr:rowOff>
    </xdr:from>
    <xdr:to>
      <xdr:col>11</xdr:col>
      <xdr:colOff>17860</xdr:colOff>
      <xdr:row>87</xdr:row>
      <xdr:rowOff>44147</xdr:rowOff>
    </xdr:to>
    <xdr:cxnSp macro="">
      <xdr:nvCxnSpPr>
        <xdr:cNvPr id="32" name="Straight Connector 31">
          <a:extLst>
            <a:ext uri="{FF2B5EF4-FFF2-40B4-BE49-F238E27FC236}">
              <a16:creationId xmlns:a16="http://schemas.microsoft.com/office/drawing/2014/main" id="{00000000-0008-0000-0300-000020000000}"/>
            </a:ext>
          </a:extLst>
        </xdr:cNvPr>
        <xdr:cNvCxnSpPr/>
      </xdr:nvCxnSpPr>
      <xdr:spPr>
        <a:xfrm flipV="1">
          <a:off x="8435579" y="5492353"/>
          <a:ext cx="2381" cy="2409919"/>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20083</xdr:colOff>
      <xdr:row>55</xdr:row>
      <xdr:rowOff>24645</xdr:rowOff>
    </xdr:from>
    <xdr:to>
      <xdr:col>11</xdr:col>
      <xdr:colOff>397569</xdr:colOff>
      <xdr:row>55</xdr:row>
      <xdr:rowOff>24645</xdr:rowOff>
    </xdr:to>
    <xdr:cxnSp macro="">
      <xdr:nvCxnSpPr>
        <xdr:cNvPr id="33" name="Straight Arrow Connector 32">
          <a:extLst>
            <a:ext uri="{FF2B5EF4-FFF2-40B4-BE49-F238E27FC236}">
              <a16:creationId xmlns:a16="http://schemas.microsoft.com/office/drawing/2014/main" id="{00000000-0008-0000-0300-000021000000}"/>
            </a:ext>
          </a:extLst>
        </xdr:cNvPr>
        <xdr:cNvCxnSpPr/>
      </xdr:nvCxnSpPr>
      <xdr:spPr>
        <a:xfrm>
          <a:off x="8440183" y="5387220"/>
          <a:ext cx="377486" cy="0"/>
        </a:xfrm>
        <a:prstGeom prst="straightConnector1">
          <a:avLst/>
        </a:prstGeom>
        <a:ln w="9525">
          <a:solidFill>
            <a:schemeClr val="accent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18618</xdr:colOff>
      <xdr:row>56</xdr:row>
      <xdr:rowOff>4497</xdr:rowOff>
    </xdr:from>
    <xdr:to>
      <xdr:col>11</xdr:col>
      <xdr:colOff>396104</xdr:colOff>
      <xdr:row>56</xdr:row>
      <xdr:rowOff>4497</xdr:rowOff>
    </xdr:to>
    <xdr:cxnSp macro="">
      <xdr:nvCxnSpPr>
        <xdr:cNvPr id="34" name="Straight Arrow Connector 33">
          <a:extLst>
            <a:ext uri="{FF2B5EF4-FFF2-40B4-BE49-F238E27FC236}">
              <a16:creationId xmlns:a16="http://schemas.microsoft.com/office/drawing/2014/main" id="{00000000-0008-0000-0300-000022000000}"/>
            </a:ext>
          </a:extLst>
        </xdr:cNvPr>
        <xdr:cNvCxnSpPr/>
      </xdr:nvCxnSpPr>
      <xdr:spPr>
        <a:xfrm>
          <a:off x="8438718" y="5490897"/>
          <a:ext cx="377486" cy="0"/>
        </a:xfrm>
        <a:prstGeom prst="straightConnector1">
          <a:avLst/>
        </a:prstGeom>
        <a:ln w="9525">
          <a:solidFill>
            <a:schemeClr val="tx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418420</xdr:colOff>
      <xdr:row>47</xdr:row>
      <xdr:rowOff>108856</xdr:rowOff>
    </xdr:from>
    <xdr:to>
      <xdr:col>13</xdr:col>
      <xdr:colOff>380999</xdr:colOff>
      <xdr:row>64</xdr:row>
      <xdr:rowOff>81643</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8868456" y="5116285"/>
          <a:ext cx="1187222" cy="1292679"/>
        </a:xfrm>
        <a:prstGeom prst="rect">
          <a:avLst/>
        </a:prstGeom>
        <a:solidFill>
          <a:schemeClr val="accent5">
            <a:lumMod val="40000"/>
            <a:lumOff val="60000"/>
          </a:schemeClr>
        </a:solidFill>
        <a:ln w="38100"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a:t>Public Health System Adjusted Risk Score</a:t>
          </a:r>
          <a:endParaRPr lang="en-US" sz="1600" baseline="0"/>
        </a:p>
      </xdr:txBody>
    </xdr:sp>
    <xdr:clientData/>
  </xdr:twoCellAnchor>
  <xdr:twoCellAnchor>
    <xdr:from>
      <xdr:col>13</xdr:col>
      <xdr:colOff>388327</xdr:colOff>
      <xdr:row>55</xdr:row>
      <xdr:rowOff>87923</xdr:rowOff>
    </xdr:from>
    <xdr:to>
      <xdr:col>13</xdr:col>
      <xdr:colOff>564173</xdr:colOff>
      <xdr:row>55</xdr:row>
      <xdr:rowOff>87923</xdr:rowOff>
    </xdr:to>
    <xdr:cxnSp macro="">
      <xdr:nvCxnSpPr>
        <xdr:cNvPr id="36" name="Straight Connector 35">
          <a:extLst>
            <a:ext uri="{FF2B5EF4-FFF2-40B4-BE49-F238E27FC236}">
              <a16:creationId xmlns:a16="http://schemas.microsoft.com/office/drawing/2014/main" id="{00000000-0008-0000-0300-000024000000}"/>
            </a:ext>
          </a:extLst>
        </xdr:cNvPr>
        <xdr:cNvCxnSpPr/>
      </xdr:nvCxnSpPr>
      <xdr:spPr>
        <a:xfrm>
          <a:off x="10015904" y="6008077"/>
          <a:ext cx="175846" cy="0"/>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564173</xdr:colOff>
      <xdr:row>55</xdr:row>
      <xdr:rowOff>87923</xdr:rowOff>
    </xdr:from>
    <xdr:to>
      <xdr:col>13</xdr:col>
      <xdr:colOff>565089</xdr:colOff>
      <xdr:row>85</xdr:row>
      <xdr:rowOff>23357</xdr:rowOff>
    </xdr:to>
    <xdr:cxnSp macro="">
      <xdr:nvCxnSpPr>
        <xdr:cNvPr id="37" name="Straight Connector 36">
          <a:extLst>
            <a:ext uri="{FF2B5EF4-FFF2-40B4-BE49-F238E27FC236}">
              <a16:creationId xmlns:a16="http://schemas.microsoft.com/office/drawing/2014/main" id="{00000000-0008-0000-0300-000025000000}"/>
            </a:ext>
          </a:extLst>
        </xdr:cNvPr>
        <xdr:cNvCxnSpPr/>
      </xdr:nvCxnSpPr>
      <xdr:spPr>
        <a:xfrm flipH="1" flipV="1">
          <a:off x="10191750" y="6008077"/>
          <a:ext cx="916" cy="2338665"/>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7237</xdr:colOff>
      <xdr:row>111</xdr:row>
      <xdr:rowOff>43917</xdr:rowOff>
    </xdr:from>
    <xdr:to>
      <xdr:col>13</xdr:col>
      <xdr:colOff>571500</xdr:colOff>
      <xdr:row>111</xdr:row>
      <xdr:rowOff>57979</xdr:rowOff>
    </xdr:to>
    <xdr:cxnSp macro="">
      <xdr:nvCxnSpPr>
        <xdr:cNvPr id="38" name="Straight Connector 37">
          <a:extLst>
            <a:ext uri="{FF2B5EF4-FFF2-40B4-BE49-F238E27FC236}">
              <a16:creationId xmlns:a16="http://schemas.microsoft.com/office/drawing/2014/main" id="{00000000-0008-0000-0300-000026000000}"/>
            </a:ext>
          </a:extLst>
        </xdr:cNvPr>
        <xdr:cNvCxnSpPr/>
      </xdr:nvCxnSpPr>
      <xdr:spPr>
        <a:xfrm>
          <a:off x="4165107" y="10090721"/>
          <a:ext cx="6080480" cy="14062"/>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563217</xdr:colOff>
      <xdr:row>85</xdr:row>
      <xdr:rowOff>113991</xdr:rowOff>
    </xdr:from>
    <xdr:to>
      <xdr:col>13</xdr:col>
      <xdr:colOff>564785</xdr:colOff>
      <xdr:row>111</xdr:row>
      <xdr:rowOff>57979</xdr:rowOff>
    </xdr:to>
    <xdr:cxnSp macro="">
      <xdr:nvCxnSpPr>
        <xdr:cNvPr id="39" name="Straight Connector 38">
          <a:extLst>
            <a:ext uri="{FF2B5EF4-FFF2-40B4-BE49-F238E27FC236}">
              <a16:creationId xmlns:a16="http://schemas.microsoft.com/office/drawing/2014/main" id="{00000000-0008-0000-0300-000027000000}"/>
            </a:ext>
          </a:extLst>
        </xdr:cNvPr>
        <xdr:cNvCxnSpPr/>
      </xdr:nvCxnSpPr>
      <xdr:spPr>
        <a:xfrm flipV="1">
          <a:off x="10237304" y="8222665"/>
          <a:ext cx="1568" cy="1882118"/>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557604</xdr:colOff>
      <xdr:row>85</xdr:row>
      <xdr:rowOff>17227</xdr:rowOff>
    </xdr:from>
    <xdr:to>
      <xdr:col>14</xdr:col>
      <xdr:colOff>328786</xdr:colOff>
      <xdr:row>85</xdr:row>
      <xdr:rowOff>17227</xdr:rowOff>
    </xdr:to>
    <xdr:cxnSp macro="">
      <xdr:nvCxnSpPr>
        <xdr:cNvPr id="40" name="Straight Arrow Connector 39">
          <a:extLst>
            <a:ext uri="{FF2B5EF4-FFF2-40B4-BE49-F238E27FC236}">
              <a16:creationId xmlns:a16="http://schemas.microsoft.com/office/drawing/2014/main" id="{00000000-0008-0000-0300-000028000000}"/>
            </a:ext>
          </a:extLst>
        </xdr:cNvPr>
        <xdr:cNvCxnSpPr/>
      </xdr:nvCxnSpPr>
      <xdr:spPr>
        <a:xfrm>
          <a:off x="10196904" y="7732477"/>
          <a:ext cx="380782" cy="0"/>
        </a:xfrm>
        <a:prstGeom prst="straightConnector1">
          <a:avLst/>
        </a:prstGeom>
        <a:ln w="9525">
          <a:solidFill>
            <a:schemeClr val="accent5"/>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13</xdr:col>
      <xdr:colOff>557511</xdr:colOff>
      <xdr:row>85</xdr:row>
      <xdr:rowOff>110187</xdr:rowOff>
    </xdr:from>
    <xdr:to>
      <xdr:col>14</xdr:col>
      <xdr:colOff>328693</xdr:colOff>
      <xdr:row>85</xdr:row>
      <xdr:rowOff>110187</xdr:rowOff>
    </xdr:to>
    <xdr:cxnSp macro="">
      <xdr:nvCxnSpPr>
        <xdr:cNvPr id="41" name="Straight Arrow Connector 40">
          <a:extLst>
            <a:ext uri="{FF2B5EF4-FFF2-40B4-BE49-F238E27FC236}">
              <a16:creationId xmlns:a16="http://schemas.microsoft.com/office/drawing/2014/main" id="{00000000-0008-0000-0300-000029000000}"/>
            </a:ext>
          </a:extLst>
        </xdr:cNvPr>
        <xdr:cNvCxnSpPr/>
      </xdr:nvCxnSpPr>
      <xdr:spPr>
        <a:xfrm>
          <a:off x="10196811" y="7825437"/>
          <a:ext cx="380782" cy="0"/>
        </a:xfrm>
        <a:prstGeom prst="straightConnector1">
          <a:avLst/>
        </a:prstGeom>
        <a:ln w="9525">
          <a:solidFill>
            <a:schemeClr val="accent6"/>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1008528</xdr:colOff>
      <xdr:row>93</xdr:row>
      <xdr:rowOff>44824</xdr:rowOff>
    </xdr:from>
    <xdr:to>
      <xdr:col>10</xdr:col>
      <xdr:colOff>537881</xdr:colOff>
      <xdr:row>101</xdr:row>
      <xdr:rowOff>78441</xdr:rowOff>
    </xdr:to>
    <mc:AlternateContent xmlns:mc="http://schemas.openxmlformats.org/markup-compatibility/2006" xmlns:a14="http://schemas.microsoft.com/office/drawing/2010/main">
      <mc:Choice Requires="a14">
        <xdr:sp macro="" textlink="">
          <xdr:nvSpPr>
            <xdr:cNvPr id="43" name="Text Box 2">
              <a:extLst>
                <a:ext uri="{FF2B5EF4-FFF2-40B4-BE49-F238E27FC236}">
                  <a16:creationId xmlns:a16="http://schemas.microsoft.com/office/drawing/2014/main" id="{00000000-0008-0000-0300-00002B000000}"/>
                </a:ext>
              </a:extLst>
            </xdr:cNvPr>
            <xdr:cNvSpPr txBox="1">
              <a:spLocks noChangeArrowheads="1"/>
            </xdr:cNvSpPr>
          </xdr:nvSpPr>
          <xdr:spPr bwMode="auto">
            <a:xfrm>
              <a:off x="3732678" y="8331574"/>
              <a:ext cx="4615703" cy="709892"/>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Population</m:t>
                    </m:r>
                    <m:r>
                      <a:rPr lang="en-US" sz="1000">
                        <a:effectLst/>
                        <a:latin typeface="Cambria Math"/>
                        <a:ea typeface="Calibri"/>
                        <a:cs typeface="Times New Roman"/>
                      </a:rPr>
                      <m:t> </m:t>
                    </m:r>
                    <m:r>
                      <m:rPr>
                        <m:sty m:val="p"/>
                      </m:rPr>
                      <a:rPr lang="en-US" sz="1000">
                        <a:effectLst/>
                        <a:latin typeface="Cambria Math"/>
                        <a:ea typeface="Calibri"/>
                        <a:cs typeface="Times New Roman"/>
                      </a:rPr>
                      <m:t>Impact</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Population</m:t>
                        </m:r>
                        <m:r>
                          <a:rPr lang="en-US" sz="1000" i="1">
                            <a:effectLst/>
                            <a:latin typeface="Cambria Math"/>
                            <a:ea typeface="Calibri"/>
                            <a:cs typeface="Times New Roman"/>
                          </a:rPr>
                          <m:t> </m:t>
                        </m:r>
                        <m:r>
                          <m:rPr>
                            <m:sty m:val="p"/>
                          </m:rPr>
                          <a:rPr lang="en-US" sz="1000">
                            <a:effectLst/>
                            <a:latin typeface="Cambria Math"/>
                            <a:ea typeface="Calibri"/>
                            <a:cs typeface="Times New Roman"/>
                          </a:rPr>
                          <m:t>Size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Access</m:t>
                        </m:r>
                        <m:r>
                          <a:rPr lang="en-US" sz="1000">
                            <a:effectLst/>
                            <a:latin typeface="Cambria Math"/>
                            <a:ea typeface="Calibri"/>
                            <a:cs typeface="Times New Roman"/>
                          </a:rPr>
                          <m:t> </m:t>
                        </m:r>
                        <m:r>
                          <m:rPr>
                            <m:sty m:val="p"/>
                          </m:rPr>
                          <a:rPr lang="en-US" sz="1000">
                            <a:effectLst/>
                            <a:latin typeface="Cambria Math"/>
                            <a:ea typeface="Calibri"/>
                            <a:cs typeface="Times New Roman"/>
                          </a:rPr>
                          <m:t>Planning</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oMath>
                </m:oMathPara>
              </a14:m>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Choice>
      <mc:Fallback xmlns="">
        <xdr:sp macro="" textlink="">
          <xdr:nvSpPr>
            <xdr:cNvPr id="43" name="Text Box 2"/>
            <xdr:cNvSpPr txBox="1">
              <a:spLocks noChangeArrowheads="1"/>
            </xdr:cNvSpPr>
          </xdr:nvSpPr>
          <xdr:spPr bwMode="auto">
            <a:xfrm>
              <a:off x="3732678" y="8331574"/>
              <a:ext cx="4615703" cy="709892"/>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r>
                <a:rPr lang="en-US" sz="1000" i="0">
                  <a:effectLst/>
                  <a:latin typeface="Cambria Math"/>
                  <a:ea typeface="Calibri"/>
                  <a:cs typeface="Times New Roman"/>
                </a:rPr>
                <a:t>Population Impact Score = </a:t>
              </a:r>
              <a:r>
                <a:rPr lang="en-US" sz="1000" i="0">
                  <a:effectLst/>
                  <a:latin typeface="Cambria Math"/>
                  <a:cs typeface="Times New Roman"/>
                </a:rPr>
                <a:t> (</a:t>
              </a:r>
              <a:r>
                <a:rPr lang="en-US" sz="1000" i="0">
                  <a:effectLst/>
                  <a:latin typeface="Cambria Math"/>
                  <a:ea typeface="Calibri"/>
                  <a:cs typeface="Times New Roman"/>
                </a:rPr>
                <a:t>Population Size Score ×Access Planning Score)/4</a:t>
              </a:r>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Fallback>
    </mc:AlternateContent>
    <xdr:clientData/>
  </xdr:twoCellAnchor>
  <xdr:twoCellAnchor>
    <xdr:from>
      <xdr:col>9</xdr:col>
      <xdr:colOff>235323</xdr:colOff>
      <xdr:row>41</xdr:row>
      <xdr:rowOff>35217</xdr:rowOff>
    </xdr:from>
    <xdr:to>
      <xdr:col>16</xdr:col>
      <xdr:colOff>78440</xdr:colOff>
      <xdr:row>47</xdr:row>
      <xdr:rowOff>30687</xdr:rowOff>
    </xdr:to>
    <mc:AlternateContent xmlns:mc="http://schemas.openxmlformats.org/markup-compatibility/2006" xmlns:a14="http://schemas.microsoft.com/office/drawing/2010/main">
      <mc:Choice Requires="a14">
        <xdr:sp macro="" textlink="">
          <xdr:nvSpPr>
            <xdr:cNvPr id="44" name="Text Box 2">
              <a:extLst>
                <a:ext uri="{FF2B5EF4-FFF2-40B4-BE49-F238E27FC236}">
                  <a16:creationId xmlns:a16="http://schemas.microsoft.com/office/drawing/2014/main" id="{00000000-0008-0000-0300-00002C000000}"/>
                </a:ext>
              </a:extLst>
            </xdr:cNvPr>
            <xdr:cNvSpPr txBox="1">
              <a:spLocks noChangeArrowheads="1"/>
            </xdr:cNvSpPr>
          </xdr:nvSpPr>
          <xdr:spPr bwMode="auto">
            <a:xfrm>
              <a:off x="7460716" y="4634431"/>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Adjusted</m:t>
                    </m:r>
                    <m:r>
                      <a:rPr lang="en-US" sz="1000" i="1">
                        <a:effectLst/>
                        <a:latin typeface="Cambria Math"/>
                        <a:ea typeface="Calibri"/>
                        <a:cs typeface="Times New Roman"/>
                      </a:rPr>
                      <m:t> </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d>
                      <m:dPr>
                        <m:ctrlPr>
                          <a:rPr lang="en-US" sz="1000" i="1">
                            <a:effectLst/>
                            <a:latin typeface="Cambria Math" panose="02040503050406030204" pitchFamily="18" charset="0"/>
                            <a:ea typeface="Calibri"/>
                            <a:cs typeface="Times New Roman"/>
                          </a:rPr>
                        </m:ctrlPr>
                      </m:dPr>
                      <m:e>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At</m:t>
                            </m:r>
                            <m:r>
                              <a:rPr lang="en-US" sz="1000">
                                <a:effectLst/>
                                <a:latin typeface="Cambria Math"/>
                                <a:ea typeface="Calibri"/>
                                <a:cs typeface="Calibri"/>
                              </a:rPr>
                              <m:t>­</m:t>
                            </m:r>
                            <m:r>
                              <a:rPr lang="en-US" sz="1000" b="0" i="0">
                                <a:effectLst/>
                                <a:latin typeface="Cambria Math"/>
                                <a:ea typeface="Calibri"/>
                                <a:cs typeface="Calibri"/>
                              </a:rPr>
                              <m:t>­</m:t>
                            </m:r>
                            <m:r>
                              <a:rPr lang="en-US" sz="1000" b="0" i="1">
                                <a:effectLst/>
                                <a:latin typeface="Cambria Math"/>
                                <a:ea typeface="Calibri"/>
                                <a:cs typeface="Calibri"/>
                              </a:rPr>
                              <m:t>−</m:t>
                            </m:r>
                            <m:r>
                              <m:rPr>
                                <m:sty m:val="p"/>
                              </m:rPr>
                              <a:rPr lang="en-US" sz="1000">
                                <a:effectLst/>
                                <a:latin typeface="Cambria Math"/>
                                <a:ea typeface="Calibri"/>
                                <a:cs typeface="Times New Roman"/>
                              </a:rPr>
                              <m:t>Risk</m:t>
                            </m:r>
                            <m:r>
                              <a:rPr lang="en-US" sz="1000">
                                <a:effectLst/>
                                <a:latin typeface="Cambria Math"/>
                                <a:ea typeface="Calibri"/>
                                <a:cs typeface="Times New Roman"/>
                              </a:rPr>
                              <m:t> </m:t>
                            </m:r>
                            <m:r>
                              <m:rPr>
                                <m:sty m:val="p"/>
                              </m:rPr>
                              <a:rPr lang="en-US" sz="1000">
                                <a:effectLst/>
                                <a:latin typeface="Cambria Math"/>
                                <a:ea typeface="Calibri"/>
                                <a:cs typeface="Times New Roman"/>
                              </a:rPr>
                              <m:t>Populations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r>
                          <a:rPr lang="en-US" sz="1000">
                            <a:effectLst/>
                            <a:latin typeface="Cambria Math"/>
                            <a:ea typeface="Calibri"/>
                            <a:cs typeface="Times New Roman"/>
                          </a:rPr>
                          <m:t>+1</m:t>
                        </m:r>
                      </m:e>
                    </m:d>
                  </m:oMath>
                </m:oMathPara>
              </a14:m>
              <a:endParaRPr lang="en-US" sz="1000">
                <a:effectLst/>
                <a:latin typeface="Calibri"/>
                <a:ea typeface="Calibri"/>
                <a:cs typeface="Times New Roman"/>
              </a:endParaRPr>
            </a:p>
          </xdr:txBody>
        </xdr:sp>
      </mc:Choice>
      <mc:Fallback xmlns="">
        <xdr:sp macro="" textlink="">
          <xdr:nvSpPr>
            <xdr:cNvPr id="44" name="Text Box 2"/>
            <xdr:cNvSpPr txBox="1">
              <a:spLocks noChangeArrowheads="1"/>
            </xdr:cNvSpPr>
          </xdr:nvSpPr>
          <xdr:spPr bwMode="auto">
            <a:xfrm>
              <a:off x="7460716" y="4634431"/>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Adjusted Risk Score =Risk Score ×</a:t>
              </a:r>
              <a:r>
                <a:rPr lang="en-US" sz="1000" i="0">
                  <a:effectLst/>
                  <a:latin typeface="Cambria Math"/>
                  <a:cs typeface="Times New Roman"/>
                </a:rPr>
                <a:t>((</a:t>
              </a:r>
              <a:r>
                <a:rPr lang="en-US" sz="1000" i="0">
                  <a:effectLst/>
                  <a:latin typeface="Cambria Math"/>
                  <a:ea typeface="Calibri"/>
                  <a:cs typeface="Times New Roman"/>
                </a:rPr>
                <a:t>At</a:t>
              </a:r>
              <a:r>
                <a:rPr lang="en-US" sz="1000" i="0">
                  <a:effectLst/>
                  <a:latin typeface="Cambria Math"/>
                  <a:ea typeface="Calibri"/>
                  <a:cs typeface="Calibri"/>
                </a:rPr>
                <a:t>­</a:t>
              </a:r>
              <a:r>
                <a:rPr lang="en-US" sz="1000" b="0" i="0">
                  <a:effectLst/>
                  <a:latin typeface="Cambria Math"/>
                  <a:ea typeface="Calibri"/>
                  <a:cs typeface="Calibri"/>
                </a:rPr>
                <a:t>­−</a:t>
              </a:r>
              <a:r>
                <a:rPr lang="en-US" sz="1000" i="0">
                  <a:effectLst/>
                  <a:latin typeface="Cambria Math"/>
                  <a:ea typeface="Calibri"/>
                  <a:cs typeface="Times New Roman"/>
                </a:rPr>
                <a:t>Risk Populations Score)/4+1)</a:t>
              </a:r>
              <a:endParaRPr lang="en-US" sz="1000">
                <a:effectLst/>
                <a:latin typeface="Calibri"/>
                <a:ea typeface="Calibri"/>
                <a:cs typeface="Times New Roman"/>
              </a:endParaRPr>
            </a:p>
          </xdr:txBody>
        </xdr:sp>
      </mc:Fallback>
    </mc:AlternateContent>
    <xdr:clientData/>
  </xdr:twoCellAnchor>
  <xdr:twoCellAnchor>
    <xdr:from>
      <xdr:col>10</xdr:col>
      <xdr:colOff>79493</xdr:colOff>
      <xdr:row>13</xdr:row>
      <xdr:rowOff>89646</xdr:rowOff>
    </xdr:from>
    <xdr:to>
      <xdr:col>15</xdr:col>
      <xdr:colOff>236375</xdr:colOff>
      <xdr:row>21</xdr:row>
      <xdr:rowOff>4553</xdr:rowOff>
    </xdr:to>
    <mc:AlternateContent xmlns:mc="http://schemas.openxmlformats.org/markup-compatibility/2006" xmlns:a14="http://schemas.microsoft.com/office/drawing/2010/main">
      <mc:Choice Requires="a14">
        <xdr:sp macro="" textlink="">
          <xdr:nvSpPr>
            <xdr:cNvPr id="45" name="Text Box 2">
              <a:extLst>
                <a:ext uri="{FF2B5EF4-FFF2-40B4-BE49-F238E27FC236}">
                  <a16:creationId xmlns:a16="http://schemas.microsoft.com/office/drawing/2014/main" id="{00000000-0008-0000-0300-00002D000000}"/>
                </a:ext>
              </a:extLst>
            </xdr:cNvPr>
            <xdr:cNvSpPr txBox="1">
              <a:spLocks noChangeArrowheads="1"/>
            </xdr:cNvSpPr>
          </xdr:nvSpPr>
          <xdr:spPr bwMode="auto">
            <a:xfrm>
              <a:off x="7889993" y="2137521"/>
              <a:ext cx="3204882"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Probability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Severity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16</m:t>
                        </m:r>
                      </m:den>
                    </m:f>
                    <m:r>
                      <a:rPr lang="en-US" sz="1000">
                        <a:effectLst/>
                        <a:latin typeface="Cambria Math"/>
                        <a:ea typeface="Calibri"/>
                        <a:cs typeface="Times New Roman"/>
                      </a:rPr>
                      <m:t>×100</m:t>
                    </m:r>
                  </m:oMath>
                </m:oMathPara>
              </a14:m>
              <a:endParaRPr lang="en-US" sz="1000">
                <a:effectLst/>
                <a:latin typeface="Calibri"/>
                <a:ea typeface="Calibri"/>
                <a:cs typeface="Times New Roman"/>
              </a:endParaRPr>
            </a:p>
          </xdr:txBody>
        </xdr:sp>
      </mc:Choice>
      <mc:Fallback xmlns="">
        <xdr:sp macro="" textlink="">
          <xdr:nvSpPr>
            <xdr:cNvPr id="45" name="Text Box 2"/>
            <xdr:cNvSpPr txBox="1">
              <a:spLocks noChangeArrowheads="1"/>
            </xdr:cNvSpPr>
          </xdr:nvSpPr>
          <xdr:spPr bwMode="auto">
            <a:xfrm>
              <a:off x="7889993" y="2137521"/>
              <a:ext cx="3204882"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Risk Score=</a:t>
              </a:r>
              <a:r>
                <a:rPr lang="en-US" sz="1000" i="0">
                  <a:effectLst/>
                  <a:latin typeface="Cambria Math"/>
                  <a:cs typeface="Times New Roman"/>
                </a:rPr>
                <a:t>(</a:t>
              </a:r>
              <a:r>
                <a:rPr lang="en-US" sz="1000" i="0">
                  <a:effectLst/>
                  <a:latin typeface="Cambria Math"/>
                  <a:ea typeface="Calibri"/>
                  <a:cs typeface="Times New Roman"/>
                </a:rPr>
                <a:t>Probability Score × Severity Score)/16×100</a:t>
              </a:r>
              <a:endParaRPr lang="en-US" sz="1000">
                <a:effectLst/>
                <a:latin typeface="Calibri"/>
                <a:ea typeface="Calibri"/>
                <a:cs typeface="Times New Roman"/>
              </a:endParaRPr>
            </a:p>
          </xdr:txBody>
        </xdr:sp>
      </mc:Fallback>
    </mc:AlternateContent>
    <xdr:clientData/>
  </xdr:twoCellAnchor>
  <xdr:twoCellAnchor>
    <xdr:from>
      <xdr:col>6</xdr:col>
      <xdr:colOff>282598</xdr:colOff>
      <xdr:row>34</xdr:row>
      <xdr:rowOff>113110</xdr:rowOff>
    </xdr:from>
    <xdr:to>
      <xdr:col>10</xdr:col>
      <xdr:colOff>506717</xdr:colOff>
      <xdr:row>37</xdr:row>
      <xdr:rowOff>70688</xdr:rowOff>
    </xdr:to>
    <xdr:sp macro="" textlink="">
      <xdr:nvSpPr>
        <xdr:cNvPr id="46" name="Text Box 2">
          <a:extLst>
            <a:ext uri="{FF2B5EF4-FFF2-40B4-BE49-F238E27FC236}">
              <a16:creationId xmlns:a16="http://schemas.microsoft.com/office/drawing/2014/main" id="{00000000-0008-0000-0300-00002E000000}"/>
            </a:ext>
          </a:extLst>
        </xdr:cNvPr>
        <xdr:cNvSpPr txBox="1">
          <a:spLocks noChangeArrowheads="1"/>
        </xdr:cNvSpPr>
      </xdr:nvSpPr>
      <xdr:spPr bwMode="auto">
        <a:xfrm>
          <a:off x="5654698" y="3818335"/>
          <a:ext cx="2662519" cy="224278"/>
        </a:xfrm>
        <a:prstGeom prst="rect">
          <a:avLst/>
        </a:prstGeom>
        <a:solidFill>
          <a:srgbClr val="FFFFFF">
            <a:alpha val="70000"/>
          </a:srgbClr>
        </a:solidFill>
        <a:ln w="9525">
          <a:solidFill>
            <a:srgbClr val="000000"/>
          </a:solidFill>
          <a:miter lim="800000"/>
          <a:headEnd/>
          <a:tailEnd/>
        </a:ln>
      </xdr:spPr>
      <xdr:txBody>
        <a:bodyPr rot="0" vert="horz" wrap="square" lIns="91440" tIns="91440" rIns="91440" bIns="91440" anchor="ctr" anchorCtr="0">
          <a:noAutofit/>
        </a:bodyPr>
        <a:lstStyle/>
        <a:p>
          <a:pPr marL="0" marR="0">
            <a:lnSpc>
              <a:spcPct val="115000"/>
            </a:lnSpc>
            <a:spcBef>
              <a:spcPts val="0"/>
            </a:spcBef>
            <a:spcAft>
              <a:spcPts val="1000"/>
            </a:spcAft>
          </a:pPr>
          <a:r>
            <a:rPr lang="en-US" sz="1000">
              <a:effectLst/>
              <a:latin typeface="Cambria Math"/>
              <a:ea typeface="Calibri"/>
              <a:cs typeface="Times New Roman"/>
            </a:rPr>
            <a:t>Severity Score = Average of all Impact Scores</a:t>
          </a:r>
          <a:endParaRPr lang="en-US" sz="1000">
            <a:effectLst/>
            <a:latin typeface="Calibri"/>
            <a:ea typeface="Calibri"/>
            <a:cs typeface="Times New Roman"/>
          </a:endParaRPr>
        </a:p>
      </xdr:txBody>
    </xdr:sp>
    <xdr:clientData/>
  </xdr:twoCellAnchor>
  <xdr:twoCellAnchor>
    <xdr:from>
      <xdr:col>10</xdr:col>
      <xdr:colOff>395303</xdr:colOff>
      <xdr:row>71</xdr:row>
      <xdr:rowOff>29766</xdr:rowOff>
    </xdr:from>
    <xdr:to>
      <xdr:col>15</xdr:col>
      <xdr:colOff>92044</xdr:colOff>
      <xdr:row>75</xdr:row>
      <xdr:rowOff>97082</xdr:rowOff>
    </xdr:to>
    <mc:AlternateContent xmlns:mc="http://schemas.openxmlformats.org/markup-compatibility/2006" xmlns:a14="http://schemas.microsoft.com/office/drawing/2010/main">
      <mc:Choice Requires="a14">
        <xdr:sp macro="" textlink="">
          <xdr:nvSpPr>
            <xdr:cNvPr id="47" name="Text Box 2">
              <a:extLst>
                <a:ext uri="{FF2B5EF4-FFF2-40B4-BE49-F238E27FC236}">
                  <a16:creationId xmlns:a16="http://schemas.microsoft.com/office/drawing/2014/main" id="{00000000-0008-0000-0300-00002F000000}"/>
                </a:ext>
              </a:extLst>
            </xdr:cNvPr>
            <xdr:cNvSpPr txBox="1">
              <a:spLocks noChangeArrowheads="1"/>
            </xdr:cNvSpPr>
          </xdr:nvSpPr>
          <xdr:spPr bwMode="auto">
            <a:xfrm>
              <a:off x="8198476" y="7224804"/>
              <a:ext cx="2737414" cy="360393"/>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14:m>
                <m:oMath xmlns:m="http://schemas.openxmlformats.org/officeDocument/2006/math">
                  <m:r>
                    <m:rPr>
                      <m:sty m:val="p"/>
                    </m:rPr>
                    <a:rPr lang="en-US" sz="1000">
                      <a:effectLst/>
                      <a:latin typeface="Cambria Math"/>
                      <a:ea typeface="Calibri"/>
                      <a:cs typeface="Calibri"/>
                    </a:rPr>
                    <m:t>Planning</m:t>
                  </m:r>
                  <m:r>
                    <a:rPr lang="en-US" sz="1000" i="1">
                      <a:effectLst/>
                      <a:latin typeface="Cambria Math"/>
                      <a:ea typeface="Calibri"/>
                      <a:cs typeface="Calibri"/>
                    </a:rPr>
                    <m:t> </m:t>
                  </m:r>
                  <m:r>
                    <m:rPr>
                      <m:sty m:val="p"/>
                    </m:rPr>
                    <a:rPr lang="en-US" sz="1000">
                      <a:effectLst/>
                      <a:latin typeface="Cambria Math"/>
                      <a:ea typeface="Calibri"/>
                      <a:cs typeface="Calibri"/>
                    </a:rPr>
                    <m:t>Priority</m:t>
                  </m:r>
                  <m:r>
                    <a:rPr lang="en-US" sz="1000" i="1">
                      <a:effectLst/>
                      <a:latin typeface="Cambria Math"/>
                      <a:ea typeface="Calibri"/>
                      <a:cs typeface="Calibri"/>
                    </a:rPr>
                    <m:t> </m:t>
                  </m:r>
                  <m:r>
                    <m:rPr>
                      <m:sty m:val="p"/>
                    </m:rPr>
                    <a:rPr lang="en-US" sz="1000">
                      <a:effectLst/>
                      <a:latin typeface="Cambria Math"/>
                      <a:ea typeface="Calibri"/>
                      <a:cs typeface="Calibri"/>
                    </a:rPr>
                    <m:t>Indicator</m:t>
                  </m:r>
                  <m:r>
                    <a:rPr lang="en-US" sz="1000" i="1">
                      <a:effectLst/>
                      <a:latin typeface="Cambria Math"/>
                      <a:ea typeface="Calibri"/>
                      <a:cs typeface="Calibri"/>
                    </a:rPr>
                    <m:t> </m:t>
                  </m:r>
                  <m:r>
                    <a:rPr lang="en-US" sz="1000">
                      <a:effectLst/>
                      <a:latin typeface="Cambria Math"/>
                      <a:ea typeface="Calibri"/>
                      <a:cs typeface="Calibri"/>
                    </a:rPr>
                    <m:t>=</m:t>
                  </m:r>
                  <m:r>
                    <a:rPr lang="en-US" sz="1000" i="1">
                      <a:effectLst/>
                      <a:latin typeface="Cambria Math"/>
                      <a:ea typeface="Calibri"/>
                      <a:cs typeface="Calibri"/>
                    </a:rPr>
                    <m:t> </m:t>
                  </m:r>
                  <m:f>
                    <m:fPr>
                      <m:ctrlPr>
                        <a:rPr lang="en-US" sz="1000" i="1">
                          <a:effectLst/>
                          <a:latin typeface="Cambria Math" panose="02040503050406030204" pitchFamily="18" charset="0"/>
                          <a:ea typeface="Calibri"/>
                          <a:cs typeface="Calibri"/>
                        </a:rPr>
                      </m:ctrlPr>
                    </m:fPr>
                    <m:num>
                      <m:r>
                        <m:rPr>
                          <m:sty m:val="p"/>
                        </m:rPr>
                        <a:rPr lang="en-US" sz="1000">
                          <a:effectLst/>
                          <a:latin typeface="Cambria Math"/>
                          <a:ea typeface="Calibri"/>
                          <a:cs typeface="Calibri"/>
                        </a:rPr>
                        <m:t>Adjusted</m:t>
                      </m:r>
                      <m:r>
                        <a:rPr lang="en-US" sz="1000" i="1">
                          <a:effectLst/>
                          <a:latin typeface="Cambria Math"/>
                          <a:ea typeface="Calibri"/>
                          <a:cs typeface="Calibri"/>
                        </a:rPr>
                        <m:t> </m:t>
                      </m:r>
                      <m:r>
                        <m:rPr>
                          <m:sty m:val="p"/>
                        </m:rPr>
                        <a:rPr lang="en-US" sz="1000">
                          <a:effectLst/>
                          <a:latin typeface="Cambria Math"/>
                          <a:ea typeface="Calibri"/>
                          <a:cs typeface="Calibri"/>
                        </a:rPr>
                        <m:t>Risk</m:t>
                      </m:r>
                      <m:r>
                        <a:rPr lang="en-US" sz="1000" i="1">
                          <a:effectLst/>
                          <a:latin typeface="Cambria Math"/>
                          <a:ea typeface="Calibri"/>
                          <a:cs typeface="Calibri"/>
                        </a:rPr>
                        <m:t> </m:t>
                      </m:r>
                      <m:r>
                        <m:rPr>
                          <m:sty m:val="p"/>
                        </m:rPr>
                        <a:rPr lang="en-US" sz="1000">
                          <a:effectLst/>
                          <a:latin typeface="Cambria Math"/>
                          <a:ea typeface="Calibri"/>
                          <a:cs typeface="Calibri"/>
                        </a:rPr>
                        <m:t>Score</m:t>
                      </m:r>
                    </m:num>
                    <m:den>
                      <m:r>
                        <m:rPr>
                          <m:sty m:val="p"/>
                        </m:rPr>
                        <a:rPr lang="en-US" sz="1000">
                          <a:effectLst/>
                          <a:latin typeface="Cambria Math"/>
                          <a:ea typeface="Calibri"/>
                          <a:cs typeface="Calibri"/>
                        </a:rPr>
                        <m:t>Preparedness</m:t>
                      </m:r>
                      <m:r>
                        <a:rPr lang="en-US" sz="1000" i="1">
                          <a:effectLst/>
                          <a:latin typeface="Cambria Math"/>
                          <a:ea typeface="Calibri"/>
                          <a:cs typeface="Calibri"/>
                        </a:rPr>
                        <m:t> </m:t>
                      </m:r>
                      <m:r>
                        <m:rPr>
                          <m:sty m:val="p"/>
                        </m:rPr>
                        <a:rPr lang="en-US" sz="1000">
                          <a:effectLst/>
                          <a:latin typeface="Cambria Math"/>
                          <a:ea typeface="Calibri"/>
                          <a:cs typeface="Calibri"/>
                        </a:rPr>
                        <m:t>Score</m:t>
                      </m:r>
                    </m:den>
                  </m:f>
                </m:oMath>
              </a14:m>
              <a:r>
                <a:rPr lang="en-US" sz="1000">
                  <a:effectLst/>
                  <a:latin typeface="Calibri"/>
                  <a:ea typeface="Calibri"/>
                  <a:cs typeface="Times New Roman"/>
                </a:rPr>
                <a:t> </a:t>
              </a:r>
            </a:p>
          </xdr:txBody>
        </xdr:sp>
      </mc:Choice>
      <mc:Fallback xmlns="">
        <xdr:sp macro="" textlink="">
          <xdr:nvSpPr>
            <xdr:cNvPr id="47" name="Text Box 2"/>
            <xdr:cNvSpPr txBox="1">
              <a:spLocks noChangeArrowheads="1"/>
            </xdr:cNvSpPr>
          </xdr:nvSpPr>
          <xdr:spPr bwMode="auto">
            <a:xfrm>
              <a:off x="8198476" y="7224804"/>
              <a:ext cx="2737414" cy="360393"/>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r>
                <a:rPr lang="en-US" sz="1000" i="0">
                  <a:effectLst/>
                  <a:latin typeface="Cambria Math"/>
                  <a:ea typeface="Calibri"/>
                  <a:cs typeface="Calibri"/>
                </a:rPr>
                <a:t>Planning Priority Indicator = </a:t>
              </a:r>
              <a:r>
                <a:rPr lang="en-US" sz="1000" i="0">
                  <a:effectLst/>
                  <a:latin typeface="Cambria Math"/>
                </a:rPr>
                <a:t> (</a:t>
              </a:r>
              <a:r>
                <a:rPr lang="en-US" sz="1000" i="0">
                  <a:effectLst/>
                  <a:latin typeface="Cambria Math"/>
                  <a:ea typeface="Calibri"/>
                  <a:cs typeface="Calibri"/>
                </a:rPr>
                <a:t>Adjusted Risk Score)/(Preparedness Score)</a:t>
              </a:r>
              <a:r>
                <a:rPr lang="en-US" sz="1000">
                  <a:effectLst/>
                  <a:latin typeface="Calibri"/>
                  <a:ea typeface="Calibri"/>
                  <a:cs typeface="Times New Roman"/>
                </a:rPr>
                <a:t> </a:t>
              </a:r>
            </a:p>
          </xdr:txBody>
        </xdr:sp>
      </mc:Fallback>
    </mc:AlternateContent>
    <xdr:clientData/>
  </xdr:twoCellAnchor>
  <xdr:twoCellAnchor>
    <xdr:from>
      <xdr:col>14</xdr:col>
      <xdr:colOff>177139</xdr:colOff>
      <xdr:row>74</xdr:row>
      <xdr:rowOff>6595</xdr:rowOff>
    </xdr:from>
    <xdr:to>
      <xdr:col>15</xdr:col>
      <xdr:colOff>467092</xdr:colOff>
      <xdr:row>83</xdr:row>
      <xdr:rowOff>3233</xdr:rowOff>
    </xdr:to>
    <xdr:sp macro="" textlink="">
      <xdr:nvSpPr>
        <xdr:cNvPr id="48" name="Arc 47">
          <a:extLst>
            <a:ext uri="{FF2B5EF4-FFF2-40B4-BE49-F238E27FC236}">
              <a16:creationId xmlns:a16="http://schemas.microsoft.com/office/drawing/2014/main" id="{00000000-0008-0000-0300-000030000000}"/>
            </a:ext>
          </a:extLst>
        </xdr:cNvPr>
        <xdr:cNvSpPr/>
      </xdr:nvSpPr>
      <xdr:spPr>
        <a:xfrm>
          <a:off x="10412851" y="7472730"/>
          <a:ext cx="898087" cy="707349"/>
        </a:xfrm>
        <a:prstGeom prst="arc">
          <a:avLst>
            <a:gd name="adj1" fmla="val 16951728"/>
            <a:gd name="adj2" fmla="val 2134138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12</xdr:col>
      <xdr:colOff>327692</xdr:colOff>
      <xdr:row>43</xdr:row>
      <xdr:rowOff>114861</xdr:rowOff>
    </xdr:from>
    <xdr:to>
      <xdr:col>14</xdr:col>
      <xdr:colOff>163607</xdr:colOff>
      <xdr:row>50</xdr:row>
      <xdr:rowOff>53148</xdr:rowOff>
    </xdr:to>
    <xdr:sp macro="" textlink="">
      <xdr:nvSpPr>
        <xdr:cNvPr id="49" name="Arc 48">
          <a:extLst>
            <a:ext uri="{FF2B5EF4-FFF2-40B4-BE49-F238E27FC236}">
              <a16:creationId xmlns:a16="http://schemas.microsoft.com/office/drawing/2014/main" id="{00000000-0008-0000-0300-000031000000}"/>
            </a:ext>
          </a:extLst>
        </xdr:cNvPr>
        <xdr:cNvSpPr/>
      </xdr:nvSpPr>
      <xdr:spPr>
        <a:xfrm>
          <a:off x="9390049" y="4850147"/>
          <a:ext cx="1060558" cy="468965"/>
        </a:xfrm>
        <a:prstGeom prst="arc">
          <a:avLst>
            <a:gd name="adj1" fmla="val 21277305"/>
            <a:gd name="adj2" fmla="val 3335870"/>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992367</xdr:colOff>
      <xdr:row>111</xdr:row>
      <xdr:rowOff>119913</xdr:rowOff>
    </xdr:from>
    <xdr:to>
      <xdr:col>4</xdr:col>
      <xdr:colOff>340176</xdr:colOff>
      <xdr:row>125</xdr:row>
      <xdr:rowOff>54429</xdr:rowOff>
    </xdr:to>
    <xdr:sp macro="" textlink="">
      <xdr:nvSpPr>
        <xdr:cNvPr id="50" name="Arc 49">
          <a:extLst>
            <a:ext uri="{FF2B5EF4-FFF2-40B4-BE49-F238E27FC236}">
              <a16:creationId xmlns:a16="http://schemas.microsoft.com/office/drawing/2014/main" id="{00000000-0008-0000-0300-000032000000}"/>
            </a:ext>
          </a:extLst>
        </xdr:cNvPr>
        <xdr:cNvSpPr/>
      </xdr:nvSpPr>
      <xdr:spPr>
        <a:xfrm flipH="1">
          <a:off x="3727403" y="9917056"/>
          <a:ext cx="776559" cy="887016"/>
        </a:xfrm>
        <a:prstGeom prst="arc">
          <a:avLst>
            <a:gd name="adj1" fmla="val 10983352"/>
            <a:gd name="adj2" fmla="val 15733796"/>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649942</xdr:colOff>
      <xdr:row>79</xdr:row>
      <xdr:rowOff>22411</xdr:rowOff>
    </xdr:from>
    <xdr:to>
      <xdr:col>4</xdr:col>
      <xdr:colOff>537883</xdr:colOff>
      <xdr:row>97</xdr:row>
      <xdr:rowOff>33616</xdr:rowOff>
    </xdr:to>
    <xdr:sp macro="" textlink="">
      <xdr:nvSpPr>
        <xdr:cNvPr id="51" name="Arc 50">
          <a:extLst>
            <a:ext uri="{FF2B5EF4-FFF2-40B4-BE49-F238E27FC236}">
              <a16:creationId xmlns:a16="http://schemas.microsoft.com/office/drawing/2014/main" id="{00000000-0008-0000-0300-000033000000}"/>
            </a:ext>
          </a:extLst>
        </xdr:cNvPr>
        <xdr:cNvSpPr/>
      </xdr:nvSpPr>
      <xdr:spPr>
        <a:xfrm flipH="1" flipV="1">
          <a:off x="3374092" y="7309036"/>
          <a:ext cx="1316691" cy="1401855"/>
        </a:xfrm>
        <a:prstGeom prst="arc">
          <a:avLst>
            <a:gd name="adj1" fmla="val 17813179"/>
            <a:gd name="adj2" fmla="val 2123564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41671</xdr:colOff>
      <xdr:row>36</xdr:row>
      <xdr:rowOff>5954</xdr:rowOff>
    </xdr:from>
    <xdr:to>
      <xdr:col>6</xdr:col>
      <xdr:colOff>470297</xdr:colOff>
      <xdr:row>45</xdr:row>
      <xdr:rowOff>35719</xdr:rowOff>
    </xdr:to>
    <xdr:sp macro="" textlink="">
      <xdr:nvSpPr>
        <xdr:cNvPr id="52" name="Arc 51">
          <a:extLst>
            <a:ext uri="{FF2B5EF4-FFF2-40B4-BE49-F238E27FC236}">
              <a16:creationId xmlns:a16="http://schemas.microsoft.com/office/drawing/2014/main" id="{00000000-0008-0000-0300-000034000000}"/>
            </a:ext>
          </a:extLst>
        </xdr:cNvPr>
        <xdr:cNvSpPr/>
      </xdr:nvSpPr>
      <xdr:spPr>
        <a:xfrm flipH="1">
          <a:off x="5413771" y="3958829"/>
          <a:ext cx="428626" cy="620315"/>
        </a:xfrm>
        <a:prstGeom prst="arc">
          <a:avLst>
            <a:gd name="adj1" fmla="val 15892405"/>
            <a:gd name="adj2" fmla="val 21457183"/>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9</xdr:col>
      <xdr:colOff>251218</xdr:colOff>
      <xdr:row>13</xdr:row>
      <xdr:rowOff>29766</xdr:rowOff>
    </xdr:from>
    <xdr:to>
      <xdr:col>10</xdr:col>
      <xdr:colOff>523876</xdr:colOff>
      <xdr:row>23</xdr:row>
      <xdr:rowOff>120114</xdr:rowOff>
    </xdr:to>
    <xdr:sp macro="" textlink="">
      <xdr:nvSpPr>
        <xdr:cNvPr id="53" name="Arc 52">
          <a:extLst>
            <a:ext uri="{FF2B5EF4-FFF2-40B4-BE49-F238E27FC236}">
              <a16:creationId xmlns:a16="http://schemas.microsoft.com/office/drawing/2014/main" id="{00000000-0008-0000-0300-000035000000}"/>
            </a:ext>
          </a:extLst>
        </xdr:cNvPr>
        <xdr:cNvSpPr/>
      </xdr:nvSpPr>
      <xdr:spPr>
        <a:xfrm flipH="1" flipV="1">
          <a:off x="7452118" y="2077641"/>
          <a:ext cx="882258" cy="909498"/>
        </a:xfrm>
        <a:prstGeom prst="arc">
          <a:avLst>
            <a:gd name="adj1" fmla="val 11525482"/>
            <a:gd name="adj2" fmla="val 1536356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127</xdr:row>
      <xdr:rowOff>9525</xdr:rowOff>
    </xdr:from>
    <xdr:to>
      <xdr:col>2</xdr:col>
      <xdr:colOff>238125</xdr:colOff>
      <xdr:row>142</xdr:row>
      <xdr:rowOff>0</xdr:rowOff>
    </xdr:to>
    <xdr:sp macro="" textlink="">
      <xdr:nvSpPr>
        <xdr:cNvPr id="54" name="Right Brace 53">
          <a:extLst>
            <a:ext uri="{FF2B5EF4-FFF2-40B4-BE49-F238E27FC236}">
              <a16:creationId xmlns:a16="http://schemas.microsoft.com/office/drawing/2014/main" id="{00000000-0008-0000-0300-000036000000}"/>
            </a:ext>
          </a:extLst>
        </xdr:cNvPr>
        <xdr:cNvSpPr/>
      </xdr:nvSpPr>
      <xdr:spPr>
        <a:xfrm>
          <a:off x="2438400" y="10934700"/>
          <a:ext cx="190500" cy="1114425"/>
        </a:xfrm>
        <a:prstGeom prst="rightBrace">
          <a:avLst/>
        </a:prstGeom>
        <a:ln w="9525">
          <a:solidFill>
            <a:schemeClr val="accent6">
              <a:lumMod val="40000"/>
              <a:lumOff val="60000"/>
            </a:schemeClr>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0</xdr:colOff>
      <xdr:row>9</xdr:row>
      <xdr:rowOff>0</xdr:rowOff>
    </xdr:from>
    <xdr:to>
      <xdr:col>4</xdr:col>
      <xdr:colOff>0</xdr:colOff>
      <xdr:row>10</xdr:row>
      <xdr:rowOff>33618</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724150" y="1657350"/>
          <a:ext cx="1428750" cy="157443"/>
        </a:xfrm>
        <a:prstGeom prst="rect">
          <a:avLst/>
        </a:prstGeom>
        <a:solidFill>
          <a:schemeClr val="accent3">
            <a:lumMod val="40000"/>
            <a:lumOff val="60000"/>
          </a:schemeClr>
        </a:solidFill>
        <a:ln w="9525"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Probability Score</a:t>
          </a:r>
          <a:endParaRPr lang="en-US" sz="1100" baseline="0"/>
        </a:p>
      </xdr:txBody>
    </xdr:sp>
    <xdr:clientData/>
  </xdr:twoCellAnchor>
  <xdr:twoCellAnchor>
    <xdr:from>
      <xdr:col>3</xdr:col>
      <xdr:colOff>0</xdr:colOff>
      <xdr:row>27</xdr:row>
      <xdr:rowOff>0</xdr:rowOff>
    </xdr:from>
    <xdr:to>
      <xdr:col>4</xdr:col>
      <xdr:colOff>0</xdr:colOff>
      <xdr:row>31</xdr:row>
      <xdr:rowOff>77881</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2724150" y="3152775"/>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a:t>
          </a:r>
          <a:r>
            <a:rPr lang="en-US" sz="1100" baseline="0"/>
            <a:t> Service Impact Score</a:t>
          </a:r>
        </a:p>
      </xdr:txBody>
    </xdr:sp>
    <xdr:clientData/>
  </xdr:twoCellAnchor>
  <xdr:twoCellAnchor>
    <xdr:from>
      <xdr:col>3</xdr:col>
      <xdr:colOff>0</xdr:colOff>
      <xdr:row>15</xdr:row>
      <xdr:rowOff>0</xdr:rowOff>
    </xdr:from>
    <xdr:to>
      <xdr:col>4</xdr:col>
      <xdr:colOff>0</xdr:colOff>
      <xdr:row>19</xdr:row>
      <xdr:rowOff>77881</xdr:rowOff>
    </xdr:to>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2724150" y="2190750"/>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Human Impact </a:t>
          </a:r>
          <a:r>
            <a:rPr lang="en-US" sz="1100" baseline="0"/>
            <a:t>Score</a:t>
          </a:r>
        </a:p>
      </xdr:txBody>
    </xdr:sp>
    <xdr:clientData/>
  </xdr:twoCellAnchor>
  <xdr:twoCellAnchor>
    <xdr:from>
      <xdr:col>3</xdr:col>
      <xdr:colOff>0</xdr:colOff>
      <xdr:row>39</xdr:row>
      <xdr:rowOff>0</xdr:rowOff>
    </xdr:from>
    <xdr:to>
      <xdr:col>4</xdr:col>
      <xdr:colOff>0</xdr:colOff>
      <xdr:row>47</xdr:row>
      <xdr:rowOff>0</xdr:rowOff>
    </xdr:to>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2724150" y="4114800"/>
          <a:ext cx="1428750" cy="571500"/>
        </a:xfrm>
        <a:prstGeom prst="rect">
          <a:avLst/>
        </a:prstGeom>
        <a:solidFill>
          <a:schemeClr val="accent4">
            <a:lumMod val="20000"/>
            <a:lumOff val="80000"/>
          </a:schemeClr>
        </a:solidFill>
        <a:ln w="9525" cmpd="sng">
          <a:solidFill>
            <a:schemeClr val="accent4">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solidFill>
                <a:schemeClr val="bg1">
                  <a:lumMod val="75000"/>
                </a:schemeClr>
              </a:solidFill>
            </a:rPr>
            <a:t>Inpatient</a:t>
          </a:r>
          <a:r>
            <a:rPr lang="en-US" sz="1100" baseline="0">
              <a:solidFill>
                <a:schemeClr val="bg1">
                  <a:lumMod val="75000"/>
                </a:schemeClr>
              </a:solidFill>
            </a:rPr>
            <a:t> Facility Infrastructure Impact Score</a:t>
          </a:r>
        </a:p>
      </xdr:txBody>
    </xdr:sp>
    <xdr:clientData/>
  </xdr:twoCellAnchor>
  <xdr:twoCellAnchor>
    <xdr:from>
      <xdr:col>3</xdr:col>
      <xdr:colOff>0</xdr:colOff>
      <xdr:row>55</xdr:row>
      <xdr:rowOff>0</xdr:rowOff>
    </xdr:from>
    <xdr:to>
      <xdr:col>4</xdr:col>
      <xdr:colOff>0</xdr:colOff>
      <xdr:row>59</xdr:row>
      <xdr:rowOff>77881</xdr:rowOff>
    </xdr:to>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2724150" y="5362575"/>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Community </a:t>
          </a:r>
          <a:r>
            <a:rPr lang="en-US" sz="1100" baseline="0"/>
            <a:t>Impact </a:t>
          </a:r>
        </a:p>
        <a:p>
          <a:pPr algn="ctr"/>
          <a:r>
            <a:rPr lang="en-US" sz="1100" baseline="0"/>
            <a:t>Score</a:t>
          </a:r>
        </a:p>
      </xdr:txBody>
    </xdr:sp>
    <xdr:clientData/>
  </xdr:twoCellAnchor>
  <xdr:twoCellAnchor>
    <xdr:from>
      <xdr:col>3</xdr:col>
      <xdr:colOff>0</xdr:colOff>
      <xdr:row>69</xdr:row>
      <xdr:rowOff>0</xdr:rowOff>
    </xdr:from>
    <xdr:to>
      <xdr:col>4</xdr:col>
      <xdr:colOff>0</xdr:colOff>
      <xdr:row>73</xdr:row>
      <xdr:rowOff>77881</xdr:rowOff>
    </xdr:to>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2724150" y="6467475"/>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 Health </a:t>
          </a:r>
          <a:r>
            <a:rPr lang="en-US" sz="1100" baseline="0"/>
            <a:t>Service Impact Score</a:t>
          </a:r>
        </a:p>
      </xdr:txBody>
    </xdr:sp>
    <xdr:clientData/>
  </xdr:twoCellAnchor>
  <xdr:twoCellAnchor>
    <xdr:from>
      <xdr:col>3</xdr:col>
      <xdr:colOff>0</xdr:colOff>
      <xdr:row>85</xdr:row>
      <xdr:rowOff>0</xdr:rowOff>
    </xdr:from>
    <xdr:to>
      <xdr:col>4</xdr:col>
      <xdr:colOff>0</xdr:colOff>
      <xdr:row>89</xdr:row>
      <xdr:rowOff>77881</xdr:rowOff>
    </xdr:to>
    <xdr:sp macro="" textlink="">
      <xdr:nvSpPr>
        <xdr:cNvPr id="64" name="TextBox 63">
          <a:extLst>
            <a:ext uri="{FF2B5EF4-FFF2-40B4-BE49-F238E27FC236}">
              <a16:creationId xmlns:a16="http://schemas.microsoft.com/office/drawing/2014/main" id="{00000000-0008-0000-0300-000040000000}"/>
            </a:ext>
          </a:extLst>
        </xdr:cNvPr>
        <xdr:cNvSpPr txBox="1"/>
      </xdr:nvSpPr>
      <xdr:spPr>
        <a:xfrm>
          <a:off x="2724150" y="7715250"/>
          <a:ext cx="1428750" cy="363631"/>
        </a:xfrm>
        <a:prstGeom prst="rect">
          <a:avLst/>
        </a:prstGeom>
        <a:solidFill>
          <a:schemeClr val="tx2">
            <a:lumMod val="40000"/>
            <a:lumOff val="60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At-Risk Populations </a:t>
          </a:r>
          <a:r>
            <a:rPr lang="en-US" sz="1100" baseline="0"/>
            <a:t>Score</a:t>
          </a:r>
        </a:p>
      </xdr:txBody>
    </xdr:sp>
    <xdr:clientData/>
  </xdr:twoCellAnchor>
  <xdr:twoCellAnchor>
    <xdr:from>
      <xdr:col>3</xdr:col>
      <xdr:colOff>0</xdr:colOff>
      <xdr:row>109</xdr:row>
      <xdr:rowOff>0</xdr:rowOff>
    </xdr:from>
    <xdr:to>
      <xdr:col>4</xdr:col>
      <xdr:colOff>0</xdr:colOff>
      <xdr:row>113</xdr:row>
      <xdr:rowOff>77881</xdr:rowOff>
    </xdr:to>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2724150" y="9534525"/>
          <a:ext cx="1428750" cy="363631"/>
        </a:xfrm>
        <a:prstGeom prst="rect">
          <a:avLst/>
        </a:prstGeom>
        <a:solidFill>
          <a:schemeClr val="accent6">
            <a:lumMod val="40000"/>
            <a:lumOff val="6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 Health </a:t>
          </a:r>
          <a:r>
            <a:rPr lang="en-US" sz="1100" baseline="0"/>
            <a:t>Preparedness  Score</a:t>
          </a:r>
        </a:p>
      </xdr:txBody>
    </xdr:sp>
    <xdr:clientData/>
  </xdr:twoCellAnchor>
  <xdr:twoCellAnchor>
    <xdr:from>
      <xdr:col>3</xdr:col>
      <xdr:colOff>0</xdr:colOff>
      <xdr:row>133</xdr:row>
      <xdr:rowOff>0</xdr:rowOff>
    </xdr:from>
    <xdr:to>
      <xdr:col>4</xdr:col>
      <xdr:colOff>78442</xdr:colOff>
      <xdr:row>137</xdr:row>
      <xdr:rowOff>77881</xdr:rowOff>
    </xdr:to>
    <xdr:sp macro="" textlink="">
      <xdr:nvSpPr>
        <xdr:cNvPr id="66" name="TextBox 65">
          <a:extLst>
            <a:ext uri="{FF2B5EF4-FFF2-40B4-BE49-F238E27FC236}">
              <a16:creationId xmlns:a16="http://schemas.microsoft.com/office/drawing/2014/main" id="{00000000-0008-0000-0300-000042000000}"/>
            </a:ext>
          </a:extLst>
        </xdr:cNvPr>
        <xdr:cNvSpPr txBox="1"/>
      </xdr:nvSpPr>
      <xdr:spPr>
        <a:xfrm>
          <a:off x="2724150" y="11353800"/>
          <a:ext cx="1507192" cy="363631"/>
        </a:xfrm>
        <a:prstGeom prst="rect">
          <a:avLst/>
        </a:prstGeom>
        <a:solidFill>
          <a:schemeClr val="accent6">
            <a:lumMod val="20000"/>
            <a:lumOff val="8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solidFill>
                <a:schemeClr val="bg1">
                  <a:lumMod val="75000"/>
                </a:schemeClr>
              </a:solidFill>
            </a:rPr>
            <a:t>Healthcare </a:t>
          </a:r>
          <a:r>
            <a:rPr lang="en-US" sz="1100" baseline="0">
              <a:solidFill>
                <a:schemeClr val="bg1">
                  <a:lumMod val="75000"/>
                </a:schemeClr>
              </a:solidFill>
            </a:rPr>
            <a:t>Preparedness Score</a:t>
          </a:r>
        </a:p>
      </xdr:txBody>
    </xdr:sp>
    <xdr:clientData/>
  </xdr:twoCellAnchor>
  <xdr:twoCellAnchor>
    <xdr:from>
      <xdr:col>14</xdr:col>
      <xdr:colOff>345647</xdr:colOff>
      <xdr:row>78</xdr:row>
      <xdr:rowOff>43960</xdr:rowOff>
    </xdr:from>
    <xdr:to>
      <xdr:col>16</xdr:col>
      <xdr:colOff>288498</xdr:colOff>
      <xdr:row>93</xdr:row>
      <xdr:rowOff>65942</xdr:rowOff>
    </xdr:to>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10581359" y="7803172"/>
          <a:ext cx="1159120" cy="1172308"/>
        </a:xfrm>
        <a:prstGeom prst="rect">
          <a:avLst/>
        </a:prstGeom>
        <a:solidFill>
          <a:schemeClr val="bg1">
            <a:lumMod val="85000"/>
          </a:schemeClr>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a:t>Public Health System </a:t>
          </a:r>
          <a:r>
            <a:rPr lang="en-US" sz="1600" baseline="0"/>
            <a:t>Planning Priority Score</a:t>
          </a:r>
        </a:p>
      </xdr:txBody>
    </xdr:sp>
    <xdr:clientData/>
  </xdr:twoCellAnchor>
  <xdr:twoCellAnchor>
    <xdr:from>
      <xdr:col>3</xdr:col>
      <xdr:colOff>477351</xdr:colOff>
      <xdr:row>118</xdr:row>
      <xdr:rowOff>9966</xdr:rowOff>
    </xdr:from>
    <xdr:to>
      <xdr:col>10</xdr:col>
      <xdr:colOff>139900</xdr:colOff>
      <xdr:row>135</xdr:row>
      <xdr:rowOff>111140</xdr:rowOff>
    </xdr:to>
    <mc:AlternateContent xmlns:mc="http://schemas.openxmlformats.org/markup-compatibility/2006" xmlns:a14="http://schemas.microsoft.com/office/drawing/2010/main">
      <mc:Choice Requires="a14">
        <xdr:sp macro="" textlink="">
          <xdr:nvSpPr>
            <xdr:cNvPr id="74" name="Text Box 2">
              <a:extLst>
                <a:ext uri="{FF2B5EF4-FFF2-40B4-BE49-F238E27FC236}">
                  <a16:creationId xmlns:a16="http://schemas.microsoft.com/office/drawing/2014/main" id="{00000000-0008-0000-0300-00004A000000}"/>
                </a:ext>
              </a:extLst>
            </xdr:cNvPr>
            <xdr:cNvSpPr txBox="1">
              <a:spLocks noChangeArrowheads="1"/>
            </xdr:cNvSpPr>
          </xdr:nvSpPr>
          <xdr:spPr bwMode="auto">
            <a:xfrm>
              <a:off x="3212387" y="10337787"/>
              <a:ext cx="4765227" cy="1312210"/>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14:m>
                <m:oMath xmlns:m="http://schemas.openxmlformats.org/officeDocument/2006/math">
                  <m:r>
                    <a:rPr lang="en-US" sz="1000" i="1">
                      <a:effectLst/>
                      <a:latin typeface="Cambria Math"/>
                      <a:ea typeface="Calibri"/>
                      <a:cs typeface="Times New Roman"/>
                    </a:rPr>
                    <m:t> </m:t>
                  </m:r>
                  <m:r>
                    <a:rPr lang="en-US" sz="1000" i="1">
                      <a:effectLst/>
                      <a:latin typeface="Cambria Math"/>
                      <a:ea typeface="Calibri"/>
                      <a:cs typeface="Times New Roman"/>
                    </a:rPr>
                    <m:t>𝑛</m:t>
                  </m:r>
                </m:oMath>
              </a14:m>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Preparedness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a:rPr lang="en-US" sz="1000">
                                <a:effectLst/>
                                <a:latin typeface="Cambria Math"/>
                                <a:ea typeface="Calibri"/>
                                <a:cs typeface="Times New Roman"/>
                              </a:rPr>
                              <m:t>(</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e>
                        </m:nary>
                      </m:num>
                      <m:den>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e>
                        </m:nary>
                      </m:den>
                    </m:f>
                  </m:oMath>
                </m:oMathPara>
              </a14:m>
              <a:endParaRPr lang="en-US" sz="1000">
                <a:effectLst/>
                <a:latin typeface="Calibri"/>
                <a:ea typeface="Calibri"/>
                <a:cs typeface="Times New Roman"/>
              </a:endParaRPr>
            </a:p>
          </xdr:txBody>
        </xdr:sp>
      </mc:Choice>
      <mc:Fallback xmlns="">
        <xdr:sp macro="" textlink="">
          <xdr:nvSpPr>
            <xdr:cNvPr id="74" name="Text Box 2"/>
            <xdr:cNvSpPr txBox="1">
              <a:spLocks noChangeArrowheads="1"/>
            </xdr:cNvSpPr>
          </xdr:nvSpPr>
          <xdr:spPr bwMode="auto">
            <a:xfrm>
              <a:off x="3212387" y="10337787"/>
              <a:ext cx="4765227" cy="1312210"/>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r>
                <a:rPr lang="en-US" sz="1000" i="0">
                  <a:effectLst/>
                  <a:latin typeface="Cambria Math"/>
                  <a:ea typeface="Calibri"/>
                  <a:cs typeface="Times New Roman"/>
                </a:rPr>
                <a:t> 𝑛</a:t>
              </a:r>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r>
                <a:rPr lang="en-US" sz="1000" i="0">
                  <a:effectLst/>
                  <a:latin typeface="Cambria Math"/>
                  <a:ea typeface="Calibri"/>
                  <a:cs typeface="Times New Roman"/>
                </a:rPr>
                <a:t>Preparedness Score= </a:t>
              </a:r>
              <a:r>
                <a:rPr lang="en-US" sz="1000" i="0">
                  <a:effectLst/>
                  <a:latin typeface="Cambria Math"/>
                  <a:cs typeface="Times New Roman"/>
                </a:rPr>
                <a:t> (∑_(</a:t>
              </a:r>
              <a:r>
                <a:rPr lang="en-US" sz="1000" i="0">
                  <a:effectLst/>
                  <a:latin typeface="Cambria Math"/>
                  <a:ea typeface="Calibri"/>
                  <a:cs typeface="Times New Roman"/>
                </a:rPr>
                <a:t>𝑛=1)^15▒〖(Capability 𝑛 Score× Capability 𝑛 Relevance Score)〗)/(∑_(𝑛=1)^15▒〖Capability 𝑛 Relevance Score〗)</a:t>
              </a:r>
              <a:endParaRPr lang="en-US" sz="1000">
                <a:effectLst/>
                <a:latin typeface="Calibri"/>
                <a:ea typeface="Calibri"/>
                <a:cs typeface="Times New Roman"/>
              </a:endParaRPr>
            </a:p>
          </xdr:txBody>
        </xdr:sp>
      </mc:Fallback>
    </mc:AlternateContent>
    <xdr:clientData/>
  </xdr:twoCellAnchor>
  <xdr:twoCellAnchor>
    <xdr:from>
      <xdr:col>5</xdr:col>
      <xdr:colOff>600636</xdr:colOff>
      <xdr:row>39</xdr:row>
      <xdr:rowOff>62752</xdr:rowOff>
    </xdr:from>
    <xdr:to>
      <xdr:col>7</xdr:col>
      <xdr:colOff>437031</xdr:colOff>
      <xdr:row>47</xdr:row>
      <xdr:rowOff>44823</xdr:rowOff>
    </xdr:to>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5363136" y="4690781"/>
          <a:ext cx="1046630" cy="564777"/>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 Health System Severity </a:t>
          </a:r>
          <a:r>
            <a:rPr lang="en-US" sz="1100" baseline="0"/>
            <a:t>Score</a:t>
          </a:r>
        </a:p>
      </xdr:txBody>
    </xdr:sp>
    <xdr:clientData/>
  </xdr:twoCellAnchor>
  <xdr:twoCellAnchor>
    <xdr:from>
      <xdr:col>9</xdr:col>
      <xdr:colOff>17229</xdr:colOff>
      <xdr:row>22</xdr:row>
      <xdr:rowOff>45593</xdr:rowOff>
    </xdr:from>
    <xdr:to>
      <xdr:col>10</xdr:col>
      <xdr:colOff>280147</xdr:colOff>
      <xdr:row>28</xdr:row>
      <xdr:rowOff>22411</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7200200" y="3284093"/>
          <a:ext cx="868035" cy="514700"/>
        </a:xfrm>
        <a:prstGeom prst="rect">
          <a:avLst/>
        </a:prstGeom>
        <a:solidFill>
          <a:schemeClr val="accent2">
            <a:lumMod val="40000"/>
            <a:lumOff val="60000"/>
          </a:schemeClr>
        </a:solidFill>
        <a:ln w="9525"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Public</a:t>
          </a:r>
          <a:r>
            <a:rPr lang="en-US" sz="1100" baseline="0"/>
            <a:t> Health System </a:t>
          </a:r>
          <a:r>
            <a:rPr lang="en-US" sz="1100"/>
            <a:t>Risk </a:t>
          </a:r>
          <a:r>
            <a:rPr lang="en-US" sz="1100" baseline="0"/>
            <a:t>Score</a:t>
          </a:r>
        </a:p>
      </xdr:txBody>
    </xdr:sp>
    <xdr:clientData/>
  </xdr:twoCellAnchor>
  <xdr:twoCellAnchor>
    <xdr:from>
      <xdr:col>1</xdr:col>
      <xdr:colOff>0</xdr:colOff>
      <xdr:row>3</xdr:row>
      <xdr:rowOff>0</xdr:rowOff>
    </xdr:from>
    <xdr:to>
      <xdr:col>1</xdr:col>
      <xdr:colOff>1746755</xdr:colOff>
      <xdr:row>5</xdr:row>
      <xdr:rowOff>156883</xdr:rowOff>
    </xdr:to>
    <xdr:sp macro="" textlink="">
      <xdr:nvSpPr>
        <xdr:cNvPr id="111" name="Rounded Rectangle 110">
          <a:hlinkClick xmlns:r="http://schemas.openxmlformats.org/officeDocument/2006/relationships" r:id="rId1"/>
          <a:extLst>
            <a:ext uri="{FF2B5EF4-FFF2-40B4-BE49-F238E27FC236}">
              <a16:creationId xmlns:a16="http://schemas.microsoft.com/office/drawing/2014/main" id="{00000000-0008-0000-0300-00006F000000}"/>
            </a:ext>
          </a:extLst>
        </xdr:cNvPr>
        <xdr:cNvSpPr/>
      </xdr:nvSpPr>
      <xdr:spPr>
        <a:xfrm>
          <a:off x="609600" y="819150"/>
          <a:ext cx="1746755" cy="575983"/>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ysClr val="windowText" lastClr="000000"/>
              </a:solidFill>
              <a:latin typeface="+mj-lt"/>
            </a:rPr>
            <a:t>Overall Tool</a:t>
          </a:r>
        </a:p>
      </xdr:txBody>
    </xdr:sp>
    <xdr:clientData/>
  </xdr:twoCellAnchor>
  <xdr:twoCellAnchor>
    <xdr:from>
      <xdr:col>4</xdr:col>
      <xdr:colOff>163290</xdr:colOff>
      <xdr:row>3</xdr:row>
      <xdr:rowOff>0</xdr:rowOff>
    </xdr:from>
    <xdr:to>
      <xdr:col>7</xdr:col>
      <xdr:colOff>56274</xdr:colOff>
      <xdr:row>5</xdr:row>
      <xdr:rowOff>156883</xdr:rowOff>
    </xdr:to>
    <xdr:sp macro="" textlink="">
      <xdr:nvSpPr>
        <xdr:cNvPr id="112" name="Rounded Rectangle 111">
          <a:hlinkClick xmlns:r="http://schemas.openxmlformats.org/officeDocument/2006/relationships" r:id="rId2"/>
          <a:extLst>
            <a:ext uri="{FF2B5EF4-FFF2-40B4-BE49-F238E27FC236}">
              <a16:creationId xmlns:a16="http://schemas.microsoft.com/office/drawing/2014/main" id="{00000000-0008-0000-0300-000070000000}"/>
            </a:ext>
          </a:extLst>
        </xdr:cNvPr>
        <xdr:cNvSpPr/>
      </xdr:nvSpPr>
      <xdr:spPr>
        <a:xfrm>
          <a:off x="4316190" y="819150"/>
          <a:ext cx="1721784" cy="575983"/>
        </a:xfrm>
        <a:prstGeom prst="roundRect">
          <a:avLst/>
        </a:prstGeom>
        <a:solidFill>
          <a:schemeClr val="bg2">
            <a:lumMod val="90000"/>
          </a:schemeClr>
        </a:solidFill>
        <a:ln w="19050">
          <a:solidFill>
            <a:schemeClr val="bg1">
              <a:lumMod val="7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lumMod val="75000"/>
                </a:schemeClr>
              </a:solidFill>
              <a:latin typeface="+mj-lt"/>
            </a:rPr>
            <a:t>Public Health System Assessment</a:t>
          </a:r>
        </a:p>
      </xdr:txBody>
    </xdr:sp>
    <xdr:clientData/>
  </xdr:twoCellAnchor>
  <xdr:twoCellAnchor>
    <xdr:from>
      <xdr:col>7</xdr:col>
      <xdr:colOff>381009</xdr:colOff>
      <xdr:row>3</xdr:row>
      <xdr:rowOff>0</xdr:rowOff>
    </xdr:from>
    <xdr:to>
      <xdr:col>10</xdr:col>
      <xdr:colOff>270789</xdr:colOff>
      <xdr:row>5</xdr:row>
      <xdr:rowOff>156883</xdr:rowOff>
    </xdr:to>
    <xdr:sp macro="" textlink="">
      <xdr:nvSpPr>
        <xdr:cNvPr id="113" name="Rounded Rectangle 112">
          <a:hlinkClick xmlns:r="http://schemas.openxmlformats.org/officeDocument/2006/relationships" r:id="rId3"/>
          <a:extLst>
            <a:ext uri="{FF2B5EF4-FFF2-40B4-BE49-F238E27FC236}">
              <a16:creationId xmlns:a16="http://schemas.microsoft.com/office/drawing/2014/main" id="{00000000-0008-0000-0300-000071000000}"/>
            </a:ext>
          </a:extLst>
        </xdr:cNvPr>
        <xdr:cNvSpPr/>
      </xdr:nvSpPr>
      <xdr:spPr>
        <a:xfrm>
          <a:off x="6362709" y="819150"/>
          <a:ext cx="1718580" cy="575983"/>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tx1"/>
              </a:solidFill>
              <a:latin typeface="+mj-lt"/>
            </a:rPr>
            <a:t>Healthcare System Assessment</a:t>
          </a:r>
        </a:p>
      </xdr:txBody>
    </xdr:sp>
    <xdr:clientData/>
  </xdr:twoCellAnchor>
  <xdr:twoCellAnchor>
    <xdr:from>
      <xdr:col>11</xdr:col>
      <xdr:colOff>0</xdr:colOff>
      <xdr:row>1</xdr:row>
      <xdr:rowOff>0</xdr:rowOff>
    </xdr:from>
    <xdr:to>
      <xdr:col>12</xdr:col>
      <xdr:colOff>604558</xdr:colOff>
      <xdr:row>2</xdr:row>
      <xdr:rowOff>4482</xdr:rowOff>
    </xdr:to>
    <xdr:sp macro="" textlink="">
      <xdr:nvSpPr>
        <xdr:cNvPr id="70" name="Rounded Rectangle 69">
          <a:hlinkClick xmlns:r="http://schemas.openxmlformats.org/officeDocument/2006/relationships" r:id="rId4"/>
          <a:extLst>
            <a:ext uri="{FF2B5EF4-FFF2-40B4-BE49-F238E27FC236}">
              <a16:creationId xmlns:a16="http://schemas.microsoft.com/office/drawing/2014/main" id="{00000000-0008-0000-0300-000046000000}"/>
            </a:ext>
          </a:extLst>
        </xdr:cNvPr>
        <xdr:cNvSpPr/>
      </xdr:nvSpPr>
      <xdr:spPr>
        <a:xfrm>
          <a:off x="8450036" y="190500"/>
          <a:ext cx="1216879" cy="426303"/>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9</xdr:row>
      <xdr:rowOff>72838</xdr:rowOff>
    </xdr:from>
    <xdr:to>
      <xdr:col>3</xdr:col>
      <xdr:colOff>0</xdr:colOff>
      <xdr:row>9</xdr:row>
      <xdr:rowOff>72838</xdr:rowOff>
    </xdr:to>
    <xdr:cxnSp macro="">
      <xdr:nvCxnSpPr>
        <xdr:cNvPr id="2" name="Straight Arrow Connector 1">
          <a:extLst>
            <a:ext uri="{FF2B5EF4-FFF2-40B4-BE49-F238E27FC236}">
              <a16:creationId xmlns:a16="http://schemas.microsoft.com/office/drawing/2014/main" id="{00000000-0008-0000-0400-000002000000}"/>
            </a:ext>
          </a:extLst>
        </xdr:cNvPr>
        <xdr:cNvCxnSpPr/>
      </xdr:nvCxnSpPr>
      <xdr:spPr>
        <a:xfrm>
          <a:off x="2390775" y="1730188"/>
          <a:ext cx="333375" cy="0"/>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57150</xdr:colOff>
      <xdr:row>11</xdr:row>
      <xdr:rowOff>0</xdr:rowOff>
    </xdr:from>
    <xdr:to>
      <xdr:col>2</xdr:col>
      <xdr:colOff>228600</xdr:colOff>
      <xdr:row>22</xdr:row>
      <xdr:rowOff>0</xdr:rowOff>
    </xdr:to>
    <xdr:sp macro="" textlink="">
      <xdr:nvSpPr>
        <xdr:cNvPr id="3" name="Right Brace 2">
          <a:extLst>
            <a:ext uri="{FF2B5EF4-FFF2-40B4-BE49-F238E27FC236}">
              <a16:creationId xmlns:a16="http://schemas.microsoft.com/office/drawing/2014/main" id="{00000000-0008-0000-0400-000003000000}"/>
            </a:ext>
          </a:extLst>
        </xdr:cNvPr>
        <xdr:cNvSpPr/>
      </xdr:nvSpPr>
      <xdr:spPr>
        <a:xfrm>
          <a:off x="2447925" y="1905000"/>
          <a:ext cx="171450" cy="838200"/>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23</xdr:row>
      <xdr:rowOff>9525</xdr:rowOff>
    </xdr:from>
    <xdr:to>
      <xdr:col>2</xdr:col>
      <xdr:colOff>228600</xdr:colOff>
      <xdr:row>34</xdr:row>
      <xdr:rowOff>9525</xdr:rowOff>
    </xdr:to>
    <xdr:sp macro="" textlink="">
      <xdr:nvSpPr>
        <xdr:cNvPr id="4" name="Right Brace 3">
          <a:extLst>
            <a:ext uri="{FF2B5EF4-FFF2-40B4-BE49-F238E27FC236}">
              <a16:creationId xmlns:a16="http://schemas.microsoft.com/office/drawing/2014/main" id="{00000000-0008-0000-0400-000004000000}"/>
            </a:ext>
          </a:extLst>
        </xdr:cNvPr>
        <xdr:cNvSpPr/>
      </xdr:nvSpPr>
      <xdr:spPr>
        <a:xfrm>
          <a:off x="2447925" y="2876550"/>
          <a:ext cx="171450" cy="838200"/>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57150</xdr:colOff>
      <xdr:row>35</xdr:row>
      <xdr:rowOff>9525</xdr:rowOff>
    </xdr:from>
    <xdr:to>
      <xdr:col>2</xdr:col>
      <xdr:colOff>228600</xdr:colOff>
      <xdr:row>50</xdr:row>
      <xdr:rowOff>0</xdr:rowOff>
    </xdr:to>
    <xdr:sp macro="" textlink="">
      <xdr:nvSpPr>
        <xdr:cNvPr id="5" name="Right Brace 4">
          <a:extLst>
            <a:ext uri="{FF2B5EF4-FFF2-40B4-BE49-F238E27FC236}">
              <a16:creationId xmlns:a16="http://schemas.microsoft.com/office/drawing/2014/main" id="{00000000-0008-0000-0400-000005000000}"/>
            </a:ext>
          </a:extLst>
        </xdr:cNvPr>
        <xdr:cNvSpPr/>
      </xdr:nvSpPr>
      <xdr:spPr>
        <a:xfrm>
          <a:off x="2447925" y="3838575"/>
          <a:ext cx="171450" cy="1114425"/>
        </a:xfrm>
        <a:prstGeom prst="rightBrace">
          <a:avLst/>
        </a:prstGeom>
        <a:ln w="9525"/>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51</xdr:row>
      <xdr:rowOff>0</xdr:rowOff>
    </xdr:from>
    <xdr:to>
      <xdr:col>2</xdr:col>
      <xdr:colOff>238125</xdr:colOff>
      <xdr:row>64</xdr:row>
      <xdr:rowOff>0</xdr:rowOff>
    </xdr:to>
    <xdr:sp macro="" textlink="">
      <xdr:nvSpPr>
        <xdr:cNvPr id="6" name="Right Brace 5">
          <a:extLst>
            <a:ext uri="{FF2B5EF4-FFF2-40B4-BE49-F238E27FC236}">
              <a16:creationId xmlns:a16="http://schemas.microsoft.com/office/drawing/2014/main" id="{00000000-0008-0000-0400-000006000000}"/>
            </a:ext>
          </a:extLst>
        </xdr:cNvPr>
        <xdr:cNvSpPr/>
      </xdr:nvSpPr>
      <xdr:spPr>
        <a:xfrm>
          <a:off x="2457450" y="5076825"/>
          <a:ext cx="171450" cy="981075"/>
        </a:xfrm>
        <a:prstGeom prst="rightBrace">
          <a:avLst/>
        </a:prstGeom>
        <a:ln w="9525">
          <a:solidFill>
            <a:schemeClr val="accent4">
              <a:lumMod val="40000"/>
              <a:lumOff val="60000"/>
            </a:schemeClr>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66675</xdr:colOff>
      <xdr:row>64</xdr:row>
      <xdr:rowOff>121584</xdr:rowOff>
    </xdr:from>
    <xdr:to>
      <xdr:col>2</xdr:col>
      <xdr:colOff>238125</xdr:colOff>
      <xdr:row>77</xdr:row>
      <xdr:rowOff>121584</xdr:rowOff>
    </xdr:to>
    <xdr:sp macro="" textlink="">
      <xdr:nvSpPr>
        <xdr:cNvPr id="7" name="Right Brace 6">
          <a:extLst>
            <a:ext uri="{FF2B5EF4-FFF2-40B4-BE49-F238E27FC236}">
              <a16:creationId xmlns:a16="http://schemas.microsoft.com/office/drawing/2014/main" id="{00000000-0008-0000-0400-000007000000}"/>
            </a:ext>
          </a:extLst>
        </xdr:cNvPr>
        <xdr:cNvSpPr/>
      </xdr:nvSpPr>
      <xdr:spPr>
        <a:xfrm>
          <a:off x="2457450" y="6179484"/>
          <a:ext cx="171450" cy="981075"/>
        </a:xfrm>
        <a:prstGeom prst="rightBrace">
          <a:avLst/>
        </a:prstGeom>
        <a:noFill/>
        <a:ln w="9525">
          <a:solidFill>
            <a:schemeClr val="accent4">
              <a:lumMod val="40000"/>
              <a:lumOff val="60000"/>
            </a:schemeClr>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79</xdr:row>
      <xdr:rowOff>9525</xdr:rowOff>
    </xdr:from>
    <xdr:to>
      <xdr:col>2</xdr:col>
      <xdr:colOff>238125</xdr:colOff>
      <xdr:row>95</xdr:row>
      <xdr:rowOff>190500</xdr:rowOff>
    </xdr:to>
    <xdr:sp macro="" textlink="">
      <xdr:nvSpPr>
        <xdr:cNvPr id="8" name="Right Brace 7">
          <a:extLst>
            <a:ext uri="{FF2B5EF4-FFF2-40B4-BE49-F238E27FC236}">
              <a16:creationId xmlns:a16="http://schemas.microsoft.com/office/drawing/2014/main" id="{00000000-0008-0000-0400-000008000000}"/>
            </a:ext>
          </a:extLst>
        </xdr:cNvPr>
        <xdr:cNvSpPr/>
      </xdr:nvSpPr>
      <xdr:spPr>
        <a:xfrm>
          <a:off x="2438400" y="7296150"/>
          <a:ext cx="190500" cy="1257300"/>
        </a:xfrm>
        <a:prstGeom prst="rightBrac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97</xdr:row>
      <xdr:rowOff>9525</xdr:rowOff>
    </xdr:from>
    <xdr:to>
      <xdr:col>2</xdr:col>
      <xdr:colOff>238125</xdr:colOff>
      <xdr:row>126</xdr:row>
      <xdr:rowOff>0</xdr:rowOff>
    </xdr:to>
    <xdr:sp macro="" textlink="">
      <xdr:nvSpPr>
        <xdr:cNvPr id="9" name="Right Brace 8">
          <a:extLst>
            <a:ext uri="{FF2B5EF4-FFF2-40B4-BE49-F238E27FC236}">
              <a16:creationId xmlns:a16="http://schemas.microsoft.com/office/drawing/2014/main" id="{00000000-0008-0000-0400-000009000000}"/>
            </a:ext>
          </a:extLst>
        </xdr:cNvPr>
        <xdr:cNvSpPr/>
      </xdr:nvSpPr>
      <xdr:spPr>
        <a:xfrm>
          <a:off x="2438400" y="8686800"/>
          <a:ext cx="190500" cy="2114550"/>
        </a:xfrm>
        <a:prstGeom prst="rightBrace">
          <a:avLst/>
        </a:prstGeom>
        <a:ln w="9525">
          <a:solidFill>
            <a:schemeClr val="accent6">
              <a:lumMod val="40000"/>
              <a:lumOff val="60000"/>
            </a:schemeClr>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1426369</xdr:colOff>
      <xdr:row>17</xdr:row>
      <xdr:rowOff>41672</xdr:rowOff>
    </xdr:from>
    <xdr:to>
      <xdr:col>5</xdr:col>
      <xdr:colOff>235744</xdr:colOff>
      <xdr:row>17</xdr:row>
      <xdr:rowOff>41672</xdr:rowOff>
    </xdr:to>
    <xdr:cxnSp macro="">
      <xdr:nvCxnSpPr>
        <xdr:cNvPr id="10" name="Straight Connector 9">
          <a:extLst>
            <a:ext uri="{FF2B5EF4-FFF2-40B4-BE49-F238E27FC236}">
              <a16:creationId xmlns:a16="http://schemas.microsoft.com/office/drawing/2014/main" id="{00000000-0008-0000-0400-00000A000000}"/>
            </a:ext>
          </a:extLst>
        </xdr:cNvPr>
        <xdr:cNvCxnSpPr/>
      </xdr:nvCxnSpPr>
      <xdr:spPr>
        <a:xfrm>
          <a:off x="4150519" y="2375297"/>
          <a:ext cx="847725"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236483</xdr:colOff>
      <xdr:row>17</xdr:row>
      <xdr:rowOff>41674</xdr:rowOff>
    </xdr:from>
    <xdr:to>
      <xdr:col>5</xdr:col>
      <xdr:colOff>238125</xdr:colOff>
      <xdr:row>27</xdr:row>
      <xdr:rowOff>59121</xdr:rowOff>
    </xdr:to>
    <xdr:cxnSp macro="">
      <xdr:nvCxnSpPr>
        <xdr:cNvPr id="15" name="Straight Connector 14">
          <a:extLst>
            <a:ext uri="{FF2B5EF4-FFF2-40B4-BE49-F238E27FC236}">
              <a16:creationId xmlns:a16="http://schemas.microsoft.com/office/drawing/2014/main" id="{00000000-0008-0000-0400-00000F000000}"/>
            </a:ext>
          </a:extLst>
        </xdr:cNvPr>
        <xdr:cNvCxnSpPr/>
      </xdr:nvCxnSpPr>
      <xdr:spPr>
        <a:xfrm flipV="1">
          <a:off x="5005552" y="2853191"/>
          <a:ext cx="1642" cy="845137"/>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226219</xdr:colOff>
      <xdr:row>31</xdr:row>
      <xdr:rowOff>24270</xdr:rowOff>
    </xdr:from>
    <xdr:to>
      <xdr:col>5</xdr:col>
      <xdr:colOff>227135</xdr:colOff>
      <xdr:row>43</xdr:row>
      <xdr:rowOff>21981</xdr:rowOff>
    </xdr:to>
    <xdr:cxnSp macro="">
      <xdr:nvCxnSpPr>
        <xdr:cNvPr id="16" name="Straight Connector 15">
          <a:extLst>
            <a:ext uri="{FF2B5EF4-FFF2-40B4-BE49-F238E27FC236}">
              <a16:creationId xmlns:a16="http://schemas.microsoft.com/office/drawing/2014/main" id="{00000000-0008-0000-0400-000010000000}"/>
            </a:ext>
          </a:extLst>
        </xdr:cNvPr>
        <xdr:cNvCxnSpPr/>
      </xdr:nvCxnSpPr>
      <xdr:spPr>
        <a:xfrm flipH="1" flipV="1">
          <a:off x="4988719" y="3980808"/>
          <a:ext cx="916" cy="979519"/>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4</xdr:col>
      <xdr:colOff>0</xdr:colOff>
      <xdr:row>29</xdr:row>
      <xdr:rowOff>38941</xdr:rowOff>
    </xdr:from>
    <xdr:to>
      <xdr:col>6</xdr:col>
      <xdr:colOff>18361</xdr:colOff>
      <xdr:row>29</xdr:row>
      <xdr:rowOff>40643</xdr:rowOff>
    </xdr:to>
    <xdr:cxnSp macro="">
      <xdr:nvCxnSpPr>
        <xdr:cNvPr id="18" name="Straight Arrow Connector 17">
          <a:extLst>
            <a:ext uri="{FF2B5EF4-FFF2-40B4-BE49-F238E27FC236}">
              <a16:creationId xmlns:a16="http://schemas.microsoft.com/office/drawing/2014/main" id="{00000000-0008-0000-0400-000012000000}"/>
            </a:ext>
          </a:extLst>
        </xdr:cNvPr>
        <xdr:cNvCxnSpPr>
          <a:stCxn id="59" idx="3"/>
          <a:endCxn id="75" idx="1"/>
        </xdr:cNvCxnSpPr>
      </xdr:nvCxnSpPr>
      <xdr:spPr>
        <a:xfrm>
          <a:off x="4157382" y="3837735"/>
          <a:ext cx="1228597" cy="1702"/>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228600</xdr:colOff>
      <xdr:row>27</xdr:row>
      <xdr:rowOff>55722</xdr:rowOff>
    </xdr:from>
    <xdr:to>
      <xdr:col>6</xdr:col>
      <xdr:colOff>9293</xdr:colOff>
      <xdr:row>27</xdr:row>
      <xdr:rowOff>56187</xdr:rowOff>
    </xdr:to>
    <xdr:cxnSp macro="">
      <xdr:nvCxnSpPr>
        <xdr:cNvPr id="21" name="Straight Arrow Connector 20">
          <a:extLst>
            <a:ext uri="{FF2B5EF4-FFF2-40B4-BE49-F238E27FC236}">
              <a16:creationId xmlns:a16="http://schemas.microsoft.com/office/drawing/2014/main" id="{00000000-0008-0000-0400-000015000000}"/>
            </a:ext>
          </a:extLst>
        </xdr:cNvPr>
        <xdr:cNvCxnSpPr/>
      </xdr:nvCxnSpPr>
      <xdr:spPr>
        <a:xfrm>
          <a:off x="4997669" y="3694929"/>
          <a:ext cx="391607"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7</xdr:col>
      <xdr:colOff>456743</xdr:colOff>
      <xdr:row>29</xdr:row>
      <xdr:rowOff>57515</xdr:rowOff>
    </xdr:from>
    <xdr:to>
      <xdr:col>8</xdr:col>
      <xdr:colOff>249115</xdr:colOff>
      <xdr:row>29</xdr:row>
      <xdr:rowOff>58615</xdr:rowOff>
    </xdr:to>
    <xdr:cxnSp macro="">
      <xdr:nvCxnSpPr>
        <xdr:cNvPr id="23" name="Straight Connector 22">
          <a:extLst>
            <a:ext uri="{FF2B5EF4-FFF2-40B4-BE49-F238E27FC236}">
              <a16:creationId xmlns:a16="http://schemas.microsoft.com/office/drawing/2014/main" id="{00000000-0008-0000-0400-000017000000}"/>
            </a:ext>
          </a:extLst>
        </xdr:cNvPr>
        <xdr:cNvCxnSpPr/>
      </xdr:nvCxnSpPr>
      <xdr:spPr>
        <a:xfrm>
          <a:off x="6435512" y="3867515"/>
          <a:ext cx="400507" cy="110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244078</xdr:colOff>
      <xdr:row>25</xdr:row>
      <xdr:rowOff>95251</xdr:rowOff>
    </xdr:from>
    <xdr:to>
      <xdr:col>8</xdr:col>
      <xdr:colOff>249115</xdr:colOff>
      <xdr:row>29</xdr:row>
      <xdr:rowOff>58615</xdr:rowOff>
    </xdr:to>
    <xdr:cxnSp macro="">
      <xdr:nvCxnSpPr>
        <xdr:cNvPr id="24" name="Straight Connector 23">
          <a:extLst>
            <a:ext uri="{FF2B5EF4-FFF2-40B4-BE49-F238E27FC236}">
              <a16:creationId xmlns:a16="http://schemas.microsoft.com/office/drawing/2014/main" id="{00000000-0008-0000-0400-000018000000}"/>
            </a:ext>
          </a:extLst>
        </xdr:cNvPr>
        <xdr:cNvCxnSpPr/>
      </xdr:nvCxnSpPr>
      <xdr:spPr>
        <a:xfrm flipH="1" flipV="1">
          <a:off x="6830982" y="3612174"/>
          <a:ext cx="5037" cy="256441"/>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1420415</xdr:colOff>
      <xdr:row>9</xdr:row>
      <xdr:rowOff>80962</xdr:rowOff>
    </xdr:from>
    <xdr:to>
      <xdr:col>8</xdr:col>
      <xdr:colOff>238125</xdr:colOff>
      <xdr:row>9</xdr:row>
      <xdr:rowOff>83343</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4144565" y="1738312"/>
          <a:ext cx="2684860" cy="2381"/>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238125</xdr:colOff>
      <xdr:row>9</xdr:row>
      <xdr:rowOff>83343</xdr:rowOff>
    </xdr:from>
    <xdr:to>
      <xdr:col>8</xdr:col>
      <xdr:colOff>238125</xdr:colOff>
      <xdr:row>23</xdr:row>
      <xdr:rowOff>107156</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6829425" y="1740693"/>
          <a:ext cx="0" cy="1233488"/>
        </a:xfrm>
        <a:prstGeom prst="line">
          <a:avLst/>
        </a:prstGeom>
        <a:ln w="9525">
          <a:solidFill>
            <a:schemeClr val="accent3"/>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233595</xdr:colOff>
      <xdr:row>25</xdr:row>
      <xdr:rowOff>93014</xdr:rowOff>
    </xdr:from>
    <xdr:to>
      <xdr:col>9</xdr:col>
      <xdr:colOff>16669</xdr:colOff>
      <xdr:row>25</xdr:row>
      <xdr:rowOff>93479</xdr:rowOff>
    </xdr:to>
    <xdr:cxnSp macro="">
      <xdr:nvCxnSpPr>
        <xdr:cNvPr id="27" name="Straight Arrow Connector 26">
          <a:extLst>
            <a:ext uri="{FF2B5EF4-FFF2-40B4-BE49-F238E27FC236}">
              <a16:creationId xmlns:a16="http://schemas.microsoft.com/office/drawing/2014/main" id="{00000000-0008-0000-0400-00001B000000}"/>
            </a:ext>
          </a:extLst>
        </xdr:cNvPr>
        <xdr:cNvCxnSpPr/>
      </xdr:nvCxnSpPr>
      <xdr:spPr>
        <a:xfrm>
          <a:off x="6824895" y="3102914"/>
          <a:ext cx="392674"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8</xdr:col>
      <xdr:colOff>238125</xdr:colOff>
      <xdr:row>23</xdr:row>
      <xdr:rowOff>113109</xdr:rowOff>
    </xdr:from>
    <xdr:to>
      <xdr:col>9</xdr:col>
      <xdr:colOff>20024</xdr:colOff>
      <xdr:row>23</xdr:row>
      <xdr:rowOff>113110</xdr:rowOff>
    </xdr:to>
    <xdr:cxnSp macro="">
      <xdr:nvCxnSpPr>
        <xdr:cNvPr id="28" name="Straight Arrow Connector 27">
          <a:extLst>
            <a:ext uri="{FF2B5EF4-FFF2-40B4-BE49-F238E27FC236}">
              <a16:creationId xmlns:a16="http://schemas.microsoft.com/office/drawing/2014/main" id="{00000000-0008-0000-0400-00001C000000}"/>
            </a:ext>
          </a:extLst>
        </xdr:cNvPr>
        <xdr:cNvCxnSpPr/>
      </xdr:nvCxnSpPr>
      <xdr:spPr>
        <a:xfrm flipV="1">
          <a:off x="6829425" y="2980134"/>
          <a:ext cx="391499" cy="1"/>
        </a:xfrm>
        <a:prstGeom prst="straightConnector1">
          <a:avLst/>
        </a:prstGeom>
        <a:ln w="9525">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10</xdr:col>
      <xdr:colOff>196986</xdr:colOff>
      <xdr:row>25</xdr:row>
      <xdr:rowOff>29419</xdr:rowOff>
    </xdr:from>
    <xdr:to>
      <xdr:col>11</xdr:col>
      <xdr:colOff>19707</xdr:colOff>
      <xdr:row>25</xdr:row>
      <xdr:rowOff>29419</xdr:rowOff>
    </xdr:to>
    <xdr:cxnSp macro="">
      <xdr:nvCxnSpPr>
        <xdr:cNvPr id="29" name="Straight Connector 28">
          <a:extLst>
            <a:ext uri="{FF2B5EF4-FFF2-40B4-BE49-F238E27FC236}">
              <a16:creationId xmlns:a16="http://schemas.microsoft.com/office/drawing/2014/main" id="{00000000-0008-0000-0400-00001D000000}"/>
            </a:ext>
          </a:extLst>
        </xdr:cNvPr>
        <xdr:cNvCxnSpPr/>
      </xdr:nvCxnSpPr>
      <xdr:spPr>
        <a:xfrm>
          <a:off x="8007486" y="3039319"/>
          <a:ext cx="432321" cy="0"/>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17860</xdr:colOff>
      <xdr:row>25</xdr:row>
      <xdr:rowOff>32845</xdr:rowOff>
    </xdr:from>
    <xdr:to>
      <xdr:col>11</xdr:col>
      <xdr:colOff>18105</xdr:colOff>
      <xdr:row>55</xdr:row>
      <xdr:rowOff>23812</xdr:rowOff>
    </xdr:to>
    <xdr:cxnSp macro="">
      <xdr:nvCxnSpPr>
        <xdr:cNvPr id="30" name="Straight Connector 29">
          <a:extLst>
            <a:ext uri="{FF2B5EF4-FFF2-40B4-BE49-F238E27FC236}">
              <a16:creationId xmlns:a16="http://schemas.microsoft.com/office/drawing/2014/main" id="{00000000-0008-0000-0400-00001E000000}"/>
            </a:ext>
          </a:extLst>
        </xdr:cNvPr>
        <xdr:cNvCxnSpPr/>
      </xdr:nvCxnSpPr>
      <xdr:spPr>
        <a:xfrm flipV="1">
          <a:off x="8437960" y="3042745"/>
          <a:ext cx="245" cy="2343642"/>
        </a:xfrm>
        <a:prstGeom prst="line">
          <a:avLst/>
        </a:prstGeom>
        <a:ln w="9525">
          <a:solidFill>
            <a:schemeClr val="accent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1427378</xdr:colOff>
      <xdr:row>87</xdr:row>
      <xdr:rowOff>35719</xdr:rowOff>
    </xdr:from>
    <xdr:to>
      <xdr:col>11</xdr:col>
      <xdr:colOff>17860</xdr:colOff>
      <xdr:row>87</xdr:row>
      <xdr:rowOff>38282</xdr:rowOff>
    </xdr:to>
    <xdr:cxnSp macro="">
      <xdr:nvCxnSpPr>
        <xdr:cNvPr id="31" name="Straight Connector 30">
          <a:extLst>
            <a:ext uri="{FF2B5EF4-FFF2-40B4-BE49-F238E27FC236}">
              <a16:creationId xmlns:a16="http://schemas.microsoft.com/office/drawing/2014/main" id="{00000000-0008-0000-0400-00001F000000}"/>
            </a:ext>
          </a:extLst>
        </xdr:cNvPr>
        <xdr:cNvCxnSpPr/>
      </xdr:nvCxnSpPr>
      <xdr:spPr>
        <a:xfrm flipV="1">
          <a:off x="4151528" y="7893844"/>
          <a:ext cx="4286432" cy="2563"/>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15479</xdr:colOff>
      <xdr:row>56</xdr:row>
      <xdr:rowOff>5953</xdr:rowOff>
    </xdr:from>
    <xdr:to>
      <xdr:col>11</xdr:col>
      <xdr:colOff>17860</xdr:colOff>
      <xdr:row>87</xdr:row>
      <xdr:rowOff>44147</xdr:rowOff>
    </xdr:to>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flipV="1">
          <a:off x="8435579" y="5492353"/>
          <a:ext cx="2381" cy="2409919"/>
        </a:xfrm>
        <a:prstGeom prst="line">
          <a:avLst/>
        </a:prstGeom>
        <a:ln w="9525">
          <a:solidFill>
            <a:schemeClr val="tx2"/>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11</xdr:col>
      <xdr:colOff>20083</xdr:colOff>
      <xdr:row>55</xdr:row>
      <xdr:rowOff>24645</xdr:rowOff>
    </xdr:from>
    <xdr:to>
      <xdr:col>11</xdr:col>
      <xdr:colOff>397569</xdr:colOff>
      <xdr:row>55</xdr:row>
      <xdr:rowOff>24645</xdr:rowOff>
    </xdr:to>
    <xdr:cxnSp macro="">
      <xdr:nvCxnSpPr>
        <xdr:cNvPr id="33" name="Straight Arrow Connector 32">
          <a:extLst>
            <a:ext uri="{FF2B5EF4-FFF2-40B4-BE49-F238E27FC236}">
              <a16:creationId xmlns:a16="http://schemas.microsoft.com/office/drawing/2014/main" id="{00000000-0008-0000-0400-000021000000}"/>
            </a:ext>
          </a:extLst>
        </xdr:cNvPr>
        <xdr:cNvCxnSpPr/>
      </xdr:nvCxnSpPr>
      <xdr:spPr>
        <a:xfrm>
          <a:off x="8440183" y="5387220"/>
          <a:ext cx="377486" cy="0"/>
        </a:xfrm>
        <a:prstGeom prst="straightConnector1">
          <a:avLst/>
        </a:prstGeom>
        <a:ln w="9525">
          <a:solidFill>
            <a:schemeClr val="accent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18618</xdr:colOff>
      <xdr:row>56</xdr:row>
      <xdr:rowOff>4497</xdr:rowOff>
    </xdr:from>
    <xdr:to>
      <xdr:col>11</xdr:col>
      <xdr:colOff>396104</xdr:colOff>
      <xdr:row>56</xdr:row>
      <xdr:rowOff>4497</xdr:rowOff>
    </xdr:to>
    <xdr:cxnSp macro="">
      <xdr:nvCxnSpPr>
        <xdr:cNvPr id="34" name="Straight Arrow Connector 33">
          <a:extLst>
            <a:ext uri="{FF2B5EF4-FFF2-40B4-BE49-F238E27FC236}">
              <a16:creationId xmlns:a16="http://schemas.microsoft.com/office/drawing/2014/main" id="{00000000-0008-0000-0400-000022000000}"/>
            </a:ext>
          </a:extLst>
        </xdr:cNvPr>
        <xdr:cNvCxnSpPr/>
      </xdr:nvCxnSpPr>
      <xdr:spPr>
        <a:xfrm>
          <a:off x="8438718" y="5490897"/>
          <a:ext cx="377486" cy="0"/>
        </a:xfrm>
        <a:prstGeom prst="straightConnector1">
          <a:avLst/>
        </a:prstGeom>
        <a:ln w="9525">
          <a:solidFill>
            <a:schemeClr val="tx2"/>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11</xdr:col>
      <xdr:colOff>404814</xdr:colOff>
      <xdr:row>49</xdr:row>
      <xdr:rowOff>48419</xdr:rowOff>
    </xdr:from>
    <xdr:to>
      <xdr:col>13</xdr:col>
      <xdr:colOff>421821</xdr:colOff>
      <xdr:row>63</xdr:row>
      <xdr:rowOff>108857</xdr:rowOff>
    </xdr:to>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8854850" y="5191919"/>
          <a:ext cx="1241650" cy="1121795"/>
        </a:xfrm>
        <a:prstGeom prst="rect">
          <a:avLst/>
        </a:prstGeom>
        <a:solidFill>
          <a:schemeClr val="accent5">
            <a:lumMod val="40000"/>
            <a:lumOff val="60000"/>
          </a:schemeClr>
        </a:solidFill>
        <a:ln w="38100"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a:t>Healthcare System Adjusted Risk Score</a:t>
          </a:r>
          <a:endParaRPr lang="en-US" sz="1600" baseline="0"/>
        </a:p>
      </xdr:txBody>
    </xdr:sp>
    <xdr:clientData/>
  </xdr:twoCellAnchor>
  <xdr:twoCellAnchor>
    <xdr:from>
      <xdr:col>13</xdr:col>
      <xdr:colOff>421821</xdr:colOff>
      <xdr:row>55</xdr:row>
      <xdr:rowOff>98345</xdr:rowOff>
    </xdr:from>
    <xdr:to>
      <xdr:col>13</xdr:col>
      <xdr:colOff>564931</xdr:colOff>
      <xdr:row>55</xdr:row>
      <xdr:rowOff>98535</xdr:rowOff>
    </xdr:to>
    <xdr:cxnSp macro="">
      <xdr:nvCxnSpPr>
        <xdr:cNvPr id="36" name="Straight Connector 35">
          <a:extLst>
            <a:ext uri="{FF2B5EF4-FFF2-40B4-BE49-F238E27FC236}">
              <a16:creationId xmlns:a16="http://schemas.microsoft.com/office/drawing/2014/main" id="{00000000-0008-0000-0400-000024000000}"/>
            </a:ext>
          </a:extLst>
        </xdr:cNvPr>
        <xdr:cNvCxnSpPr>
          <a:stCxn id="35" idx="3"/>
        </xdr:cNvCxnSpPr>
      </xdr:nvCxnSpPr>
      <xdr:spPr>
        <a:xfrm>
          <a:off x="10078200" y="5971000"/>
          <a:ext cx="143110" cy="190"/>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564931</xdr:colOff>
      <xdr:row>55</xdr:row>
      <xdr:rowOff>98535</xdr:rowOff>
    </xdr:from>
    <xdr:to>
      <xdr:col>13</xdr:col>
      <xdr:colOff>565089</xdr:colOff>
      <xdr:row>85</xdr:row>
      <xdr:rowOff>23356</xdr:rowOff>
    </xdr:to>
    <xdr:cxnSp macro="">
      <xdr:nvCxnSpPr>
        <xdr:cNvPr id="37" name="Straight Connector 36">
          <a:extLst>
            <a:ext uri="{FF2B5EF4-FFF2-40B4-BE49-F238E27FC236}">
              <a16:creationId xmlns:a16="http://schemas.microsoft.com/office/drawing/2014/main" id="{00000000-0008-0000-0400-000025000000}"/>
            </a:ext>
          </a:extLst>
        </xdr:cNvPr>
        <xdr:cNvCxnSpPr/>
      </xdr:nvCxnSpPr>
      <xdr:spPr>
        <a:xfrm flipH="1" flipV="1">
          <a:off x="10221310" y="5971190"/>
          <a:ext cx="158" cy="2302787"/>
        </a:xfrm>
        <a:prstGeom prst="line">
          <a:avLst/>
        </a:prstGeom>
        <a:ln w="9525">
          <a:solidFill>
            <a:schemeClr val="accent5"/>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556846</xdr:colOff>
      <xdr:row>85</xdr:row>
      <xdr:rowOff>113990</xdr:rowOff>
    </xdr:from>
    <xdr:to>
      <xdr:col>13</xdr:col>
      <xdr:colOff>564785</xdr:colOff>
      <xdr:row>135</xdr:row>
      <xdr:rowOff>36635</xdr:rowOff>
    </xdr:to>
    <xdr:cxnSp macro="">
      <xdr:nvCxnSpPr>
        <xdr:cNvPr id="39" name="Straight Connector 38">
          <a:extLst>
            <a:ext uri="{FF2B5EF4-FFF2-40B4-BE49-F238E27FC236}">
              <a16:creationId xmlns:a16="http://schemas.microsoft.com/office/drawing/2014/main" id="{00000000-0008-0000-0400-000027000000}"/>
            </a:ext>
          </a:extLst>
        </xdr:cNvPr>
        <xdr:cNvCxnSpPr/>
      </xdr:nvCxnSpPr>
      <xdr:spPr>
        <a:xfrm flipV="1">
          <a:off x="10184423" y="8437375"/>
          <a:ext cx="7939" cy="3791260"/>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557604</xdr:colOff>
      <xdr:row>85</xdr:row>
      <xdr:rowOff>17227</xdr:rowOff>
    </xdr:from>
    <xdr:to>
      <xdr:col>14</xdr:col>
      <xdr:colOff>328786</xdr:colOff>
      <xdr:row>85</xdr:row>
      <xdr:rowOff>17227</xdr:rowOff>
    </xdr:to>
    <xdr:cxnSp macro="">
      <xdr:nvCxnSpPr>
        <xdr:cNvPr id="40" name="Straight Arrow Connector 39">
          <a:extLst>
            <a:ext uri="{FF2B5EF4-FFF2-40B4-BE49-F238E27FC236}">
              <a16:creationId xmlns:a16="http://schemas.microsoft.com/office/drawing/2014/main" id="{00000000-0008-0000-0400-000028000000}"/>
            </a:ext>
          </a:extLst>
        </xdr:cNvPr>
        <xdr:cNvCxnSpPr/>
      </xdr:nvCxnSpPr>
      <xdr:spPr>
        <a:xfrm>
          <a:off x="10196904" y="7732477"/>
          <a:ext cx="380782" cy="0"/>
        </a:xfrm>
        <a:prstGeom prst="straightConnector1">
          <a:avLst/>
        </a:prstGeom>
        <a:ln w="9525">
          <a:solidFill>
            <a:schemeClr val="accent5"/>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13</xdr:col>
      <xdr:colOff>557511</xdr:colOff>
      <xdr:row>85</xdr:row>
      <xdr:rowOff>110187</xdr:rowOff>
    </xdr:from>
    <xdr:to>
      <xdr:col>14</xdr:col>
      <xdr:colOff>328693</xdr:colOff>
      <xdr:row>85</xdr:row>
      <xdr:rowOff>110187</xdr:rowOff>
    </xdr:to>
    <xdr:cxnSp macro="">
      <xdr:nvCxnSpPr>
        <xdr:cNvPr id="41" name="Straight Arrow Connector 40">
          <a:extLst>
            <a:ext uri="{FF2B5EF4-FFF2-40B4-BE49-F238E27FC236}">
              <a16:creationId xmlns:a16="http://schemas.microsoft.com/office/drawing/2014/main" id="{00000000-0008-0000-0400-000029000000}"/>
            </a:ext>
          </a:extLst>
        </xdr:cNvPr>
        <xdr:cNvCxnSpPr/>
      </xdr:nvCxnSpPr>
      <xdr:spPr>
        <a:xfrm>
          <a:off x="10196811" y="7825437"/>
          <a:ext cx="380782" cy="0"/>
        </a:xfrm>
        <a:prstGeom prst="straightConnector1">
          <a:avLst/>
        </a:prstGeom>
        <a:ln w="9525">
          <a:solidFill>
            <a:schemeClr val="accent6"/>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1008528</xdr:colOff>
      <xdr:row>93</xdr:row>
      <xdr:rowOff>44824</xdr:rowOff>
    </xdr:from>
    <xdr:to>
      <xdr:col>10</xdr:col>
      <xdr:colOff>537881</xdr:colOff>
      <xdr:row>101</xdr:row>
      <xdr:rowOff>78441</xdr:rowOff>
    </xdr:to>
    <mc:AlternateContent xmlns:mc="http://schemas.openxmlformats.org/markup-compatibility/2006" xmlns:a14="http://schemas.microsoft.com/office/drawing/2010/main">
      <mc:Choice Requires="a14">
        <xdr:sp macro="" textlink="">
          <xdr:nvSpPr>
            <xdr:cNvPr id="43" name="Text Box 2">
              <a:extLst>
                <a:ext uri="{FF2B5EF4-FFF2-40B4-BE49-F238E27FC236}">
                  <a16:creationId xmlns:a16="http://schemas.microsoft.com/office/drawing/2014/main" id="{00000000-0008-0000-0400-00002B000000}"/>
                </a:ext>
              </a:extLst>
            </xdr:cNvPr>
            <xdr:cNvSpPr txBox="1">
              <a:spLocks noChangeArrowheads="1"/>
            </xdr:cNvSpPr>
          </xdr:nvSpPr>
          <xdr:spPr bwMode="auto">
            <a:xfrm>
              <a:off x="3732678" y="8331574"/>
              <a:ext cx="4615703" cy="709892"/>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Population</m:t>
                    </m:r>
                    <m:r>
                      <a:rPr lang="en-US" sz="1000">
                        <a:effectLst/>
                        <a:latin typeface="Cambria Math"/>
                        <a:ea typeface="Calibri"/>
                        <a:cs typeface="Times New Roman"/>
                      </a:rPr>
                      <m:t> </m:t>
                    </m:r>
                    <m:r>
                      <m:rPr>
                        <m:sty m:val="p"/>
                      </m:rPr>
                      <a:rPr lang="en-US" sz="1000">
                        <a:effectLst/>
                        <a:latin typeface="Cambria Math"/>
                        <a:ea typeface="Calibri"/>
                        <a:cs typeface="Times New Roman"/>
                      </a:rPr>
                      <m:t>Impact</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Population</m:t>
                        </m:r>
                        <m:r>
                          <a:rPr lang="en-US" sz="1000" i="1">
                            <a:effectLst/>
                            <a:latin typeface="Cambria Math"/>
                            <a:ea typeface="Calibri"/>
                            <a:cs typeface="Times New Roman"/>
                          </a:rPr>
                          <m:t> </m:t>
                        </m:r>
                        <m:r>
                          <m:rPr>
                            <m:sty m:val="p"/>
                          </m:rPr>
                          <a:rPr lang="en-US" sz="1000">
                            <a:effectLst/>
                            <a:latin typeface="Cambria Math"/>
                            <a:ea typeface="Calibri"/>
                            <a:cs typeface="Times New Roman"/>
                          </a:rPr>
                          <m:t>Size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Access</m:t>
                        </m:r>
                        <m:r>
                          <a:rPr lang="en-US" sz="1000">
                            <a:effectLst/>
                            <a:latin typeface="Cambria Math"/>
                            <a:ea typeface="Calibri"/>
                            <a:cs typeface="Times New Roman"/>
                          </a:rPr>
                          <m:t> </m:t>
                        </m:r>
                        <m:r>
                          <m:rPr>
                            <m:sty m:val="p"/>
                          </m:rPr>
                          <a:rPr lang="en-US" sz="1000">
                            <a:effectLst/>
                            <a:latin typeface="Cambria Math"/>
                            <a:ea typeface="Calibri"/>
                            <a:cs typeface="Times New Roman"/>
                          </a:rPr>
                          <m:t>Planning</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oMath>
                </m:oMathPara>
              </a14:m>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Choice>
      <mc:Fallback xmlns="">
        <xdr:sp macro="" textlink="">
          <xdr:nvSpPr>
            <xdr:cNvPr id="43" name="Text Box 2"/>
            <xdr:cNvSpPr txBox="1">
              <a:spLocks noChangeArrowheads="1"/>
            </xdr:cNvSpPr>
          </xdr:nvSpPr>
          <xdr:spPr bwMode="auto">
            <a:xfrm>
              <a:off x="3732678" y="8331574"/>
              <a:ext cx="4615703" cy="709892"/>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600"/>
                </a:spcBef>
                <a:spcAft>
                  <a:spcPts val="0"/>
                </a:spcAft>
              </a:pPr>
              <a:r>
                <a:rPr lang="en-US" sz="1000" i="0">
                  <a:effectLst/>
                  <a:latin typeface="Cambria Math"/>
                  <a:ea typeface="Calibri"/>
                  <a:cs typeface="Times New Roman"/>
                </a:rPr>
                <a:t>Population Impact Score = </a:t>
              </a:r>
              <a:r>
                <a:rPr lang="en-US" sz="1000" i="0">
                  <a:effectLst/>
                  <a:latin typeface="Cambria Math"/>
                  <a:cs typeface="Times New Roman"/>
                </a:rPr>
                <a:t> (</a:t>
              </a:r>
              <a:r>
                <a:rPr lang="en-US" sz="1000" i="0">
                  <a:effectLst/>
                  <a:latin typeface="Cambria Math"/>
                  <a:ea typeface="Calibri"/>
                  <a:cs typeface="Times New Roman"/>
                </a:rPr>
                <a:t>Population Size Score ×Access Planning Score)/4</a:t>
              </a:r>
              <a:endParaRPr lang="en-US" sz="1000">
                <a:effectLst/>
                <a:latin typeface="Calibri"/>
                <a:ea typeface="Calibri"/>
                <a:cs typeface="Times New Roman"/>
              </a:endParaRPr>
            </a:p>
            <a:p>
              <a:pPr marL="0" marR="0">
                <a:lnSpc>
                  <a:spcPct val="115000"/>
                </a:lnSpc>
                <a:spcBef>
                  <a:spcPts val="300"/>
                </a:spcBef>
                <a:spcAft>
                  <a:spcPts val="0"/>
                </a:spcAft>
              </a:pPr>
              <a:r>
                <a:rPr lang="en-US" sz="1000">
                  <a:effectLst/>
                  <a:latin typeface="Cambria Math"/>
                  <a:ea typeface="Times New Roman"/>
                  <a:cs typeface="Times New Roman"/>
                </a:rPr>
                <a:t>At-Risk Populations Score = Average of all Population Impact Scores</a:t>
              </a:r>
              <a:endParaRPr lang="en-US" sz="1000">
                <a:effectLst/>
                <a:latin typeface="Calibri"/>
                <a:ea typeface="Calibri"/>
                <a:cs typeface="Times New Roman"/>
              </a:endParaRPr>
            </a:p>
          </xdr:txBody>
        </xdr:sp>
      </mc:Fallback>
    </mc:AlternateContent>
    <xdr:clientData/>
  </xdr:twoCellAnchor>
  <xdr:twoCellAnchor>
    <xdr:from>
      <xdr:col>8</xdr:col>
      <xdr:colOff>507467</xdr:colOff>
      <xdr:row>41</xdr:row>
      <xdr:rowOff>35218</xdr:rowOff>
    </xdr:from>
    <xdr:to>
      <xdr:col>15</xdr:col>
      <xdr:colOff>350584</xdr:colOff>
      <xdr:row>47</xdr:row>
      <xdr:rowOff>30688</xdr:rowOff>
    </xdr:to>
    <mc:AlternateContent xmlns:mc="http://schemas.openxmlformats.org/markup-compatibility/2006" xmlns:a14="http://schemas.microsoft.com/office/drawing/2010/main">
      <mc:Choice Requires="a14">
        <xdr:sp macro="" textlink="">
          <xdr:nvSpPr>
            <xdr:cNvPr id="44" name="Text Box 2">
              <a:extLst>
                <a:ext uri="{FF2B5EF4-FFF2-40B4-BE49-F238E27FC236}">
                  <a16:creationId xmlns:a16="http://schemas.microsoft.com/office/drawing/2014/main" id="{00000000-0008-0000-0400-00002C000000}"/>
                </a:ext>
              </a:extLst>
            </xdr:cNvPr>
            <xdr:cNvSpPr txBox="1">
              <a:spLocks noChangeArrowheads="1"/>
            </xdr:cNvSpPr>
          </xdr:nvSpPr>
          <xdr:spPr bwMode="auto">
            <a:xfrm>
              <a:off x="7120538" y="4634432"/>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Adjusted</m:t>
                    </m:r>
                    <m:r>
                      <a:rPr lang="en-US" sz="1000" i="1">
                        <a:effectLst/>
                        <a:latin typeface="Cambria Math"/>
                        <a:ea typeface="Calibri"/>
                        <a:cs typeface="Times New Roman"/>
                      </a:rPr>
                      <m:t> </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d>
                      <m:dPr>
                        <m:ctrlPr>
                          <a:rPr lang="en-US" sz="1000" i="1">
                            <a:effectLst/>
                            <a:latin typeface="Cambria Math" panose="02040503050406030204" pitchFamily="18" charset="0"/>
                            <a:ea typeface="Calibri"/>
                            <a:cs typeface="Times New Roman"/>
                          </a:rPr>
                        </m:ctrlPr>
                      </m:dPr>
                      <m:e>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At</m:t>
                            </m:r>
                            <m:r>
                              <a:rPr lang="en-US" sz="1000">
                                <a:effectLst/>
                                <a:latin typeface="Cambria Math"/>
                                <a:ea typeface="Calibri"/>
                                <a:cs typeface="Calibri"/>
                              </a:rPr>
                              <m:t>­</m:t>
                            </m:r>
                            <m:r>
                              <a:rPr lang="en-US" sz="1000" b="0" i="0">
                                <a:effectLst/>
                                <a:latin typeface="Cambria Math"/>
                                <a:ea typeface="Calibri"/>
                                <a:cs typeface="Calibri"/>
                              </a:rPr>
                              <m:t>­</m:t>
                            </m:r>
                            <m:r>
                              <a:rPr lang="en-US" sz="1000" b="0" i="1">
                                <a:effectLst/>
                                <a:latin typeface="Cambria Math"/>
                                <a:ea typeface="Calibri"/>
                                <a:cs typeface="Calibri"/>
                              </a:rPr>
                              <m:t>−</m:t>
                            </m:r>
                            <m:r>
                              <m:rPr>
                                <m:sty m:val="p"/>
                              </m:rPr>
                              <a:rPr lang="en-US" sz="1000">
                                <a:effectLst/>
                                <a:latin typeface="Cambria Math"/>
                                <a:ea typeface="Calibri"/>
                                <a:cs typeface="Times New Roman"/>
                              </a:rPr>
                              <m:t>Risk</m:t>
                            </m:r>
                            <m:r>
                              <a:rPr lang="en-US" sz="1000">
                                <a:effectLst/>
                                <a:latin typeface="Cambria Math"/>
                                <a:ea typeface="Calibri"/>
                                <a:cs typeface="Times New Roman"/>
                              </a:rPr>
                              <m:t> </m:t>
                            </m:r>
                            <m:r>
                              <m:rPr>
                                <m:sty m:val="p"/>
                              </m:rPr>
                              <a:rPr lang="en-US" sz="1000">
                                <a:effectLst/>
                                <a:latin typeface="Cambria Math"/>
                                <a:ea typeface="Calibri"/>
                                <a:cs typeface="Times New Roman"/>
                              </a:rPr>
                              <m:t>Populations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4</m:t>
                            </m:r>
                          </m:den>
                        </m:f>
                        <m:r>
                          <a:rPr lang="en-US" sz="1000">
                            <a:effectLst/>
                            <a:latin typeface="Cambria Math"/>
                            <a:ea typeface="Calibri"/>
                            <a:cs typeface="Times New Roman"/>
                          </a:rPr>
                          <m:t>+1</m:t>
                        </m:r>
                      </m:e>
                    </m:d>
                  </m:oMath>
                </m:oMathPara>
              </a14:m>
              <a:endParaRPr lang="en-US" sz="1000">
                <a:effectLst/>
                <a:latin typeface="Calibri"/>
                <a:ea typeface="Calibri"/>
                <a:cs typeface="Times New Roman"/>
              </a:endParaRPr>
            </a:p>
          </xdr:txBody>
        </xdr:sp>
      </mc:Choice>
      <mc:Fallback xmlns="">
        <xdr:sp macro="" textlink="">
          <xdr:nvSpPr>
            <xdr:cNvPr id="44" name="Text Box 2"/>
            <xdr:cNvSpPr txBox="1">
              <a:spLocks noChangeArrowheads="1"/>
            </xdr:cNvSpPr>
          </xdr:nvSpPr>
          <xdr:spPr bwMode="auto">
            <a:xfrm>
              <a:off x="7120538" y="4634432"/>
              <a:ext cx="4129367" cy="403685"/>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Adjusted Risk Score =Risk Score ×</a:t>
              </a:r>
              <a:r>
                <a:rPr lang="en-US" sz="1000" i="0">
                  <a:effectLst/>
                  <a:latin typeface="Cambria Math"/>
                  <a:cs typeface="Times New Roman"/>
                </a:rPr>
                <a:t>((</a:t>
              </a:r>
              <a:r>
                <a:rPr lang="en-US" sz="1000" i="0">
                  <a:effectLst/>
                  <a:latin typeface="Cambria Math"/>
                  <a:ea typeface="Calibri"/>
                  <a:cs typeface="Times New Roman"/>
                </a:rPr>
                <a:t>At</a:t>
              </a:r>
              <a:r>
                <a:rPr lang="en-US" sz="1000" i="0">
                  <a:effectLst/>
                  <a:latin typeface="Cambria Math"/>
                  <a:ea typeface="Calibri"/>
                  <a:cs typeface="Calibri"/>
                </a:rPr>
                <a:t>­</a:t>
              </a:r>
              <a:r>
                <a:rPr lang="en-US" sz="1000" b="0" i="0">
                  <a:effectLst/>
                  <a:latin typeface="Cambria Math"/>
                  <a:ea typeface="Calibri"/>
                  <a:cs typeface="Calibri"/>
                </a:rPr>
                <a:t>­−</a:t>
              </a:r>
              <a:r>
                <a:rPr lang="en-US" sz="1000" i="0">
                  <a:effectLst/>
                  <a:latin typeface="Cambria Math"/>
                  <a:ea typeface="Calibri"/>
                  <a:cs typeface="Times New Roman"/>
                </a:rPr>
                <a:t>Risk Populations Score)/4+1)</a:t>
              </a:r>
              <a:endParaRPr lang="en-US" sz="1000">
                <a:effectLst/>
                <a:latin typeface="Calibri"/>
                <a:ea typeface="Calibri"/>
                <a:cs typeface="Times New Roman"/>
              </a:endParaRPr>
            </a:p>
          </xdr:txBody>
        </xdr:sp>
      </mc:Fallback>
    </mc:AlternateContent>
    <xdr:clientData/>
  </xdr:twoCellAnchor>
  <xdr:twoCellAnchor>
    <xdr:from>
      <xdr:col>10</xdr:col>
      <xdr:colOff>79493</xdr:colOff>
      <xdr:row>13</xdr:row>
      <xdr:rowOff>89646</xdr:rowOff>
    </xdr:from>
    <xdr:to>
      <xdr:col>15</xdr:col>
      <xdr:colOff>236375</xdr:colOff>
      <xdr:row>21</xdr:row>
      <xdr:rowOff>4553</xdr:rowOff>
    </xdr:to>
    <mc:AlternateContent xmlns:mc="http://schemas.openxmlformats.org/markup-compatibility/2006" xmlns:a14="http://schemas.microsoft.com/office/drawing/2010/main">
      <mc:Choice Requires="a14">
        <xdr:sp macro="" textlink="">
          <xdr:nvSpPr>
            <xdr:cNvPr id="45" name="Text Box 2">
              <a:extLst>
                <a:ext uri="{FF2B5EF4-FFF2-40B4-BE49-F238E27FC236}">
                  <a16:creationId xmlns:a16="http://schemas.microsoft.com/office/drawing/2014/main" id="{00000000-0008-0000-0400-00002D000000}"/>
                </a:ext>
              </a:extLst>
            </xdr:cNvPr>
            <xdr:cNvSpPr txBox="1">
              <a:spLocks noChangeArrowheads="1"/>
            </xdr:cNvSpPr>
          </xdr:nvSpPr>
          <xdr:spPr bwMode="auto">
            <a:xfrm>
              <a:off x="7889993" y="2137521"/>
              <a:ext cx="3204882"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Risk</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f>
                      <m:fPr>
                        <m:ctrlPr>
                          <a:rPr lang="en-US" sz="1000" i="1">
                            <a:effectLst/>
                            <a:latin typeface="Cambria Math" panose="02040503050406030204" pitchFamily="18" charset="0"/>
                            <a:ea typeface="Calibri"/>
                            <a:cs typeface="Times New Roman"/>
                          </a:rPr>
                        </m:ctrlPr>
                      </m:fPr>
                      <m:num>
                        <m:r>
                          <m:rPr>
                            <m:sty m:val="p"/>
                          </m:rPr>
                          <a:rPr lang="en-US" sz="1000">
                            <a:effectLst/>
                            <a:latin typeface="Cambria Math"/>
                            <a:ea typeface="Calibri"/>
                            <a:cs typeface="Times New Roman"/>
                          </a:rPr>
                          <m:t>Probability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i="1">
                            <a:effectLst/>
                            <a:latin typeface="Cambria Math"/>
                            <a:ea typeface="Calibri"/>
                            <a:cs typeface="Times New Roman"/>
                          </a:rPr>
                          <m:t> </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Severity</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num>
                      <m:den>
                        <m:r>
                          <a:rPr lang="en-US" sz="1000">
                            <a:effectLst/>
                            <a:latin typeface="Cambria Math"/>
                            <a:ea typeface="Calibri"/>
                            <a:cs typeface="Times New Roman"/>
                          </a:rPr>
                          <m:t>16</m:t>
                        </m:r>
                      </m:den>
                    </m:f>
                    <m:r>
                      <a:rPr lang="en-US" sz="1000">
                        <a:effectLst/>
                        <a:latin typeface="Cambria Math"/>
                        <a:ea typeface="Calibri"/>
                        <a:cs typeface="Times New Roman"/>
                      </a:rPr>
                      <m:t>×100</m:t>
                    </m:r>
                  </m:oMath>
                </m:oMathPara>
              </a14:m>
              <a:endParaRPr lang="en-US" sz="1000">
                <a:effectLst/>
                <a:latin typeface="Calibri"/>
                <a:ea typeface="Calibri"/>
                <a:cs typeface="Times New Roman"/>
              </a:endParaRPr>
            </a:p>
          </xdr:txBody>
        </xdr:sp>
      </mc:Choice>
      <mc:Fallback xmlns="">
        <xdr:sp macro="" textlink="">
          <xdr:nvSpPr>
            <xdr:cNvPr id="45" name="Text Box 2"/>
            <xdr:cNvSpPr txBox="1">
              <a:spLocks noChangeArrowheads="1"/>
            </xdr:cNvSpPr>
          </xdr:nvSpPr>
          <xdr:spPr bwMode="auto">
            <a:xfrm>
              <a:off x="7889993" y="2137521"/>
              <a:ext cx="3204882" cy="48640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nSpc>
                  <a:spcPct val="115000"/>
                </a:lnSpc>
                <a:spcBef>
                  <a:spcPts val="600"/>
                </a:spcBef>
                <a:spcAft>
                  <a:spcPts val="0"/>
                </a:spcAft>
              </a:pPr>
              <a:r>
                <a:rPr lang="en-US" sz="1000" i="0">
                  <a:effectLst/>
                  <a:latin typeface="Cambria Math"/>
                  <a:ea typeface="Calibri"/>
                  <a:cs typeface="Times New Roman"/>
                </a:rPr>
                <a:t>Risk Score=</a:t>
              </a:r>
              <a:r>
                <a:rPr lang="en-US" sz="1000" i="0">
                  <a:effectLst/>
                  <a:latin typeface="Cambria Math"/>
                  <a:cs typeface="Times New Roman"/>
                </a:rPr>
                <a:t>(</a:t>
              </a:r>
              <a:r>
                <a:rPr lang="en-US" sz="1000" i="0">
                  <a:effectLst/>
                  <a:latin typeface="Cambria Math"/>
                  <a:ea typeface="Calibri"/>
                  <a:cs typeface="Times New Roman"/>
                </a:rPr>
                <a:t>Probability Score × Severity Score)/16×100</a:t>
              </a:r>
              <a:endParaRPr lang="en-US" sz="1000">
                <a:effectLst/>
                <a:latin typeface="Calibri"/>
                <a:ea typeface="Calibri"/>
                <a:cs typeface="Times New Roman"/>
              </a:endParaRPr>
            </a:p>
          </xdr:txBody>
        </xdr:sp>
      </mc:Fallback>
    </mc:AlternateContent>
    <xdr:clientData/>
  </xdr:twoCellAnchor>
  <xdr:twoCellAnchor>
    <xdr:from>
      <xdr:col>7</xdr:col>
      <xdr:colOff>473097</xdr:colOff>
      <xdr:row>33</xdr:row>
      <xdr:rowOff>120437</xdr:rowOff>
    </xdr:from>
    <xdr:to>
      <xdr:col>12</xdr:col>
      <xdr:colOff>89081</xdr:colOff>
      <xdr:row>35</xdr:row>
      <xdr:rowOff>99996</xdr:rowOff>
    </xdr:to>
    <xdr:sp macro="" textlink="">
      <xdr:nvSpPr>
        <xdr:cNvPr id="46" name="Text Box 2">
          <a:extLst>
            <a:ext uri="{FF2B5EF4-FFF2-40B4-BE49-F238E27FC236}">
              <a16:creationId xmlns:a16="http://schemas.microsoft.com/office/drawing/2014/main" id="{00000000-0008-0000-0400-00002E000000}"/>
            </a:ext>
          </a:extLst>
        </xdr:cNvPr>
        <xdr:cNvSpPr txBox="1">
          <a:spLocks noChangeArrowheads="1"/>
        </xdr:cNvSpPr>
      </xdr:nvSpPr>
      <xdr:spPr bwMode="auto">
        <a:xfrm>
          <a:off x="6451866" y="4223514"/>
          <a:ext cx="2656657" cy="228674"/>
        </a:xfrm>
        <a:prstGeom prst="rect">
          <a:avLst/>
        </a:prstGeom>
        <a:solidFill>
          <a:srgbClr val="FFFFFF">
            <a:alpha val="70000"/>
          </a:srgbClr>
        </a:solidFill>
        <a:ln w="9525">
          <a:solidFill>
            <a:srgbClr val="000000"/>
          </a:solidFill>
          <a:miter lim="800000"/>
          <a:headEnd/>
          <a:tailEnd/>
        </a:ln>
      </xdr:spPr>
      <xdr:txBody>
        <a:bodyPr rot="0" vert="horz" wrap="square" lIns="91440" tIns="91440" rIns="91440" bIns="91440" anchor="ctr" anchorCtr="0">
          <a:noAutofit/>
        </a:bodyPr>
        <a:lstStyle/>
        <a:p>
          <a:pPr marL="0" marR="0">
            <a:lnSpc>
              <a:spcPct val="115000"/>
            </a:lnSpc>
            <a:spcBef>
              <a:spcPts val="0"/>
            </a:spcBef>
            <a:spcAft>
              <a:spcPts val="1000"/>
            </a:spcAft>
          </a:pPr>
          <a:r>
            <a:rPr lang="en-US" sz="1000">
              <a:effectLst/>
              <a:latin typeface="Cambria Math"/>
              <a:ea typeface="Calibri"/>
              <a:cs typeface="Times New Roman"/>
            </a:rPr>
            <a:t>Severity Score = Average of all Impact Scores</a:t>
          </a:r>
          <a:endParaRPr lang="en-US" sz="1000">
            <a:effectLst/>
            <a:latin typeface="Calibri"/>
            <a:ea typeface="Calibri"/>
            <a:cs typeface="Times New Roman"/>
          </a:endParaRPr>
        </a:p>
      </xdr:txBody>
    </xdr:sp>
    <xdr:clientData/>
  </xdr:twoCellAnchor>
  <xdr:twoCellAnchor>
    <xdr:from>
      <xdr:col>10</xdr:col>
      <xdr:colOff>516722</xdr:colOff>
      <xdr:row>70</xdr:row>
      <xdr:rowOff>7353</xdr:rowOff>
    </xdr:from>
    <xdr:to>
      <xdr:col>15</xdr:col>
      <xdr:colOff>213463</xdr:colOff>
      <xdr:row>75</xdr:row>
      <xdr:rowOff>78240</xdr:rowOff>
    </xdr:to>
    <mc:AlternateContent xmlns:mc="http://schemas.openxmlformats.org/markup-compatibility/2006" xmlns:a14="http://schemas.microsoft.com/office/drawing/2010/main">
      <mc:Choice Requires="a14">
        <xdr:sp macro="" textlink="">
          <xdr:nvSpPr>
            <xdr:cNvPr id="47" name="Text Box 2">
              <a:extLst>
                <a:ext uri="{FF2B5EF4-FFF2-40B4-BE49-F238E27FC236}">
                  <a16:creationId xmlns:a16="http://schemas.microsoft.com/office/drawing/2014/main" id="{00000000-0008-0000-0400-00002F000000}"/>
                </a:ext>
              </a:extLst>
            </xdr:cNvPr>
            <xdr:cNvSpPr txBox="1">
              <a:spLocks noChangeArrowheads="1"/>
            </xdr:cNvSpPr>
          </xdr:nvSpPr>
          <xdr:spPr bwMode="auto">
            <a:xfrm>
              <a:off x="8354436" y="6851746"/>
              <a:ext cx="2758348" cy="35663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14:m>
                <m:oMath xmlns:m="http://schemas.openxmlformats.org/officeDocument/2006/math">
                  <m:r>
                    <m:rPr>
                      <m:sty m:val="p"/>
                    </m:rPr>
                    <a:rPr lang="en-US" sz="1000">
                      <a:effectLst/>
                      <a:latin typeface="Cambria Math"/>
                      <a:ea typeface="Calibri"/>
                      <a:cs typeface="Calibri"/>
                    </a:rPr>
                    <m:t>Planning</m:t>
                  </m:r>
                  <m:r>
                    <a:rPr lang="en-US" sz="1000" i="1">
                      <a:effectLst/>
                      <a:latin typeface="Cambria Math"/>
                      <a:ea typeface="Calibri"/>
                      <a:cs typeface="Calibri"/>
                    </a:rPr>
                    <m:t> </m:t>
                  </m:r>
                  <m:r>
                    <m:rPr>
                      <m:sty m:val="p"/>
                    </m:rPr>
                    <a:rPr lang="en-US" sz="1000">
                      <a:effectLst/>
                      <a:latin typeface="Cambria Math"/>
                      <a:ea typeface="Calibri"/>
                      <a:cs typeface="Calibri"/>
                    </a:rPr>
                    <m:t>Priority</m:t>
                  </m:r>
                  <m:r>
                    <a:rPr lang="en-US" sz="1000" i="1">
                      <a:effectLst/>
                      <a:latin typeface="Cambria Math"/>
                      <a:ea typeface="Calibri"/>
                      <a:cs typeface="Calibri"/>
                    </a:rPr>
                    <m:t> </m:t>
                  </m:r>
                  <m:r>
                    <m:rPr>
                      <m:sty m:val="p"/>
                    </m:rPr>
                    <a:rPr lang="en-US" sz="1000">
                      <a:effectLst/>
                      <a:latin typeface="Cambria Math"/>
                      <a:ea typeface="Calibri"/>
                      <a:cs typeface="Calibri"/>
                    </a:rPr>
                    <m:t>Indicator</m:t>
                  </m:r>
                  <m:r>
                    <a:rPr lang="en-US" sz="1000" i="1">
                      <a:effectLst/>
                      <a:latin typeface="Cambria Math"/>
                      <a:ea typeface="Calibri"/>
                      <a:cs typeface="Calibri"/>
                    </a:rPr>
                    <m:t> </m:t>
                  </m:r>
                  <m:r>
                    <a:rPr lang="en-US" sz="1000">
                      <a:effectLst/>
                      <a:latin typeface="Cambria Math"/>
                      <a:ea typeface="Calibri"/>
                      <a:cs typeface="Calibri"/>
                    </a:rPr>
                    <m:t>=</m:t>
                  </m:r>
                  <m:r>
                    <a:rPr lang="en-US" sz="1000" i="1">
                      <a:effectLst/>
                      <a:latin typeface="Cambria Math"/>
                      <a:ea typeface="Calibri"/>
                      <a:cs typeface="Calibri"/>
                    </a:rPr>
                    <m:t> </m:t>
                  </m:r>
                  <m:f>
                    <m:fPr>
                      <m:ctrlPr>
                        <a:rPr lang="en-US" sz="1000" i="1">
                          <a:effectLst/>
                          <a:latin typeface="Cambria Math" panose="02040503050406030204" pitchFamily="18" charset="0"/>
                          <a:ea typeface="Calibri"/>
                          <a:cs typeface="Calibri"/>
                        </a:rPr>
                      </m:ctrlPr>
                    </m:fPr>
                    <m:num>
                      <m:r>
                        <m:rPr>
                          <m:sty m:val="p"/>
                        </m:rPr>
                        <a:rPr lang="en-US" sz="1000">
                          <a:effectLst/>
                          <a:latin typeface="Cambria Math"/>
                          <a:ea typeface="Calibri"/>
                          <a:cs typeface="Calibri"/>
                        </a:rPr>
                        <m:t>Adjusted</m:t>
                      </m:r>
                      <m:r>
                        <a:rPr lang="en-US" sz="1000" i="1">
                          <a:effectLst/>
                          <a:latin typeface="Cambria Math"/>
                          <a:ea typeface="Calibri"/>
                          <a:cs typeface="Calibri"/>
                        </a:rPr>
                        <m:t> </m:t>
                      </m:r>
                      <m:r>
                        <m:rPr>
                          <m:sty m:val="p"/>
                        </m:rPr>
                        <a:rPr lang="en-US" sz="1000">
                          <a:effectLst/>
                          <a:latin typeface="Cambria Math"/>
                          <a:ea typeface="Calibri"/>
                          <a:cs typeface="Calibri"/>
                        </a:rPr>
                        <m:t>Risk</m:t>
                      </m:r>
                      <m:r>
                        <a:rPr lang="en-US" sz="1000" i="1">
                          <a:effectLst/>
                          <a:latin typeface="Cambria Math"/>
                          <a:ea typeface="Calibri"/>
                          <a:cs typeface="Calibri"/>
                        </a:rPr>
                        <m:t> </m:t>
                      </m:r>
                      <m:r>
                        <m:rPr>
                          <m:sty m:val="p"/>
                        </m:rPr>
                        <a:rPr lang="en-US" sz="1000">
                          <a:effectLst/>
                          <a:latin typeface="Cambria Math"/>
                          <a:ea typeface="Calibri"/>
                          <a:cs typeface="Calibri"/>
                        </a:rPr>
                        <m:t>Score</m:t>
                      </m:r>
                    </m:num>
                    <m:den>
                      <m:r>
                        <m:rPr>
                          <m:sty m:val="p"/>
                        </m:rPr>
                        <a:rPr lang="en-US" sz="1000">
                          <a:effectLst/>
                          <a:latin typeface="Cambria Math"/>
                          <a:ea typeface="Calibri"/>
                          <a:cs typeface="Calibri"/>
                        </a:rPr>
                        <m:t>Preparedness</m:t>
                      </m:r>
                      <m:r>
                        <a:rPr lang="en-US" sz="1000" i="1">
                          <a:effectLst/>
                          <a:latin typeface="Cambria Math"/>
                          <a:ea typeface="Calibri"/>
                          <a:cs typeface="Calibri"/>
                        </a:rPr>
                        <m:t> </m:t>
                      </m:r>
                      <m:r>
                        <m:rPr>
                          <m:sty m:val="p"/>
                        </m:rPr>
                        <a:rPr lang="en-US" sz="1000">
                          <a:effectLst/>
                          <a:latin typeface="Cambria Math"/>
                          <a:ea typeface="Calibri"/>
                          <a:cs typeface="Calibri"/>
                        </a:rPr>
                        <m:t>Score</m:t>
                      </m:r>
                    </m:den>
                  </m:f>
                </m:oMath>
              </a14:m>
              <a:r>
                <a:rPr lang="en-US" sz="1000">
                  <a:effectLst/>
                  <a:latin typeface="Calibri"/>
                  <a:ea typeface="Calibri"/>
                  <a:cs typeface="Times New Roman"/>
                </a:rPr>
                <a:t> </a:t>
              </a:r>
            </a:p>
          </xdr:txBody>
        </xdr:sp>
      </mc:Choice>
      <mc:Fallback xmlns="">
        <xdr:sp macro="" textlink="">
          <xdr:nvSpPr>
            <xdr:cNvPr id="47" name="Text Box 2"/>
            <xdr:cNvSpPr txBox="1">
              <a:spLocks noChangeArrowheads="1"/>
            </xdr:cNvSpPr>
          </xdr:nvSpPr>
          <xdr:spPr bwMode="auto">
            <a:xfrm>
              <a:off x="8354436" y="6851746"/>
              <a:ext cx="2758348" cy="356637"/>
            </a:xfrm>
            <a:prstGeom prst="rect">
              <a:avLst/>
            </a:prstGeom>
            <a:solidFill>
              <a:srgbClr val="FFFFFF">
                <a:alpha val="70000"/>
              </a:srgbClr>
            </a:solidFill>
            <a:ln w="9525">
              <a:solidFill>
                <a:srgbClr val="000000"/>
              </a:solidFill>
              <a:miter lim="800000"/>
              <a:headEnd/>
              <a:tailEnd/>
            </a:ln>
          </xdr:spPr>
          <xdr:txBody>
            <a:bodyPr rot="0" vert="horz" wrap="square" lIns="0" tIns="0" rIns="0" bIns="0" anchor="ctr" anchorCtr="0">
              <a:noAutofit/>
            </a:bodyPr>
            <a:lstStyle/>
            <a:p>
              <a:pPr marL="0" marR="0" algn="ctr">
                <a:lnSpc>
                  <a:spcPct val="115000"/>
                </a:lnSpc>
                <a:spcBef>
                  <a:spcPts val="600"/>
                </a:spcBef>
                <a:spcAft>
                  <a:spcPts val="0"/>
                </a:spcAft>
              </a:pPr>
              <a:r>
                <a:rPr lang="en-US" sz="1000" i="0">
                  <a:effectLst/>
                  <a:latin typeface="Cambria Math"/>
                  <a:ea typeface="Calibri"/>
                  <a:cs typeface="Calibri"/>
                </a:rPr>
                <a:t>Planning Priority Indicator = </a:t>
              </a:r>
              <a:r>
                <a:rPr lang="en-US" sz="1000" i="0">
                  <a:effectLst/>
                  <a:latin typeface="Cambria Math"/>
                </a:rPr>
                <a:t> (</a:t>
              </a:r>
              <a:r>
                <a:rPr lang="en-US" sz="1000" i="0">
                  <a:effectLst/>
                  <a:latin typeface="Cambria Math"/>
                  <a:ea typeface="Calibri"/>
                  <a:cs typeface="Calibri"/>
                </a:rPr>
                <a:t>Adjusted Risk Score)/(Preparedness Score)</a:t>
              </a:r>
              <a:r>
                <a:rPr lang="en-US" sz="1000">
                  <a:effectLst/>
                  <a:latin typeface="Calibri"/>
                  <a:ea typeface="Calibri"/>
                  <a:cs typeface="Times New Roman"/>
                </a:rPr>
                <a:t> </a:t>
              </a:r>
            </a:p>
          </xdr:txBody>
        </xdr:sp>
      </mc:Fallback>
    </mc:AlternateContent>
    <xdr:clientData/>
  </xdr:twoCellAnchor>
  <xdr:twoCellAnchor>
    <xdr:from>
      <xdr:col>14</xdr:col>
      <xdr:colOff>300957</xdr:colOff>
      <xdr:row>73</xdr:row>
      <xdr:rowOff>50187</xdr:rowOff>
    </xdr:from>
    <xdr:to>
      <xdr:col>15</xdr:col>
      <xdr:colOff>590910</xdr:colOff>
      <xdr:row>81</xdr:row>
      <xdr:rowOff>60432</xdr:rowOff>
    </xdr:to>
    <xdr:sp macro="" textlink="">
      <xdr:nvSpPr>
        <xdr:cNvPr id="48" name="Arc 47">
          <a:extLst>
            <a:ext uri="{FF2B5EF4-FFF2-40B4-BE49-F238E27FC236}">
              <a16:creationId xmlns:a16="http://schemas.microsoft.com/office/drawing/2014/main" id="{00000000-0008-0000-0400-000030000000}"/>
            </a:ext>
          </a:extLst>
        </xdr:cNvPr>
        <xdr:cNvSpPr/>
      </xdr:nvSpPr>
      <xdr:spPr>
        <a:xfrm>
          <a:off x="10587957" y="7044258"/>
          <a:ext cx="902274" cy="663388"/>
        </a:xfrm>
        <a:prstGeom prst="arc">
          <a:avLst>
            <a:gd name="adj1" fmla="val 16951728"/>
            <a:gd name="adj2" fmla="val 2134138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12</xdr:col>
      <xdr:colOff>357547</xdr:colOff>
      <xdr:row>44</xdr:row>
      <xdr:rowOff>4562</xdr:rowOff>
    </xdr:from>
    <xdr:to>
      <xdr:col>14</xdr:col>
      <xdr:colOff>197944</xdr:colOff>
      <xdr:row>50</xdr:row>
      <xdr:rowOff>61151</xdr:rowOff>
    </xdr:to>
    <xdr:sp macro="" textlink="">
      <xdr:nvSpPr>
        <xdr:cNvPr id="49" name="Arc 48">
          <a:extLst>
            <a:ext uri="{FF2B5EF4-FFF2-40B4-BE49-F238E27FC236}">
              <a16:creationId xmlns:a16="http://schemas.microsoft.com/office/drawing/2014/main" id="{00000000-0008-0000-0400-000031000000}"/>
            </a:ext>
          </a:extLst>
        </xdr:cNvPr>
        <xdr:cNvSpPr/>
      </xdr:nvSpPr>
      <xdr:spPr>
        <a:xfrm>
          <a:off x="9419904" y="4862312"/>
          <a:ext cx="1065040" cy="464803"/>
        </a:xfrm>
        <a:prstGeom prst="arc">
          <a:avLst>
            <a:gd name="adj1" fmla="val 21242020"/>
            <a:gd name="adj2" fmla="val 3335870"/>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649942</xdr:colOff>
      <xdr:row>79</xdr:row>
      <xdr:rowOff>22411</xdr:rowOff>
    </xdr:from>
    <xdr:to>
      <xdr:col>4</xdr:col>
      <xdr:colOff>537883</xdr:colOff>
      <xdr:row>97</xdr:row>
      <xdr:rowOff>33616</xdr:rowOff>
    </xdr:to>
    <xdr:sp macro="" textlink="">
      <xdr:nvSpPr>
        <xdr:cNvPr id="51" name="Arc 50">
          <a:extLst>
            <a:ext uri="{FF2B5EF4-FFF2-40B4-BE49-F238E27FC236}">
              <a16:creationId xmlns:a16="http://schemas.microsoft.com/office/drawing/2014/main" id="{00000000-0008-0000-0400-000033000000}"/>
            </a:ext>
          </a:extLst>
        </xdr:cNvPr>
        <xdr:cNvSpPr/>
      </xdr:nvSpPr>
      <xdr:spPr>
        <a:xfrm flipH="1" flipV="1">
          <a:off x="3374092" y="7309036"/>
          <a:ext cx="1316691" cy="1401855"/>
        </a:xfrm>
        <a:prstGeom prst="arc">
          <a:avLst>
            <a:gd name="adj1" fmla="val 17813179"/>
            <a:gd name="adj2" fmla="val 2123564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xdr:col>
      <xdr:colOff>232170</xdr:colOff>
      <xdr:row>28</xdr:row>
      <xdr:rowOff>7326</xdr:rowOff>
    </xdr:from>
    <xdr:to>
      <xdr:col>8</xdr:col>
      <xdr:colOff>52661</xdr:colOff>
      <xdr:row>34</xdr:row>
      <xdr:rowOff>64568</xdr:rowOff>
    </xdr:to>
    <xdr:sp macro="" textlink="">
      <xdr:nvSpPr>
        <xdr:cNvPr id="52" name="Arc 51">
          <a:extLst>
            <a:ext uri="{FF2B5EF4-FFF2-40B4-BE49-F238E27FC236}">
              <a16:creationId xmlns:a16="http://schemas.microsoft.com/office/drawing/2014/main" id="{00000000-0008-0000-0400-000034000000}"/>
            </a:ext>
          </a:extLst>
        </xdr:cNvPr>
        <xdr:cNvSpPr/>
      </xdr:nvSpPr>
      <xdr:spPr>
        <a:xfrm flipH="1" flipV="1">
          <a:off x="6210939" y="3795345"/>
          <a:ext cx="428626" cy="496858"/>
        </a:xfrm>
        <a:prstGeom prst="arc">
          <a:avLst>
            <a:gd name="adj1" fmla="val 15852347"/>
            <a:gd name="adj2" fmla="val 21457183"/>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9</xdr:col>
      <xdr:colOff>251218</xdr:colOff>
      <xdr:row>13</xdr:row>
      <xdr:rowOff>29766</xdr:rowOff>
    </xdr:from>
    <xdr:to>
      <xdr:col>10</xdr:col>
      <xdr:colOff>523876</xdr:colOff>
      <xdr:row>23</xdr:row>
      <xdr:rowOff>120114</xdr:rowOff>
    </xdr:to>
    <xdr:sp macro="" textlink="">
      <xdr:nvSpPr>
        <xdr:cNvPr id="53" name="Arc 52">
          <a:extLst>
            <a:ext uri="{FF2B5EF4-FFF2-40B4-BE49-F238E27FC236}">
              <a16:creationId xmlns:a16="http://schemas.microsoft.com/office/drawing/2014/main" id="{00000000-0008-0000-0400-000035000000}"/>
            </a:ext>
          </a:extLst>
        </xdr:cNvPr>
        <xdr:cNvSpPr/>
      </xdr:nvSpPr>
      <xdr:spPr>
        <a:xfrm flipH="1" flipV="1">
          <a:off x="7452118" y="2077641"/>
          <a:ext cx="882258" cy="909498"/>
        </a:xfrm>
        <a:prstGeom prst="arc">
          <a:avLst>
            <a:gd name="adj1" fmla="val 11525482"/>
            <a:gd name="adj2" fmla="val 1536356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47625</xdr:colOff>
      <xdr:row>127</xdr:row>
      <xdr:rowOff>9525</xdr:rowOff>
    </xdr:from>
    <xdr:to>
      <xdr:col>2</xdr:col>
      <xdr:colOff>238125</xdr:colOff>
      <xdr:row>142</xdr:row>
      <xdr:rowOff>0</xdr:rowOff>
    </xdr:to>
    <xdr:sp macro="" textlink="">
      <xdr:nvSpPr>
        <xdr:cNvPr id="54" name="Right Brace 53">
          <a:extLst>
            <a:ext uri="{FF2B5EF4-FFF2-40B4-BE49-F238E27FC236}">
              <a16:creationId xmlns:a16="http://schemas.microsoft.com/office/drawing/2014/main" id="{00000000-0008-0000-0400-000036000000}"/>
            </a:ext>
          </a:extLst>
        </xdr:cNvPr>
        <xdr:cNvSpPr/>
      </xdr:nvSpPr>
      <xdr:spPr>
        <a:xfrm>
          <a:off x="2438400" y="10934700"/>
          <a:ext cx="190500" cy="1114425"/>
        </a:xfrm>
        <a:prstGeom prst="rightBrac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0</xdr:colOff>
      <xdr:row>9</xdr:row>
      <xdr:rowOff>0</xdr:rowOff>
    </xdr:from>
    <xdr:to>
      <xdr:col>4</xdr:col>
      <xdr:colOff>0</xdr:colOff>
      <xdr:row>10</xdr:row>
      <xdr:rowOff>33618</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2724150" y="1657350"/>
          <a:ext cx="1428750" cy="157443"/>
        </a:xfrm>
        <a:prstGeom prst="rect">
          <a:avLst/>
        </a:prstGeom>
        <a:solidFill>
          <a:schemeClr val="accent3">
            <a:lumMod val="40000"/>
            <a:lumOff val="60000"/>
          </a:schemeClr>
        </a:solidFill>
        <a:ln w="9525"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Probability Score</a:t>
          </a:r>
          <a:endParaRPr lang="en-US" sz="1100" baseline="0"/>
        </a:p>
      </xdr:txBody>
    </xdr:sp>
    <xdr:clientData/>
  </xdr:twoCellAnchor>
  <xdr:twoCellAnchor>
    <xdr:from>
      <xdr:col>3</xdr:col>
      <xdr:colOff>0</xdr:colOff>
      <xdr:row>27</xdr:row>
      <xdr:rowOff>0</xdr:rowOff>
    </xdr:from>
    <xdr:to>
      <xdr:col>4</xdr:col>
      <xdr:colOff>0</xdr:colOff>
      <xdr:row>31</xdr:row>
      <xdr:rowOff>77881</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2724150" y="3152775"/>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a:t>
          </a:r>
          <a:r>
            <a:rPr lang="en-US" sz="1100" baseline="0"/>
            <a:t> Service Impact Score</a:t>
          </a:r>
        </a:p>
      </xdr:txBody>
    </xdr:sp>
    <xdr:clientData/>
  </xdr:twoCellAnchor>
  <xdr:twoCellAnchor>
    <xdr:from>
      <xdr:col>3</xdr:col>
      <xdr:colOff>0</xdr:colOff>
      <xdr:row>15</xdr:row>
      <xdr:rowOff>0</xdr:rowOff>
    </xdr:from>
    <xdr:to>
      <xdr:col>4</xdr:col>
      <xdr:colOff>0</xdr:colOff>
      <xdr:row>19</xdr:row>
      <xdr:rowOff>77881</xdr:rowOff>
    </xdr:to>
    <xdr:sp macro="" textlink="">
      <xdr:nvSpPr>
        <xdr:cNvPr id="60" name="TextBox 59">
          <a:extLst>
            <a:ext uri="{FF2B5EF4-FFF2-40B4-BE49-F238E27FC236}">
              <a16:creationId xmlns:a16="http://schemas.microsoft.com/office/drawing/2014/main" id="{00000000-0008-0000-0400-00003C000000}"/>
            </a:ext>
          </a:extLst>
        </xdr:cNvPr>
        <xdr:cNvSpPr txBox="1"/>
      </xdr:nvSpPr>
      <xdr:spPr>
        <a:xfrm>
          <a:off x="2724150" y="2190750"/>
          <a:ext cx="1428750" cy="363631"/>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Human Impact </a:t>
          </a:r>
          <a:r>
            <a:rPr lang="en-US" sz="1100" baseline="0"/>
            <a:t>Score</a:t>
          </a:r>
        </a:p>
      </xdr:txBody>
    </xdr:sp>
    <xdr:clientData/>
  </xdr:twoCellAnchor>
  <xdr:twoCellAnchor>
    <xdr:from>
      <xdr:col>3</xdr:col>
      <xdr:colOff>0</xdr:colOff>
      <xdr:row>39</xdr:row>
      <xdr:rowOff>0</xdr:rowOff>
    </xdr:from>
    <xdr:to>
      <xdr:col>4</xdr:col>
      <xdr:colOff>0</xdr:colOff>
      <xdr:row>47</xdr:row>
      <xdr:rowOff>0</xdr:rowOff>
    </xdr:to>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2724150" y="4114800"/>
          <a:ext cx="1428750" cy="571500"/>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Inpatient</a:t>
          </a:r>
          <a:r>
            <a:rPr lang="en-US" sz="1100" baseline="0"/>
            <a:t> Facility Infrastructure Impact Score</a:t>
          </a:r>
        </a:p>
      </xdr:txBody>
    </xdr:sp>
    <xdr:clientData/>
  </xdr:twoCellAnchor>
  <xdr:twoCellAnchor>
    <xdr:from>
      <xdr:col>3</xdr:col>
      <xdr:colOff>0</xdr:colOff>
      <xdr:row>55</xdr:row>
      <xdr:rowOff>0</xdr:rowOff>
    </xdr:from>
    <xdr:to>
      <xdr:col>4</xdr:col>
      <xdr:colOff>0</xdr:colOff>
      <xdr:row>59</xdr:row>
      <xdr:rowOff>77881</xdr:rowOff>
    </xdr:to>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2724150" y="5362575"/>
          <a:ext cx="1428750" cy="363631"/>
        </a:xfrm>
        <a:prstGeom prst="rect">
          <a:avLst/>
        </a:prstGeom>
        <a:solidFill>
          <a:schemeClr val="accent4">
            <a:lumMod val="20000"/>
            <a:lumOff val="80000"/>
          </a:schemeClr>
        </a:solidFill>
        <a:ln w="9525" cmpd="sng">
          <a:solidFill>
            <a:schemeClr val="accent4">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solidFill>
                <a:schemeClr val="bg1">
                  <a:lumMod val="75000"/>
                </a:schemeClr>
              </a:solidFill>
            </a:rPr>
            <a:t>Community </a:t>
          </a:r>
          <a:r>
            <a:rPr lang="en-US" sz="1100" baseline="0">
              <a:solidFill>
                <a:schemeClr val="bg1">
                  <a:lumMod val="75000"/>
                </a:schemeClr>
              </a:solidFill>
            </a:rPr>
            <a:t>Impact </a:t>
          </a:r>
        </a:p>
        <a:p>
          <a:pPr algn="ctr"/>
          <a:r>
            <a:rPr lang="en-US" sz="1100" baseline="0">
              <a:solidFill>
                <a:schemeClr val="bg1">
                  <a:lumMod val="75000"/>
                </a:schemeClr>
              </a:solidFill>
            </a:rPr>
            <a:t>Score</a:t>
          </a:r>
        </a:p>
      </xdr:txBody>
    </xdr:sp>
    <xdr:clientData/>
  </xdr:twoCellAnchor>
  <xdr:twoCellAnchor>
    <xdr:from>
      <xdr:col>3</xdr:col>
      <xdr:colOff>0</xdr:colOff>
      <xdr:row>69</xdr:row>
      <xdr:rowOff>0</xdr:rowOff>
    </xdr:from>
    <xdr:to>
      <xdr:col>4</xdr:col>
      <xdr:colOff>0</xdr:colOff>
      <xdr:row>73</xdr:row>
      <xdr:rowOff>77881</xdr:rowOff>
    </xdr:to>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2724150" y="6467475"/>
          <a:ext cx="1428750" cy="363631"/>
        </a:xfrm>
        <a:prstGeom prst="rect">
          <a:avLst/>
        </a:prstGeom>
        <a:solidFill>
          <a:schemeClr val="accent4">
            <a:lumMod val="20000"/>
            <a:lumOff val="80000"/>
          </a:schemeClr>
        </a:solidFill>
        <a:ln w="9525" cmpd="sng">
          <a:solidFill>
            <a:schemeClr val="accent4">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solidFill>
                <a:schemeClr val="bg1">
                  <a:lumMod val="75000"/>
                </a:schemeClr>
              </a:solidFill>
            </a:rPr>
            <a:t>Public Health </a:t>
          </a:r>
          <a:r>
            <a:rPr lang="en-US" sz="1100" baseline="0">
              <a:solidFill>
                <a:schemeClr val="bg1">
                  <a:lumMod val="75000"/>
                </a:schemeClr>
              </a:solidFill>
            </a:rPr>
            <a:t>Service Impact Score</a:t>
          </a:r>
        </a:p>
      </xdr:txBody>
    </xdr:sp>
    <xdr:clientData/>
  </xdr:twoCellAnchor>
  <xdr:twoCellAnchor>
    <xdr:from>
      <xdr:col>3</xdr:col>
      <xdr:colOff>0</xdr:colOff>
      <xdr:row>85</xdr:row>
      <xdr:rowOff>0</xdr:rowOff>
    </xdr:from>
    <xdr:to>
      <xdr:col>4</xdr:col>
      <xdr:colOff>0</xdr:colOff>
      <xdr:row>89</xdr:row>
      <xdr:rowOff>77881</xdr:rowOff>
    </xdr:to>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2724150" y="7715250"/>
          <a:ext cx="1428750" cy="363631"/>
        </a:xfrm>
        <a:prstGeom prst="rect">
          <a:avLst/>
        </a:prstGeom>
        <a:solidFill>
          <a:schemeClr val="tx2">
            <a:lumMod val="40000"/>
            <a:lumOff val="60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At-Risk Populations </a:t>
          </a:r>
          <a:r>
            <a:rPr lang="en-US" sz="1100" baseline="0"/>
            <a:t>Score</a:t>
          </a:r>
        </a:p>
      </xdr:txBody>
    </xdr:sp>
    <xdr:clientData/>
  </xdr:twoCellAnchor>
  <xdr:twoCellAnchor>
    <xdr:from>
      <xdr:col>3</xdr:col>
      <xdr:colOff>0</xdr:colOff>
      <xdr:row>109</xdr:row>
      <xdr:rowOff>0</xdr:rowOff>
    </xdr:from>
    <xdr:to>
      <xdr:col>4</xdr:col>
      <xdr:colOff>0</xdr:colOff>
      <xdr:row>113</xdr:row>
      <xdr:rowOff>77881</xdr:rowOff>
    </xdr:to>
    <xdr:sp macro="" textlink="">
      <xdr:nvSpPr>
        <xdr:cNvPr id="65" name="TextBox 64">
          <a:extLst>
            <a:ext uri="{FF2B5EF4-FFF2-40B4-BE49-F238E27FC236}">
              <a16:creationId xmlns:a16="http://schemas.microsoft.com/office/drawing/2014/main" id="{00000000-0008-0000-0400-000041000000}"/>
            </a:ext>
          </a:extLst>
        </xdr:cNvPr>
        <xdr:cNvSpPr txBox="1"/>
      </xdr:nvSpPr>
      <xdr:spPr>
        <a:xfrm>
          <a:off x="2724150" y="9534525"/>
          <a:ext cx="1428750" cy="363631"/>
        </a:xfrm>
        <a:prstGeom prst="rect">
          <a:avLst/>
        </a:prstGeom>
        <a:solidFill>
          <a:schemeClr val="accent6">
            <a:lumMod val="20000"/>
            <a:lumOff val="8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solidFill>
                <a:schemeClr val="bg1">
                  <a:lumMod val="75000"/>
                </a:schemeClr>
              </a:solidFill>
            </a:rPr>
            <a:t>Public Health </a:t>
          </a:r>
          <a:r>
            <a:rPr lang="en-US" sz="1100" baseline="0">
              <a:solidFill>
                <a:schemeClr val="bg1">
                  <a:lumMod val="75000"/>
                </a:schemeClr>
              </a:solidFill>
            </a:rPr>
            <a:t>Preparedness  Score</a:t>
          </a:r>
        </a:p>
      </xdr:txBody>
    </xdr:sp>
    <xdr:clientData/>
  </xdr:twoCellAnchor>
  <xdr:twoCellAnchor>
    <xdr:from>
      <xdr:col>3</xdr:col>
      <xdr:colOff>0</xdr:colOff>
      <xdr:row>133</xdr:row>
      <xdr:rowOff>0</xdr:rowOff>
    </xdr:from>
    <xdr:to>
      <xdr:col>4</xdr:col>
      <xdr:colOff>78442</xdr:colOff>
      <xdr:row>137</xdr:row>
      <xdr:rowOff>77881</xdr:rowOff>
    </xdr:to>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2724150" y="11353800"/>
          <a:ext cx="1507192" cy="363631"/>
        </a:xfrm>
        <a:prstGeom prst="rect">
          <a:avLst/>
        </a:prstGeom>
        <a:solidFill>
          <a:schemeClr val="accent6">
            <a:lumMod val="40000"/>
            <a:lumOff val="6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 </a:t>
          </a:r>
          <a:r>
            <a:rPr lang="en-US" sz="1100" baseline="0"/>
            <a:t>Preparedness Score</a:t>
          </a:r>
        </a:p>
      </xdr:txBody>
    </xdr:sp>
    <xdr:clientData/>
  </xdr:twoCellAnchor>
  <xdr:twoCellAnchor>
    <xdr:from>
      <xdr:col>3</xdr:col>
      <xdr:colOff>1148670</xdr:colOff>
      <xdr:row>126</xdr:row>
      <xdr:rowOff>13607</xdr:rowOff>
    </xdr:from>
    <xdr:to>
      <xdr:col>4</xdr:col>
      <xdr:colOff>353052</xdr:colOff>
      <xdr:row>135</xdr:row>
      <xdr:rowOff>11905</xdr:rowOff>
    </xdr:to>
    <xdr:sp macro="" textlink="">
      <xdr:nvSpPr>
        <xdr:cNvPr id="67" name="Arc 66">
          <a:extLst>
            <a:ext uri="{FF2B5EF4-FFF2-40B4-BE49-F238E27FC236}">
              <a16:creationId xmlns:a16="http://schemas.microsoft.com/office/drawing/2014/main" id="{00000000-0008-0000-0400-000043000000}"/>
            </a:ext>
          </a:extLst>
        </xdr:cNvPr>
        <xdr:cNvSpPr/>
      </xdr:nvSpPr>
      <xdr:spPr>
        <a:xfrm flipH="1" flipV="1">
          <a:off x="3883706" y="10885714"/>
          <a:ext cx="633132" cy="665048"/>
        </a:xfrm>
        <a:prstGeom prst="arc">
          <a:avLst>
            <a:gd name="adj1" fmla="val 11032550"/>
            <a:gd name="adj2" fmla="val 15720369"/>
          </a:avLst>
        </a:prstGeom>
        <a:ln w="952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78442</xdr:colOff>
      <xdr:row>135</xdr:row>
      <xdr:rowOff>29308</xdr:rowOff>
    </xdr:from>
    <xdr:to>
      <xdr:col>13</xdr:col>
      <xdr:colOff>556846</xdr:colOff>
      <xdr:row>135</xdr:row>
      <xdr:rowOff>38941</xdr:rowOff>
    </xdr:to>
    <xdr:cxnSp macro="">
      <xdr:nvCxnSpPr>
        <xdr:cNvPr id="69" name="Straight Connector 68">
          <a:extLst>
            <a:ext uri="{FF2B5EF4-FFF2-40B4-BE49-F238E27FC236}">
              <a16:creationId xmlns:a16="http://schemas.microsoft.com/office/drawing/2014/main" id="{00000000-0008-0000-0400-000045000000}"/>
            </a:ext>
          </a:extLst>
        </xdr:cNvPr>
        <xdr:cNvCxnSpPr>
          <a:stCxn id="66" idx="3"/>
        </xdr:cNvCxnSpPr>
      </xdr:nvCxnSpPr>
      <xdr:spPr>
        <a:xfrm flipV="1">
          <a:off x="4232807" y="12221308"/>
          <a:ext cx="5951616" cy="9633"/>
        </a:xfrm>
        <a:prstGeom prst="line">
          <a:avLst/>
        </a:prstGeom>
        <a:ln w="9525">
          <a:solidFill>
            <a:schemeClr val="accent6"/>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14</xdr:col>
      <xdr:colOff>330993</xdr:colOff>
      <xdr:row>77</xdr:row>
      <xdr:rowOff>91767</xdr:rowOff>
    </xdr:from>
    <xdr:to>
      <xdr:col>16</xdr:col>
      <xdr:colOff>273844</xdr:colOff>
      <xdr:row>95</xdr:row>
      <xdr:rowOff>13607</xdr:rowOff>
    </xdr:to>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10617993" y="7357981"/>
          <a:ext cx="1167494" cy="1255340"/>
        </a:xfrm>
        <a:prstGeom prst="rect">
          <a:avLst/>
        </a:prstGeom>
        <a:solidFill>
          <a:schemeClr val="bg1">
            <a:lumMod val="85000"/>
          </a:schemeClr>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600"/>
            <a:t>Healthcare  System </a:t>
          </a:r>
          <a:r>
            <a:rPr lang="en-US" sz="1600" baseline="0"/>
            <a:t>Planning Priority Score</a:t>
          </a:r>
        </a:p>
      </xdr:txBody>
    </xdr:sp>
    <xdr:clientData/>
  </xdr:twoCellAnchor>
  <xdr:twoCellAnchor>
    <xdr:from>
      <xdr:col>3</xdr:col>
      <xdr:colOff>450136</xdr:colOff>
      <xdr:row>113</xdr:row>
      <xdr:rowOff>9966</xdr:rowOff>
    </xdr:from>
    <xdr:to>
      <xdr:col>10</xdr:col>
      <xdr:colOff>112685</xdr:colOff>
      <xdr:row>130</xdr:row>
      <xdr:rowOff>2283</xdr:rowOff>
    </xdr:to>
    <mc:AlternateContent xmlns:mc="http://schemas.openxmlformats.org/markup-compatibility/2006" xmlns:a14="http://schemas.microsoft.com/office/drawing/2010/main">
      <mc:Choice Requires="a14">
        <xdr:sp macro="" textlink="">
          <xdr:nvSpPr>
            <xdr:cNvPr id="74" name="Text Box 2">
              <a:extLst>
                <a:ext uri="{FF2B5EF4-FFF2-40B4-BE49-F238E27FC236}">
                  <a16:creationId xmlns:a16="http://schemas.microsoft.com/office/drawing/2014/main" id="{00000000-0008-0000-0400-00004A000000}"/>
                </a:ext>
              </a:extLst>
            </xdr:cNvPr>
            <xdr:cNvSpPr txBox="1">
              <a:spLocks noChangeArrowheads="1"/>
            </xdr:cNvSpPr>
          </xdr:nvSpPr>
          <xdr:spPr bwMode="auto">
            <a:xfrm>
              <a:off x="3185172" y="9943180"/>
              <a:ext cx="4765227" cy="1312210"/>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14:m>
                <m:oMath xmlns:m="http://schemas.openxmlformats.org/officeDocument/2006/math">
                  <m:r>
                    <a:rPr lang="en-US" sz="1000" i="1">
                      <a:effectLst/>
                      <a:latin typeface="Cambria Math"/>
                      <a:ea typeface="Calibri"/>
                      <a:cs typeface="Times New Roman"/>
                    </a:rPr>
                    <m:t> </m:t>
                  </m:r>
                  <m:r>
                    <a:rPr lang="en-US" sz="1000" i="1">
                      <a:effectLst/>
                      <a:latin typeface="Cambria Math"/>
                      <a:ea typeface="Calibri"/>
                      <a:cs typeface="Times New Roman"/>
                    </a:rPr>
                    <m:t>𝑛</m:t>
                  </m:r>
                </m:oMath>
              </a14:m>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14:m>
                <m:oMathPara xmlns:m="http://schemas.openxmlformats.org/officeDocument/2006/math">
                  <m:oMathParaPr>
                    <m:jc m:val="centerGroup"/>
                  </m:oMathParaPr>
                  <m:oMath xmlns:m="http://schemas.openxmlformats.org/officeDocument/2006/math">
                    <m:r>
                      <m:rPr>
                        <m:sty m:val="p"/>
                      </m:rPr>
                      <a:rPr lang="en-US" sz="1000">
                        <a:effectLst/>
                        <a:latin typeface="Cambria Math"/>
                        <a:ea typeface="Calibri"/>
                        <a:cs typeface="Times New Roman"/>
                      </a:rPr>
                      <m:t>Preparedness</m:t>
                    </m:r>
                    <m:r>
                      <a:rPr lang="en-US" sz="1000">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f>
                      <m:fPr>
                        <m:ctrlPr>
                          <a:rPr lang="en-US" sz="1000" i="1">
                            <a:effectLst/>
                            <a:latin typeface="Cambria Math" panose="02040503050406030204" pitchFamily="18" charset="0"/>
                            <a:ea typeface="Calibri"/>
                            <a:cs typeface="Times New Roman"/>
                          </a:rPr>
                        </m:ctrlPr>
                      </m:fPr>
                      <m:num>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a:rPr lang="en-US" sz="1000">
                                <a:effectLst/>
                                <a:latin typeface="Cambria Math"/>
                                <a:ea typeface="Calibri"/>
                                <a:cs typeface="Times New Roman"/>
                              </a:rPr>
                              <m:t>(</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r>
                              <a:rPr lang="en-US" sz="1000" i="1">
                                <a:effectLst/>
                                <a:latin typeface="Cambria Math"/>
                                <a:ea typeface="Calibri"/>
                                <a:cs typeface="Times New Roman"/>
                              </a:rPr>
                              <m:t> </m:t>
                            </m:r>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r>
                              <a:rPr lang="en-US" sz="1000">
                                <a:effectLst/>
                                <a:latin typeface="Cambria Math"/>
                                <a:ea typeface="Calibri"/>
                                <a:cs typeface="Times New Roman"/>
                              </a:rPr>
                              <m:t>)</m:t>
                            </m:r>
                          </m:e>
                        </m:nary>
                      </m:num>
                      <m:den>
                        <m:nary>
                          <m:naryPr>
                            <m:chr m:val="∑"/>
                            <m:ctrlPr>
                              <a:rPr lang="en-US" sz="1000" i="1">
                                <a:effectLst/>
                                <a:latin typeface="Cambria Math" panose="02040503050406030204" pitchFamily="18" charset="0"/>
                                <a:ea typeface="Calibri"/>
                                <a:cs typeface="Times New Roman"/>
                              </a:rPr>
                            </m:ctrlPr>
                          </m:naryPr>
                          <m:sub>
                            <m:r>
                              <a:rPr lang="en-US" sz="1000" i="1">
                                <a:effectLst/>
                                <a:latin typeface="Cambria Math"/>
                                <a:ea typeface="Calibri"/>
                                <a:cs typeface="Times New Roman"/>
                              </a:rPr>
                              <m:t>𝑛</m:t>
                            </m:r>
                            <m:r>
                              <a:rPr lang="en-US" sz="1000">
                                <a:effectLst/>
                                <a:latin typeface="Cambria Math"/>
                                <a:ea typeface="Calibri"/>
                                <a:cs typeface="Times New Roman"/>
                              </a:rPr>
                              <m:t>=1</m:t>
                            </m:r>
                          </m:sub>
                          <m:sup>
                            <m:r>
                              <a:rPr lang="en-US" sz="1000">
                                <a:effectLst/>
                                <a:latin typeface="Cambria Math"/>
                                <a:ea typeface="Calibri"/>
                                <a:cs typeface="Times New Roman"/>
                              </a:rPr>
                              <m:t>15</m:t>
                            </m:r>
                          </m:sup>
                          <m:e>
                            <m:r>
                              <m:rPr>
                                <m:sty m:val="p"/>
                              </m:rPr>
                              <a:rPr lang="en-US" sz="1000">
                                <a:effectLst/>
                                <a:latin typeface="Cambria Math"/>
                                <a:ea typeface="Calibri"/>
                                <a:cs typeface="Times New Roman"/>
                              </a:rPr>
                              <m:t>Capability</m:t>
                            </m:r>
                            <m:r>
                              <a:rPr lang="en-US" sz="1000" i="1">
                                <a:effectLst/>
                                <a:latin typeface="Cambria Math"/>
                                <a:ea typeface="Calibri"/>
                                <a:cs typeface="Times New Roman"/>
                              </a:rPr>
                              <m:t> </m:t>
                            </m:r>
                            <m:r>
                              <a:rPr lang="en-US" sz="1000" i="1">
                                <a:effectLst/>
                                <a:latin typeface="Cambria Math"/>
                                <a:ea typeface="Calibri"/>
                                <a:cs typeface="Times New Roman"/>
                              </a:rPr>
                              <m:t>𝑛</m:t>
                            </m:r>
                            <m:r>
                              <a:rPr lang="en-US" sz="1000" i="1">
                                <a:effectLst/>
                                <a:latin typeface="Cambria Math"/>
                                <a:ea typeface="Calibri"/>
                                <a:cs typeface="Times New Roman"/>
                              </a:rPr>
                              <m:t> </m:t>
                            </m:r>
                            <m:r>
                              <m:rPr>
                                <m:sty m:val="p"/>
                              </m:rPr>
                              <a:rPr lang="en-US" sz="1000">
                                <a:effectLst/>
                                <a:latin typeface="Cambria Math"/>
                                <a:ea typeface="Calibri"/>
                                <a:cs typeface="Times New Roman"/>
                              </a:rPr>
                              <m:t>Relevance</m:t>
                            </m:r>
                            <m:r>
                              <a:rPr lang="en-US" sz="1000" i="1">
                                <a:effectLst/>
                                <a:latin typeface="Cambria Math"/>
                                <a:ea typeface="Calibri"/>
                                <a:cs typeface="Times New Roman"/>
                              </a:rPr>
                              <m:t> </m:t>
                            </m:r>
                            <m:r>
                              <m:rPr>
                                <m:sty m:val="p"/>
                              </m:rPr>
                              <a:rPr lang="en-US" sz="1000">
                                <a:effectLst/>
                                <a:latin typeface="Cambria Math"/>
                                <a:ea typeface="Calibri"/>
                                <a:cs typeface="Times New Roman"/>
                              </a:rPr>
                              <m:t>Score</m:t>
                            </m:r>
                          </m:e>
                        </m:nary>
                      </m:den>
                    </m:f>
                  </m:oMath>
                </m:oMathPara>
              </a14:m>
              <a:endParaRPr lang="en-US" sz="1000">
                <a:effectLst/>
                <a:latin typeface="Calibri"/>
                <a:ea typeface="Calibri"/>
                <a:cs typeface="Times New Roman"/>
              </a:endParaRPr>
            </a:p>
          </xdr:txBody>
        </xdr:sp>
      </mc:Choice>
      <mc:Fallback xmlns="">
        <xdr:sp macro="" textlink="">
          <xdr:nvSpPr>
            <xdr:cNvPr id="74" name="Text Box 2"/>
            <xdr:cNvSpPr txBox="1">
              <a:spLocks noChangeArrowheads="1"/>
            </xdr:cNvSpPr>
          </xdr:nvSpPr>
          <xdr:spPr bwMode="auto">
            <a:xfrm>
              <a:off x="3185172" y="9943180"/>
              <a:ext cx="4765227" cy="1312210"/>
            </a:xfrm>
            <a:prstGeom prst="rect">
              <a:avLst/>
            </a:prstGeom>
            <a:solidFill>
              <a:srgbClr val="FFFFFF">
                <a:alpha val="70000"/>
              </a:srgbClr>
            </a:solidFill>
            <a:ln w="9525">
              <a:solidFill>
                <a:srgbClr val="000000"/>
              </a:solidFill>
              <a:miter lim="800000"/>
              <a:headEnd/>
              <a:tailEnd/>
            </a:ln>
          </xdr:spPr>
          <xdr:txBody>
            <a:bodyPr rot="0" vert="horz" wrap="square" lIns="91440" tIns="45720" rIns="91440" bIns="45720" anchor="t" anchorCtr="0">
              <a:noAutofit/>
            </a:bodyPr>
            <a:lstStyle/>
            <a:p>
              <a:pPr marL="0" marR="0">
                <a:lnSpc>
                  <a:spcPct val="115000"/>
                </a:lnSpc>
                <a:spcBef>
                  <a:spcPts val="300"/>
                </a:spcBef>
                <a:spcAft>
                  <a:spcPts val="1000"/>
                </a:spcAft>
              </a:pPr>
              <a:r>
                <a:rPr lang="en-US" sz="1000">
                  <a:effectLst/>
                  <a:latin typeface="Cambria Math"/>
                  <a:ea typeface="Calibri"/>
                  <a:cs typeface="Times New Roman"/>
                </a:rPr>
                <a:t>Capability </a:t>
              </a:r>
              <a:r>
                <a:rPr lang="en-US" sz="1000" i="1">
                  <a:effectLst/>
                  <a:latin typeface="Cambria Math"/>
                  <a:ea typeface="Calibri"/>
                  <a:cs typeface="Times New Roman"/>
                </a:rPr>
                <a:t>n</a:t>
              </a:r>
              <a:r>
                <a:rPr lang="en-US" sz="1000">
                  <a:effectLst/>
                  <a:latin typeface="Cambria Math"/>
                  <a:ea typeface="Calibri"/>
                  <a:cs typeface="Times New Roman"/>
                </a:rPr>
                <a:t> Score (all hazards) = Average of Current Status Scores for all Capability </a:t>
              </a:r>
              <a:r>
                <a:rPr lang="en-US" sz="1000" i="1">
                  <a:effectLst/>
                  <a:latin typeface="Cambria Math"/>
                  <a:ea typeface="Calibri"/>
                  <a:cs typeface="Times New Roman"/>
                </a:rPr>
                <a:t>n</a:t>
              </a:r>
              <a:r>
                <a:rPr lang="en-US" sz="1000">
                  <a:effectLst/>
                  <a:latin typeface="Cambria Math"/>
                  <a:ea typeface="Calibri"/>
                  <a:cs typeface="Times New Roman"/>
                </a:rPr>
                <a:t> Functions (from Capability Planning Guide).</a:t>
              </a:r>
              <a:endParaRPr lang="en-US" sz="1000">
                <a:effectLst/>
                <a:latin typeface="Calibri"/>
                <a:ea typeface="Calibri"/>
                <a:cs typeface="Times New Roman"/>
              </a:endParaRPr>
            </a:p>
            <a:p>
              <a:pPr marL="0" marR="0">
                <a:lnSpc>
                  <a:spcPct val="115000"/>
                </a:lnSpc>
                <a:spcBef>
                  <a:spcPts val="0"/>
                </a:spcBef>
                <a:spcAft>
                  <a:spcPts val="600"/>
                </a:spcAft>
              </a:pPr>
              <a:r>
                <a:rPr lang="en-US" sz="1000">
                  <a:effectLst/>
                  <a:latin typeface="Cambria Math"/>
                  <a:ea typeface="Calibri"/>
                  <a:cs typeface="Times New Roman"/>
                </a:rPr>
                <a:t>Capability</a:t>
              </a:r>
              <a:r>
                <a:rPr lang="en-US" sz="1000" i="0">
                  <a:effectLst/>
                  <a:latin typeface="Cambria Math"/>
                  <a:ea typeface="Calibri"/>
                  <a:cs typeface="Times New Roman"/>
                </a:rPr>
                <a:t> 𝑛</a:t>
              </a:r>
              <a:r>
                <a:rPr lang="en-US" sz="1000">
                  <a:effectLst/>
                  <a:latin typeface="Cambria Math"/>
                  <a:ea typeface="Calibri"/>
                  <a:cs typeface="Times New Roman"/>
                </a:rPr>
                <a:t> Relevance Score = hazard-specific</a:t>
              </a:r>
              <a:endParaRPr lang="en-US" sz="1000">
                <a:effectLst/>
                <a:latin typeface="Calibri"/>
                <a:ea typeface="Calibri"/>
                <a:cs typeface="Times New Roman"/>
              </a:endParaRPr>
            </a:p>
            <a:p>
              <a:pPr marL="0" marR="0">
                <a:lnSpc>
                  <a:spcPct val="115000"/>
                </a:lnSpc>
                <a:spcBef>
                  <a:spcPts val="300"/>
                </a:spcBef>
                <a:spcAft>
                  <a:spcPts val="0"/>
                </a:spcAft>
              </a:pPr>
              <a:r>
                <a:rPr lang="en-US" sz="1000" i="0">
                  <a:effectLst/>
                  <a:latin typeface="Cambria Math"/>
                  <a:ea typeface="Calibri"/>
                  <a:cs typeface="Times New Roman"/>
                </a:rPr>
                <a:t>Preparedness Score= </a:t>
              </a:r>
              <a:r>
                <a:rPr lang="en-US" sz="1000" i="0">
                  <a:effectLst/>
                  <a:latin typeface="Cambria Math"/>
                  <a:cs typeface="Times New Roman"/>
                </a:rPr>
                <a:t> (∑_(</a:t>
              </a:r>
              <a:r>
                <a:rPr lang="en-US" sz="1000" i="0">
                  <a:effectLst/>
                  <a:latin typeface="Cambria Math"/>
                  <a:ea typeface="Calibri"/>
                  <a:cs typeface="Times New Roman"/>
                </a:rPr>
                <a:t>𝑛=1)^15▒〖(Capability 𝑛 Score× Capability 𝑛 Relevance Score)〗)/(∑_(𝑛=1)^15▒〖Capability 𝑛 Relevance Score〗)</a:t>
              </a:r>
              <a:endParaRPr lang="en-US" sz="1000">
                <a:effectLst/>
                <a:latin typeface="Calibri"/>
                <a:ea typeface="Calibri"/>
                <a:cs typeface="Times New Roman"/>
              </a:endParaRPr>
            </a:p>
          </xdr:txBody>
        </xdr:sp>
      </mc:Fallback>
    </mc:AlternateContent>
    <xdr:clientData/>
  </xdr:twoCellAnchor>
  <xdr:twoCellAnchor>
    <xdr:from>
      <xdr:col>6</xdr:col>
      <xdr:colOff>18361</xdr:colOff>
      <xdr:row>25</xdr:row>
      <xdr:rowOff>36463</xdr:rowOff>
    </xdr:from>
    <xdr:to>
      <xdr:col>7</xdr:col>
      <xdr:colOff>462891</xdr:colOff>
      <xdr:row>33</xdr:row>
      <xdr:rowOff>44823</xdr:rowOff>
    </xdr:to>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5385979" y="3543904"/>
          <a:ext cx="1049647" cy="591066"/>
        </a:xfrm>
        <a:prstGeom prst="rect">
          <a:avLst/>
        </a:prstGeom>
        <a:solidFill>
          <a:schemeClr val="accent4">
            <a:lumMod val="40000"/>
            <a:lumOff val="60000"/>
          </a:schemeClr>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 System Severity </a:t>
          </a:r>
          <a:r>
            <a:rPr lang="en-US" sz="1100" baseline="0"/>
            <a:t>Score</a:t>
          </a:r>
        </a:p>
      </xdr:txBody>
    </xdr:sp>
    <xdr:clientData/>
  </xdr:twoCellAnchor>
  <xdr:twoCellAnchor>
    <xdr:from>
      <xdr:col>9</xdr:col>
      <xdr:colOff>17229</xdr:colOff>
      <xdr:row>22</xdr:row>
      <xdr:rowOff>45594</xdr:rowOff>
    </xdr:from>
    <xdr:to>
      <xdr:col>10</xdr:col>
      <xdr:colOff>190499</xdr:colOff>
      <xdr:row>29</xdr:row>
      <xdr:rowOff>11206</xdr:rowOff>
    </xdr:to>
    <xdr:sp macro="" textlink="">
      <xdr:nvSpPr>
        <xdr:cNvPr id="76" name="TextBox 75">
          <a:extLst>
            <a:ext uri="{FF2B5EF4-FFF2-40B4-BE49-F238E27FC236}">
              <a16:creationId xmlns:a16="http://schemas.microsoft.com/office/drawing/2014/main" id="{00000000-0008-0000-0400-00004C000000}"/>
            </a:ext>
          </a:extLst>
        </xdr:cNvPr>
        <xdr:cNvSpPr txBox="1"/>
      </xdr:nvSpPr>
      <xdr:spPr>
        <a:xfrm>
          <a:off x="7200200" y="3284094"/>
          <a:ext cx="778387" cy="525906"/>
        </a:xfrm>
        <a:prstGeom prst="rect">
          <a:avLst/>
        </a:prstGeom>
        <a:solidFill>
          <a:schemeClr val="accent2">
            <a:lumMod val="40000"/>
            <a:lumOff val="60000"/>
          </a:schemeClr>
        </a:solidFill>
        <a:ln w="9525"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en-US" sz="1100"/>
            <a:t>Healthcare System Risk </a:t>
          </a:r>
          <a:r>
            <a:rPr lang="en-US" sz="1100" baseline="0"/>
            <a:t>Score</a:t>
          </a:r>
        </a:p>
      </xdr:txBody>
    </xdr:sp>
    <xdr:clientData/>
  </xdr:twoCellAnchor>
  <xdr:twoCellAnchor>
    <xdr:from>
      <xdr:col>5</xdr:col>
      <xdr:colOff>219808</xdr:colOff>
      <xdr:row>31</xdr:row>
      <xdr:rowOff>21159</xdr:rowOff>
    </xdr:from>
    <xdr:to>
      <xdr:col>6</xdr:col>
      <xdr:colOff>501</xdr:colOff>
      <xdr:row>31</xdr:row>
      <xdr:rowOff>21624</xdr:rowOff>
    </xdr:to>
    <xdr:cxnSp macro="">
      <xdr:nvCxnSpPr>
        <xdr:cNvPr id="82" name="Straight Arrow Connector 81">
          <a:extLst>
            <a:ext uri="{FF2B5EF4-FFF2-40B4-BE49-F238E27FC236}">
              <a16:creationId xmlns:a16="http://schemas.microsoft.com/office/drawing/2014/main" id="{00000000-0008-0000-0400-000052000000}"/>
            </a:ext>
          </a:extLst>
        </xdr:cNvPr>
        <xdr:cNvCxnSpPr/>
      </xdr:nvCxnSpPr>
      <xdr:spPr>
        <a:xfrm>
          <a:off x="4982308" y="3977697"/>
          <a:ext cx="388828" cy="465"/>
        </a:xfrm>
        <a:prstGeom prst="straightConnector1">
          <a:avLst/>
        </a:prstGeom>
        <a:ln w="9525">
          <a:solidFill>
            <a:schemeClr val="accent4"/>
          </a:solidFill>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1424904</xdr:colOff>
      <xdr:row>43</xdr:row>
      <xdr:rowOff>23355</xdr:rowOff>
    </xdr:from>
    <xdr:to>
      <xdr:col>5</xdr:col>
      <xdr:colOff>234279</xdr:colOff>
      <xdr:row>43</xdr:row>
      <xdr:rowOff>23355</xdr:rowOff>
    </xdr:to>
    <xdr:cxnSp macro="">
      <xdr:nvCxnSpPr>
        <xdr:cNvPr id="84" name="Straight Connector 83">
          <a:extLst>
            <a:ext uri="{FF2B5EF4-FFF2-40B4-BE49-F238E27FC236}">
              <a16:creationId xmlns:a16="http://schemas.microsoft.com/office/drawing/2014/main" id="{00000000-0008-0000-0400-000054000000}"/>
            </a:ext>
          </a:extLst>
        </xdr:cNvPr>
        <xdr:cNvCxnSpPr/>
      </xdr:nvCxnSpPr>
      <xdr:spPr>
        <a:xfrm>
          <a:off x="4150519" y="4961701"/>
          <a:ext cx="846260" cy="0"/>
        </a:xfrm>
        <a:prstGeom prst="line">
          <a:avLst/>
        </a:prstGeom>
        <a:ln w="9525"/>
      </xdr:spPr>
      <xdr:style>
        <a:lnRef idx="1">
          <a:schemeClr val="accent4"/>
        </a:lnRef>
        <a:fillRef idx="0">
          <a:schemeClr val="accent4"/>
        </a:fillRef>
        <a:effectRef idx="0">
          <a:schemeClr val="accent4"/>
        </a:effectRef>
        <a:fontRef idx="minor">
          <a:schemeClr val="tx1"/>
        </a:fontRef>
      </xdr:style>
    </xdr:cxnSp>
    <xdr:clientData/>
  </xdr:twoCellAnchor>
  <xdr:twoCellAnchor>
    <xdr:from>
      <xdr:col>13</xdr:col>
      <xdr:colOff>546550</xdr:colOff>
      <xdr:row>49</xdr:row>
      <xdr:rowOff>32624</xdr:rowOff>
    </xdr:from>
    <xdr:to>
      <xdr:col>19</xdr:col>
      <xdr:colOff>75902</xdr:colOff>
      <xdr:row>59</xdr:row>
      <xdr:rowOff>93401</xdr:rowOff>
    </xdr:to>
    <xdr:sp macro="" textlink="">
      <xdr:nvSpPr>
        <xdr:cNvPr id="68" name="Left Arrow Callout 67">
          <a:extLst>
            <a:ext uri="{FF2B5EF4-FFF2-40B4-BE49-F238E27FC236}">
              <a16:creationId xmlns:a16="http://schemas.microsoft.com/office/drawing/2014/main" id="{00000000-0008-0000-0400-000044000000}"/>
            </a:ext>
          </a:extLst>
        </xdr:cNvPr>
        <xdr:cNvSpPr/>
      </xdr:nvSpPr>
      <xdr:spPr>
        <a:xfrm>
          <a:off x="10202929" y="5366624"/>
          <a:ext cx="3194835" cy="888467"/>
        </a:xfrm>
        <a:prstGeom prst="lef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i="1"/>
            <a:t>In</a:t>
          </a:r>
          <a:r>
            <a:rPr lang="en-US" sz="1600" i="1" baseline="0"/>
            <a:t> the absense of Preparedness Scores, stop here!</a:t>
          </a:r>
          <a:endParaRPr lang="en-US" sz="1600" i="1"/>
        </a:p>
      </xdr:txBody>
    </xdr:sp>
    <xdr:clientData/>
  </xdr:twoCellAnchor>
  <xdr:twoCellAnchor>
    <xdr:from>
      <xdr:col>1</xdr:col>
      <xdr:colOff>0</xdr:colOff>
      <xdr:row>3</xdr:row>
      <xdr:rowOff>0</xdr:rowOff>
    </xdr:from>
    <xdr:to>
      <xdr:col>1</xdr:col>
      <xdr:colOff>1746755</xdr:colOff>
      <xdr:row>5</xdr:row>
      <xdr:rowOff>156883</xdr:rowOff>
    </xdr:to>
    <xdr:sp macro="" textlink="">
      <xdr:nvSpPr>
        <xdr:cNvPr id="77" name="Rounded Rectangle 76">
          <a:hlinkClick xmlns:r="http://schemas.openxmlformats.org/officeDocument/2006/relationships" r:id="rId1"/>
          <a:extLst>
            <a:ext uri="{FF2B5EF4-FFF2-40B4-BE49-F238E27FC236}">
              <a16:creationId xmlns:a16="http://schemas.microsoft.com/office/drawing/2014/main" id="{00000000-0008-0000-0400-00004D000000}"/>
            </a:ext>
          </a:extLst>
        </xdr:cNvPr>
        <xdr:cNvSpPr/>
      </xdr:nvSpPr>
      <xdr:spPr>
        <a:xfrm>
          <a:off x="609600" y="819150"/>
          <a:ext cx="1746755" cy="575983"/>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tx1"/>
              </a:solidFill>
              <a:latin typeface="+mj-lt"/>
            </a:rPr>
            <a:t>Overall Tool</a:t>
          </a:r>
        </a:p>
      </xdr:txBody>
    </xdr:sp>
    <xdr:clientData/>
  </xdr:twoCellAnchor>
  <xdr:twoCellAnchor>
    <xdr:from>
      <xdr:col>4</xdr:col>
      <xdr:colOff>163290</xdr:colOff>
      <xdr:row>3</xdr:row>
      <xdr:rowOff>0</xdr:rowOff>
    </xdr:from>
    <xdr:to>
      <xdr:col>7</xdr:col>
      <xdr:colOff>56274</xdr:colOff>
      <xdr:row>5</xdr:row>
      <xdr:rowOff>156883</xdr:rowOff>
    </xdr:to>
    <xdr:sp macro="" textlink="">
      <xdr:nvSpPr>
        <xdr:cNvPr id="78" name="Rounded Rectangle 77">
          <a:hlinkClick xmlns:r="http://schemas.openxmlformats.org/officeDocument/2006/relationships" r:id="rId2"/>
          <a:extLst>
            <a:ext uri="{FF2B5EF4-FFF2-40B4-BE49-F238E27FC236}">
              <a16:creationId xmlns:a16="http://schemas.microsoft.com/office/drawing/2014/main" id="{00000000-0008-0000-0400-00004E000000}"/>
            </a:ext>
          </a:extLst>
        </xdr:cNvPr>
        <xdr:cNvSpPr/>
      </xdr:nvSpPr>
      <xdr:spPr>
        <a:xfrm>
          <a:off x="4316190" y="819150"/>
          <a:ext cx="1721784" cy="575983"/>
        </a:xfrm>
        <a:prstGeom prst="roundRect">
          <a:avLst/>
        </a:prstGeom>
        <a:solidFill>
          <a:schemeClr val="bg2">
            <a:lumMod val="75000"/>
          </a:schemeClr>
        </a:soli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tx1"/>
              </a:solidFill>
              <a:latin typeface="+mj-lt"/>
            </a:rPr>
            <a:t>Public Health System Assessment</a:t>
          </a:r>
        </a:p>
      </xdr:txBody>
    </xdr:sp>
    <xdr:clientData/>
  </xdr:twoCellAnchor>
  <xdr:twoCellAnchor>
    <xdr:from>
      <xdr:col>7</xdr:col>
      <xdr:colOff>381009</xdr:colOff>
      <xdr:row>3</xdr:row>
      <xdr:rowOff>0</xdr:rowOff>
    </xdr:from>
    <xdr:to>
      <xdr:col>10</xdr:col>
      <xdr:colOff>270789</xdr:colOff>
      <xdr:row>5</xdr:row>
      <xdr:rowOff>156883</xdr:rowOff>
    </xdr:to>
    <xdr:sp macro="" textlink="">
      <xdr:nvSpPr>
        <xdr:cNvPr id="79" name="Rounded Rectangle 78">
          <a:hlinkClick xmlns:r="http://schemas.openxmlformats.org/officeDocument/2006/relationships" r:id="rId3"/>
          <a:extLst>
            <a:ext uri="{FF2B5EF4-FFF2-40B4-BE49-F238E27FC236}">
              <a16:creationId xmlns:a16="http://schemas.microsoft.com/office/drawing/2014/main" id="{00000000-0008-0000-0400-00004F000000}"/>
            </a:ext>
          </a:extLst>
        </xdr:cNvPr>
        <xdr:cNvSpPr/>
      </xdr:nvSpPr>
      <xdr:spPr>
        <a:xfrm>
          <a:off x="6362709" y="819150"/>
          <a:ext cx="1718580" cy="575983"/>
        </a:xfrm>
        <a:prstGeom prst="roundRect">
          <a:avLst/>
        </a:prstGeom>
        <a:solidFill>
          <a:schemeClr val="bg2">
            <a:lumMod val="90000"/>
          </a:schemeClr>
        </a:solidFill>
        <a:ln w="19050">
          <a:solidFill>
            <a:schemeClr val="bg1">
              <a:lumMod val="7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lumMod val="75000"/>
                </a:schemeClr>
              </a:solidFill>
              <a:latin typeface="+mj-lt"/>
            </a:rPr>
            <a:t>Healthcare System Assessment</a:t>
          </a:r>
        </a:p>
      </xdr:txBody>
    </xdr:sp>
    <xdr:clientData/>
  </xdr:twoCellAnchor>
  <xdr:twoCellAnchor>
    <xdr:from>
      <xdr:col>11</xdr:col>
      <xdr:colOff>0</xdr:colOff>
      <xdr:row>1</xdr:row>
      <xdr:rowOff>0</xdr:rowOff>
    </xdr:from>
    <xdr:to>
      <xdr:col>12</xdr:col>
      <xdr:colOff>604558</xdr:colOff>
      <xdr:row>2</xdr:row>
      <xdr:rowOff>4482</xdr:rowOff>
    </xdr:to>
    <xdr:sp macro="" textlink="">
      <xdr:nvSpPr>
        <xdr:cNvPr id="70" name="Rounded Rectangle 69">
          <a:hlinkClick xmlns:r="http://schemas.openxmlformats.org/officeDocument/2006/relationships" r:id="rId4"/>
          <a:extLst>
            <a:ext uri="{FF2B5EF4-FFF2-40B4-BE49-F238E27FC236}">
              <a16:creationId xmlns:a16="http://schemas.microsoft.com/office/drawing/2014/main" id="{00000000-0008-0000-0400-000046000000}"/>
            </a:ext>
          </a:extLst>
        </xdr:cNvPr>
        <xdr:cNvSpPr/>
      </xdr:nvSpPr>
      <xdr:spPr>
        <a:xfrm>
          <a:off x="8450036" y="190500"/>
          <a:ext cx="1216879" cy="426303"/>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600075</xdr:colOff>
      <xdr:row>2</xdr:row>
      <xdr:rowOff>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7477125" y="190500"/>
          <a:ext cx="1209675" cy="419100"/>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595593</xdr:colOff>
      <xdr:row>1</xdr:row>
      <xdr:rowOff>376518</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600-000005000000}"/>
            </a:ext>
          </a:extLst>
        </xdr:cNvPr>
        <xdr:cNvSpPr/>
      </xdr:nvSpPr>
      <xdr:spPr>
        <a:xfrm>
          <a:off x="7315200" y="190500"/>
          <a:ext cx="1205193" cy="3765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595593</xdr:colOff>
      <xdr:row>1</xdr:row>
      <xdr:rowOff>414618</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822007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595593</xdr:colOff>
      <xdr:row>1</xdr:row>
      <xdr:rowOff>414618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822007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0</xdr:colOff>
      <xdr:row>1</xdr:row>
      <xdr:rowOff>0</xdr:rowOff>
    </xdr:from>
    <xdr:to>
      <xdr:col>11</xdr:col>
      <xdr:colOff>595593</xdr:colOff>
      <xdr:row>1</xdr:row>
      <xdr:rowOff>414618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6705600"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3025588" y="136028206"/>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Active Shooter Analysis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3025588" y="147637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Bio Terrorism Analysis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7315200" y="190500"/>
          <a:ext cx="1209676" cy="419100"/>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3048000" y="162096450"/>
          <a:ext cx="1840006"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Chem Terrorism Analysis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3025588" y="140779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Civil Disturbance Analysis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3025588" y="138684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Coastal Storm Analysis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3025588" y="136588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Conv Explosive Analysis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3025588" y="136398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Cyber Terrorism</a:t>
          </a:r>
          <a:r>
            <a:rPr lang="en-US" sz="1100" baseline="0">
              <a:solidFill>
                <a:schemeClr val="tx1"/>
              </a:solidFill>
              <a:latin typeface="+mj-lt"/>
            </a:rPr>
            <a:t> </a:t>
          </a:r>
          <a:r>
            <a:rPr lang="en-US" sz="1100">
              <a:solidFill>
                <a:schemeClr val="tx1"/>
              </a:solidFill>
              <a:latin typeface="+mj-lt"/>
            </a:rPr>
            <a:t>Analysis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3025588" y="142684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Drought Analysis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3025588" y="134874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Earthquake Analysis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3025588" y="134493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Fire Analysis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3025588" y="136779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Flood Analysis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3025588" y="137922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HazMat Release Analysis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3025588" y="137731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Localized ID Analysis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3025588" y="139446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Nuclear</a:t>
          </a:r>
          <a:r>
            <a:rPr lang="en-US" sz="1100" baseline="0">
              <a:solidFill>
                <a:schemeClr val="tx1"/>
              </a:solidFill>
              <a:latin typeface="+mj-lt"/>
            </a:rPr>
            <a:t> Accident </a:t>
          </a:r>
          <a:r>
            <a:rPr lang="en-US" sz="1100">
              <a:solidFill>
                <a:schemeClr val="tx1"/>
              </a:solidFill>
              <a:latin typeface="+mj-lt"/>
            </a:rPr>
            <a:t>Analysis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3025588" y="1457325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Pandemic Analysis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3025588" y="138684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RDD Analysis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3025588" y="136017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Temp Extremes Analysis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3025588" y="139827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Tornado Analysis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3025588" y="140589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Utility</a:t>
          </a:r>
          <a:r>
            <a:rPr lang="en-US" sz="1100" baseline="0">
              <a:solidFill>
                <a:schemeClr val="tx1"/>
              </a:solidFill>
              <a:latin typeface="+mj-lt"/>
            </a:rPr>
            <a:t> Interr </a:t>
          </a:r>
          <a:r>
            <a:rPr lang="en-US" sz="1100">
              <a:solidFill>
                <a:schemeClr val="tx1"/>
              </a:solidFill>
              <a:latin typeface="+mj-lt"/>
            </a:rPr>
            <a:t>Analysis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600076</xdr:colOff>
      <xdr:row>2</xdr:row>
      <xdr:rowOff>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7261412"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5</xdr:col>
      <xdr:colOff>0</xdr:colOff>
      <xdr:row>958</xdr:row>
      <xdr:rowOff>0</xdr:rowOff>
    </xdr:from>
    <xdr:to>
      <xdr:col>8</xdr:col>
      <xdr:colOff>11206</xdr:colOff>
      <xdr:row>960</xdr:row>
      <xdr:rowOff>11206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3025588" y="136017000"/>
          <a:ext cx="1826559" cy="392206"/>
        </a:xfrm>
        <a:prstGeom prst="roundRect">
          <a:avLst/>
        </a:prstGeom>
        <a:gradFill>
          <a:gsLst>
            <a:gs pos="0">
              <a:srgbClr val="DCCD72"/>
            </a:gs>
            <a:gs pos="50000">
              <a:srgbClr val="FFFF66"/>
            </a:gs>
            <a:gs pos="70000">
              <a:srgbClr val="FFFF99"/>
            </a:gs>
            <a:gs pos="100000">
              <a:srgbClr val="FFFFCC"/>
            </a:gs>
          </a:gsLst>
        </a:gradFill>
        <a:ln w="19050">
          <a:solidFill>
            <a:schemeClr val="tx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100">
              <a:solidFill>
                <a:schemeClr val="tx1"/>
              </a:solidFill>
              <a:latin typeface="+mj-lt"/>
            </a:rPr>
            <a:t>Winter Storm Analysis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8</xdr:col>
      <xdr:colOff>0</xdr:colOff>
      <xdr:row>1</xdr:row>
      <xdr:rowOff>0</xdr:rowOff>
    </xdr:from>
    <xdr:to>
      <xdr:col>9</xdr:col>
      <xdr:colOff>24093</xdr:colOff>
      <xdr:row>1</xdr:row>
      <xdr:rowOff>414618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10572750"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xdr:col>
      <xdr:colOff>0</xdr:colOff>
      <xdr:row>92</xdr:row>
      <xdr:rowOff>0</xdr:rowOff>
    </xdr:from>
    <xdr:to>
      <xdr:col>13</xdr:col>
      <xdr:colOff>371475</xdr:colOff>
      <xdr:row>119</xdr:row>
      <xdr:rowOff>85725</xdr:rowOff>
    </xdr:to>
    <xdr:graphicFrame macro="">
      <xdr:nvGraphicFramePr>
        <xdr:cNvPr id="5" name="Chart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xdr:col>
      <xdr:colOff>0</xdr:colOff>
      <xdr:row>121</xdr:row>
      <xdr:rowOff>0</xdr:rowOff>
    </xdr:from>
    <xdr:to>
      <xdr:col>13</xdr:col>
      <xdr:colOff>371475</xdr:colOff>
      <xdr:row>148</xdr:row>
      <xdr:rowOff>85725</xdr:rowOff>
    </xdr:to>
    <xdr:graphicFrame macro="">
      <xdr:nvGraphicFramePr>
        <xdr:cNvPr id="6" name="Chart 5">
          <a:extLst>
            <a:ext uri="{FF2B5EF4-FFF2-40B4-BE49-F238E27FC236}">
              <a16:creationId xmlns:a16="http://schemas.microsoft.com/office/drawing/2014/main" id="{00000000-0008-0000-1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id="{00000000-0008-0000-1F00-000007000000}"/>
            </a:ext>
          </a:extLst>
        </xdr:cNvPr>
        <xdr:cNvSpPr/>
      </xdr:nvSpPr>
      <xdr:spPr>
        <a:xfrm>
          <a:off x="7315200"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0</xdr:colOff>
      <xdr:row>1</xdr:row>
      <xdr:rowOff>0</xdr:rowOff>
    </xdr:from>
    <xdr:to>
      <xdr:col>12</xdr:col>
      <xdr:colOff>595593</xdr:colOff>
      <xdr:row>1</xdr:row>
      <xdr:rowOff>414618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6705600"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595593</xdr:colOff>
      <xdr:row>1</xdr:row>
      <xdr:rowOff>414618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8124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371475</xdr:colOff>
      <xdr:row>33</xdr:row>
      <xdr:rowOff>85725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200-000003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1</xdr:col>
      <xdr:colOff>0</xdr:colOff>
      <xdr:row>35</xdr:row>
      <xdr:rowOff>0</xdr:rowOff>
    </xdr:from>
    <xdr:to>
      <xdr:col>13</xdr:col>
      <xdr:colOff>371475</xdr:colOff>
      <xdr:row>62</xdr:row>
      <xdr:rowOff>85725</xdr:rowOff>
    </xdr:to>
    <xdr:graphicFrame macro="">
      <xdr:nvGraphicFramePr>
        <xdr:cNvPr id="4" name="Chart 3">
          <a:extLst>
            <a:ext uri="{FF2B5EF4-FFF2-40B4-BE49-F238E27FC236}">
              <a16:creationId xmlns:a16="http://schemas.microsoft.com/office/drawing/2014/main" id="{00000000-0008-0000-2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xdr:col>
      <xdr:colOff>0</xdr:colOff>
      <xdr:row>64</xdr:row>
      <xdr:rowOff>0</xdr:rowOff>
    </xdr:from>
    <xdr:to>
      <xdr:col>13</xdr:col>
      <xdr:colOff>371475</xdr:colOff>
      <xdr:row>91</xdr:row>
      <xdr:rowOff>85725</xdr:rowOff>
    </xdr:to>
    <xdr:graphicFrame macro="">
      <xdr:nvGraphicFramePr>
        <xdr:cNvPr id="5" name="Chart 4">
          <a:extLst>
            <a:ext uri="{FF2B5EF4-FFF2-40B4-BE49-F238E27FC236}">
              <a16:creationId xmlns:a16="http://schemas.microsoft.com/office/drawing/2014/main" id="{00000000-0008-0000-2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xdr:col>
      <xdr:colOff>0</xdr:colOff>
      <xdr:row>93</xdr:row>
      <xdr:rowOff>0</xdr:rowOff>
    </xdr:from>
    <xdr:to>
      <xdr:col>13</xdr:col>
      <xdr:colOff>371475</xdr:colOff>
      <xdr:row>120</xdr:row>
      <xdr:rowOff>85725</xdr:rowOff>
    </xdr:to>
    <xdr:graphicFrame macro="">
      <xdr:nvGraphicFramePr>
        <xdr:cNvPr id="6" name="Chart 5">
          <a:extLst>
            <a:ext uri="{FF2B5EF4-FFF2-40B4-BE49-F238E27FC236}">
              <a16:creationId xmlns:a16="http://schemas.microsoft.com/office/drawing/2014/main" id="{00000000-0008-0000-2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xdr:col>
      <xdr:colOff>0</xdr:colOff>
      <xdr:row>122</xdr:row>
      <xdr:rowOff>0</xdr:rowOff>
    </xdr:from>
    <xdr:to>
      <xdr:col>13</xdr:col>
      <xdr:colOff>371475</xdr:colOff>
      <xdr:row>149</xdr:row>
      <xdr:rowOff>85725</xdr:rowOff>
    </xdr:to>
    <xdr:graphicFrame macro="">
      <xdr:nvGraphicFramePr>
        <xdr:cNvPr id="7" name="Chart 6">
          <a:extLst>
            <a:ext uri="{FF2B5EF4-FFF2-40B4-BE49-F238E27FC236}">
              <a16:creationId xmlns:a16="http://schemas.microsoft.com/office/drawing/2014/main" id="{00000000-0008-0000-2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36.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23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1</xdr:col>
      <xdr:colOff>0</xdr:colOff>
      <xdr:row>5</xdr:row>
      <xdr:rowOff>0</xdr:rowOff>
    </xdr:from>
    <xdr:to>
      <xdr:col>13</xdr:col>
      <xdr:colOff>371475</xdr:colOff>
      <xdr:row>32</xdr:row>
      <xdr:rowOff>85725</xdr:rowOff>
    </xdr:to>
    <xdr:graphicFrame macro="">
      <xdr:nvGraphicFramePr>
        <xdr:cNvPr id="15" name="Chart 14">
          <a:extLst>
            <a:ext uri="{FF2B5EF4-FFF2-40B4-BE49-F238E27FC236}">
              <a16:creationId xmlns:a16="http://schemas.microsoft.com/office/drawing/2014/main" id="{00000000-0008-0000-2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16" name="Chart 15">
          <a:extLst>
            <a:ext uri="{FF2B5EF4-FFF2-40B4-BE49-F238E27FC236}">
              <a16:creationId xmlns:a16="http://schemas.microsoft.com/office/drawing/2014/main" id="{00000000-0008-0000-2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17" name="Chart 16">
          <a:extLst>
            <a:ext uri="{FF2B5EF4-FFF2-40B4-BE49-F238E27FC236}">
              <a16:creationId xmlns:a16="http://schemas.microsoft.com/office/drawing/2014/main" id="{00000000-0008-0000-2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wsDr>
</file>

<file path=xl/drawings/drawing37.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595593</xdr:colOff>
      <xdr:row>1</xdr:row>
      <xdr:rowOff>414618</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2400-000003000000}"/>
            </a:ext>
          </a:extLst>
        </xdr:cNvPr>
        <xdr:cNvSpPr/>
      </xdr:nvSpPr>
      <xdr:spPr>
        <a:xfrm>
          <a:off x="696277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1</xdr:col>
      <xdr:colOff>0</xdr:colOff>
      <xdr:row>63</xdr:row>
      <xdr:rowOff>0</xdr:rowOff>
    </xdr:from>
    <xdr:to>
      <xdr:col>13</xdr:col>
      <xdr:colOff>371475</xdr:colOff>
      <xdr:row>90</xdr:row>
      <xdr:rowOff>85725</xdr:rowOff>
    </xdr:to>
    <xdr:graphicFrame macro="">
      <xdr:nvGraphicFramePr>
        <xdr:cNvPr id="7" name="Chart 6">
          <a:extLst>
            <a:ext uri="{FF2B5EF4-FFF2-40B4-BE49-F238E27FC236}">
              <a16:creationId xmlns:a16="http://schemas.microsoft.com/office/drawing/2014/main" id="{00000000-0008-0000-2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5</xdr:row>
      <xdr:rowOff>0</xdr:rowOff>
    </xdr:from>
    <xdr:to>
      <xdr:col>13</xdr:col>
      <xdr:colOff>371475</xdr:colOff>
      <xdr:row>32</xdr:row>
      <xdr:rowOff>85725</xdr:rowOff>
    </xdr:to>
    <xdr:graphicFrame macro="">
      <xdr:nvGraphicFramePr>
        <xdr:cNvPr id="9" name="Chart 8">
          <a:extLst>
            <a:ext uri="{FF2B5EF4-FFF2-40B4-BE49-F238E27FC236}">
              <a16:creationId xmlns:a16="http://schemas.microsoft.com/office/drawing/2014/main" id="{00000000-0008-0000-2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10" name="Chart 9">
          <a:extLst>
            <a:ext uri="{FF2B5EF4-FFF2-40B4-BE49-F238E27FC236}">
              <a16:creationId xmlns:a16="http://schemas.microsoft.com/office/drawing/2014/main" id="{00000000-0008-0000-2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wsDr>
</file>

<file path=xl/drawings/drawing38.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2500-000003000000}"/>
            </a:ext>
          </a:extLst>
        </xdr:cNvPr>
        <xdr:cNvSpPr/>
      </xdr:nvSpPr>
      <xdr:spPr>
        <a:xfrm>
          <a:off x="696277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0</xdr:colOff>
      <xdr:row>1</xdr:row>
      <xdr:rowOff>0</xdr:rowOff>
    </xdr:from>
    <xdr:to>
      <xdr:col>14</xdr:col>
      <xdr:colOff>595593</xdr:colOff>
      <xdr:row>1</xdr:row>
      <xdr:rowOff>414618</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2600-000005000000}"/>
            </a:ext>
          </a:extLst>
        </xdr:cNvPr>
        <xdr:cNvSpPr/>
      </xdr:nvSpPr>
      <xdr:spPr>
        <a:xfrm>
          <a:off x="7924800" y="15240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latin typeface="+mj-lt"/>
            </a:rPr>
            <a:t>Main</a:t>
          </a:r>
          <a:r>
            <a:rPr lang="en-US" sz="1400" baseline="0">
              <a:latin typeface="+mj-lt"/>
            </a:rPr>
            <a:t> Menu</a:t>
          </a:r>
          <a:endParaRPr lang="en-US" sz="1400">
            <a:latin typeface="+mj-lt"/>
          </a:endParaRPr>
        </a:p>
      </xdr:txBody>
    </xdr:sp>
    <xdr:clientData/>
  </xdr:twoCellAnchor>
  <xdr:twoCellAnchor>
    <xdr:from>
      <xdr:col>6</xdr:col>
      <xdr:colOff>0</xdr:colOff>
      <xdr:row>6</xdr:row>
      <xdr:rowOff>0</xdr:rowOff>
    </xdr:from>
    <xdr:to>
      <xdr:col>9</xdr:col>
      <xdr:colOff>0</xdr:colOff>
      <xdr:row>7</xdr:row>
      <xdr:rowOff>9525</xdr:rowOff>
    </xdr:to>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2600-000006000000}"/>
            </a:ext>
          </a:extLst>
        </xdr:cNvPr>
        <xdr:cNvSpPr/>
      </xdr:nvSpPr>
      <xdr:spPr>
        <a:xfrm>
          <a:off x="3657600" y="27813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aseline="0">
              <a:solidFill>
                <a:schemeClr val="tx1"/>
              </a:solidFill>
            </a:rPr>
            <a:t>Active Shooter</a:t>
          </a:r>
          <a:endParaRPr lang="en-US" sz="1100">
            <a:solidFill>
              <a:schemeClr val="tx1"/>
            </a:solidFill>
          </a:endParaRPr>
        </a:p>
      </xdr:txBody>
    </xdr:sp>
    <xdr:clientData/>
  </xdr:twoCellAnchor>
  <xdr:twoCellAnchor>
    <xdr:from>
      <xdr:col>6</xdr:col>
      <xdr:colOff>0</xdr:colOff>
      <xdr:row>8</xdr:row>
      <xdr:rowOff>0</xdr:rowOff>
    </xdr:from>
    <xdr:to>
      <xdr:col>9</xdr:col>
      <xdr:colOff>0</xdr:colOff>
      <xdr:row>9</xdr:row>
      <xdr:rowOff>9525</xdr:rowOff>
    </xdr:to>
    <xdr:sp macro="" textlink="">
      <xdr:nvSpPr>
        <xdr:cNvPr id="7" name="Rounded Rectangle 6">
          <a:hlinkClick xmlns:r="http://schemas.openxmlformats.org/officeDocument/2006/relationships" r:id="rId3"/>
          <a:extLst>
            <a:ext uri="{FF2B5EF4-FFF2-40B4-BE49-F238E27FC236}">
              <a16:creationId xmlns:a16="http://schemas.microsoft.com/office/drawing/2014/main" id="{00000000-0008-0000-2600-000007000000}"/>
            </a:ext>
          </a:extLst>
        </xdr:cNvPr>
        <xdr:cNvSpPr/>
      </xdr:nvSpPr>
      <xdr:spPr>
        <a:xfrm>
          <a:off x="3657600" y="32004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Biological Terrorism</a:t>
          </a:r>
        </a:p>
      </xdr:txBody>
    </xdr:sp>
    <xdr:clientData/>
  </xdr:twoCellAnchor>
  <xdr:twoCellAnchor>
    <xdr:from>
      <xdr:col>6</xdr:col>
      <xdr:colOff>0</xdr:colOff>
      <xdr:row>10</xdr:row>
      <xdr:rowOff>0</xdr:rowOff>
    </xdr:from>
    <xdr:to>
      <xdr:col>9</xdr:col>
      <xdr:colOff>0</xdr:colOff>
      <xdr:row>11</xdr:row>
      <xdr:rowOff>9525</xdr:rowOff>
    </xdr:to>
    <xdr:sp macro="" textlink="">
      <xdr:nvSpPr>
        <xdr:cNvPr id="8" name="Rounded Rectangle 7">
          <a:hlinkClick xmlns:r="http://schemas.openxmlformats.org/officeDocument/2006/relationships" r:id="rId4"/>
          <a:extLst>
            <a:ext uri="{FF2B5EF4-FFF2-40B4-BE49-F238E27FC236}">
              <a16:creationId xmlns:a16="http://schemas.microsoft.com/office/drawing/2014/main" id="{00000000-0008-0000-2600-000008000000}"/>
            </a:ext>
          </a:extLst>
        </xdr:cNvPr>
        <xdr:cNvSpPr/>
      </xdr:nvSpPr>
      <xdr:spPr>
        <a:xfrm>
          <a:off x="3657600" y="36195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Chemical Terrorism</a:t>
          </a:r>
        </a:p>
      </xdr:txBody>
    </xdr:sp>
    <xdr:clientData/>
  </xdr:twoCellAnchor>
  <xdr:twoCellAnchor>
    <xdr:from>
      <xdr:col>6</xdr:col>
      <xdr:colOff>0</xdr:colOff>
      <xdr:row>12</xdr:row>
      <xdr:rowOff>0</xdr:rowOff>
    </xdr:from>
    <xdr:to>
      <xdr:col>9</xdr:col>
      <xdr:colOff>0</xdr:colOff>
      <xdr:row>13</xdr:row>
      <xdr:rowOff>9525</xdr:rowOff>
    </xdr:to>
    <xdr:sp macro="" textlink="">
      <xdr:nvSpPr>
        <xdr:cNvPr id="9" name="Rounded Rectangle 8">
          <a:hlinkClick xmlns:r="http://schemas.openxmlformats.org/officeDocument/2006/relationships" r:id="rId5"/>
          <a:extLst>
            <a:ext uri="{FF2B5EF4-FFF2-40B4-BE49-F238E27FC236}">
              <a16:creationId xmlns:a16="http://schemas.microsoft.com/office/drawing/2014/main" id="{00000000-0008-0000-2600-000009000000}"/>
            </a:ext>
          </a:extLst>
        </xdr:cNvPr>
        <xdr:cNvSpPr/>
      </xdr:nvSpPr>
      <xdr:spPr>
        <a:xfrm>
          <a:off x="3657600" y="40386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Civil Disturbance</a:t>
          </a:r>
        </a:p>
      </xdr:txBody>
    </xdr:sp>
    <xdr:clientData/>
  </xdr:twoCellAnchor>
  <xdr:twoCellAnchor>
    <xdr:from>
      <xdr:col>6</xdr:col>
      <xdr:colOff>0</xdr:colOff>
      <xdr:row>14</xdr:row>
      <xdr:rowOff>0</xdr:rowOff>
    </xdr:from>
    <xdr:to>
      <xdr:col>9</xdr:col>
      <xdr:colOff>0</xdr:colOff>
      <xdr:row>15</xdr:row>
      <xdr:rowOff>9525</xdr:rowOff>
    </xdr:to>
    <xdr:sp macro="" textlink="">
      <xdr:nvSpPr>
        <xdr:cNvPr id="10" name="Rounded Rectangle 9">
          <a:hlinkClick xmlns:r="http://schemas.openxmlformats.org/officeDocument/2006/relationships" r:id="rId6"/>
          <a:extLst>
            <a:ext uri="{FF2B5EF4-FFF2-40B4-BE49-F238E27FC236}">
              <a16:creationId xmlns:a16="http://schemas.microsoft.com/office/drawing/2014/main" id="{00000000-0008-0000-2600-00000A000000}"/>
            </a:ext>
          </a:extLst>
        </xdr:cNvPr>
        <xdr:cNvSpPr/>
      </xdr:nvSpPr>
      <xdr:spPr>
        <a:xfrm>
          <a:off x="3657600" y="44577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Coastal Storm</a:t>
          </a:r>
        </a:p>
      </xdr:txBody>
    </xdr:sp>
    <xdr:clientData/>
  </xdr:twoCellAnchor>
  <xdr:twoCellAnchor>
    <xdr:from>
      <xdr:col>6</xdr:col>
      <xdr:colOff>0</xdr:colOff>
      <xdr:row>16</xdr:row>
      <xdr:rowOff>0</xdr:rowOff>
    </xdr:from>
    <xdr:to>
      <xdr:col>9</xdr:col>
      <xdr:colOff>0</xdr:colOff>
      <xdr:row>17</xdr:row>
      <xdr:rowOff>9525</xdr:rowOff>
    </xdr:to>
    <xdr:sp macro="" textlink="">
      <xdr:nvSpPr>
        <xdr:cNvPr id="11" name="Rounded Rectangle 10">
          <a:hlinkClick xmlns:r="http://schemas.openxmlformats.org/officeDocument/2006/relationships" r:id="rId7"/>
          <a:extLst>
            <a:ext uri="{FF2B5EF4-FFF2-40B4-BE49-F238E27FC236}">
              <a16:creationId xmlns:a16="http://schemas.microsoft.com/office/drawing/2014/main" id="{00000000-0008-0000-2600-00000B000000}"/>
            </a:ext>
          </a:extLst>
        </xdr:cNvPr>
        <xdr:cNvSpPr/>
      </xdr:nvSpPr>
      <xdr:spPr>
        <a:xfrm>
          <a:off x="3657600" y="48768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Conventional Explosive</a:t>
          </a:r>
        </a:p>
      </xdr:txBody>
    </xdr:sp>
    <xdr:clientData/>
  </xdr:twoCellAnchor>
  <xdr:twoCellAnchor>
    <xdr:from>
      <xdr:col>6</xdr:col>
      <xdr:colOff>0</xdr:colOff>
      <xdr:row>18</xdr:row>
      <xdr:rowOff>0</xdr:rowOff>
    </xdr:from>
    <xdr:to>
      <xdr:col>9</xdr:col>
      <xdr:colOff>0</xdr:colOff>
      <xdr:row>19</xdr:row>
      <xdr:rowOff>9525</xdr:rowOff>
    </xdr:to>
    <xdr:sp macro="" textlink="">
      <xdr:nvSpPr>
        <xdr:cNvPr id="12" name="Rounded Rectangle 11">
          <a:hlinkClick xmlns:r="http://schemas.openxmlformats.org/officeDocument/2006/relationships" r:id="rId8"/>
          <a:extLst>
            <a:ext uri="{FF2B5EF4-FFF2-40B4-BE49-F238E27FC236}">
              <a16:creationId xmlns:a16="http://schemas.microsoft.com/office/drawing/2014/main" id="{00000000-0008-0000-2600-00000C000000}"/>
            </a:ext>
          </a:extLst>
        </xdr:cNvPr>
        <xdr:cNvSpPr/>
      </xdr:nvSpPr>
      <xdr:spPr>
        <a:xfrm>
          <a:off x="3657600" y="52959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Cyber Terrorism</a:t>
          </a:r>
        </a:p>
      </xdr:txBody>
    </xdr:sp>
    <xdr:clientData/>
  </xdr:twoCellAnchor>
  <xdr:twoCellAnchor>
    <xdr:from>
      <xdr:col>6</xdr:col>
      <xdr:colOff>0</xdr:colOff>
      <xdr:row>20</xdr:row>
      <xdr:rowOff>0</xdr:rowOff>
    </xdr:from>
    <xdr:to>
      <xdr:col>9</xdr:col>
      <xdr:colOff>0</xdr:colOff>
      <xdr:row>21</xdr:row>
      <xdr:rowOff>9525</xdr:rowOff>
    </xdr:to>
    <xdr:sp macro="" textlink="">
      <xdr:nvSpPr>
        <xdr:cNvPr id="13" name="Rounded Rectangle 12">
          <a:hlinkClick xmlns:r="http://schemas.openxmlformats.org/officeDocument/2006/relationships" r:id="rId9"/>
          <a:extLst>
            <a:ext uri="{FF2B5EF4-FFF2-40B4-BE49-F238E27FC236}">
              <a16:creationId xmlns:a16="http://schemas.microsoft.com/office/drawing/2014/main" id="{00000000-0008-0000-2600-00000D000000}"/>
            </a:ext>
          </a:extLst>
        </xdr:cNvPr>
        <xdr:cNvSpPr/>
      </xdr:nvSpPr>
      <xdr:spPr>
        <a:xfrm>
          <a:off x="3657600" y="57150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Drought</a:t>
          </a:r>
        </a:p>
      </xdr:txBody>
    </xdr:sp>
    <xdr:clientData/>
  </xdr:twoCellAnchor>
  <xdr:twoCellAnchor>
    <xdr:from>
      <xdr:col>6</xdr:col>
      <xdr:colOff>0</xdr:colOff>
      <xdr:row>22</xdr:row>
      <xdr:rowOff>0</xdr:rowOff>
    </xdr:from>
    <xdr:to>
      <xdr:col>9</xdr:col>
      <xdr:colOff>0</xdr:colOff>
      <xdr:row>23</xdr:row>
      <xdr:rowOff>9525</xdr:rowOff>
    </xdr:to>
    <xdr:sp macro="" textlink="">
      <xdr:nvSpPr>
        <xdr:cNvPr id="14" name="Rounded Rectangle 13">
          <a:hlinkClick xmlns:r="http://schemas.openxmlformats.org/officeDocument/2006/relationships" r:id="rId10"/>
          <a:extLst>
            <a:ext uri="{FF2B5EF4-FFF2-40B4-BE49-F238E27FC236}">
              <a16:creationId xmlns:a16="http://schemas.microsoft.com/office/drawing/2014/main" id="{00000000-0008-0000-2600-00000E000000}"/>
            </a:ext>
          </a:extLst>
        </xdr:cNvPr>
        <xdr:cNvSpPr/>
      </xdr:nvSpPr>
      <xdr:spPr>
        <a:xfrm>
          <a:off x="3657600" y="61341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Earthquake</a:t>
          </a:r>
        </a:p>
      </xdr:txBody>
    </xdr:sp>
    <xdr:clientData/>
  </xdr:twoCellAnchor>
  <xdr:twoCellAnchor>
    <xdr:from>
      <xdr:col>6</xdr:col>
      <xdr:colOff>0</xdr:colOff>
      <xdr:row>24</xdr:row>
      <xdr:rowOff>0</xdr:rowOff>
    </xdr:from>
    <xdr:to>
      <xdr:col>9</xdr:col>
      <xdr:colOff>0</xdr:colOff>
      <xdr:row>25</xdr:row>
      <xdr:rowOff>9525</xdr:rowOff>
    </xdr:to>
    <xdr:sp macro="" textlink="">
      <xdr:nvSpPr>
        <xdr:cNvPr id="15" name="Rounded Rectangle 14">
          <a:hlinkClick xmlns:r="http://schemas.openxmlformats.org/officeDocument/2006/relationships" r:id="rId11"/>
          <a:extLst>
            <a:ext uri="{FF2B5EF4-FFF2-40B4-BE49-F238E27FC236}">
              <a16:creationId xmlns:a16="http://schemas.microsoft.com/office/drawing/2014/main" id="{00000000-0008-0000-2600-00000F000000}"/>
            </a:ext>
          </a:extLst>
        </xdr:cNvPr>
        <xdr:cNvSpPr/>
      </xdr:nvSpPr>
      <xdr:spPr>
        <a:xfrm>
          <a:off x="3657600" y="65532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Fire</a:t>
          </a:r>
        </a:p>
      </xdr:txBody>
    </xdr:sp>
    <xdr:clientData/>
  </xdr:twoCellAnchor>
  <xdr:twoCellAnchor>
    <xdr:from>
      <xdr:col>6</xdr:col>
      <xdr:colOff>0</xdr:colOff>
      <xdr:row>26</xdr:row>
      <xdr:rowOff>0</xdr:rowOff>
    </xdr:from>
    <xdr:to>
      <xdr:col>9</xdr:col>
      <xdr:colOff>0</xdr:colOff>
      <xdr:row>27</xdr:row>
      <xdr:rowOff>9525</xdr:rowOff>
    </xdr:to>
    <xdr:sp macro="" textlink="">
      <xdr:nvSpPr>
        <xdr:cNvPr id="16" name="Rounded Rectangle 15">
          <a:hlinkClick xmlns:r="http://schemas.openxmlformats.org/officeDocument/2006/relationships" r:id="rId12"/>
          <a:extLst>
            <a:ext uri="{FF2B5EF4-FFF2-40B4-BE49-F238E27FC236}">
              <a16:creationId xmlns:a16="http://schemas.microsoft.com/office/drawing/2014/main" id="{00000000-0008-0000-2600-000010000000}"/>
            </a:ext>
          </a:extLst>
        </xdr:cNvPr>
        <xdr:cNvSpPr/>
      </xdr:nvSpPr>
      <xdr:spPr>
        <a:xfrm>
          <a:off x="3657600" y="69723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Flood</a:t>
          </a:r>
        </a:p>
      </xdr:txBody>
    </xdr:sp>
    <xdr:clientData/>
  </xdr:twoCellAnchor>
  <xdr:twoCellAnchor>
    <xdr:from>
      <xdr:col>6</xdr:col>
      <xdr:colOff>0</xdr:colOff>
      <xdr:row>28</xdr:row>
      <xdr:rowOff>0</xdr:rowOff>
    </xdr:from>
    <xdr:to>
      <xdr:col>9</xdr:col>
      <xdr:colOff>0</xdr:colOff>
      <xdr:row>29</xdr:row>
      <xdr:rowOff>9525</xdr:rowOff>
    </xdr:to>
    <xdr:sp macro="" textlink="">
      <xdr:nvSpPr>
        <xdr:cNvPr id="17" name="Rounded Rectangle 16">
          <a:hlinkClick xmlns:r="http://schemas.openxmlformats.org/officeDocument/2006/relationships" r:id="rId13"/>
          <a:extLst>
            <a:ext uri="{FF2B5EF4-FFF2-40B4-BE49-F238E27FC236}">
              <a16:creationId xmlns:a16="http://schemas.microsoft.com/office/drawing/2014/main" id="{00000000-0008-0000-2600-000011000000}"/>
            </a:ext>
          </a:extLst>
        </xdr:cNvPr>
        <xdr:cNvSpPr/>
      </xdr:nvSpPr>
      <xdr:spPr>
        <a:xfrm>
          <a:off x="3657600" y="73914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HazMat Release</a:t>
          </a:r>
        </a:p>
      </xdr:txBody>
    </xdr:sp>
    <xdr:clientData/>
  </xdr:twoCellAnchor>
  <xdr:twoCellAnchor>
    <xdr:from>
      <xdr:col>6</xdr:col>
      <xdr:colOff>0</xdr:colOff>
      <xdr:row>30</xdr:row>
      <xdr:rowOff>0</xdr:rowOff>
    </xdr:from>
    <xdr:to>
      <xdr:col>9</xdr:col>
      <xdr:colOff>0</xdr:colOff>
      <xdr:row>31</xdr:row>
      <xdr:rowOff>9525</xdr:rowOff>
    </xdr:to>
    <xdr:sp macro="" textlink="">
      <xdr:nvSpPr>
        <xdr:cNvPr id="18" name="Rounded Rectangle 17">
          <a:hlinkClick xmlns:r="http://schemas.openxmlformats.org/officeDocument/2006/relationships" r:id="rId14"/>
          <a:extLst>
            <a:ext uri="{FF2B5EF4-FFF2-40B4-BE49-F238E27FC236}">
              <a16:creationId xmlns:a16="http://schemas.microsoft.com/office/drawing/2014/main" id="{00000000-0008-0000-2600-000012000000}"/>
            </a:ext>
          </a:extLst>
        </xdr:cNvPr>
        <xdr:cNvSpPr/>
      </xdr:nvSpPr>
      <xdr:spPr>
        <a:xfrm>
          <a:off x="3657600" y="78105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Localized Infectious Disease</a:t>
          </a:r>
        </a:p>
      </xdr:txBody>
    </xdr:sp>
    <xdr:clientData/>
  </xdr:twoCellAnchor>
  <xdr:twoCellAnchor>
    <xdr:from>
      <xdr:col>6</xdr:col>
      <xdr:colOff>0</xdr:colOff>
      <xdr:row>32</xdr:row>
      <xdr:rowOff>0</xdr:rowOff>
    </xdr:from>
    <xdr:to>
      <xdr:col>9</xdr:col>
      <xdr:colOff>0</xdr:colOff>
      <xdr:row>33</xdr:row>
      <xdr:rowOff>9525</xdr:rowOff>
    </xdr:to>
    <xdr:sp macro="" textlink="">
      <xdr:nvSpPr>
        <xdr:cNvPr id="19" name="Rounded Rectangle 18">
          <a:hlinkClick xmlns:r="http://schemas.openxmlformats.org/officeDocument/2006/relationships" r:id="rId15"/>
          <a:extLst>
            <a:ext uri="{FF2B5EF4-FFF2-40B4-BE49-F238E27FC236}">
              <a16:creationId xmlns:a16="http://schemas.microsoft.com/office/drawing/2014/main" id="{00000000-0008-0000-2600-000013000000}"/>
            </a:ext>
          </a:extLst>
        </xdr:cNvPr>
        <xdr:cNvSpPr/>
      </xdr:nvSpPr>
      <xdr:spPr>
        <a:xfrm>
          <a:off x="3657600" y="82296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Nuclear Facility Accident</a:t>
          </a:r>
        </a:p>
      </xdr:txBody>
    </xdr:sp>
    <xdr:clientData/>
  </xdr:twoCellAnchor>
  <xdr:twoCellAnchor>
    <xdr:from>
      <xdr:col>6</xdr:col>
      <xdr:colOff>0</xdr:colOff>
      <xdr:row>34</xdr:row>
      <xdr:rowOff>0</xdr:rowOff>
    </xdr:from>
    <xdr:to>
      <xdr:col>9</xdr:col>
      <xdr:colOff>0</xdr:colOff>
      <xdr:row>35</xdr:row>
      <xdr:rowOff>9525</xdr:rowOff>
    </xdr:to>
    <xdr:sp macro="" textlink="">
      <xdr:nvSpPr>
        <xdr:cNvPr id="20" name="Rounded Rectangle 19">
          <a:hlinkClick xmlns:r="http://schemas.openxmlformats.org/officeDocument/2006/relationships" r:id="rId16"/>
          <a:extLst>
            <a:ext uri="{FF2B5EF4-FFF2-40B4-BE49-F238E27FC236}">
              <a16:creationId xmlns:a16="http://schemas.microsoft.com/office/drawing/2014/main" id="{00000000-0008-0000-2600-000014000000}"/>
            </a:ext>
          </a:extLst>
        </xdr:cNvPr>
        <xdr:cNvSpPr/>
      </xdr:nvSpPr>
      <xdr:spPr>
        <a:xfrm>
          <a:off x="3657600" y="86487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Pandemic</a:t>
          </a:r>
        </a:p>
      </xdr:txBody>
    </xdr:sp>
    <xdr:clientData/>
  </xdr:twoCellAnchor>
  <xdr:twoCellAnchor>
    <xdr:from>
      <xdr:col>6</xdr:col>
      <xdr:colOff>0</xdr:colOff>
      <xdr:row>36</xdr:row>
      <xdr:rowOff>0</xdr:rowOff>
    </xdr:from>
    <xdr:to>
      <xdr:col>9</xdr:col>
      <xdr:colOff>0</xdr:colOff>
      <xdr:row>37</xdr:row>
      <xdr:rowOff>9525</xdr:rowOff>
    </xdr:to>
    <xdr:sp macro="" textlink="">
      <xdr:nvSpPr>
        <xdr:cNvPr id="21" name="Rounded Rectangle 20">
          <a:hlinkClick xmlns:r="http://schemas.openxmlformats.org/officeDocument/2006/relationships" r:id="rId17"/>
          <a:extLst>
            <a:ext uri="{FF2B5EF4-FFF2-40B4-BE49-F238E27FC236}">
              <a16:creationId xmlns:a16="http://schemas.microsoft.com/office/drawing/2014/main" id="{00000000-0008-0000-2600-000015000000}"/>
            </a:ext>
          </a:extLst>
        </xdr:cNvPr>
        <xdr:cNvSpPr/>
      </xdr:nvSpPr>
      <xdr:spPr>
        <a:xfrm>
          <a:off x="3657600" y="90678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Radiation Dispersal Device</a:t>
          </a:r>
        </a:p>
      </xdr:txBody>
    </xdr:sp>
    <xdr:clientData/>
  </xdr:twoCellAnchor>
  <xdr:twoCellAnchor>
    <xdr:from>
      <xdr:col>6</xdr:col>
      <xdr:colOff>0</xdr:colOff>
      <xdr:row>38</xdr:row>
      <xdr:rowOff>0</xdr:rowOff>
    </xdr:from>
    <xdr:to>
      <xdr:col>9</xdr:col>
      <xdr:colOff>0</xdr:colOff>
      <xdr:row>39</xdr:row>
      <xdr:rowOff>9525</xdr:rowOff>
    </xdr:to>
    <xdr:sp macro="" textlink="">
      <xdr:nvSpPr>
        <xdr:cNvPr id="22" name="Rounded Rectangle 21">
          <a:hlinkClick xmlns:r="http://schemas.openxmlformats.org/officeDocument/2006/relationships" r:id="rId18"/>
          <a:extLst>
            <a:ext uri="{FF2B5EF4-FFF2-40B4-BE49-F238E27FC236}">
              <a16:creationId xmlns:a16="http://schemas.microsoft.com/office/drawing/2014/main" id="{00000000-0008-0000-2600-000016000000}"/>
            </a:ext>
          </a:extLst>
        </xdr:cNvPr>
        <xdr:cNvSpPr/>
      </xdr:nvSpPr>
      <xdr:spPr>
        <a:xfrm>
          <a:off x="3657600" y="94869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Temperature Extremes</a:t>
          </a:r>
        </a:p>
      </xdr:txBody>
    </xdr:sp>
    <xdr:clientData/>
  </xdr:twoCellAnchor>
  <xdr:twoCellAnchor>
    <xdr:from>
      <xdr:col>6</xdr:col>
      <xdr:colOff>0</xdr:colOff>
      <xdr:row>40</xdr:row>
      <xdr:rowOff>0</xdr:rowOff>
    </xdr:from>
    <xdr:to>
      <xdr:col>9</xdr:col>
      <xdr:colOff>0</xdr:colOff>
      <xdr:row>41</xdr:row>
      <xdr:rowOff>9525</xdr:rowOff>
    </xdr:to>
    <xdr:sp macro="" textlink="">
      <xdr:nvSpPr>
        <xdr:cNvPr id="23" name="Rounded Rectangle 22">
          <a:hlinkClick xmlns:r="http://schemas.openxmlformats.org/officeDocument/2006/relationships" r:id="rId19"/>
          <a:extLst>
            <a:ext uri="{FF2B5EF4-FFF2-40B4-BE49-F238E27FC236}">
              <a16:creationId xmlns:a16="http://schemas.microsoft.com/office/drawing/2014/main" id="{00000000-0008-0000-2600-000017000000}"/>
            </a:ext>
          </a:extLst>
        </xdr:cNvPr>
        <xdr:cNvSpPr/>
      </xdr:nvSpPr>
      <xdr:spPr>
        <a:xfrm>
          <a:off x="3657600" y="99060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Tornado</a:t>
          </a:r>
        </a:p>
      </xdr:txBody>
    </xdr:sp>
    <xdr:clientData/>
  </xdr:twoCellAnchor>
  <xdr:twoCellAnchor>
    <xdr:from>
      <xdr:col>6</xdr:col>
      <xdr:colOff>0</xdr:colOff>
      <xdr:row>42</xdr:row>
      <xdr:rowOff>0</xdr:rowOff>
    </xdr:from>
    <xdr:to>
      <xdr:col>9</xdr:col>
      <xdr:colOff>0</xdr:colOff>
      <xdr:row>43</xdr:row>
      <xdr:rowOff>9525</xdr:rowOff>
    </xdr:to>
    <xdr:sp macro="" textlink="">
      <xdr:nvSpPr>
        <xdr:cNvPr id="24" name="Rounded Rectangle 23">
          <a:hlinkClick xmlns:r="http://schemas.openxmlformats.org/officeDocument/2006/relationships" r:id="rId20"/>
          <a:extLst>
            <a:ext uri="{FF2B5EF4-FFF2-40B4-BE49-F238E27FC236}">
              <a16:creationId xmlns:a16="http://schemas.microsoft.com/office/drawing/2014/main" id="{00000000-0008-0000-2600-000018000000}"/>
            </a:ext>
          </a:extLst>
        </xdr:cNvPr>
        <xdr:cNvSpPr/>
      </xdr:nvSpPr>
      <xdr:spPr>
        <a:xfrm>
          <a:off x="3657600" y="103251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Utility Interruption</a:t>
          </a:r>
        </a:p>
      </xdr:txBody>
    </xdr:sp>
    <xdr:clientData/>
  </xdr:twoCellAnchor>
  <xdr:twoCellAnchor>
    <xdr:from>
      <xdr:col>6</xdr:col>
      <xdr:colOff>0</xdr:colOff>
      <xdr:row>44</xdr:row>
      <xdr:rowOff>0</xdr:rowOff>
    </xdr:from>
    <xdr:to>
      <xdr:col>9</xdr:col>
      <xdr:colOff>0</xdr:colOff>
      <xdr:row>45</xdr:row>
      <xdr:rowOff>9525</xdr:rowOff>
    </xdr:to>
    <xdr:sp macro="" textlink="">
      <xdr:nvSpPr>
        <xdr:cNvPr id="25" name="Rounded Rectangle 24">
          <a:hlinkClick xmlns:r="http://schemas.openxmlformats.org/officeDocument/2006/relationships" r:id="rId21"/>
          <a:extLst>
            <a:ext uri="{FF2B5EF4-FFF2-40B4-BE49-F238E27FC236}">
              <a16:creationId xmlns:a16="http://schemas.microsoft.com/office/drawing/2014/main" id="{00000000-0008-0000-2600-000019000000}"/>
            </a:ext>
          </a:extLst>
        </xdr:cNvPr>
        <xdr:cNvSpPr/>
      </xdr:nvSpPr>
      <xdr:spPr>
        <a:xfrm>
          <a:off x="3657600" y="10744200"/>
          <a:ext cx="1828800" cy="2190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tx1"/>
              </a:solidFill>
            </a:rPr>
            <a:t>Winter Storm</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6" name="Chart 5">
          <a:extLst>
            <a:ext uri="{FF2B5EF4-FFF2-40B4-BE49-F238E27FC236}">
              <a16:creationId xmlns:a16="http://schemas.microsoft.com/office/drawing/2014/main" id="{00000000-0008-0000-2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7" name="Chart 6">
          <a:extLst>
            <a:ext uri="{FF2B5EF4-FFF2-40B4-BE49-F238E27FC236}">
              <a16:creationId xmlns:a16="http://schemas.microsoft.com/office/drawing/2014/main" id="{00000000-0008-0000-2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9" name="Rounded Rectangle 8">
          <a:hlinkClick xmlns:r="http://schemas.openxmlformats.org/officeDocument/2006/relationships" r:id="rId4"/>
          <a:extLst>
            <a:ext uri="{FF2B5EF4-FFF2-40B4-BE49-F238E27FC236}">
              <a16:creationId xmlns:a16="http://schemas.microsoft.com/office/drawing/2014/main" id="{00000000-0008-0000-2700-000009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10" name="Rounded Rectangle 9">
          <a:hlinkClick xmlns:r="http://schemas.openxmlformats.org/officeDocument/2006/relationships" r:id="rId5"/>
          <a:extLst>
            <a:ext uri="{FF2B5EF4-FFF2-40B4-BE49-F238E27FC236}">
              <a16:creationId xmlns:a16="http://schemas.microsoft.com/office/drawing/2014/main" id="{00000000-0008-0000-2700-00000A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Active Shooter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8" name="Chart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1.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2800-000005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2800-000006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Bio Terrorism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7" name="Chart 6">
          <a:extLst>
            <a:ext uri="{FF2B5EF4-FFF2-40B4-BE49-F238E27FC236}">
              <a16:creationId xmlns:a16="http://schemas.microsoft.com/office/drawing/2014/main" id="{00000000-0008-0000-2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2.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595593</xdr:colOff>
      <xdr:row>1</xdr:row>
      <xdr:rowOff>414618</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2900-000006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2900-000007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Chem Terrorism</a:t>
          </a:r>
          <a:r>
            <a:rPr lang="en-US" sz="1000" baseline="0">
              <a:solidFill>
                <a:schemeClr val="tx1"/>
              </a:solidFill>
              <a:latin typeface="+mj-lt"/>
            </a:rPr>
            <a:t> </a:t>
          </a:r>
          <a:r>
            <a:rPr lang="en-US" sz="1000">
              <a:solidFill>
                <a:schemeClr val="tx1"/>
              </a:solidFill>
              <a:latin typeface="+mj-lt"/>
            </a:rPr>
            <a:t>Worksheet</a:t>
          </a:r>
        </a:p>
      </xdr:txBody>
    </xdr:sp>
    <xdr:clientData/>
  </xdr:twoCellAnchor>
  <xdr:twoCellAnchor>
    <xdr:from>
      <xdr:col>1</xdr:col>
      <xdr:colOff>0</xdr:colOff>
      <xdr:row>34</xdr:row>
      <xdr:rowOff>0</xdr:rowOff>
    </xdr:from>
    <xdr:to>
      <xdr:col>13</xdr:col>
      <xdr:colOff>371475</xdr:colOff>
      <xdr:row>61</xdr:row>
      <xdr:rowOff>85725</xdr:rowOff>
    </xdr:to>
    <xdr:graphicFrame macro="">
      <xdr:nvGraphicFramePr>
        <xdr:cNvPr id="10" name="Chart 9">
          <a:extLst>
            <a:ext uri="{FF2B5EF4-FFF2-40B4-BE49-F238E27FC236}">
              <a16:creationId xmlns:a16="http://schemas.microsoft.com/office/drawing/2014/main" id="{00000000-0008-0000-2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xdr:col>
      <xdr:colOff>0</xdr:colOff>
      <xdr:row>5</xdr:row>
      <xdr:rowOff>0</xdr:rowOff>
    </xdr:from>
    <xdr:to>
      <xdr:col>13</xdr:col>
      <xdr:colOff>371475</xdr:colOff>
      <xdr:row>32</xdr:row>
      <xdr:rowOff>85725</xdr:rowOff>
    </xdr:to>
    <xdr:graphicFrame macro="">
      <xdr:nvGraphicFramePr>
        <xdr:cNvPr id="11" name="Chart 10">
          <a:extLst>
            <a:ext uri="{FF2B5EF4-FFF2-40B4-BE49-F238E27FC236}">
              <a16:creationId xmlns:a16="http://schemas.microsoft.com/office/drawing/2014/main" id="{00000000-0008-0000-2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12" name="Chart 11">
          <a:extLst>
            <a:ext uri="{FF2B5EF4-FFF2-40B4-BE49-F238E27FC236}">
              <a16:creationId xmlns:a16="http://schemas.microsoft.com/office/drawing/2014/main" id="{00000000-0008-0000-2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xdr:col>
      <xdr:colOff>0</xdr:colOff>
      <xdr:row>92</xdr:row>
      <xdr:rowOff>0</xdr:rowOff>
    </xdr:from>
    <xdr:to>
      <xdr:col>13</xdr:col>
      <xdr:colOff>371475</xdr:colOff>
      <xdr:row>119</xdr:row>
      <xdr:rowOff>85725</xdr:rowOff>
    </xdr:to>
    <xdr:graphicFrame macro="">
      <xdr:nvGraphicFramePr>
        <xdr:cNvPr id="13" name="Chart 12">
          <a:extLst>
            <a:ext uri="{FF2B5EF4-FFF2-40B4-BE49-F238E27FC236}">
              <a16:creationId xmlns:a16="http://schemas.microsoft.com/office/drawing/2014/main" id="{00000000-0008-0000-2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3.xml><?xml version="1.0" encoding="utf-8"?>
<xdr:wsDr xmlns:xdr="http://schemas.openxmlformats.org/drawingml/2006/spreadsheetDrawing" xmlns:a="http://schemas.openxmlformats.org/drawingml/2006/main">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5</xdr:row>
      <xdr:rowOff>0</xdr:rowOff>
    </xdr:from>
    <xdr:to>
      <xdr:col>13</xdr:col>
      <xdr:colOff>371475</xdr:colOff>
      <xdr:row>32</xdr:row>
      <xdr:rowOff>85725</xdr:rowOff>
    </xdr:to>
    <xdr:graphicFrame macro="">
      <xdr:nvGraphicFramePr>
        <xdr:cNvPr id="5" name="Chart 4">
          <a:extLst>
            <a:ext uri="{FF2B5EF4-FFF2-40B4-BE49-F238E27FC236}">
              <a16:creationId xmlns:a16="http://schemas.microsoft.com/office/drawing/2014/main" id="{00000000-0008-0000-2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000000-0008-0000-2A00-000006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7" name="Rounded Rectangle 6">
          <a:hlinkClick xmlns:r="http://schemas.openxmlformats.org/officeDocument/2006/relationships" r:id="rId5"/>
          <a:extLst>
            <a:ext uri="{FF2B5EF4-FFF2-40B4-BE49-F238E27FC236}">
              <a16:creationId xmlns:a16="http://schemas.microsoft.com/office/drawing/2014/main" id="{00000000-0008-0000-2A00-000007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Civil Disturbance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8" name="Chart 7">
          <a:extLst>
            <a:ext uri="{FF2B5EF4-FFF2-40B4-BE49-F238E27FC236}">
              <a16:creationId xmlns:a16="http://schemas.microsoft.com/office/drawing/2014/main" id="{00000000-0008-0000-2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4.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2B00-000005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2B00-000006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Coastal Storm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5.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2C00-000005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2C00-000006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Conv Explosive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7" name="Chart 6">
          <a:extLst>
            <a:ext uri="{FF2B5EF4-FFF2-40B4-BE49-F238E27FC236}">
              <a16:creationId xmlns:a16="http://schemas.microsoft.com/office/drawing/2014/main" id="{00000000-0008-0000-2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6.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2D00-000005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2D00-000006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Cyber Terrorism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7" name="Chart 6">
          <a:extLst>
            <a:ext uri="{FF2B5EF4-FFF2-40B4-BE49-F238E27FC236}">
              <a16:creationId xmlns:a16="http://schemas.microsoft.com/office/drawing/2014/main" id="{00000000-0008-0000-2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7.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3" name="Chart 2">
          <a:extLst>
            <a:ext uri="{FF2B5EF4-FFF2-40B4-BE49-F238E27FC236}">
              <a16:creationId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4" name="Chart 3">
          <a:extLst>
            <a:ext uri="{FF2B5EF4-FFF2-40B4-BE49-F238E27FC236}">
              <a16:creationId xmlns:a16="http://schemas.microsoft.com/office/drawing/2014/main" id="{00000000-0008-0000-2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2E00-000005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2E00-000006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Drought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7" name="Chart 6">
          <a:extLst>
            <a:ext uri="{FF2B5EF4-FFF2-40B4-BE49-F238E27FC236}">
              <a16:creationId xmlns:a16="http://schemas.microsoft.com/office/drawing/2014/main" id="{00000000-0008-0000-2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8.xml><?xml version="1.0" encoding="utf-8"?>
<xdr:wsDr xmlns:xdr="http://schemas.openxmlformats.org/drawingml/2006/spreadsheetDrawing" xmlns:a="http://schemas.openxmlformats.org/drawingml/2006/main">
  <xdr:twoCellAnchor>
    <xdr:from>
      <xdr:col>1</xdr:col>
      <xdr:colOff>33618</xdr:colOff>
      <xdr:row>5</xdr:row>
      <xdr:rowOff>0</xdr:rowOff>
    </xdr:from>
    <xdr:to>
      <xdr:col>13</xdr:col>
      <xdr:colOff>405093</xdr:colOff>
      <xdr:row>32</xdr:row>
      <xdr:rowOff>85725</xdr:rowOff>
    </xdr:to>
    <xdr:graphicFrame macro="">
      <xdr:nvGraphicFramePr>
        <xdr:cNvPr id="2" name="Chart 1">
          <a:extLst>
            <a:ext uri="{FF2B5EF4-FFF2-40B4-BE49-F238E27FC236}">
              <a16:creationId xmlns:a16="http://schemas.microsoft.com/office/drawing/2014/main" id="{00000000-0008-0000-2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2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2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2F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2F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Earthquake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2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49.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0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0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Fire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0.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1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1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Flood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1.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2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2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HazMat Release</a:t>
          </a:r>
          <a:r>
            <a:rPr lang="en-US" sz="1000" baseline="0">
              <a:solidFill>
                <a:schemeClr val="tx1"/>
              </a:solidFill>
              <a:latin typeface="+mj-lt"/>
            </a:rPr>
            <a:t> Worksheet</a:t>
          </a:r>
          <a:endParaRPr lang="en-US" sz="1000">
            <a:solidFill>
              <a:schemeClr val="tx1"/>
            </a:solidFill>
            <a:latin typeface="+mj-lt"/>
          </a:endParaRP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2.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3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3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Localized ID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10" name="Chart 9">
          <a:extLst>
            <a:ext uri="{FF2B5EF4-FFF2-40B4-BE49-F238E27FC236}">
              <a16:creationId xmlns:a16="http://schemas.microsoft.com/office/drawing/2014/main" id="{00000000-0008-0000-3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3.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3"/>
          <a:extLst>
            <a:ext uri="{FF2B5EF4-FFF2-40B4-BE49-F238E27FC236}">
              <a16:creationId xmlns:a16="http://schemas.microsoft.com/office/drawing/2014/main" id="{00000000-0008-0000-34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4"/>
          <a:extLst>
            <a:ext uri="{FF2B5EF4-FFF2-40B4-BE49-F238E27FC236}">
              <a16:creationId xmlns:a16="http://schemas.microsoft.com/office/drawing/2014/main" id="{00000000-0008-0000-34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Nuclear Accident</a:t>
          </a:r>
          <a:r>
            <a:rPr lang="en-US" sz="1000" baseline="0">
              <a:solidFill>
                <a:schemeClr val="tx1"/>
              </a:solidFill>
              <a:latin typeface="+mj-lt"/>
            </a:rPr>
            <a:t> Worksheet</a:t>
          </a:r>
          <a:endParaRPr lang="en-US" sz="1000">
            <a:solidFill>
              <a:schemeClr val="tx1"/>
            </a:solidFill>
            <a:latin typeface="+mj-lt"/>
          </a:endParaRP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10" name="Chart 9">
          <a:extLst>
            <a:ext uri="{FF2B5EF4-FFF2-40B4-BE49-F238E27FC236}">
              <a16:creationId xmlns:a16="http://schemas.microsoft.com/office/drawing/2014/main" id="{00000000-0008-0000-3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5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5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Pandemic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5.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6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6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RDD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6.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7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7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Temp Extremes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7.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8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8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Tornado Worksheet</a:t>
          </a:r>
        </a:p>
      </xdr:txBody>
    </xdr:sp>
    <xdr:clientData/>
  </xdr:twoCellAnchor>
  <xdr:twoCellAnchor>
    <xdr:from>
      <xdr:col>1</xdr:col>
      <xdr:colOff>0</xdr:colOff>
      <xdr:row>92</xdr:row>
      <xdr:rowOff>0</xdr:rowOff>
    </xdr:from>
    <xdr:to>
      <xdr:col>13</xdr:col>
      <xdr:colOff>371475</xdr:colOff>
      <xdr:row>119</xdr:row>
      <xdr:rowOff>85725</xdr:rowOff>
    </xdr:to>
    <xdr:graphicFrame macro="">
      <xdr:nvGraphicFramePr>
        <xdr:cNvPr id="9" name="Chart 8">
          <a:extLst>
            <a:ext uri="{FF2B5EF4-FFF2-40B4-BE49-F238E27FC236}">
              <a16:creationId xmlns:a16="http://schemas.microsoft.com/office/drawing/2014/main" id="{00000000-0008-0000-3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8.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9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9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Utility Interr</a:t>
          </a:r>
          <a:r>
            <a:rPr lang="en-US" sz="1000" baseline="0">
              <a:solidFill>
                <a:schemeClr val="tx1"/>
              </a:solidFill>
              <a:latin typeface="+mj-lt"/>
            </a:rPr>
            <a:t> Worksheet</a:t>
          </a:r>
          <a:endParaRPr lang="en-US" sz="1000">
            <a:solidFill>
              <a:schemeClr val="tx1"/>
            </a:solidFill>
            <a:latin typeface="+mj-lt"/>
          </a:endParaRPr>
        </a:p>
      </xdr:txBody>
    </xdr:sp>
    <xdr:clientData/>
  </xdr:twoCellAnchor>
  <xdr:twoCellAnchor>
    <xdr:from>
      <xdr:col>1</xdr:col>
      <xdr:colOff>0</xdr:colOff>
      <xdr:row>91</xdr:row>
      <xdr:rowOff>156882</xdr:rowOff>
    </xdr:from>
    <xdr:to>
      <xdr:col>13</xdr:col>
      <xdr:colOff>371475</xdr:colOff>
      <xdr:row>119</xdr:row>
      <xdr:rowOff>52107</xdr:rowOff>
    </xdr:to>
    <xdr:graphicFrame macro="">
      <xdr:nvGraphicFramePr>
        <xdr:cNvPr id="9" name="Chart 8">
          <a:extLst>
            <a:ext uri="{FF2B5EF4-FFF2-40B4-BE49-F238E27FC236}">
              <a16:creationId xmlns:a16="http://schemas.microsoft.com/office/drawing/2014/main" id="{00000000-0008-0000-3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drawings/drawing59.xml><?xml version="1.0" encoding="utf-8"?>
<xdr:wsDr xmlns:xdr="http://schemas.openxmlformats.org/drawingml/2006/spreadsheetDrawing" xmlns:a="http://schemas.openxmlformats.org/drawingml/2006/main">
  <xdr:twoCellAnchor>
    <xdr:from>
      <xdr:col>1</xdr:col>
      <xdr:colOff>0</xdr:colOff>
      <xdr:row>5</xdr:row>
      <xdr:rowOff>0</xdr:rowOff>
    </xdr:from>
    <xdr:to>
      <xdr:col>13</xdr:col>
      <xdr:colOff>371475</xdr:colOff>
      <xdr:row>32</xdr:row>
      <xdr:rowOff>85725</xdr:rowOff>
    </xdr:to>
    <xdr:graphicFrame macro="">
      <xdr:nvGraphicFramePr>
        <xdr:cNvPr id="2" name="Chart 1">
          <a:extLst>
            <a:ext uri="{FF2B5EF4-FFF2-40B4-BE49-F238E27FC236}">
              <a16:creationId xmlns:a16="http://schemas.microsoft.com/office/drawing/2014/main" id="{00000000-0008-0000-3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0</xdr:colOff>
      <xdr:row>34</xdr:row>
      <xdr:rowOff>0</xdr:rowOff>
    </xdr:from>
    <xdr:to>
      <xdr:col>13</xdr:col>
      <xdr:colOff>371475</xdr:colOff>
      <xdr:row>61</xdr:row>
      <xdr:rowOff>85725</xdr:rowOff>
    </xdr:to>
    <xdr:graphicFrame macro="">
      <xdr:nvGraphicFramePr>
        <xdr:cNvPr id="5" name="Chart 4">
          <a:extLst>
            <a:ext uri="{FF2B5EF4-FFF2-40B4-BE49-F238E27FC236}">
              <a16:creationId xmlns:a16="http://schemas.microsoft.com/office/drawing/2014/main" id="{00000000-0008-0000-3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xdr:col>
      <xdr:colOff>0</xdr:colOff>
      <xdr:row>63</xdr:row>
      <xdr:rowOff>0</xdr:rowOff>
    </xdr:from>
    <xdr:to>
      <xdr:col>13</xdr:col>
      <xdr:colOff>371475</xdr:colOff>
      <xdr:row>90</xdr:row>
      <xdr:rowOff>85725</xdr:rowOff>
    </xdr:to>
    <xdr:graphicFrame macro="">
      <xdr:nvGraphicFramePr>
        <xdr:cNvPr id="6" name="Chart 5">
          <a:extLst>
            <a:ext uri="{FF2B5EF4-FFF2-40B4-BE49-F238E27FC236}">
              <a16:creationId xmlns:a16="http://schemas.microsoft.com/office/drawing/2014/main" id="{00000000-0008-0000-3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12</xdr:col>
      <xdr:colOff>0</xdr:colOff>
      <xdr:row>1</xdr:row>
      <xdr:rowOff>0</xdr:rowOff>
    </xdr:from>
    <xdr:to>
      <xdr:col>13</xdr:col>
      <xdr:colOff>595593</xdr:colOff>
      <xdr:row>1</xdr:row>
      <xdr:rowOff>414618</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3A00-000007000000}"/>
            </a:ext>
          </a:extLst>
        </xdr:cNvPr>
        <xdr:cNvSpPr/>
      </xdr:nvSpPr>
      <xdr:spPr>
        <a:xfrm>
          <a:off x="6981825" y="190500"/>
          <a:ext cx="1205193" cy="414618"/>
        </a:xfrm>
        <a:prstGeom prst="roundRect">
          <a:avLst/>
        </a:prstGeom>
        <a:gradFill>
          <a:gsLst>
            <a:gs pos="0">
              <a:srgbClr val="23AF84"/>
            </a:gs>
            <a:gs pos="50000">
              <a:srgbClr val="6DDDA8"/>
            </a:gs>
            <a:gs pos="70000">
              <a:srgbClr val="70EAB9"/>
            </a:gs>
            <a:gs pos="100000">
              <a:srgbClr val="99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mj-lt"/>
            </a:rPr>
            <a:t>Hazards</a:t>
          </a:r>
          <a:r>
            <a:rPr lang="en-US" sz="1100" baseline="0">
              <a:latin typeface="+mj-lt"/>
            </a:rPr>
            <a:t> Menu</a:t>
          </a:r>
          <a:endParaRPr lang="en-US" sz="1100">
            <a:latin typeface="+mj-lt"/>
          </a:endParaRPr>
        </a:p>
      </xdr:txBody>
    </xdr:sp>
    <xdr:clientData/>
  </xdr:twoCellAnchor>
  <xdr:twoCellAnchor>
    <xdr:from>
      <xdr:col>12</xdr:col>
      <xdr:colOff>0</xdr:colOff>
      <xdr:row>3</xdr:row>
      <xdr:rowOff>0</xdr:rowOff>
    </xdr:from>
    <xdr:to>
      <xdr:col>13</xdr:col>
      <xdr:colOff>595593</xdr:colOff>
      <xdr:row>4</xdr:row>
      <xdr:rowOff>57150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3A00-000008000000}"/>
            </a:ext>
          </a:extLst>
        </xdr:cNvPr>
        <xdr:cNvSpPr/>
      </xdr:nvSpPr>
      <xdr:spPr>
        <a:xfrm>
          <a:off x="6981825" y="895350"/>
          <a:ext cx="1205193" cy="485775"/>
        </a:xfrm>
        <a:prstGeom prst="roundRect">
          <a:avLst/>
        </a:prstGeom>
        <a:gradFill>
          <a:gsLst>
            <a:gs pos="0">
              <a:srgbClr val="DCCD72"/>
            </a:gs>
            <a:gs pos="50000">
              <a:srgbClr val="FFFF99"/>
            </a:gs>
            <a:gs pos="70000">
              <a:srgbClr val="FFFFCC"/>
            </a:gs>
            <a:gs pos="100000">
              <a:srgbClr val="FFFFCC"/>
            </a:gs>
          </a:gsLst>
        </a:gradFill>
        <a:ln w="19050">
          <a:solidFill>
            <a:schemeClr val="tx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00">
              <a:solidFill>
                <a:schemeClr val="tx1"/>
              </a:solidFill>
              <a:latin typeface="+mj-lt"/>
            </a:rPr>
            <a:t>Winter Storm Worksheet</a:t>
          </a:r>
        </a:p>
      </xdr:txBody>
    </xdr:sp>
    <xdr:clientData/>
  </xdr:twoCellAnchor>
  <xdr:twoCellAnchor>
    <xdr:from>
      <xdr:col>0</xdr:col>
      <xdr:colOff>246530</xdr:colOff>
      <xdr:row>92</xdr:row>
      <xdr:rowOff>78441</xdr:rowOff>
    </xdr:from>
    <xdr:to>
      <xdr:col>13</xdr:col>
      <xdr:colOff>337858</xdr:colOff>
      <xdr:row>119</xdr:row>
      <xdr:rowOff>164166</xdr:rowOff>
    </xdr:to>
    <xdr:graphicFrame macro="">
      <xdr:nvGraphicFramePr>
        <xdr:cNvPr id="9" name="Chart 8">
          <a:extLst>
            <a:ext uri="{FF2B5EF4-FFF2-40B4-BE49-F238E27FC236}">
              <a16:creationId xmlns:a16="http://schemas.microsoft.com/office/drawing/2014/main" id="{00000000-0008-0000-3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Thatch">
      <a:fillStyleLst>
        <a:solidFill>
          <a:schemeClr val="phClr"/>
        </a:solidFill>
        <a:gradFill rotWithShape="1">
          <a:gsLst>
            <a:gs pos="0">
              <a:schemeClr val="phClr">
                <a:tint val="79000"/>
                <a:satMod val="180000"/>
              </a:schemeClr>
            </a:gs>
            <a:gs pos="65000">
              <a:schemeClr val="phClr">
                <a:tint val="52000"/>
                <a:satMod val="250000"/>
              </a:schemeClr>
            </a:gs>
            <a:gs pos="100000">
              <a:schemeClr val="phClr">
                <a:tint val="29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9525" cap="flat" cmpd="sng" algn="ctr">
          <a:solidFill>
            <a:schemeClr val="phClr"/>
          </a:solidFill>
          <a:prstDash val="solid"/>
        </a:ln>
        <a:ln w="15875" cap="flat" cmpd="sng" algn="ctr">
          <a:solidFill>
            <a:schemeClr val="phClr"/>
          </a:solidFill>
          <a:prstDash val="solid"/>
        </a:ln>
        <a:ln w="38100" cap="flat" cmpd="sng" algn="ctr">
          <a:solidFill>
            <a:schemeClr val="phClr"/>
          </a:solidFill>
          <a:prstDash val="solid"/>
        </a:ln>
      </a:lnStyleLst>
      <a:effectStyleLst>
        <a:effectStyle>
          <a:effectLst>
            <a:outerShdw blurRad="63500" dist="25400" dir="5400000" rotWithShape="0">
              <a:srgbClr val="000000">
                <a:alpha val="43000"/>
              </a:srgbClr>
            </a:outerShdw>
          </a:effectLst>
        </a:effectStyle>
        <a:effectStyle>
          <a:effectLst>
            <a:outerShdw blurRad="63500" dist="25400" dir="5400000" rotWithShape="0">
              <a:srgbClr val="000000">
                <a:alpha val="43000"/>
              </a:srgbClr>
            </a:outerShdw>
          </a:effectLst>
          <a:scene3d>
            <a:camera prst="orthographicFront">
              <a:rot lat="0" lon="0" rev="0"/>
            </a:camera>
            <a:lightRig rig="brightRoom" dir="t">
              <a:rot lat="0" lon="0" rev="8700000"/>
            </a:lightRig>
          </a:scene3d>
          <a:sp3d contourW="12700" prstMaterial="dkEdge">
            <a:bevelT w="0" h="0" prst="relaxedInset"/>
            <a:contourClr>
              <a:schemeClr val="phClr">
                <a:shade val="65000"/>
                <a:satMod val="150000"/>
              </a:schemeClr>
            </a:contourClr>
          </a:sp3d>
        </a:effectStyle>
        <a:effectStyle>
          <a:effectLst>
            <a:outerShdw blurRad="63500" dist="25400" dir="5400000" rotWithShape="0">
              <a:srgbClr val="000000">
                <a:alpha val="43000"/>
              </a:srgbClr>
            </a:outerShdw>
          </a:effectLst>
          <a:scene3d>
            <a:camera prst="orthographicFront">
              <a:rot lat="0" lon="0" rev="0"/>
            </a:camera>
            <a:lightRig rig="glow" dir="t">
              <a:rot lat="0" lon="0" rev="13200000"/>
            </a:lightRig>
          </a:scene3d>
          <a:sp3d prstMaterial="dkEdge">
            <a:bevelT w="63500" h="50800" prst="relaxedInse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K89"/>
  <sheetViews>
    <sheetView showGridLines="0" showRowColHeaders="0" tabSelected="1" zoomScale="85" zoomScaleNormal="85" workbookViewId="0"/>
  </sheetViews>
  <sheetFormatPr defaultColWidth="9.109375" defaultRowHeight="14.4" x14ac:dyDescent="0.3"/>
  <cols>
    <col min="1" max="8" width="9.109375" style="12"/>
    <col min="9" max="9" width="9" style="16" customWidth="1"/>
    <col min="10" max="10" width="27.33203125" style="16" customWidth="1"/>
    <col min="11" max="11" width="9.109375" style="12" customWidth="1"/>
    <col min="12" max="16384" width="9.109375" style="12"/>
  </cols>
  <sheetData>
    <row r="3" spans="2:11" x14ac:dyDescent="0.3">
      <c r="B3" s="15"/>
    </row>
    <row r="6" spans="2:11" x14ac:dyDescent="0.3">
      <c r="C6" s="131"/>
    </row>
    <row r="9" spans="2:11" ht="32.4" x14ac:dyDescent="0.3">
      <c r="H9" s="17" t="s">
        <v>1204</v>
      </c>
    </row>
    <row r="10" spans="2:11" ht="16.5" customHeight="1" thickBot="1" x14ac:dyDescent="0.35">
      <c r="H10" s="17"/>
    </row>
    <row r="11" spans="2:11" ht="16.5" customHeight="1" x14ac:dyDescent="0.3">
      <c r="C11" s="18"/>
      <c r="D11" s="19"/>
      <c r="E11" s="19"/>
      <c r="F11" s="19"/>
      <c r="G11" s="19"/>
      <c r="H11" s="120"/>
      <c r="I11" s="20"/>
      <c r="J11" s="20"/>
      <c r="K11" s="21"/>
    </row>
    <row r="12" spans="2:11" ht="16.5" customHeight="1" x14ac:dyDescent="0.35">
      <c r="C12" s="22"/>
      <c r="D12" s="123" t="s">
        <v>438</v>
      </c>
      <c r="E12"/>
      <c r="F12"/>
      <c r="G12"/>
      <c r="H12" s="121"/>
      <c r="I12" s="24"/>
      <c r="J12"/>
      <c r="K12" s="25"/>
    </row>
    <row r="13" spans="2:11" ht="16.5" customHeight="1" x14ac:dyDescent="0.3">
      <c r="C13" s="22"/>
      <c r="D13"/>
      <c r="E13"/>
      <c r="F13"/>
      <c r="G13"/>
      <c r="H13" s="121"/>
      <c r="I13" s="24"/>
      <c r="J13" s="24"/>
      <c r="K13" s="25"/>
    </row>
    <row r="14" spans="2:11" ht="16.5" customHeight="1" x14ac:dyDescent="0.3">
      <c r="C14" s="22"/>
      <c r="D14"/>
      <c r="E14"/>
      <c r="F14"/>
      <c r="G14"/>
      <c r="H14" s="121"/>
      <c r="I14" s="24"/>
      <c r="J14"/>
      <c r="K14" s="25"/>
    </row>
    <row r="15" spans="2:11" ht="16.5" customHeight="1" thickBot="1" x14ac:dyDescent="0.35">
      <c r="C15" s="26"/>
      <c r="D15" s="27"/>
      <c r="E15" s="27"/>
      <c r="F15" s="27"/>
      <c r="G15" s="27"/>
      <c r="H15" s="122"/>
      <c r="I15" s="28"/>
      <c r="J15" s="28"/>
      <c r="K15" s="29"/>
    </row>
    <row r="16" spans="2:11" ht="16.5" customHeight="1" thickBot="1" x14ac:dyDescent="0.35">
      <c r="H16" s="17"/>
    </row>
    <row r="17" spans="3:11" x14ac:dyDescent="0.3">
      <c r="C17" s="18"/>
      <c r="D17" s="19"/>
      <c r="E17" s="19"/>
      <c r="F17" s="19"/>
      <c r="G17" s="19"/>
      <c r="H17" s="19"/>
      <c r="I17" s="20"/>
      <c r="J17" s="20"/>
      <c r="K17" s="21"/>
    </row>
    <row r="18" spans="3:11" ht="39.75" customHeight="1" x14ac:dyDescent="0.3">
      <c r="C18" s="22"/>
      <c r="D18" s="23" t="s">
        <v>0</v>
      </c>
      <c r="E18"/>
      <c r="F18"/>
      <c r="G18"/>
      <c r="H18"/>
      <c r="I18"/>
      <c r="J18"/>
      <c r="K18" s="25"/>
    </row>
    <row r="19" spans="3:11" x14ac:dyDescent="0.3">
      <c r="C19" s="22"/>
      <c r="D19"/>
      <c r="E19"/>
      <c r="F19"/>
      <c r="G19"/>
      <c r="H19"/>
      <c r="I19"/>
      <c r="J19" s="24"/>
      <c r="K19" s="25"/>
    </row>
    <row r="20" spans="3:11" ht="39.75" customHeight="1" x14ac:dyDescent="0.3">
      <c r="C20" s="22"/>
      <c r="D20"/>
      <c r="E20"/>
      <c r="F20"/>
      <c r="G20"/>
      <c r="H20"/>
      <c r="I20"/>
      <c r="J20"/>
      <c r="K20" s="25"/>
    </row>
    <row r="21" spans="3:11" x14ac:dyDescent="0.3">
      <c r="C21" s="22"/>
      <c r="D21"/>
      <c r="E21"/>
      <c r="F21"/>
      <c r="G21"/>
      <c r="H21"/>
      <c r="I21"/>
      <c r="J21" s="24"/>
      <c r="K21" s="25"/>
    </row>
    <row r="22" spans="3:11" ht="39.75" customHeight="1" x14ac:dyDescent="0.3">
      <c r="C22" s="22"/>
      <c r="D22"/>
      <c r="E22"/>
      <c r="F22"/>
      <c r="G22"/>
      <c r="H22"/>
      <c r="I22"/>
      <c r="J22"/>
      <c r="K22" s="25"/>
    </row>
    <row r="23" spans="3:11" x14ac:dyDescent="0.3">
      <c r="C23" s="22"/>
      <c r="D23"/>
      <c r="E23"/>
      <c r="F23"/>
      <c r="G23"/>
      <c r="H23"/>
      <c r="I23"/>
      <c r="J23" s="24"/>
      <c r="K23" s="25"/>
    </row>
    <row r="24" spans="3:11" ht="39.75" customHeight="1" x14ac:dyDescent="0.3">
      <c r="C24" s="22"/>
      <c r="D24"/>
      <c r="E24"/>
      <c r="F24"/>
      <c r="G24"/>
      <c r="H24"/>
      <c r="I24"/>
      <c r="J24"/>
      <c r="K24" s="25"/>
    </row>
    <row r="25" spans="3:11" x14ac:dyDescent="0.3">
      <c r="C25" s="22"/>
      <c r="D25"/>
      <c r="E25"/>
      <c r="F25"/>
      <c r="G25"/>
      <c r="H25"/>
      <c r="I25"/>
      <c r="J25" s="24"/>
      <c r="K25" s="25"/>
    </row>
    <row r="26" spans="3:11" ht="30.75" customHeight="1" x14ac:dyDescent="0.3">
      <c r="C26" s="22"/>
      <c r="D26"/>
      <c r="E26"/>
      <c r="F26"/>
      <c r="G26"/>
      <c r="H26"/>
      <c r="I26"/>
      <c r="J26"/>
      <c r="K26" s="25"/>
    </row>
    <row r="27" spans="3:11" ht="15" thickBot="1" x14ac:dyDescent="0.35">
      <c r="C27" s="26"/>
      <c r="D27" s="27"/>
      <c r="E27" s="27"/>
      <c r="F27" s="27"/>
      <c r="G27" s="27"/>
      <c r="H27" s="27"/>
      <c r="I27" s="28"/>
      <c r="J27" s="28"/>
      <c r="K27" s="29"/>
    </row>
    <row r="28" spans="3:11" ht="30.75" customHeight="1" thickBot="1" x14ac:dyDescent="0.35"/>
    <row r="29" spans="3:11" x14ac:dyDescent="0.3">
      <c r="C29" s="18"/>
      <c r="D29" s="19"/>
      <c r="E29" s="19"/>
      <c r="F29" s="19"/>
      <c r="G29" s="19"/>
      <c r="H29" s="19"/>
      <c r="I29" s="20"/>
      <c r="J29" s="20"/>
      <c r="K29" s="21"/>
    </row>
    <row r="30" spans="3:11" ht="30.75" customHeight="1" x14ac:dyDescent="0.3">
      <c r="C30" s="22"/>
      <c r="D30" s="23" t="s">
        <v>2</v>
      </c>
      <c r="E30"/>
      <c r="F30"/>
      <c r="G30"/>
      <c r="H30"/>
      <c r="I30" s="24"/>
      <c r="J30"/>
      <c r="K30" s="25"/>
    </row>
    <row r="31" spans="3:11" x14ac:dyDescent="0.3">
      <c r="C31" s="22"/>
      <c r="D31"/>
      <c r="E31"/>
      <c r="F31"/>
      <c r="G31"/>
      <c r="H31"/>
      <c r="I31" s="24"/>
      <c r="J31" s="24"/>
      <c r="K31" s="25"/>
    </row>
    <row r="32" spans="3:11" ht="30.75" customHeight="1" x14ac:dyDescent="0.3">
      <c r="C32" s="22"/>
      <c r="D32"/>
      <c r="E32"/>
      <c r="F32"/>
      <c r="G32"/>
      <c r="H32"/>
      <c r="I32" s="24"/>
      <c r="J32"/>
      <c r="K32" s="25"/>
    </row>
    <row r="33" spans="3:11" x14ac:dyDescent="0.3">
      <c r="C33" s="22"/>
      <c r="D33"/>
      <c r="E33"/>
      <c r="F33"/>
      <c r="G33"/>
      <c r="H33"/>
      <c r="I33" s="24"/>
      <c r="J33" s="24"/>
      <c r="K33" s="25"/>
    </row>
    <row r="34" spans="3:11" ht="30.75" customHeight="1" x14ac:dyDescent="0.3">
      <c r="C34" s="22"/>
      <c r="D34"/>
      <c r="E34"/>
      <c r="F34"/>
      <c r="G34"/>
      <c r="H34"/>
      <c r="I34" s="24"/>
      <c r="J34"/>
      <c r="K34" s="25"/>
    </row>
    <row r="35" spans="3:11" x14ac:dyDescent="0.3">
      <c r="C35" s="22"/>
      <c r="D35"/>
      <c r="E35"/>
      <c r="F35"/>
      <c r="G35"/>
      <c r="H35"/>
      <c r="I35" s="24"/>
      <c r="J35" s="24"/>
      <c r="K35" s="25"/>
    </row>
    <row r="36" spans="3:11" ht="30.75" customHeight="1" x14ac:dyDescent="0.3">
      <c r="C36" s="22"/>
      <c r="D36"/>
      <c r="E36"/>
      <c r="F36"/>
      <c r="G36"/>
      <c r="H36"/>
      <c r="I36" s="24"/>
      <c r="J36"/>
      <c r="K36" s="25"/>
    </row>
    <row r="37" spans="3:11" x14ac:dyDescent="0.3">
      <c r="C37" s="22"/>
      <c r="D37"/>
      <c r="E37"/>
      <c r="F37"/>
      <c r="G37"/>
      <c r="H37"/>
      <c r="I37" s="24"/>
      <c r="J37" s="24"/>
      <c r="K37" s="25"/>
    </row>
    <row r="38" spans="3:11" ht="30.75" customHeight="1" x14ac:dyDescent="0.3">
      <c r="C38" s="22"/>
      <c r="D38"/>
      <c r="E38"/>
      <c r="F38"/>
      <c r="G38"/>
      <c r="H38"/>
      <c r="I38" s="24"/>
      <c r="J38"/>
      <c r="K38" s="25"/>
    </row>
    <row r="39" spans="3:11" x14ac:dyDescent="0.3">
      <c r="C39" s="22"/>
      <c r="D39"/>
      <c r="E39"/>
      <c r="F39"/>
      <c r="G39"/>
      <c r="H39"/>
      <c r="I39" s="24"/>
      <c r="J39" s="24"/>
      <c r="K39" s="25"/>
    </row>
    <row r="40" spans="3:11" ht="30.75" customHeight="1" x14ac:dyDescent="0.3">
      <c r="C40" s="22"/>
      <c r="D40"/>
      <c r="E40"/>
      <c r="F40"/>
      <c r="G40"/>
      <c r="H40"/>
      <c r="I40" s="24"/>
      <c r="J40"/>
      <c r="K40" s="25"/>
    </row>
    <row r="41" spans="3:11" x14ac:dyDescent="0.3">
      <c r="C41" s="22"/>
      <c r="D41"/>
      <c r="E41"/>
      <c r="F41"/>
      <c r="G41"/>
      <c r="H41"/>
      <c r="I41" s="24"/>
      <c r="J41" s="24"/>
      <c r="K41" s="25"/>
    </row>
    <row r="42" spans="3:11" ht="30.75" customHeight="1" x14ac:dyDescent="0.3">
      <c r="C42" s="22"/>
      <c r="D42"/>
      <c r="E42"/>
      <c r="F42"/>
      <c r="G42"/>
      <c r="H42"/>
      <c r="I42" s="24"/>
      <c r="J42"/>
      <c r="K42" s="25"/>
    </row>
    <row r="43" spans="3:11" x14ac:dyDescent="0.3">
      <c r="C43" s="22"/>
      <c r="D43"/>
      <c r="E43"/>
      <c r="F43"/>
      <c r="G43"/>
      <c r="H43"/>
      <c r="I43" s="24"/>
      <c r="J43" s="24"/>
      <c r="K43" s="25"/>
    </row>
    <row r="44" spans="3:11" ht="30.75" customHeight="1" x14ac:dyDescent="0.3">
      <c r="C44" s="22"/>
      <c r="D44"/>
      <c r="E44"/>
      <c r="F44"/>
      <c r="G44"/>
      <c r="H44"/>
      <c r="I44" s="24"/>
      <c r="J44"/>
      <c r="K44" s="25"/>
    </row>
    <row r="45" spans="3:11" x14ac:dyDescent="0.3">
      <c r="C45" s="22"/>
      <c r="D45"/>
      <c r="E45"/>
      <c r="F45"/>
      <c r="G45"/>
      <c r="H45"/>
      <c r="I45" s="24"/>
      <c r="J45" s="24"/>
      <c r="K45" s="25"/>
    </row>
    <row r="46" spans="3:11" ht="30.75" customHeight="1" x14ac:dyDescent="0.3">
      <c r="C46" s="22"/>
      <c r="D46"/>
      <c r="E46"/>
      <c r="F46"/>
      <c r="G46"/>
      <c r="H46"/>
      <c r="I46" s="24"/>
      <c r="J46"/>
      <c r="K46" s="25"/>
    </row>
    <row r="47" spans="3:11" x14ac:dyDescent="0.3">
      <c r="C47" s="22"/>
      <c r="D47"/>
      <c r="E47"/>
      <c r="F47"/>
      <c r="G47"/>
      <c r="H47"/>
      <c r="I47" s="24"/>
      <c r="J47" s="24"/>
      <c r="K47" s="25"/>
    </row>
    <row r="48" spans="3:11" ht="30.75" customHeight="1" x14ac:dyDescent="0.3">
      <c r="C48" s="22"/>
      <c r="D48"/>
      <c r="E48"/>
      <c r="F48"/>
      <c r="G48"/>
      <c r="H48"/>
      <c r="I48" s="24"/>
      <c r="J48"/>
      <c r="K48" s="25"/>
    </row>
    <row r="49" spans="3:11" x14ac:dyDescent="0.3">
      <c r="C49" s="22"/>
      <c r="D49"/>
      <c r="E49"/>
      <c r="F49"/>
      <c r="G49"/>
      <c r="H49"/>
      <c r="I49" s="24"/>
      <c r="J49" s="24"/>
      <c r="K49" s="25"/>
    </row>
    <row r="50" spans="3:11" ht="30.75" customHeight="1" x14ac:dyDescent="0.3">
      <c r="C50" s="22"/>
      <c r="D50"/>
      <c r="E50"/>
      <c r="F50"/>
      <c r="G50"/>
      <c r="H50"/>
      <c r="I50" s="24"/>
      <c r="J50"/>
      <c r="K50" s="25"/>
    </row>
    <row r="51" spans="3:11" x14ac:dyDescent="0.3">
      <c r="C51" s="22"/>
      <c r="D51"/>
      <c r="E51"/>
      <c r="F51"/>
      <c r="G51"/>
      <c r="H51"/>
      <c r="I51" s="24"/>
      <c r="J51" s="24"/>
      <c r="K51" s="25"/>
    </row>
    <row r="52" spans="3:11" ht="39.75" customHeight="1" x14ac:dyDescent="0.3">
      <c r="C52" s="22"/>
      <c r="D52"/>
      <c r="E52"/>
      <c r="F52"/>
      <c r="G52"/>
      <c r="H52"/>
      <c r="I52" s="24"/>
      <c r="J52"/>
      <c r="K52" s="25"/>
    </row>
    <row r="53" spans="3:11" x14ac:dyDescent="0.3">
      <c r="C53" s="22"/>
      <c r="D53"/>
      <c r="E53"/>
      <c r="F53"/>
      <c r="G53"/>
      <c r="H53"/>
      <c r="I53" s="24"/>
      <c r="J53" s="24"/>
      <c r="K53" s="25"/>
    </row>
    <row r="54" spans="3:11" ht="30.75" customHeight="1" x14ac:dyDescent="0.3">
      <c r="C54" s="22"/>
      <c r="D54"/>
      <c r="E54"/>
      <c r="F54"/>
      <c r="G54"/>
      <c r="H54"/>
      <c r="I54" s="24"/>
      <c r="J54"/>
      <c r="K54" s="25"/>
    </row>
    <row r="55" spans="3:11" x14ac:dyDescent="0.3">
      <c r="C55" s="22"/>
      <c r="D55"/>
      <c r="E55"/>
      <c r="F55"/>
      <c r="G55"/>
      <c r="H55"/>
      <c r="I55" s="24"/>
      <c r="J55" s="24"/>
      <c r="K55" s="25"/>
    </row>
    <row r="56" spans="3:11" ht="30.75" customHeight="1" x14ac:dyDescent="0.3">
      <c r="C56" s="22"/>
      <c r="D56"/>
      <c r="E56"/>
      <c r="F56"/>
      <c r="G56"/>
      <c r="H56"/>
      <c r="I56" s="24"/>
      <c r="J56"/>
      <c r="K56" s="25"/>
    </row>
    <row r="57" spans="3:11" x14ac:dyDescent="0.3">
      <c r="C57" s="22"/>
      <c r="D57"/>
      <c r="E57"/>
      <c r="F57"/>
      <c r="G57"/>
      <c r="H57"/>
      <c r="I57" s="24"/>
      <c r="J57" s="24"/>
      <c r="K57" s="25"/>
    </row>
    <row r="58" spans="3:11" ht="30.75" customHeight="1" x14ac:dyDescent="0.3">
      <c r="C58" s="22"/>
      <c r="D58"/>
      <c r="E58"/>
      <c r="F58"/>
      <c r="G58"/>
      <c r="H58"/>
      <c r="I58" s="24"/>
      <c r="J58"/>
      <c r="K58" s="25"/>
    </row>
    <row r="59" spans="3:11" x14ac:dyDescent="0.3">
      <c r="C59" s="22"/>
      <c r="D59"/>
      <c r="E59"/>
      <c r="F59"/>
      <c r="G59"/>
      <c r="H59"/>
      <c r="I59" s="24"/>
      <c r="J59" s="24"/>
      <c r="K59" s="25"/>
    </row>
    <row r="60" spans="3:11" ht="30.75" customHeight="1" x14ac:dyDescent="0.3">
      <c r="C60" s="22"/>
      <c r="D60"/>
      <c r="E60"/>
      <c r="F60"/>
      <c r="G60"/>
      <c r="H60"/>
      <c r="I60" s="24"/>
      <c r="J60"/>
      <c r="K60" s="25"/>
    </row>
    <row r="61" spans="3:11" x14ac:dyDescent="0.3">
      <c r="C61" s="22"/>
      <c r="D61"/>
      <c r="E61"/>
      <c r="F61"/>
      <c r="G61"/>
      <c r="H61"/>
      <c r="I61" s="24"/>
      <c r="J61" s="24"/>
      <c r="K61" s="25"/>
    </row>
    <row r="62" spans="3:11" ht="30.75" customHeight="1" x14ac:dyDescent="0.3">
      <c r="C62" s="22"/>
      <c r="D62"/>
      <c r="E62"/>
      <c r="F62"/>
      <c r="G62"/>
      <c r="H62"/>
      <c r="I62" s="24"/>
      <c r="J62"/>
      <c r="K62" s="25"/>
    </row>
    <row r="63" spans="3:11" x14ac:dyDescent="0.3">
      <c r="C63" s="22"/>
      <c r="D63"/>
      <c r="E63"/>
      <c r="F63"/>
      <c r="G63"/>
      <c r="H63"/>
      <c r="I63" s="24"/>
      <c r="J63" s="24"/>
      <c r="K63" s="25"/>
    </row>
    <row r="64" spans="3:11" ht="30.75" customHeight="1" x14ac:dyDescent="0.3">
      <c r="C64" s="22"/>
      <c r="D64"/>
      <c r="E64"/>
      <c r="F64"/>
      <c r="G64"/>
      <c r="H64"/>
      <c r="I64" s="24"/>
      <c r="J64"/>
      <c r="K64" s="25"/>
    </row>
    <row r="65" spans="3:11" x14ac:dyDescent="0.3">
      <c r="C65" s="22"/>
      <c r="D65"/>
      <c r="E65"/>
      <c r="F65"/>
      <c r="G65"/>
      <c r="H65"/>
      <c r="I65" s="24"/>
      <c r="J65" s="24"/>
      <c r="K65" s="25"/>
    </row>
    <row r="66" spans="3:11" ht="30.75" customHeight="1" x14ac:dyDescent="0.3">
      <c r="C66" s="22"/>
      <c r="D66"/>
      <c r="E66"/>
      <c r="F66"/>
      <c r="G66"/>
      <c r="H66"/>
      <c r="I66" s="24"/>
      <c r="J66"/>
      <c r="K66" s="25"/>
    </row>
    <row r="67" spans="3:11" x14ac:dyDescent="0.3">
      <c r="C67" s="22"/>
      <c r="D67"/>
      <c r="E67"/>
      <c r="F67"/>
      <c r="G67"/>
      <c r="H67"/>
      <c r="I67" s="24"/>
      <c r="J67" s="24"/>
      <c r="K67" s="25"/>
    </row>
    <row r="68" spans="3:11" ht="30.75" customHeight="1" x14ac:dyDescent="0.3">
      <c r="C68" s="22"/>
      <c r="D68"/>
      <c r="E68"/>
      <c r="F68"/>
      <c r="G68"/>
      <c r="H68"/>
      <c r="I68" s="24"/>
      <c r="J68"/>
      <c r="K68" s="25"/>
    </row>
    <row r="69" spans="3:11" ht="15" thickBot="1" x14ac:dyDescent="0.35">
      <c r="C69" s="26"/>
      <c r="D69" s="27"/>
      <c r="E69" s="27"/>
      <c r="F69" s="27"/>
      <c r="G69" s="27"/>
      <c r="H69" s="27"/>
      <c r="I69" s="28"/>
      <c r="J69" s="28"/>
      <c r="K69" s="29"/>
    </row>
    <row r="70" spans="3:11" ht="15" thickBot="1" x14ac:dyDescent="0.35"/>
    <row r="71" spans="3:11" x14ac:dyDescent="0.3">
      <c r="C71" s="18"/>
      <c r="D71" s="19"/>
      <c r="E71" s="19"/>
      <c r="F71" s="19"/>
      <c r="G71" s="19"/>
      <c r="H71" s="19"/>
      <c r="I71" s="20"/>
      <c r="J71" s="20"/>
      <c r="K71" s="21"/>
    </row>
    <row r="72" spans="3:11" ht="30.75" customHeight="1" x14ac:dyDescent="0.3">
      <c r="C72" s="22"/>
      <c r="D72" s="23" t="s">
        <v>23</v>
      </c>
      <c r="E72"/>
      <c r="F72"/>
      <c r="G72"/>
      <c r="H72"/>
      <c r="I72" s="24"/>
      <c r="J72" s="130"/>
      <c r="K72" s="25"/>
    </row>
    <row r="73" spans="3:11" x14ac:dyDescent="0.3">
      <c r="C73" s="22"/>
      <c r="D73"/>
      <c r="E73"/>
      <c r="F73"/>
      <c r="G73"/>
      <c r="H73"/>
      <c r="I73" s="24"/>
      <c r="J73" s="24"/>
      <c r="K73" s="25"/>
    </row>
    <row r="74" spans="3:11" ht="30.75" customHeight="1" x14ac:dyDescent="0.3">
      <c r="C74" s="22"/>
      <c r="D74" s="23"/>
      <c r="E74"/>
      <c r="F74"/>
      <c r="G74"/>
      <c r="H74"/>
      <c r="I74" s="24"/>
      <c r="J74" s="130"/>
      <c r="K74" s="25"/>
    </row>
    <row r="75" spans="3:11" x14ac:dyDescent="0.3">
      <c r="C75" s="22"/>
      <c r="D75"/>
      <c r="E75"/>
      <c r="F75"/>
      <c r="G75"/>
      <c r="H75"/>
      <c r="I75" s="24"/>
      <c r="J75" s="24"/>
      <c r="K75" s="25"/>
    </row>
    <row r="76" spans="3:11" ht="30.75" customHeight="1" x14ac:dyDescent="0.3">
      <c r="C76" s="22"/>
      <c r="D76"/>
      <c r="E76"/>
      <c r="F76"/>
      <c r="G76"/>
      <c r="H76"/>
      <c r="I76" s="24"/>
      <c r="J76"/>
      <c r="K76" s="25"/>
    </row>
    <row r="77" spans="3:11" x14ac:dyDescent="0.3">
      <c r="C77" s="22"/>
      <c r="D77"/>
      <c r="E77"/>
      <c r="F77"/>
      <c r="G77"/>
      <c r="H77"/>
      <c r="I77" s="24"/>
      <c r="J77" s="24"/>
      <c r="K77" s="25"/>
    </row>
    <row r="78" spans="3:11" ht="30.75" customHeight="1" x14ac:dyDescent="0.3">
      <c r="C78" s="22"/>
      <c r="D78"/>
      <c r="E78"/>
      <c r="F78"/>
      <c r="G78"/>
      <c r="H78"/>
      <c r="I78" s="24"/>
      <c r="J78"/>
      <c r="K78" s="25"/>
    </row>
    <row r="79" spans="3:11" x14ac:dyDescent="0.3">
      <c r="C79" s="22"/>
      <c r="D79"/>
      <c r="E79"/>
      <c r="F79"/>
      <c r="G79"/>
      <c r="H79"/>
      <c r="I79" s="24"/>
      <c r="J79" s="24"/>
      <c r="K79" s="25"/>
    </row>
    <row r="80" spans="3:11" ht="30.75" customHeight="1" x14ac:dyDescent="0.3">
      <c r="C80" s="22"/>
      <c r="D80"/>
      <c r="E80"/>
      <c r="F80"/>
      <c r="G80"/>
      <c r="H80"/>
      <c r="I80" s="24"/>
      <c r="J80"/>
      <c r="K80" s="25"/>
    </row>
    <row r="81" spans="3:11" x14ac:dyDescent="0.3">
      <c r="C81" s="22"/>
      <c r="D81"/>
      <c r="E81"/>
      <c r="F81"/>
      <c r="G81"/>
      <c r="H81"/>
      <c r="I81" s="24"/>
      <c r="J81" s="24"/>
      <c r="K81" s="25"/>
    </row>
    <row r="82" spans="3:11" ht="30.75" customHeight="1" x14ac:dyDescent="0.3">
      <c r="C82" s="22"/>
      <c r="D82"/>
      <c r="E82"/>
      <c r="F82"/>
      <c r="G82"/>
      <c r="H82"/>
      <c r="I82" s="24"/>
      <c r="J82"/>
      <c r="K82" s="25"/>
    </row>
    <row r="83" spans="3:11" x14ac:dyDescent="0.3">
      <c r="C83" s="22"/>
      <c r="D83"/>
      <c r="E83"/>
      <c r="F83"/>
      <c r="G83"/>
      <c r="H83"/>
      <c r="I83" s="24"/>
      <c r="J83" s="24"/>
      <c r="K83" s="25"/>
    </row>
    <row r="84" spans="3:11" ht="39.75" customHeight="1" x14ac:dyDescent="0.3">
      <c r="C84" s="22"/>
      <c r="D84"/>
      <c r="E84"/>
      <c r="F84"/>
      <c r="G84"/>
      <c r="H84"/>
      <c r="I84" s="24"/>
      <c r="J84"/>
      <c r="K84" s="25"/>
    </row>
    <row r="85" spans="3:11" x14ac:dyDescent="0.3">
      <c r="C85" s="22"/>
      <c r="D85"/>
      <c r="E85"/>
      <c r="F85"/>
      <c r="G85"/>
      <c r="H85"/>
      <c r="I85" s="24"/>
      <c r="J85" s="24"/>
      <c r="K85" s="25"/>
    </row>
    <row r="86" spans="3:11" ht="30.75" customHeight="1" x14ac:dyDescent="0.3">
      <c r="C86" s="22"/>
      <c r="D86"/>
      <c r="E86"/>
      <c r="F86"/>
      <c r="G86"/>
      <c r="H86"/>
      <c r="I86" s="24"/>
      <c r="J86"/>
      <c r="K86" s="25"/>
    </row>
    <row r="87" spans="3:11" x14ac:dyDescent="0.3">
      <c r="C87" s="22"/>
      <c r="D87"/>
      <c r="E87"/>
      <c r="F87"/>
      <c r="G87"/>
      <c r="H87"/>
      <c r="I87" s="24"/>
      <c r="J87" s="24"/>
      <c r="K87" s="25"/>
    </row>
    <row r="88" spans="3:11" ht="30.75" customHeight="1" x14ac:dyDescent="0.3">
      <c r="C88" s="22"/>
      <c r="D88"/>
      <c r="E88"/>
      <c r="F88"/>
      <c r="G88"/>
      <c r="H88"/>
      <c r="I88" s="24"/>
      <c r="J88"/>
      <c r="K88" s="25"/>
    </row>
    <row r="89" spans="3:11" ht="15" thickBot="1" x14ac:dyDescent="0.35">
      <c r="C89" s="26"/>
      <c r="D89" s="27"/>
      <c r="E89" s="27"/>
      <c r="F89" s="27"/>
      <c r="G89" s="27"/>
      <c r="H89" s="27"/>
      <c r="I89" s="28"/>
      <c r="J89" s="28"/>
      <c r="K89" s="29"/>
    </row>
  </sheetData>
  <sortState xmlns:xlrd2="http://schemas.microsoft.com/office/spreadsheetml/2017/richdata2" ref="J28:J66">
    <sortCondition ref="J28:J66"/>
  </sortState>
  <pageMargins left="0.7" right="0.7" top="0.75" bottom="0.75" header="0.3" footer="0.3"/>
  <pageSetup scale="6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3"/>
  <dimension ref="B1:N41"/>
  <sheetViews>
    <sheetView showGridLines="0" showRowColHeaders="0" zoomScale="85" zoomScaleNormal="85" workbookViewId="0"/>
  </sheetViews>
  <sheetFormatPr defaultColWidth="9.109375" defaultRowHeight="14.4" x14ac:dyDescent="0.3"/>
  <cols>
    <col min="1" max="2" width="9.109375" style="12"/>
    <col min="3" max="6" width="9.109375" style="12" customWidth="1"/>
    <col min="7" max="16384" width="9.109375" style="12"/>
  </cols>
  <sheetData>
    <row r="1" spans="2:14" x14ac:dyDescent="0.3">
      <c r="I1" s="16"/>
      <c r="J1" s="16"/>
    </row>
    <row r="2" spans="2:14" ht="32.4" x14ac:dyDescent="0.3">
      <c r="H2" s="17" t="s">
        <v>1204</v>
      </c>
      <c r="I2" s="16"/>
      <c r="J2" s="16"/>
    </row>
    <row r="3" spans="2:14" ht="16.5" customHeight="1" thickBot="1" x14ac:dyDescent="0.35">
      <c r="H3" s="17"/>
      <c r="I3" s="16"/>
      <c r="J3" s="16"/>
    </row>
    <row r="4" spans="2:14" ht="16.5" customHeight="1" x14ac:dyDescent="0.3">
      <c r="B4" s="18"/>
      <c r="C4" s="19"/>
      <c r="D4" s="19"/>
      <c r="E4" s="19"/>
      <c r="F4" s="19"/>
      <c r="G4" s="19"/>
      <c r="H4" s="19"/>
      <c r="I4" s="120"/>
      <c r="J4" s="20"/>
      <c r="K4" s="20"/>
      <c r="L4" s="19"/>
      <c r="M4" s="19"/>
      <c r="N4" s="21"/>
    </row>
    <row r="5" spans="2:14" ht="345" customHeight="1" x14ac:dyDescent="0.3">
      <c r="B5" s="22"/>
      <c r="C5" s="319" t="s">
        <v>1205</v>
      </c>
      <c r="D5" s="319"/>
      <c r="E5" s="319"/>
      <c r="F5" s="319"/>
      <c r="G5" s="319"/>
      <c r="H5" s="319"/>
      <c r="I5" s="319"/>
      <c r="J5" s="319"/>
      <c r="K5" s="319"/>
      <c r="L5" s="319"/>
      <c r="M5" s="319"/>
      <c r="N5" s="25"/>
    </row>
    <row r="6" spans="2:14" ht="16.5" customHeight="1" x14ac:dyDescent="0.3">
      <c r="B6" s="22"/>
      <c r="C6" s="319"/>
      <c r="D6" s="319"/>
      <c r="E6" s="319"/>
      <c r="F6" s="319"/>
      <c r="G6" s="319"/>
      <c r="H6" s="319"/>
      <c r="I6" s="319"/>
      <c r="J6" s="319"/>
      <c r="K6" s="319"/>
      <c r="L6" s="319"/>
      <c r="M6" s="319"/>
      <c r="N6" s="25"/>
    </row>
    <row r="7" spans="2:14" ht="60" customHeight="1" x14ac:dyDescent="0.3">
      <c r="B7" s="22"/>
      <c r="C7" s="319" t="s">
        <v>1206</v>
      </c>
      <c r="D7" s="319"/>
      <c r="E7" s="319"/>
      <c r="F7" s="319"/>
      <c r="G7" s="319"/>
      <c r="H7" s="319"/>
      <c r="I7" s="319"/>
      <c r="J7" s="319"/>
      <c r="K7" s="319"/>
      <c r="L7" s="319"/>
      <c r="M7" s="319"/>
      <c r="N7" s="25"/>
    </row>
    <row r="8" spans="2:14" ht="45" customHeight="1" x14ac:dyDescent="0.3">
      <c r="B8" s="22"/>
      <c r="C8" s="304" t="s">
        <v>1154</v>
      </c>
      <c r="D8" s="320" t="s">
        <v>1156</v>
      </c>
      <c r="E8" s="320"/>
      <c r="F8" s="320"/>
      <c r="G8" s="320"/>
      <c r="H8" s="320"/>
      <c r="I8" s="320"/>
      <c r="J8" s="320"/>
      <c r="K8" s="320"/>
      <c r="L8" s="320"/>
      <c r="M8" s="320"/>
      <c r="N8" s="25"/>
    </row>
    <row r="9" spans="2:14" ht="45" customHeight="1" x14ac:dyDescent="0.3">
      <c r="B9" s="22"/>
      <c r="C9" s="304" t="s">
        <v>1155</v>
      </c>
      <c r="D9" s="320" t="s">
        <v>1157</v>
      </c>
      <c r="E9" s="320"/>
      <c r="F9" s="320"/>
      <c r="G9" s="320"/>
      <c r="H9" s="320"/>
      <c r="I9" s="320"/>
      <c r="J9" s="320"/>
      <c r="K9" s="320"/>
      <c r="L9" s="320"/>
      <c r="M9" s="320"/>
      <c r="N9" s="25"/>
    </row>
    <row r="10" spans="2:14" ht="16.5" customHeight="1" x14ac:dyDescent="0.3">
      <c r="B10" s="22"/>
      <c r="C10" s="304"/>
      <c r="D10" s="306"/>
      <c r="E10" s="306"/>
      <c r="F10" s="306"/>
      <c r="G10" s="306"/>
      <c r="H10" s="306"/>
      <c r="I10" s="306"/>
      <c r="J10" s="306"/>
      <c r="K10" s="306"/>
      <c r="L10" s="306"/>
      <c r="M10" s="306"/>
      <c r="N10" s="25"/>
    </row>
    <row r="11" spans="2:14" ht="30" customHeight="1" x14ac:dyDescent="0.3">
      <c r="B11" s="22"/>
      <c r="C11" s="319" t="s">
        <v>1160</v>
      </c>
      <c r="D11" s="319"/>
      <c r="E11" s="319"/>
      <c r="F11" s="319"/>
      <c r="G11" s="319"/>
      <c r="H11" s="319"/>
      <c r="I11" s="319"/>
      <c r="J11" s="319"/>
      <c r="K11" s="319"/>
      <c r="L11" s="319"/>
      <c r="M11" s="319"/>
      <c r="N11" s="25"/>
    </row>
    <row r="12" spans="2:14" ht="15" customHeight="1" x14ac:dyDescent="0.3">
      <c r="B12" s="22"/>
      <c r="C12" s="134"/>
      <c r="D12" s="134"/>
      <c r="E12" s="134"/>
      <c r="F12" s="134"/>
      <c r="G12" s="134"/>
      <c r="H12" s="134"/>
      <c r="I12" s="134"/>
      <c r="J12" s="134"/>
      <c r="K12" s="134"/>
      <c r="L12" s="134"/>
      <c r="M12" s="134"/>
      <c r="N12" s="25"/>
    </row>
    <row r="13" spans="2:14" ht="45" customHeight="1" x14ac:dyDescent="0.3">
      <c r="B13" s="22"/>
      <c r="C13" s="319" t="s">
        <v>1207</v>
      </c>
      <c r="D13" s="319"/>
      <c r="E13" s="319"/>
      <c r="F13" s="319"/>
      <c r="G13" s="319"/>
      <c r="H13" s="319"/>
      <c r="I13" s="319"/>
      <c r="J13" s="319"/>
      <c r="K13" s="319"/>
      <c r="L13" s="319"/>
      <c r="M13" s="319"/>
      <c r="N13" s="25"/>
    </row>
    <row r="14" spans="2:14" ht="16.5" customHeight="1" x14ac:dyDescent="0.3">
      <c r="B14" s="22"/>
      <c r="C14" s="134"/>
      <c r="D14" s="134"/>
      <c r="E14" s="134"/>
      <c r="F14" s="134"/>
      <c r="G14" s="134"/>
      <c r="H14" s="134"/>
      <c r="I14" s="134"/>
      <c r="J14" s="134"/>
      <c r="K14" s="134"/>
      <c r="L14" s="134"/>
      <c r="M14" s="134"/>
      <c r="N14" s="25"/>
    </row>
    <row r="15" spans="2:14" ht="30" customHeight="1" x14ac:dyDescent="0.3">
      <c r="B15" s="22"/>
      <c r="C15" s="135" t="s">
        <v>752</v>
      </c>
      <c r="D15" s="319" t="s">
        <v>900</v>
      </c>
      <c r="E15" s="319"/>
      <c r="F15" s="319"/>
      <c r="G15" s="319"/>
      <c r="H15" s="319"/>
      <c r="I15" s="319"/>
      <c r="J15" s="319"/>
      <c r="K15" s="319"/>
      <c r="L15" s="319"/>
      <c r="M15" s="319"/>
      <c r="N15" s="25"/>
    </row>
    <row r="16" spans="2:14" ht="17.25" customHeight="1" x14ac:dyDescent="0.3">
      <c r="B16" s="22"/>
      <c r="C16" s="135" t="s">
        <v>752</v>
      </c>
      <c r="D16" s="319" t="s">
        <v>753</v>
      </c>
      <c r="E16" s="319"/>
      <c r="F16" s="319"/>
      <c r="G16" s="319"/>
      <c r="H16" s="319"/>
      <c r="I16" s="319"/>
      <c r="J16" s="319"/>
      <c r="K16" s="319"/>
      <c r="L16" s="319"/>
      <c r="M16" s="319"/>
      <c r="N16" s="25"/>
    </row>
    <row r="17" spans="2:14" ht="60" customHeight="1" x14ac:dyDescent="0.3">
      <c r="B17" s="22"/>
      <c r="C17" s="135"/>
      <c r="D17" s="136" t="s">
        <v>755</v>
      </c>
      <c r="E17" s="319" t="s">
        <v>758</v>
      </c>
      <c r="F17" s="319"/>
      <c r="G17" s="319"/>
      <c r="H17" s="319"/>
      <c r="I17" s="319"/>
      <c r="J17" s="319"/>
      <c r="K17" s="319"/>
      <c r="L17" s="319"/>
      <c r="M17" s="319"/>
      <c r="N17" s="25"/>
    </row>
    <row r="18" spans="2:14" ht="90" customHeight="1" x14ac:dyDescent="0.3">
      <c r="B18" s="22"/>
      <c r="C18" s="135"/>
      <c r="D18" s="136"/>
      <c r="E18" s="136" t="s">
        <v>802</v>
      </c>
      <c r="F18" s="319" t="s">
        <v>1147</v>
      </c>
      <c r="G18" s="319"/>
      <c r="H18" s="319"/>
      <c r="I18" s="319"/>
      <c r="J18" s="319"/>
      <c r="K18" s="319"/>
      <c r="L18" s="319"/>
      <c r="M18" s="319"/>
      <c r="N18" s="25"/>
    </row>
    <row r="19" spans="2:14" ht="75" customHeight="1" x14ac:dyDescent="0.3">
      <c r="B19" s="22"/>
      <c r="C19" s="135"/>
      <c r="D19" s="136" t="s">
        <v>755</v>
      </c>
      <c r="E19" s="319" t="s">
        <v>759</v>
      </c>
      <c r="F19" s="319"/>
      <c r="G19" s="319"/>
      <c r="H19" s="319"/>
      <c r="I19" s="319"/>
      <c r="J19" s="319"/>
      <c r="K19" s="319"/>
      <c r="L19" s="319"/>
      <c r="M19" s="319"/>
      <c r="N19" s="25"/>
    </row>
    <row r="20" spans="2:14" ht="105" customHeight="1" x14ac:dyDescent="0.3">
      <c r="B20" s="22"/>
      <c r="C20" s="135"/>
      <c r="D20" s="136" t="s">
        <v>755</v>
      </c>
      <c r="E20" s="319" t="s">
        <v>1148</v>
      </c>
      <c r="F20" s="319"/>
      <c r="G20" s="319"/>
      <c r="H20" s="319"/>
      <c r="I20" s="319"/>
      <c r="J20" s="319"/>
      <c r="K20" s="319"/>
      <c r="L20" s="319"/>
      <c r="M20" s="319"/>
      <c r="N20" s="25"/>
    </row>
    <row r="21" spans="2:14" ht="105" customHeight="1" x14ac:dyDescent="0.3">
      <c r="B21" s="22"/>
      <c r="C21" s="135"/>
      <c r="D21" s="136" t="s">
        <v>755</v>
      </c>
      <c r="E21" s="319" t="s">
        <v>760</v>
      </c>
      <c r="F21" s="319"/>
      <c r="G21" s="319"/>
      <c r="H21" s="319"/>
      <c r="I21" s="319"/>
      <c r="J21" s="319"/>
      <c r="K21" s="319"/>
      <c r="L21" s="319"/>
      <c r="M21" s="319"/>
      <c r="N21" s="25"/>
    </row>
    <row r="22" spans="2:14" ht="17.25" customHeight="1" x14ac:dyDescent="0.3">
      <c r="B22" s="22"/>
      <c r="C22" s="135" t="s">
        <v>752</v>
      </c>
      <c r="D22" s="319" t="s">
        <v>754</v>
      </c>
      <c r="E22" s="319"/>
      <c r="F22" s="319"/>
      <c r="G22" s="319"/>
      <c r="H22" s="319"/>
      <c r="I22" s="319"/>
      <c r="J22" s="319"/>
      <c r="K22" s="319"/>
      <c r="L22" s="319"/>
      <c r="M22" s="319"/>
      <c r="N22" s="25"/>
    </row>
    <row r="23" spans="2:14" ht="136.5" customHeight="1" x14ac:dyDescent="0.3">
      <c r="B23" s="22"/>
      <c r="C23" s="135"/>
      <c r="D23" s="136" t="s">
        <v>755</v>
      </c>
      <c r="E23" s="319" t="s">
        <v>761</v>
      </c>
      <c r="F23" s="319"/>
      <c r="G23" s="319"/>
      <c r="H23" s="319"/>
      <c r="I23" s="319"/>
      <c r="J23" s="319"/>
      <c r="K23" s="319"/>
      <c r="L23" s="319"/>
      <c r="M23" s="319"/>
      <c r="N23" s="25"/>
    </row>
    <row r="24" spans="2:14" ht="45" customHeight="1" x14ac:dyDescent="0.3">
      <c r="B24" s="22"/>
      <c r="C24" s="135"/>
      <c r="D24" s="136" t="s">
        <v>755</v>
      </c>
      <c r="E24" s="319" t="s">
        <v>767</v>
      </c>
      <c r="F24" s="319"/>
      <c r="G24" s="319"/>
      <c r="H24" s="319"/>
      <c r="I24" s="319"/>
      <c r="J24" s="319"/>
      <c r="K24" s="319"/>
      <c r="L24" s="319"/>
      <c r="M24" s="319"/>
      <c r="N24" s="25"/>
    </row>
    <row r="25" spans="2:14" ht="60" customHeight="1" x14ac:dyDescent="0.3">
      <c r="B25" s="22"/>
      <c r="C25" s="135"/>
      <c r="D25" s="136" t="s">
        <v>755</v>
      </c>
      <c r="E25" s="319" t="s">
        <v>762</v>
      </c>
      <c r="F25" s="319"/>
      <c r="G25" s="319"/>
      <c r="H25" s="319"/>
      <c r="I25" s="319"/>
      <c r="J25" s="319"/>
      <c r="K25" s="319"/>
      <c r="L25" s="319"/>
      <c r="M25" s="319"/>
      <c r="N25" s="25"/>
    </row>
    <row r="26" spans="2:14" ht="60" customHeight="1" x14ac:dyDescent="0.3">
      <c r="B26" s="22"/>
      <c r="C26" s="135"/>
      <c r="D26" s="136" t="s">
        <v>755</v>
      </c>
      <c r="E26" s="319" t="s">
        <v>1149</v>
      </c>
      <c r="F26" s="319"/>
      <c r="G26" s="319"/>
      <c r="H26" s="319"/>
      <c r="I26" s="319"/>
      <c r="J26" s="319"/>
      <c r="K26" s="319"/>
      <c r="L26" s="319"/>
      <c r="M26" s="319"/>
      <c r="N26" s="25"/>
    </row>
    <row r="27" spans="2:14" ht="105" customHeight="1" x14ac:dyDescent="0.3">
      <c r="B27" s="22"/>
      <c r="C27" s="135"/>
      <c r="D27" s="136" t="s">
        <v>755</v>
      </c>
      <c r="E27" s="319" t="s">
        <v>1150</v>
      </c>
      <c r="F27" s="319"/>
      <c r="G27" s="319"/>
      <c r="H27" s="319"/>
      <c r="I27" s="319"/>
      <c r="J27" s="319"/>
      <c r="K27" s="319"/>
      <c r="L27" s="319"/>
      <c r="M27" s="319"/>
      <c r="N27" s="25"/>
    </row>
    <row r="28" spans="2:14" ht="45" customHeight="1" x14ac:dyDescent="0.3">
      <c r="B28" s="22"/>
      <c r="C28" s="135"/>
      <c r="D28" s="136" t="s">
        <v>755</v>
      </c>
      <c r="E28" s="319" t="s">
        <v>757</v>
      </c>
      <c r="F28" s="319"/>
      <c r="G28" s="319"/>
      <c r="H28" s="319"/>
      <c r="I28" s="319"/>
      <c r="J28" s="319"/>
      <c r="K28" s="319"/>
      <c r="L28" s="319"/>
      <c r="M28" s="319"/>
      <c r="N28" s="25"/>
    </row>
    <row r="29" spans="2:14" ht="105" customHeight="1" x14ac:dyDescent="0.3">
      <c r="B29" s="22"/>
      <c r="C29" s="135"/>
      <c r="D29" s="136" t="s">
        <v>755</v>
      </c>
      <c r="E29" s="319" t="s">
        <v>1151</v>
      </c>
      <c r="F29" s="319"/>
      <c r="G29" s="319"/>
      <c r="H29" s="319"/>
      <c r="I29" s="319"/>
      <c r="J29" s="319"/>
      <c r="K29" s="319"/>
      <c r="L29" s="319"/>
      <c r="M29" s="319"/>
      <c r="N29" s="25"/>
    </row>
    <row r="30" spans="2:14" ht="17.25" customHeight="1" x14ac:dyDescent="0.3">
      <c r="B30" s="22"/>
      <c r="C30" s="135" t="s">
        <v>752</v>
      </c>
      <c r="D30" s="319" t="s">
        <v>756</v>
      </c>
      <c r="E30" s="319"/>
      <c r="F30" s="319"/>
      <c r="G30" s="319"/>
      <c r="H30" s="319"/>
      <c r="I30" s="319"/>
      <c r="J30" s="319"/>
      <c r="K30" s="319"/>
      <c r="L30" s="319"/>
      <c r="M30" s="319"/>
      <c r="N30" s="25"/>
    </row>
    <row r="31" spans="2:14" ht="45" customHeight="1" x14ac:dyDescent="0.3">
      <c r="B31" s="22"/>
      <c r="C31" s="135"/>
      <c r="D31" s="136" t="s">
        <v>755</v>
      </c>
      <c r="E31" s="319" t="s">
        <v>1152</v>
      </c>
      <c r="F31" s="319"/>
      <c r="G31" s="319"/>
      <c r="H31" s="319"/>
      <c r="I31" s="319"/>
      <c r="J31" s="319"/>
      <c r="K31" s="319"/>
      <c r="L31" s="319"/>
      <c r="M31" s="319"/>
      <c r="N31" s="25"/>
    </row>
    <row r="32" spans="2:14" ht="60" customHeight="1" x14ac:dyDescent="0.3">
      <c r="B32" s="22"/>
      <c r="C32" s="135"/>
      <c r="D32" s="136" t="s">
        <v>755</v>
      </c>
      <c r="E32" s="319" t="s">
        <v>1153</v>
      </c>
      <c r="F32" s="319"/>
      <c r="G32" s="319"/>
      <c r="H32" s="319"/>
      <c r="I32" s="319"/>
      <c r="J32" s="319"/>
      <c r="K32" s="319"/>
      <c r="L32" s="319"/>
      <c r="M32" s="319"/>
      <c r="N32" s="25"/>
    </row>
    <row r="33" spans="2:14" ht="45" customHeight="1" x14ac:dyDescent="0.3">
      <c r="B33" s="22"/>
      <c r="C33" s="135"/>
      <c r="D33" s="136" t="s">
        <v>755</v>
      </c>
      <c r="E33" s="319" t="s">
        <v>1161</v>
      </c>
      <c r="F33" s="319"/>
      <c r="G33" s="319"/>
      <c r="H33" s="319"/>
      <c r="I33" s="319"/>
      <c r="J33" s="319"/>
      <c r="K33" s="319"/>
      <c r="L33" s="319"/>
      <c r="M33" s="319"/>
      <c r="N33" s="25"/>
    </row>
    <row r="34" spans="2:14" ht="45" customHeight="1" x14ac:dyDescent="0.3">
      <c r="B34" s="22"/>
      <c r="C34" s="135"/>
      <c r="D34" s="136" t="s">
        <v>755</v>
      </c>
      <c r="E34" s="319" t="s">
        <v>766</v>
      </c>
      <c r="F34" s="319"/>
      <c r="G34" s="319"/>
      <c r="H34" s="319"/>
      <c r="I34" s="319"/>
      <c r="J34" s="319"/>
      <c r="K34" s="319"/>
      <c r="L34" s="319"/>
      <c r="M34" s="319"/>
      <c r="N34" s="25"/>
    </row>
    <row r="35" spans="2:14" ht="90" customHeight="1" x14ac:dyDescent="0.3">
      <c r="B35" s="22"/>
      <c r="C35" s="135"/>
      <c r="D35" s="136" t="s">
        <v>755</v>
      </c>
      <c r="E35" s="319" t="s">
        <v>765</v>
      </c>
      <c r="F35" s="319"/>
      <c r="G35" s="319"/>
      <c r="H35" s="319"/>
      <c r="I35" s="319"/>
      <c r="J35" s="319"/>
      <c r="K35" s="319"/>
      <c r="L35" s="319"/>
      <c r="M35" s="319"/>
      <c r="N35" s="25"/>
    </row>
    <row r="36" spans="2:14" ht="75" customHeight="1" x14ac:dyDescent="0.3">
      <c r="B36" s="22"/>
      <c r="C36" s="135"/>
      <c r="D36" s="136" t="s">
        <v>755</v>
      </c>
      <c r="E36" s="319" t="s">
        <v>1162</v>
      </c>
      <c r="F36" s="319"/>
      <c r="G36" s="319"/>
      <c r="H36" s="319"/>
      <c r="I36" s="319"/>
      <c r="J36" s="319"/>
      <c r="K36" s="319"/>
      <c r="L36" s="319"/>
      <c r="M36" s="319"/>
      <c r="N36" s="25"/>
    </row>
    <row r="37" spans="2:14" ht="75" customHeight="1" x14ac:dyDescent="0.3">
      <c r="B37" s="22"/>
      <c r="C37" s="135"/>
      <c r="D37" s="136" t="s">
        <v>755</v>
      </c>
      <c r="E37" s="319" t="s">
        <v>764</v>
      </c>
      <c r="F37" s="319"/>
      <c r="G37" s="319"/>
      <c r="H37" s="319"/>
      <c r="I37" s="319"/>
      <c r="J37" s="319"/>
      <c r="K37" s="319"/>
      <c r="L37" s="319"/>
      <c r="M37" s="319"/>
      <c r="N37" s="25"/>
    </row>
    <row r="38" spans="2:14" ht="120" customHeight="1" x14ac:dyDescent="0.3">
      <c r="B38" s="22"/>
      <c r="C38" s="135"/>
      <c r="D38" s="136" t="s">
        <v>755</v>
      </c>
      <c r="E38" s="319" t="s">
        <v>949</v>
      </c>
      <c r="F38" s="319"/>
      <c r="G38" s="319"/>
      <c r="H38" s="319"/>
      <c r="I38" s="319"/>
      <c r="J38" s="319"/>
      <c r="K38" s="319"/>
      <c r="L38" s="319"/>
      <c r="M38" s="319"/>
      <c r="N38" s="25"/>
    </row>
    <row r="39" spans="2:14" ht="45" customHeight="1" x14ac:dyDescent="0.3">
      <c r="B39" s="22"/>
      <c r="C39" s="135"/>
      <c r="D39" s="136" t="s">
        <v>755</v>
      </c>
      <c r="E39" s="319" t="s">
        <v>763</v>
      </c>
      <c r="F39" s="319"/>
      <c r="G39" s="319"/>
      <c r="H39" s="319"/>
      <c r="I39" s="319"/>
      <c r="J39" s="319"/>
      <c r="K39" s="319"/>
      <c r="L39" s="319"/>
      <c r="M39" s="319"/>
      <c r="N39" s="25"/>
    </row>
    <row r="40" spans="2:14" ht="135" customHeight="1" x14ac:dyDescent="0.3">
      <c r="B40" s="22"/>
      <c r="C40" s="135"/>
      <c r="D40" s="136" t="s">
        <v>755</v>
      </c>
      <c r="E40" s="319" t="s">
        <v>1208</v>
      </c>
      <c r="F40" s="319"/>
      <c r="G40" s="319"/>
      <c r="H40" s="319"/>
      <c r="I40" s="319"/>
      <c r="J40" s="319"/>
      <c r="K40" s="319"/>
      <c r="L40" s="319"/>
      <c r="M40" s="319"/>
      <c r="N40" s="25"/>
    </row>
    <row r="41" spans="2:14" ht="15" thickBot="1" x14ac:dyDescent="0.35">
      <c r="B41" s="26"/>
      <c r="C41" s="27"/>
      <c r="D41" s="27"/>
      <c r="E41" s="27"/>
      <c r="F41" s="27"/>
      <c r="G41" s="27"/>
      <c r="H41" s="27"/>
      <c r="I41" s="27"/>
      <c r="J41" s="27"/>
      <c r="K41" s="27"/>
      <c r="L41" s="27"/>
      <c r="M41" s="27"/>
      <c r="N41" s="29"/>
    </row>
  </sheetData>
  <mergeCells count="33">
    <mergeCell ref="E40:M40"/>
    <mergeCell ref="E31:M31"/>
    <mergeCell ref="E32:M32"/>
    <mergeCell ref="E38:M38"/>
    <mergeCell ref="E39:M39"/>
    <mergeCell ref="E34:M34"/>
    <mergeCell ref="E35:M35"/>
    <mergeCell ref="E37:M37"/>
    <mergeCell ref="E33:M33"/>
    <mergeCell ref="E36:M36"/>
    <mergeCell ref="E23:M23"/>
    <mergeCell ref="E24:M24"/>
    <mergeCell ref="D30:M30"/>
    <mergeCell ref="E25:M25"/>
    <mergeCell ref="E28:M28"/>
    <mergeCell ref="E29:M29"/>
    <mergeCell ref="E26:M26"/>
    <mergeCell ref="E27:M27"/>
    <mergeCell ref="C5:M5"/>
    <mergeCell ref="D16:M16"/>
    <mergeCell ref="D15:M15"/>
    <mergeCell ref="D22:M22"/>
    <mergeCell ref="E17:M17"/>
    <mergeCell ref="E19:M19"/>
    <mergeCell ref="E20:M20"/>
    <mergeCell ref="E21:M21"/>
    <mergeCell ref="F18:M18"/>
    <mergeCell ref="C6:M6"/>
    <mergeCell ref="C13:M13"/>
    <mergeCell ref="C7:M7"/>
    <mergeCell ref="D8:M8"/>
    <mergeCell ref="D9:M9"/>
    <mergeCell ref="C11:M11"/>
  </mergeCells>
  <pageMargins left="0.7" right="0.7" top="0.75" bottom="0.75" header="0.3" footer="0.3"/>
  <pageSetup scale="6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4"/>
  <dimension ref="B1:M142"/>
  <sheetViews>
    <sheetView showGridLines="0" showRowColHeaders="0" zoomScale="70" zoomScaleNormal="70" zoomScaleSheetLayoutView="85" workbookViewId="0">
      <selection activeCell="B12" sqref="B12"/>
    </sheetView>
  </sheetViews>
  <sheetFormatPr defaultColWidth="9.109375" defaultRowHeight="14.4" x14ac:dyDescent="0.3"/>
  <cols>
    <col min="1" max="1" width="9.109375" style="12"/>
    <col min="2" max="2" width="26.6640625" style="234" customWidth="1"/>
    <col min="3" max="3" width="5" style="12" customWidth="1"/>
    <col min="4" max="4" width="21.44140625" style="30" customWidth="1"/>
    <col min="5" max="5" width="9.109375" style="12"/>
    <col min="6" max="6" width="9.109375" style="12" customWidth="1"/>
    <col min="7" max="16384" width="9.109375" style="12"/>
  </cols>
  <sheetData>
    <row r="1" spans="2:10" x14ac:dyDescent="0.3">
      <c r="B1" s="233"/>
      <c r="D1" s="12"/>
      <c r="I1" s="16"/>
      <c r="J1" s="16"/>
    </row>
    <row r="2" spans="2:10" ht="32.4" x14ac:dyDescent="0.3">
      <c r="E2" s="17" t="s">
        <v>1204</v>
      </c>
      <c r="I2" s="16"/>
      <c r="J2" s="16"/>
    </row>
    <row r="3" spans="2:10" ht="16.5" customHeight="1" x14ac:dyDescent="0.3">
      <c r="H3" s="17"/>
      <c r="I3" s="16"/>
      <c r="J3" s="16"/>
    </row>
    <row r="4" spans="2:10" ht="16.5" customHeight="1" x14ac:dyDescent="0.3">
      <c r="H4" s="17"/>
      <c r="I4" s="16"/>
      <c r="J4" s="16"/>
    </row>
    <row r="5" spans="2:10" ht="16.5" customHeight="1" x14ac:dyDescent="0.3">
      <c r="D5" s="288" t="s">
        <v>1066</v>
      </c>
      <c r="H5" s="17"/>
      <c r="I5" s="16"/>
      <c r="J5" s="16"/>
    </row>
    <row r="6" spans="2:10" ht="16.5" customHeight="1" x14ac:dyDescent="0.3">
      <c r="H6" s="17"/>
      <c r="I6" s="16"/>
      <c r="J6" s="16"/>
    </row>
    <row r="7" spans="2:10" ht="16.5" customHeight="1" x14ac:dyDescent="0.3">
      <c r="H7" s="17"/>
      <c r="I7" s="16"/>
      <c r="J7" s="16"/>
    </row>
    <row r="8" spans="2:10" ht="20.25" customHeight="1" x14ac:dyDescent="0.3">
      <c r="E8" s="240"/>
      <c r="H8" s="17"/>
      <c r="I8" s="16"/>
      <c r="J8" s="16"/>
    </row>
    <row r="9" spans="2:10" ht="16.5" customHeight="1" x14ac:dyDescent="0.3">
      <c r="H9" s="17"/>
      <c r="I9" s="16"/>
      <c r="J9" s="16"/>
    </row>
    <row r="10" spans="2:10" s="52" customFormat="1" ht="9.75" customHeight="1" x14ac:dyDescent="0.3">
      <c r="B10" s="235" t="s">
        <v>245</v>
      </c>
      <c r="D10" s="30"/>
    </row>
    <row r="11" spans="2:10" s="52" customFormat="1" ht="9.75" customHeight="1" x14ac:dyDescent="0.3">
      <c r="B11" s="237"/>
      <c r="D11" s="30"/>
    </row>
    <row r="12" spans="2:10" s="52" customFormat="1" ht="9.75" customHeight="1" x14ac:dyDescent="0.3">
      <c r="B12" s="236" t="s">
        <v>56</v>
      </c>
      <c r="D12" s="30"/>
    </row>
    <row r="13" spans="2:10" ht="1.5" customHeight="1" x14ac:dyDescent="0.3"/>
    <row r="14" spans="2:10" s="52" customFormat="1" ht="9.75" customHeight="1" x14ac:dyDescent="0.3">
      <c r="B14" s="236" t="s">
        <v>46</v>
      </c>
      <c r="D14" s="30"/>
    </row>
    <row r="15" spans="2:10" ht="1.5" customHeight="1" x14ac:dyDescent="0.3"/>
    <row r="16" spans="2:10" s="52" customFormat="1" ht="9.75" customHeight="1" x14ac:dyDescent="0.3">
      <c r="B16" s="236" t="s">
        <v>49</v>
      </c>
      <c r="D16" s="30"/>
    </row>
    <row r="17" spans="2:4" ht="1.5" customHeight="1" x14ac:dyDescent="0.3"/>
    <row r="18" spans="2:4" s="52" customFormat="1" ht="9.75" customHeight="1" x14ac:dyDescent="0.3">
      <c r="B18" s="236" t="s">
        <v>440</v>
      </c>
      <c r="D18" s="30"/>
    </row>
    <row r="19" spans="2:4" ht="1.5" customHeight="1" x14ac:dyDescent="0.3"/>
    <row r="20" spans="2:4" s="52" customFormat="1" ht="9.75" customHeight="1" x14ac:dyDescent="0.3">
      <c r="B20" s="236" t="s">
        <v>55</v>
      </c>
      <c r="D20" s="30"/>
    </row>
    <row r="21" spans="2:4" ht="1.5" customHeight="1" x14ac:dyDescent="0.3"/>
    <row r="22" spans="2:4" s="52" customFormat="1" ht="9.75" customHeight="1" x14ac:dyDescent="0.3">
      <c r="B22" s="236" t="s">
        <v>439</v>
      </c>
      <c r="D22" s="30"/>
    </row>
    <row r="23" spans="2:4" s="52" customFormat="1" ht="9.75" customHeight="1" x14ac:dyDescent="0.3">
      <c r="B23" s="237"/>
      <c r="D23" s="30"/>
    </row>
    <row r="24" spans="2:4" s="52" customFormat="1" ht="9.75" customHeight="1" x14ac:dyDescent="0.3">
      <c r="B24" s="236" t="s">
        <v>67</v>
      </c>
      <c r="D24" s="30"/>
    </row>
    <row r="25" spans="2:4" ht="1.5" customHeight="1" x14ac:dyDescent="0.3"/>
    <row r="26" spans="2:4" s="52" customFormat="1" ht="9.75" customHeight="1" x14ac:dyDescent="0.3">
      <c r="B26" s="236" t="s">
        <v>292</v>
      </c>
      <c r="D26" s="30"/>
    </row>
    <row r="27" spans="2:4" ht="1.5" customHeight="1" x14ac:dyDescent="0.3"/>
    <row r="28" spans="2:4" s="52" customFormat="1" ht="9.75" customHeight="1" x14ac:dyDescent="0.3">
      <c r="B28" s="236" t="s">
        <v>69</v>
      </c>
      <c r="D28" s="30"/>
    </row>
    <row r="29" spans="2:4" ht="1.5" customHeight="1" x14ac:dyDescent="0.3"/>
    <row r="30" spans="2:4" s="52" customFormat="1" ht="9.75" customHeight="1" x14ac:dyDescent="0.3">
      <c r="B30" s="236" t="s">
        <v>70</v>
      </c>
      <c r="D30" s="30"/>
    </row>
    <row r="31" spans="2:4" ht="1.5" customHeight="1" x14ac:dyDescent="0.3"/>
    <row r="32" spans="2:4" s="52" customFormat="1" ht="9.75" customHeight="1" x14ac:dyDescent="0.3">
      <c r="B32" s="236" t="s">
        <v>71</v>
      </c>
      <c r="D32" s="30"/>
    </row>
    <row r="33" spans="2:4" ht="1.5" customHeight="1" x14ac:dyDescent="0.3"/>
    <row r="34" spans="2:4" s="52" customFormat="1" ht="9.75" customHeight="1" x14ac:dyDescent="0.3">
      <c r="B34" s="236" t="s">
        <v>72</v>
      </c>
      <c r="D34" s="30"/>
    </row>
    <row r="35" spans="2:4" s="52" customFormat="1" ht="9.75" customHeight="1" x14ac:dyDescent="0.3">
      <c r="B35" s="237"/>
      <c r="D35" s="30"/>
    </row>
    <row r="36" spans="2:4" s="52" customFormat="1" ht="9.75" customHeight="1" x14ac:dyDescent="0.3">
      <c r="B36" s="236" t="s">
        <v>75</v>
      </c>
      <c r="D36" s="30"/>
    </row>
    <row r="37" spans="2:4" ht="1.5" customHeight="1" x14ac:dyDescent="0.3"/>
    <row r="38" spans="2:4" s="52" customFormat="1" ht="9.75" customHeight="1" x14ac:dyDescent="0.3">
      <c r="B38" s="236" t="s">
        <v>1001</v>
      </c>
      <c r="D38" s="30"/>
    </row>
    <row r="39" spans="2:4" ht="1.5" customHeight="1" x14ac:dyDescent="0.3"/>
    <row r="40" spans="2:4" s="52" customFormat="1" ht="9.75" customHeight="1" x14ac:dyDescent="0.3">
      <c r="B40" s="236" t="s">
        <v>1002</v>
      </c>
      <c r="D40" s="30"/>
    </row>
    <row r="41" spans="2:4" ht="1.5" customHeight="1" x14ac:dyDescent="0.3"/>
    <row r="42" spans="2:4" s="52" customFormat="1" ht="9.75" customHeight="1" x14ac:dyDescent="0.3">
      <c r="B42" s="236" t="s">
        <v>1003</v>
      </c>
      <c r="D42" s="30"/>
    </row>
    <row r="43" spans="2:4" ht="1.5" customHeight="1" x14ac:dyDescent="0.3"/>
    <row r="44" spans="2:4" s="52" customFormat="1" ht="9.75" customHeight="1" x14ac:dyDescent="0.3">
      <c r="B44" s="236" t="s">
        <v>1004</v>
      </c>
      <c r="D44" s="30"/>
    </row>
    <row r="45" spans="2:4" ht="1.5" customHeight="1" x14ac:dyDescent="0.3"/>
    <row r="46" spans="2:4" s="52" customFormat="1" ht="9.75" customHeight="1" x14ac:dyDescent="0.3">
      <c r="B46" s="236" t="s">
        <v>1008</v>
      </c>
      <c r="D46" s="30"/>
    </row>
    <row r="47" spans="2:4" ht="1.5" customHeight="1" x14ac:dyDescent="0.3"/>
    <row r="48" spans="2:4" s="52" customFormat="1" ht="9.75" customHeight="1" x14ac:dyDescent="0.3">
      <c r="B48" s="236" t="s">
        <v>1005</v>
      </c>
      <c r="D48" s="30"/>
    </row>
    <row r="49" spans="2:13" ht="1.5" customHeight="1" x14ac:dyDescent="0.3"/>
    <row r="50" spans="2:13" s="52" customFormat="1" ht="9.75" customHeight="1" x14ac:dyDescent="0.3">
      <c r="B50" s="236" t="s">
        <v>1006</v>
      </c>
      <c r="D50" s="30"/>
    </row>
    <row r="51" spans="2:13" s="52" customFormat="1" ht="9.75" customHeight="1" x14ac:dyDescent="0.3">
      <c r="B51" s="237"/>
      <c r="D51" s="30"/>
    </row>
    <row r="52" spans="2:13" s="52" customFormat="1" ht="9.75" customHeight="1" x14ac:dyDescent="0.3">
      <c r="B52" s="236" t="s">
        <v>318</v>
      </c>
      <c r="D52" s="30"/>
      <c r="M52" s="53"/>
    </row>
    <row r="53" spans="2:13" ht="1.5" customHeight="1" x14ac:dyDescent="0.3"/>
    <row r="54" spans="2:13" s="52" customFormat="1" ht="9.75" customHeight="1" x14ac:dyDescent="0.3">
      <c r="B54" s="236" t="s">
        <v>441</v>
      </c>
      <c r="D54" s="30"/>
    </row>
    <row r="55" spans="2:13" ht="1.5" customHeight="1" x14ac:dyDescent="0.3"/>
    <row r="56" spans="2:13" s="52" customFormat="1" ht="9.75" customHeight="1" x14ac:dyDescent="0.3">
      <c r="B56" s="236" t="s">
        <v>325</v>
      </c>
      <c r="D56" s="30"/>
    </row>
    <row r="57" spans="2:13" ht="1.5" customHeight="1" x14ac:dyDescent="0.3"/>
    <row r="58" spans="2:13" s="52" customFormat="1" ht="9.75" customHeight="1" x14ac:dyDescent="0.3">
      <c r="B58" s="236" t="s">
        <v>327</v>
      </c>
      <c r="D58" s="30"/>
    </row>
    <row r="59" spans="2:13" ht="1.5" customHeight="1" x14ac:dyDescent="0.3"/>
    <row r="60" spans="2:13" s="52" customFormat="1" ht="9.75" customHeight="1" x14ac:dyDescent="0.3">
      <c r="B60" s="236" t="s">
        <v>330</v>
      </c>
      <c r="D60" s="30"/>
    </row>
    <row r="61" spans="2:13" ht="1.5" customHeight="1" x14ac:dyDescent="0.3"/>
    <row r="62" spans="2:13" s="52" customFormat="1" ht="9.75" customHeight="1" x14ac:dyDescent="0.3">
      <c r="B62" s="236" t="s">
        <v>333</v>
      </c>
      <c r="D62" s="30"/>
    </row>
    <row r="63" spans="2:13" ht="1.5" customHeight="1" x14ac:dyDescent="0.3"/>
    <row r="64" spans="2:13" s="52" customFormat="1" ht="9.75" customHeight="1" x14ac:dyDescent="0.3">
      <c r="B64" s="236" t="s">
        <v>336</v>
      </c>
      <c r="D64" s="30"/>
    </row>
    <row r="65" spans="2:4" s="52" customFormat="1" ht="9.75" customHeight="1" x14ac:dyDescent="0.3">
      <c r="B65" s="237"/>
      <c r="D65" s="30"/>
    </row>
    <row r="66" spans="2:4" s="52" customFormat="1" ht="9.75" customHeight="1" x14ac:dyDescent="0.3">
      <c r="B66" s="236" t="s">
        <v>83</v>
      </c>
      <c r="D66" s="30"/>
    </row>
    <row r="67" spans="2:4" ht="1.5" customHeight="1" x14ac:dyDescent="0.3"/>
    <row r="68" spans="2:4" s="52" customFormat="1" ht="9.75" customHeight="1" x14ac:dyDescent="0.3">
      <c r="B68" s="236" t="s">
        <v>84</v>
      </c>
      <c r="D68" s="30"/>
    </row>
    <row r="69" spans="2:4" ht="1.5" customHeight="1" x14ac:dyDescent="0.3"/>
    <row r="70" spans="2:4" s="52" customFormat="1" ht="9.75" customHeight="1" x14ac:dyDescent="0.3">
      <c r="B70" s="236" t="s">
        <v>110</v>
      </c>
      <c r="D70" s="30"/>
    </row>
    <row r="71" spans="2:4" ht="1.5" customHeight="1" x14ac:dyDescent="0.3"/>
    <row r="72" spans="2:4" s="52" customFormat="1" ht="9.75" customHeight="1" x14ac:dyDescent="0.3">
      <c r="B72" s="236" t="s">
        <v>345</v>
      </c>
      <c r="D72" s="30"/>
    </row>
    <row r="73" spans="2:4" ht="1.5" customHeight="1" x14ac:dyDescent="0.3"/>
    <row r="74" spans="2:4" s="52" customFormat="1" ht="9.75" customHeight="1" x14ac:dyDescent="0.3">
      <c r="B74" s="236" t="s">
        <v>87</v>
      </c>
      <c r="D74" s="30"/>
    </row>
    <row r="75" spans="2:4" ht="1.5" customHeight="1" x14ac:dyDescent="0.3"/>
    <row r="76" spans="2:4" s="52" customFormat="1" ht="9.75" customHeight="1" x14ac:dyDescent="0.3">
      <c r="B76" s="236" t="s">
        <v>348</v>
      </c>
      <c r="D76" s="30"/>
    </row>
    <row r="77" spans="2:4" ht="1.5" customHeight="1" x14ac:dyDescent="0.3"/>
    <row r="78" spans="2:4" s="52" customFormat="1" ht="9.75" customHeight="1" x14ac:dyDescent="0.3">
      <c r="B78" s="236" t="s">
        <v>92</v>
      </c>
      <c r="D78" s="30"/>
    </row>
    <row r="79" spans="2:4" s="52" customFormat="1" ht="9.75" customHeight="1" x14ac:dyDescent="0.3">
      <c r="B79" s="237"/>
      <c r="D79" s="30"/>
    </row>
    <row r="80" spans="2:4" s="52" customFormat="1" ht="9.75" customHeight="1" x14ac:dyDescent="0.3">
      <c r="B80" s="238" t="s">
        <v>30</v>
      </c>
      <c r="D80" s="30"/>
    </row>
    <row r="81" spans="2:4" ht="1.5" customHeight="1" x14ac:dyDescent="0.3"/>
    <row r="82" spans="2:4" s="52" customFormat="1" ht="9.75" customHeight="1" x14ac:dyDescent="0.3">
      <c r="B82" s="238" t="s">
        <v>32</v>
      </c>
      <c r="D82" s="30"/>
    </row>
    <row r="83" spans="2:4" ht="1.5" customHeight="1" x14ac:dyDescent="0.3"/>
    <row r="84" spans="2:4" s="52" customFormat="1" ht="9.75" customHeight="1" x14ac:dyDescent="0.3">
      <c r="B84" s="238" t="s">
        <v>33</v>
      </c>
      <c r="D84" s="30"/>
    </row>
    <row r="85" spans="2:4" ht="1.5" customHeight="1" x14ac:dyDescent="0.3"/>
    <row r="86" spans="2:4" s="52" customFormat="1" ht="9.75" customHeight="1" x14ac:dyDescent="0.3">
      <c r="B86" s="238" t="s">
        <v>34</v>
      </c>
      <c r="D86" s="30"/>
    </row>
    <row r="87" spans="2:4" ht="1.5" customHeight="1" x14ac:dyDescent="0.3"/>
    <row r="88" spans="2:4" s="52" customFormat="1" ht="9.75" customHeight="1" x14ac:dyDescent="0.3">
      <c r="B88" s="238" t="s">
        <v>35</v>
      </c>
      <c r="D88" s="30"/>
    </row>
    <row r="89" spans="2:4" ht="1.5" customHeight="1" x14ac:dyDescent="0.3"/>
    <row r="90" spans="2:4" s="52" customFormat="1" ht="9.75" customHeight="1" x14ac:dyDescent="0.3">
      <c r="B90" s="238" t="s">
        <v>36</v>
      </c>
      <c r="D90" s="30"/>
    </row>
    <row r="91" spans="2:4" ht="1.5" customHeight="1" x14ac:dyDescent="0.3"/>
    <row r="92" spans="2:4" s="52" customFormat="1" ht="9.75" customHeight="1" x14ac:dyDescent="0.3">
      <c r="B92" s="238" t="s">
        <v>442</v>
      </c>
      <c r="D92" s="30"/>
    </row>
    <row r="93" spans="2:4" ht="1.5" customHeight="1" x14ac:dyDescent="0.3"/>
    <row r="94" spans="2:4" s="52" customFormat="1" ht="9.75" customHeight="1" x14ac:dyDescent="0.3">
      <c r="B94" s="238" t="s">
        <v>243</v>
      </c>
      <c r="D94" s="30"/>
    </row>
    <row r="95" spans="2:4" ht="1.5" customHeight="1" x14ac:dyDescent="0.3"/>
    <row r="96" spans="2:4" s="52" customFormat="1" ht="9.75" customHeight="1" x14ac:dyDescent="0.3">
      <c r="B96" s="238" t="s">
        <v>244</v>
      </c>
      <c r="D96" s="30"/>
    </row>
    <row r="97" spans="2:4" s="52" customFormat="1" ht="9.75" customHeight="1" x14ac:dyDescent="0.3">
      <c r="B97" s="237"/>
      <c r="D97" s="30"/>
    </row>
    <row r="98" spans="2:4" s="52" customFormat="1" ht="9.75" customHeight="1" x14ac:dyDescent="0.3">
      <c r="B98" s="239" t="s">
        <v>95</v>
      </c>
      <c r="D98" s="30"/>
    </row>
    <row r="99" spans="2:4" ht="1.5" customHeight="1" x14ac:dyDescent="0.3"/>
    <row r="100" spans="2:4" s="52" customFormat="1" ht="9.75" customHeight="1" x14ac:dyDescent="0.3">
      <c r="B100" s="239" t="s">
        <v>98</v>
      </c>
      <c r="D100" s="30"/>
    </row>
    <row r="101" spans="2:4" ht="1.5" customHeight="1" x14ac:dyDescent="0.3"/>
    <row r="102" spans="2:4" s="52" customFormat="1" ht="9.75" customHeight="1" x14ac:dyDescent="0.3">
      <c r="B102" s="239" t="s">
        <v>102</v>
      </c>
      <c r="D102" s="30"/>
    </row>
    <row r="103" spans="2:4" ht="1.5" customHeight="1" x14ac:dyDescent="0.3"/>
    <row r="104" spans="2:4" s="52" customFormat="1" ht="9.75" customHeight="1" x14ac:dyDescent="0.3">
      <c r="B104" s="239" t="s">
        <v>104</v>
      </c>
      <c r="D104" s="30"/>
    </row>
    <row r="105" spans="2:4" ht="1.5" customHeight="1" x14ac:dyDescent="0.3"/>
    <row r="106" spans="2:4" s="52" customFormat="1" ht="9.75" customHeight="1" x14ac:dyDescent="0.3">
      <c r="B106" s="239" t="s">
        <v>92</v>
      </c>
      <c r="D106" s="30"/>
    </row>
    <row r="107" spans="2:4" ht="1.5" customHeight="1" x14ac:dyDescent="0.3"/>
    <row r="108" spans="2:4" s="52" customFormat="1" ht="9.75" customHeight="1" x14ac:dyDescent="0.3">
      <c r="B108" s="239" t="s">
        <v>107</v>
      </c>
      <c r="D108" s="30"/>
    </row>
    <row r="109" spans="2:4" ht="1.5" customHeight="1" x14ac:dyDescent="0.3"/>
    <row r="110" spans="2:4" s="52" customFormat="1" ht="9.75" customHeight="1" x14ac:dyDescent="0.3">
      <c r="B110" s="239" t="s">
        <v>110</v>
      </c>
      <c r="D110" s="30"/>
    </row>
    <row r="111" spans="2:4" ht="1.5" customHeight="1" x14ac:dyDescent="0.3"/>
    <row r="112" spans="2:4" s="52" customFormat="1" ht="9.75" customHeight="1" x14ac:dyDescent="0.3">
      <c r="B112" s="239" t="s">
        <v>112</v>
      </c>
      <c r="D112" s="30"/>
    </row>
    <row r="113" spans="2:4" ht="1.5" customHeight="1" x14ac:dyDescent="0.3"/>
    <row r="114" spans="2:4" s="52" customFormat="1" ht="9.75" customHeight="1" x14ac:dyDescent="0.3">
      <c r="B114" s="239" t="s">
        <v>114</v>
      </c>
      <c r="D114" s="53"/>
    </row>
    <row r="115" spans="2:4" ht="1.5" customHeight="1" x14ac:dyDescent="0.3"/>
    <row r="116" spans="2:4" s="52" customFormat="1" ht="9.75" customHeight="1" x14ac:dyDescent="0.3">
      <c r="B116" s="239" t="s">
        <v>116</v>
      </c>
      <c r="D116" s="30"/>
    </row>
    <row r="117" spans="2:4" ht="1.5" customHeight="1" x14ac:dyDescent="0.3"/>
    <row r="118" spans="2:4" s="52" customFormat="1" ht="9.75" customHeight="1" x14ac:dyDescent="0.3">
      <c r="B118" s="239" t="s">
        <v>118</v>
      </c>
      <c r="D118" s="30"/>
    </row>
    <row r="119" spans="2:4" ht="1.5" customHeight="1" x14ac:dyDescent="0.3"/>
    <row r="120" spans="2:4" s="52" customFormat="1" ht="9.75" customHeight="1" x14ac:dyDescent="0.3">
      <c r="B120" s="239" t="s">
        <v>120</v>
      </c>
      <c r="D120" s="30"/>
    </row>
    <row r="121" spans="2:4" ht="1.5" customHeight="1" x14ac:dyDescent="0.3"/>
    <row r="122" spans="2:4" s="52" customFormat="1" ht="9.75" customHeight="1" x14ac:dyDescent="0.3">
      <c r="B122" s="239" t="s">
        <v>122</v>
      </c>
      <c r="D122" s="30"/>
    </row>
    <row r="123" spans="2:4" ht="1.5" customHeight="1" x14ac:dyDescent="0.3"/>
    <row r="124" spans="2:4" s="52" customFormat="1" ht="9.75" customHeight="1" x14ac:dyDescent="0.3">
      <c r="B124" s="239" t="s">
        <v>124</v>
      </c>
      <c r="D124" s="30"/>
    </row>
    <row r="125" spans="2:4" ht="1.5" customHeight="1" x14ac:dyDescent="0.3"/>
    <row r="126" spans="2:4" s="52" customFormat="1" ht="9.75" customHeight="1" x14ac:dyDescent="0.3">
      <c r="B126" s="239" t="s">
        <v>126</v>
      </c>
      <c r="D126" s="30"/>
    </row>
    <row r="127" spans="2:4" s="52" customFormat="1" ht="9.75" customHeight="1" x14ac:dyDescent="0.3">
      <c r="B127" s="237"/>
      <c r="D127" s="30"/>
    </row>
    <row r="128" spans="2:4" s="52" customFormat="1" ht="9.75" customHeight="1" x14ac:dyDescent="0.3">
      <c r="B128" s="239" t="s">
        <v>902</v>
      </c>
      <c r="D128" s="30"/>
    </row>
    <row r="129" spans="2:4" ht="1.5" customHeight="1" x14ac:dyDescent="0.3"/>
    <row r="130" spans="2:4" s="52" customFormat="1" ht="9.75" customHeight="1" x14ac:dyDescent="0.3">
      <c r="B130" s="239" t="s">
        <v>948</v>
      </c>
      <c r="D130" s="30"/>
    </row>
    <row r="131" spans="2:4" ht="1.5" customHeight="1" x14ac:dyDescent="0.3"/>
    <row r="132" spans="2:4" s="52" customFormat="1" ht="9.75" customHeight="1" x14ac:dyDescent="0.3">
      <c r="B132" s="239" t="s">
        <v>102</v>
      </c>
      <c r="D132" s="30"/>
    </row>
    <row r="133" spans="2:4" ht="1.5" customHeight="1" x14ac:dyDescent="0.3"/>
    <row r="134" spans="2:4" s="52" customFormat="1" ht="9.75" customHeight="1" x14ac:dyDescent="0.3">
      <c r="B134" s="239" t="s">
        <v>92</v>
      </c>
      <c r="D134" s="30"/>
    </row>
    <row r="135" spans="2:4" ht="1.5" customHeight="1" x14ac:dyDescent="0.3"/>
    <row r="136" spans="2:4" s="52" customFormat="1" ht="9.75" customHeight="1" x14ac:dyDescent="0.3">
      <c r="B136" s="239" t="s">
        <v>107</v>
      </c>
      <c r="D136" s="30"/>
    </row>
    <row r="137" spans="2:4" ht="1.5" customHeight="1" x14ac:dyDescent="0.3"/>
    <row r="138" spans="2:4" s="52" customFormat="1" ht="9.75" customHeight="1" x14ac:dyDescent="0.3">
      <c r="B138" s="239" t="s">
        <v>116</v>
      </c>
      <c r="D138" s="30"/>
    </row>
    <row r="139" spans="2:4" ht="1.5" customHeight="1" x14ac:dyDescent="0.3"/>
    <row r="140" spans="2:4" s="52" customFormat="1" ht="9.75" customHeight="1" x14ac:dyDescent="0.3">
      <c r="B140" s="239" t="s">
        <v>124</v>
      </c>
      <c r="D140" s="30"/>
    </row>
    <row r="141" spans="2:4" ht="1.5" customHeight="1" x14ac:dyDescent="0.3"/>
    <row r="142" spans="2:4" s="52" customFormat="1" ht="9.75" customHeight="1" x14ac:dyDescent="0.3">
      <c r="B142" s="239" t="s">
        <v>126</v>
      </c>
      <c r="D142" s="30"/>
    </row>
  </sheetData>
  <pageMargins left="0.7" right="0.7" top="0.75" bottom="0.75" header="0.3" footer="0.3"/>
  <pageSetup scale="4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7"/>
  <dimension ref="B1:M142"/>
  <sheetViews>
    <sheetView showGridLines="0" showRowColHeaders="0" zoomScale="70" zoomScaleNormal="70" zoomScaleSheetLayoutView="85" workbookViewId="0"/>
  </sheetViews>
  <sheetFormatPr defaultColWidth="9.109375" defaultRowHeight="14.4" x14ac:dyDescent="0.3"/>
  <cols>
    <col min="1" max="1" width="9.109375" style="12"/>
    <col min="2" max="2" width="26.6640625" style="234" customWidth="1"/>
    <col min="3" max="3" width="5" style="12" customWidth="1"/>
    <col min="4" max="4" width="21.44140625" style="30" customWidth="1"/>
    <col min="5" max="5" width="9.109375" style="12"/>
    <col min="6" max="6" width="9.109375" style="12" customWidth="1"/>
    <col min="7" max="16384" width="9.109375" style="12"/>
  </cols>
  <sheetData>
    <row r="1" spans="2:10" x14ac:dyDescent="0.3">
      <c r="B1" s="233"/>
      <c r="D1" s="12"/>
      <c r="I1" s="16"/>
      <c r="J1" s="16"/>
    </row>
    <row r="2" spans="2:10" ht="32.4" x14ac:dyDescent="0.3">
      <c r="E2" s="17" t="s">
        <v>1204</v>
      </c>
      <c r="I2" s="16"/>
      <c r="J2" s="16"/>
    </row>
    <row r="3" spans="2:10" ht="16.5" customHeight="1" x14ac:dyDescent="0.3">
      <c r="H3" s="17"/>
      <c r="I3" s="16"/>
      <c r="J3" s="16"/>
    </row>
    <row r="4" spans="2:10" ht="16.5" customHeight="1" x14ac:dyDescent="0.3">
      <c r="H4" s="17"/>
      <c r="I4" s="16"/>
      <c r="J4" s="16"/>
    </row>
    <row r="5" spans="2:10" ht="16.5" customHeight="1" x14ac:dyDescent="0.3">
      <c r="D5" s="288" t="s">
        <v>1066</v>
      </c>
      <c r="H5" s="17"/>
      <c r="I5" s="16"/>
      <c r="J5" s="16"/>
    </row>
    <row r="6" spans="2:10" ht="16.5" customHeight="1" x14ac:dyDescent="0.3">
      <c r="H6" s="17"/>
      <c r="I6" s="16"/>
      <c r="J6" s="16"/>
    </row>
    <row r="7" spans="2:10" ht="16.5" customHeight="1" x14ac:dyDescent="0.3">
      <c r="H7" s="17"/>
      <c r="I7" s="16"/>
      <c r="J7" s="16"/>
    </row>
    <row r="8" spans="2:10" ht="20.25" customHeight="1" x14ac:dyDescent="0.3">
      <c r="E8" s="240" t="s">
        <v>1064</v>
      </c>
      <c r="H8" s="17"/>
      <c r="I8" s="16"/>
      <c r="J8" s="16"/>
    </row>
    <row r="9" spans="2:10" ht="16.5" customHeight="1" x14ac:dyDescent="0.3">
      <c r="H9" s="17"/>
      <c r="I9" s="16"/>
      <c r="J9" s="16"/>
    </row>
    <row r="10" spans="2:10" s="52" customFormat="1" ht="9.75" customHeight="1" x14ac:dyDescent="0.3">
      <c r="B10" s="235" t="s">
        <v>245</v>
      </c>
      <c r="D10" s="30"/>
    </row>
    <row r="11" spans="2:10" s="52" customFormat="1" ht="9.75" customHeight="1" x14ac:dyDescent="0.3">
      <c r="B11" s="237"/>
      <c r="D11" s="30"/>
    </row>
    <row r="12" spans="2:10" s="52" customFormat="1" ht="9.75" customHeight="1" x14ac:dyDescent="0.3">
      <c r="B12" s="236" t="s">
        <v>56</v>
      </c>
      <c r="D12" s="30"/>
    </row>
    <row r="13" spans="2:10" ht="1.5" customHeight="1" x14ac:dyDescent="0.3"/>
    <row r="14" spans="2:10" s="52" customFormat="1" ht="9.75" customHeight="1" x14ac:dyDescent="0.3">
      <c r="B14" s="236" t="s">
        <v>46</v>
      </c>
      <c r="D14" s="30"/>
    </row>
    <row r="15" spans="2:10" ht="1.5" customHeight="1" x14ac:dyDescent="0.3"/>
    <row r="16" spans="2:10" s="52" customFormat="1" ht="9.75" customHeight="1" x14ac:dyDescent="0.3">
      <c r="B16" s="236" t="s">
        <v>49</v>
      </c>
      <c r="D16" s="30"/>
    </row>
    <row r="17" spans="2:4" ht="1.5" customHeight="1" x14ac:dyDescent="0.3"/>
    <row r="18" spans="2:4" s="52" customFormat="1" ht="9.75" customHeight="1" x14ac:dyDescent="0.3">
      <c r="B18" s="236" t="s">
        <v>440</v>
      </c>
      <c r="D18" s="30"/>
    </row>
    <row r="19" spans="2:4" ht="1.5" customHeight="1" x14ac:dyDescent="0.3"/>
    <row r="20" spans="2:4" s="52" customFormat="1" ht="9.75" customHeight="1" x14ac:dyDescent="0.3">
      <c r="B20" s="236" t="s">
        <v>55</v>
      </c>
      <c r="D20" s="30"/>
    </row>
    <row r="21" spans="2:4" ht="1.5" customHeight="1" x14ac:dyDescent="0.3"/>
    <row r="22" spans="2:4" s="52" customFormat="1" ht="9.75" customHeight="1" x14ac:dyDescent="0.3">
      <c r="B22" s="236" t="s">
        <v>439</v>
      </c>
      <c r="D22" s="30"/>
    </row>
    <row r="23" spans="2:4" s="52" customFormat="1" ht="9.75" customHeight="1" x14ac:dyDescent="0.3">
      <c r="B23" s="237"/>
      <c r="D23" s="30"/>
    </row>
    <row r="24" spans="2:4" s="52" customFormat="1" ht="9.75" customHeight="1" x14ac:dyDescent="0.3">
      <c r="B24" s="236" t="s">
        <v>67</v>
      </c>
      <c r="D24" s="30"/>
    </row>
    <row r="25" spans="2:4" ht="1.5" customHeight="1" x14ac:dyDescent="0.3"/>
    <row r="26" spans="2:4" s="52" customFormat="1" ht="9.75" customHeight="1" x14ac:dyDescent="0.3">
      <c r="B26" s="236" t="s">
        <v>292</v>
      </c>
      <c r="D26" s="30"/>
    </row>
    <row r="27" spans="2:4" ht="1.5" customHeight="1" x14ac:dyDescent="0.3"/>
    <row r="28" spans="2:4" s="52" customFormat="1" ht="9.75" customHeight="1" x14ac:dyDescent="0.3">
      <c r="B28" s="236" t="s">
        <v>69</v>
      </c>
      <c r="D28" s="30"/>
    </row>
    <row r="29" spans="2:4" ht="1.5" customHeight="1" x14ac:dyDescent="0.3"/>
    <row r="30" spans="2:4" s="52" customFormat="1" ht="9.75" customHeight="1" x14ac:dyDescent="0.3">
      <c r="B30" s="236" t="s">
        <v>70</v>
      </c>
      <c r="D30" s="30"/>
    </row>
    <row r="31" spans="2:4" ht="1.5" customHeight="1" x14ac:dyDescent="0.3"/>
    <row r="32" spans="2:4" s="52" customFormat="1" ht="9.75" customHeight="1" x14ac:dyDescent="0.3">
      <c r="B32" s="236" t="s">
        <v>71</v>
      </c>
      <c r="D32" s="30"/>
    </row>
    <row r="33" spans="2:4" ht="1.5" customHeight="1" x14ac:dyDescent="0.3"/>
    <row r="34" spans="2:4" s="52" customFormat="1" ht="9.75" customHeight="1" x14ac:dyDescent="0.3">
      <c r="B34" s="236" t="s">
        <v>72</v>
      </c>
      <c r="D34" s="30"/>
    </row>
    <row r="35" spans="2:4" s="52" customFormat="1" ht="9.75" customHeight="1" x14ac:dyDescent="0.3">
      <c r="B35" s="237"/>
      <c r="D35" s="30"/>
    </row>
    <row r="36" spans="2:4" s="52" customFormat="1" ht="9.75" customHeight="1" x14ac:dyDescent="0.3">
      <c r="B36" s="241" t="s">
        <v>75</v>
      </c>
      <c r="D36" s="30"/>
    </row>
    <row r="37" spans="2:4" ht="1.5" customHeight="1" x14ac:dyDescent="0.3"/>
    <row r="38" spans="2:4" s="52" customFormat="1" ht="9.75" customHeight="1" x14ac:dyDescent="0.3">
      <c r="B38" s="241" t="s">
        <v>1001</v>
      </c>
      <c r="D38" s="30"/>
    </row>
    <row r="39" spans="2:4" ht="1.5" customHeight="1" x14ac:dyDescent="0.3"/>
    <row r="40" spans="2:4" s="52" customFormat="1" ht="9.75" customHeight="1" x14ac:dyDescent="0.3">
      <c r="B40" s="241" t="s">
        <v>1002</v>
      </c>
      <c r="D40" s="30"/>
    </row>
    <row r="41" spans="2:4" ht="1.5" customHeight="1" x14ac:dyDescent="0.3"/>
    <row r="42" spans="2:4" s="52" customFormat="1" ht="9.75" customHeight="1" x14ac:dyDescent="0.3">
      <c r="B42" s="241" t="s">
        <v>1003</v>
      </c>
      <c r="D42" s="30"/>
    </row>
    <row r="43" spans="2:4" ht="1.5" customHeight="1" x14ac:dyDescent="0.3"/>
    <row r="44" spans="2:4" s="52" customFormat="1" ht="9.75" customHeight="1" x14ac:dyDescent="0.3">
      <c r="B44" s="241" t="s">
        <v>1004</v>
      </c>
      <c r="D44" s="30"/>
    </row>
    <row r="45" spans="2:4" ht="1.5" customHeight="1" x14ac:dyDescent="0.3"/>
    <row r="46" spans="2:4" s="52" customFormat="1" ht="9.75" customHeight="1" x14ac:dyDescent="0.3">
      <c r="B46" s="241" t="s">
        <v>1008</v>
      </c>
      <c r="D46" s="30"/>
    </row>
    <row r="47" spans="2:4" ht="1.5" customHeight="1" x14ac:dyDescent="0.3"/>
    <row r="48" spans="2:4" s="52" customFormat="1" ht="9.75" customHeight="1" x14ac:dyDescent="0.3">
      <c r="B48" s="241" t="s">
        <v>1005</v>
      </c>
      <c r="D48" s="30"/>
    </row>
    <row r="49" spans="2:13" ht="1.5" customHeight="1" x14ac:dyDescent="0.3"/>
    <row r="50" spans="2:13" s="52" customFormat="1" ht="9.75" customHeight="1" x14ac:dyDescent="0.3">
      <c r="B50" s="241" t="s">
        <v>1006</v>
      </c>
      <c r="D50" s="30"/>
    </row>
    <row r="51" spans="2:13" s="52" customFormat="1" ht="9.75" customHeight="1" x14ac:dyDescent="0.3">
      <c r="B51" s="237"/>
      <c r="D51" s="30"/>
    </row>
    <row r="52" spans="2:13" s="52" customFormat="1" ht="9.75" customHeight="1" x14ac:dyDescent="0.3">
      <c r="B52" s="236" t="s">
        <v>318</v>
      </c>
      <c r="D52" s="30"/>
      <c r="M52" s="53"/>
    </row>
    <row r="53" spans="2:13" ht="1.5" customHeight="1" x14ac:dyDescent="0.3"/>
    <row r="54" spans="2:13" s="52" customFormat="1" ht="9.75" customHeight="1" x14ac:dyDescent="0.3">
      <c r="B54" s="236" t="s">
        <v>441</v>
      </c>
      <c r="D54" s="30"/>
    </row>
    <row r="55" spans="2:13" ht="1.5" customHeight="1" x14ac:dyDescent="0.3"/>
    <row r="56" spans="2:13" s="52" customFormat="1" ht="9.75" customHeight="1" x14ac:dyDescent="0.3">
      <c r="B56" s="236" t="s">
        <v>325</v>
      </c>
      <c r="D56" s="30"/>
    </row>
    <row r="57" spans="2:13" ht="1.5" customHeight="1" x14ac:dyDescent="0.3"/>
    <row r="58" spans="2:13" s="52" customFormat="1" ht="9.75" customHeight="1" x14ac:dyDescent="0.3">
      <c r="B58" s="236" t="s">
        <v>327</v>
      </c>
      <c r="D58" s="30"/>
    </row>
    <row r="59" spans="2:13" ht="1.5" customHeight="1" x14ac:dyDescent="0.3"/>
    <row r="60" spans="2:13" s="52" customFormat="1" ht="9.75" customHeight="1" x14ac:dyDescent="0.3">
      <c r="B60" s="236" t="s">
        <v>330</v>
      </c>
      <c r="D60" s="30"/>
    </row>
    <row r="61" spans="2:13" ht="1.5" customHeight="1" x14ac:dyDescent="0.3"/>
    <row r="62" spans="2:13" s="52" customFormat="1" ht="9.75" customHeight="1" x14ac:dyDescent="0.3">
      <c r="B62" s="236" t="s">
        <v>333</v>
      </c>
      <c r="D62" s="30"/>
    </row>
    <row r="63" spans="2:13" ht="1.5" customHeight="1" x14ac:dyDescent="0.3"/>
    <row r="64" spans="2:13" s="52" customFormat="1" ht="9.75" customHeight="1" x14ac:dyDescent="0.3">
      <c r="B64" s="236" t="s">
        <v>336</v>
      </c>
      <c r="D64" s="30"/>
    </row>
    <row r="65" spans="2:4" s="52" customFormat="1" ht="9.75" customHeight="1" x14ac:dyDescent="0.3">
      <c r="B65" s="237"/>
      <c r="D65" s="30"/>
    </row>
    <row r="66" spans="2:4" s="52" customFormat="1" ht="9.75" customHeight="1" x14ac:dyDescent="0.3">
      <c r="B66" s="236" t="s">
        <v>83</v>
      </c>
      <c r="D66" s="30"/>
    </row>
    <row r="67" spans="2:4" ht="1.5" customHeight="1" x14ac:dyDescent="0.3"/>
    <row r="68" spans="2:4" s="52" customFormat="1" ht="9.75" customHeight="1" x14ac:dyDescent="0.3">
      <c r="B68" s="236" t="s">
        <v>84</v>
      </c>
      <c r="D68" s="30"/>
    </row>
    <row r="69" spans="2:4" ht="1.5" customHeight="1" x14ac:dyDescent="0.3"/>
    <row r="70" spans="2:4" s="52" customFormat="1" ht="9.75" customHeight="1" x14ac:dyDescent="0.3">
      <c r="B70" s="236" t="s">
        <v>110</v>
      </c>
      <c r="D70" s="30"/>
    </row>
    <row r="71" spans="2:4" ht="1.5" customHeight="1" x14ac:dyDescent="0.3"/>
    <row r="72" spans="2:4" s="52" customFormat="1" ht="9.75" customHeight="1" x14ac:dyDescent="0.3">
      <c r="B72" s="236" t="s">
        <v>345</v>
      </c>
      <c r="D72" s="30"/>
    </row>
    <row r="73" spans="2:4" ht="1.5" customHeight="1" x14ac:dyDescent="0.3"/>
    <row r="74" spans="2:4" s="52" customFormat="1" ht="9.75" customHeight="1" x14ac:dyDescent="0.3">
      <c r="B74" s="236" t="s">
        <v>87</v>
      </c>
      <c r="D74" s="30"/>
    </row>
    <row r="75" spans="2:4" ht="1.5" customHeight="1" x14ac:dyDescent="0.3"/>
    <row r="76" spans="2:4" s="52" customFormat="1" ht="9.75" customHeight="1" x14ac:dyDescent="0.3">
      <c r="B76" s="236" t="s">
        <v>348</v>
      </c>
      <c r="D76" s="30"/>
    </row>
    <row r="77" spans="2:4" ht="1.5" customHeight="1" x14ac:dyDescent="0.3"/>
    <row r="78" spans="2:4" s="52" customFormat="1" ht="9.75" customHeight="1" x14ac:dyDescent="0.3">
      <c r="B78" s="236" t="s">
        <v>92</v>
      </c>
      <c r="D78" s="30"/>
    </row>
    <row r="79" spans="2:4" s="52" customFormat="1" ht="9.75" customHeight="1" x14ac:dyDescent="0.3">
      <c r="B79" s="237"/>
      <c r="D79" s="30"/>
    </row>
    <row r="80" spans="2:4" s="52" customFormat="1" ht="9.75" customHeight="1" x14ac:dyDescent="0.3">
      <c r="B80" s="238" t="s">
        <v>30</v>
      </c>
      <c r="D80" s="30"/>
    </row>
    <row r="81" spans="2:4" ht="1.5" customHeight="1" x14ac:dyDescent="0.3"/>
    <row r="82" spans="2:4" s="52" customFormat="1" ht="9.75" customHeight="1" x14ac:dyDescent="0.3">
      <c r="B82" s="238" t="s">
        <v>32</v>
      </c>
      <c r="D82" s="30"/>
    </row>
    <row r="83" spans="2:4" ht="1.5" customHeight="1" x14ac:dyDescent="0.3"/>
    <row r="84" spans="2:4" s="52" customFormat="1" ht="9.75" customHeight="1" x14ac:dyDescent="0.3">
      <c r="B84" s="238" t="s">
        <v>33</v>
      </c>
      <c r="D84" s="30"/>
    </row>
    <row r="85" spans="2:4" ht="1.5" customHeight="1" x14ac:dyDescent="0.3"/>
    <row r="86" spans="2:4" s="52" customFormat="1" ht="9.75" customHeight="1" x14ac:dyDescent="0.3">
      <c r="B86" s="238" t="s">
        <v>34</v>
      </c>
      <c r="D86" s="30"/>
    </row>
    <row r="87" spans="2:4" ht="1.5" customHeight="1" x14ac:dyDescent="0.3"/>
    <row r="88" spans="2:4" s="52" customFormat="1" ht="9.75" customHeight="1" x14ac:dyDescent="0.3">
      <c r="B88" s="238" t="s">
        <v>35</v>
      </c>
      <c r="D88" s="30"/>
    </row>
    <row r="89" spans="2:4" ht="1.5" customHeight="1" x14ac:dyDescent="0.3"/>
    <row r="90" spans="2:4" s="52" customFormat="1" ht="9.75" customHeight="1" x14ac:dyDescent="0.3">
      <c r="B90" s="238" t="s">
        <v>36</v>
      </c>
      <c r="D90" s="30"/>
    </row>
    <row r="91" spans="2:4" ht="1.5" customHeight="1" x14ac:dyDescent="0.3"/>
    <row r="92" spans="2:4" s="52" customFormat="1" ht="9.75" customHeight="1" x14ac:dyDescent="0.3">
      <c r="B92" s="238" t="s">
        <v>442</v>
      </c>
      <c r="D92" s="30"/>
    </row>
    <row r="93" spans="2:4" ht="1.5" customHeight="1" x14ac:dyDescent="0.3"/>
    <row r="94" spans="2:4" s="52" customFormat="1" ht="9.75" customHeight="1" x14ac:dyDescent="0.3">
      <c r="B94" s="238" t="s">
        <v>243</v>
      </c>
      <c r="D94" s="30"/>
    </row>
    <row r="95" spans="2:4" ht="1.5" customHeight="1" x14ac:dyDescent="0.3"/>
    <row r="96" spans="2:4" s="52" customFormat="1" ht="9.75" customHeight="1" x14ac:dyDescent="0.3">
      <c r="B96" s="238" t="s">
        <v>244</v>
      </c>
      <c r="D96" s="30"/>
    </row>
    <row r="97" spans="2:4" s="52" customFormat="1" ht="9.75" customHeight="1" x14ac:dyDescent="0.3">
      <c r="B97" s="237"/>
      <c r="D97" s="30"/>
    </row>
    <row r="98" spans="2:4" s="52" customFormat="1" ht="9.75" customHeight="1" x14ac:dyDescent="0.3">
      <c r="B98" s="239" t="s">
        <v>95</v>
      </c>
      <c r="D98" s="30"/>
    </row>
    <row r="99" spans="2:4" ht="1.5" customHeight="1" x14ac:dyDescent="0.3"/>
    <row r="100" spans="2:4" s="52" customFormat="1" ht="9.75" customHeight="1" x14ac:dyDescent="0.3">
      <c r="B100" s="239" t="s">
        <v>98</v>
      </c>
      <c r="D100" s="30"/>
    </row>
    <row r="101" spans="2:4" ht="1.5" customHeight="1" x14ac:dyDescent="0.3"/>
    <row r="102" spans="2:4" s="52" customFormat="1" ht="9.75" customHeight="1" x14ac:dyDescent="0.3">
      <c r="B102" s="239" t="s">
        <v>102</v>
      </c>
      <c r="D102" s="30"/>
    </row>
    <row r="103" spans="2:4" ht="1.5" customHeight="1" x14ac:dyDescent="0.3"/>
    <row r="104" spans="2:4" s="52" customFormat="1" ht="9.75" customHeight="1" x14ac:dyDescent="0.3">
      <c r="B104" s="239" t="s">
        <v>104</v>
      </c>
      <c r="D104" s="30"/>
    </row>
    <row r="105" spans="2:4" ht="1.5" customHeight="1" x14ac:dyDescent="0.3"/>
    <row r="106" spans="2:4" s="52" customFormat="1" ht="9.75" customHeight="1" x14ac:dyDescent="0.3">
      <c r="B106" s="239" t="s">
        <v>92</v>
      </c>
      <c r="D106" s="30"/>
    </row>
    <row r="107" spans="2:4" ht="1.5" customHeight="1" x14ac:dyDescent="0.3"/>
    <row r="108" spans="2:4" s="52" customFormat="1" ht="9.75" customHeight="1" x14ac:dyDescent="0.3">
      <c r="B108" s="239" t="s">
        <v>107</v>
      </c>
      <c r="D108" s="30"/>
    </row>
    <row r="109" spans="2:4" ht="1.5" customHeight="1" x14ac:dyDescent="0.3"/>
    <row r="110" spans="2:4" s="52" customFormat="1" ht="9.75" customHeight="1" x14ac:dyDescent="0.3">
      <c r="B110" s="239" t="s">
        <v>110</v>
      </c>
      <c r="D110" s="30"/>
    </row>
    <row r="111" spans="2:4" ht="1.5" customHeight="1" x14ac:dyDescent="0.3"/>
    <row r="112" spans="2:4" s="52" customFormat="1" ht="9.75" customHeight="1" x14ac:dyDescent="0.3">
      <c r="B112" s="239" t="s">
        <v>112</v>
      </c>
      <c r="D112" s="30"/>
    </row>
    <row r="113" spans="2:4" ht="1.5" customHeight="1" x14ac:dyDescent="0.3"/>
    <row r="114" spans="2:4" s="52" customFormat="1" ht="9.75" customHeight="1" x14ac:dyDescent="0.3">
      <c r="B114" s="239" t="s">
        <v>114</v>
      </c>
      <c r="D114" s="53"/>
    </row>
    <row r="115" spans="2:4" ht="1.5" customHeight="1" x14ac:dyDescent="0.3"/>
    <row r="116" spans="2:4" s="52" customFormat="1" ht="9.75" customHeight="1" x14ac:dyDescent="0.3">
      <c r="B116" s="239" t="s">
        <v>116</v>
      </c>
      <c r="D116" s="30"/>
    </row>
    <row r="117" spans="2:4" ht="1.5" customHeight="1" x14ac:dyDescent="0.3"/>
    <row r="118" spans="2:4" s="52" customFormat="1" ht="9.75" customHeight="1" x14ac:dyDescent="0.3">
      <c r="B118" s="239" t="s">
        <v>118</v>
      </c>
      <c r="D118" s="30"/>
    </row>
    <row r="119" spans="2:4" ht="1.5" customHeight="1" x14ac:dyDescent="0.3"/>
    <row r="120" spans="2:4" s="52" customFormat="1" ht="9.75" customHeight="1" x14ac:dyDescent="0.3">
      <c r="B120" s="239" t="s">
        <v>120</v>
      </c>
      <c r="D120" s="30"/>
    </row>
    <row r="121" spans="2:4" ht="1.5" customHeight="1" x14ac:dyDescent="0.3"/>
    <row r="122" spans="2:4" s="52" customFormat="1" ht="9.75" customHeight="1" x14ac:dyDescent="0.3">
      <c r="B122" s="239" t="s">
        <v>122</v>
      </c>
      <c r="D122" s="30"/>
    </row>
    <row r="123" spans="2:4" ht="1.5" customHeight="1" x14ac:dyDescent="0.3"/>
    <row r="124" spans="2:4" s="52" customFormat="1" ht="9.75" customHeight="1" x14ac:dyDescent="0.3">
      <c r="B124" s="239" t="s">
        <v>124</v>
      </c>
      <c r="D124" s="30"/>
    </row>
    <row r="125" spans="2:4" ht="1.5" customHeight="1" x14ac:dyDescent="0.3"/>
    <row r="126" spans="2:4" s="52" customFormat="1" ht="9.75" customHeight="1" x14ac:dyDescent="0.3">
      <c r="B126" s="239" t="s">
        <v>126</v>
      </c>
      <c r="D126" s="30"/>
    </row>
    <row r="127" spans="2:4" s="52" customFormat="1" ht="9.75" customHeight="1" x14ac:dyDescent="0.3">
      <c r="B127" s="237"/>
      <c r="D127" s="30"/>
    </row>
    <row r="128" spans="2:4" s="52" customFormat="1" ht="9.75" customHeight="1" x14ac:dyDescent="0.3">
      <c r="B128" s="242" t="s">
        <v>902</v>
      </c>
      <c r="D128" s="30"/>
    </row>
    <row r="129" spans="2:4" ht="1.5" customHeight="1" x14ac:dyDescent="0.3"/>
    <row r="130" spans="2:4" s="52" customFormat="1" ht="9.75" customHeight="1" x14ac:dyDescent="0.3">
      <c r="B130" s="242" t="s">
        <v>948</v>
      </c>
      <c r="D130" s="30"/>
    </row>
    <row r="131" spans="2:4" ht="1.5" customHeight="1" x14ac:dyDescent="0.3"/>
    <row r="132" spans="2:4" s="52" customFormat="1" ht="9.75" customHeight="1" x14ac:dyDescent="0.3">
      <c r="B132" s="242" t="s">
        <v>102</v>
      </c>
      <c r="D132" s="30"/>
    </row>
    <row r="133" spans="2:4" ht="1.5" customHeight="1" x14ac:dyDescent="0.3"/>
    <row r="134" spans="2:4" s="52" customFormat="1" ht="9.75" customHeight="1" x14ac:dyDescent="0.3">
      <c r="B134" s="242" t="s">
        <v>92</v>
      </c>
      <c r="D134" s="30"/>
    </row>
    <row r="135" spans="2:4" ht="1.5" customHeight="1" x14ac:dyDescent="0.3"/>
    <row r="136" spans="2:4" s="52" customFormat="1" ht="9.75" customHeight="1" x14ac:dyDescent="0.3">
      <c r="B136" s="242" t="s">
        <v>107</v>
      </c>
      <c r="D136" s="30"/>
    </row>
    <row r="137" spans="2:4" ht="1.5" customHeight="1" x14ac:dyDescent="0.3"/>
    <row r="138" spans="2:4" s="52" customFormat="1" ht="9.75" customHeight="1" x14ac:dyDescent="0.3">
      <c r="B138" s="242" t="s">
        <v>116</v>
      </c>
      <c r="D138" s="30"/>
    </row>
    <row r="139" spans="2:4" ht="1.5" customHeight="1" x14ac:dyDescent="0.3"/>
    <row r="140" spans="2:4" s="52" customFormat="1" ht="9.75" customHeight="1" x14ac:dyDescent="0.3">
      <c r="B140" s="242" t="s">
        <v>124</v>
      </c>
      <c r="D140" s="30"/>
    </row>
    <row r="141" spans="2:4" ht="1.5" customHeight="1" x14ac:dyDescent="0.3"/>
    <row r="142" spans="2:4" s="52" customFormat="1" ht="9.75" customHeight="1" x14ac:dyDescent="0.3">
      <c r="B142" s="242" t="s">
        <v>126</v>
      </c>
      <c r="D142" s="30"/>
    </row>
  </sheetData>
  <pageMargins left="0.7" right="0.7" top="0.75" bottom="0.75" header="0.3" footer="0.3"/>
  <pageSetup scale="4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8"/>
  <dimension ref="B1:M142"/>
  <sheetViews>
    <sheetView showGridLines="0" showRowColHeaders="0" topLeftCell="A7" zoomScale="70" zoomScaleNormal="70" zoomScaleSheetLayoutView="85" workbookViewId="0">
      <selection activeCell="B11" sqref="B11"/>
    </sheetView>
  </sheetViews>
  <sheetFormatPr defaultColWidth="9.109375" defaultRowHeight="14.4" x14ac:dyDescent="0.3"/>
  <cols>
    <col min="1" max="1" width="9.109375" style="12"/>
    <col min="2" max="2" width="26.6640625" style="234" customWidth="1"/>
    <col min="3" max="3" width="5" style="12" customWidth="1"/>
    <col min="4" max="4" width="21.44140625" style="30" customWidth="1"/>
    <col min="5" max="5" width="9.109375" style="12"/>
    <col min="6" max="6" width="9.109375" style="12" customWidth="1"/>
    <col min="7" max="16384" width="9.109375" style="12"/>
  </cols>
  <sheetData>
    <row r="1" spans="2:10" x14ac:dyDescent="0.3">
      <c r="B1" s="233"/>
      <c r="D1" s="12"/>
      <c r="I1" s="16"/>
      <c r="J1" s="16"/>
    </row>
    <row r="2" spans="2:10" ht="32.4" x14ac:dyDescent="0.3">
      <c r="E2" s="17" t="s">
        <v>1204</v>
      </c>
      <c r="I2" s="16"/>
      <c r="J2" s="16"/>
    </row>
    <row r="3" spans="2:10" ht="16.5" customHeight="1" x14ac:dyDescent="0.3">
      <c r="H3" s="17"/>
      <c r="I3" s="16"/>
      <c r="J3" s="16"/>
    </row>
    <row r="4" spans="2:10" ht="16.5" customHeight="1" x14ac:dyDescent="0.3">
      <c r="H4" s="17"/>
      <c r="I4" s="16"/>
      <c r="J4" s="16"/>
    </row>
    <row r="5" spans="2:10" ht="16.5" customHeight="1" x14ac:dyDescent="0.3">
      <c r="D5" s="288" t="s">
        <v>1066</v>
      </c>
      <c r="H5" s="17"/>
      <c r="I5" s="16"/>
      <c r="J5" s="16"/>
    </row>
    <row r="6" spans="2:10" ht="16.5" customHeight="1" x14ac:dyDescent="0.3">
      <c r="H6" s="17"/>
      <c r="I6" s="16"/>
      <c r="J6" s="16"/>
    </row>
    <row r="7" spans="2:10" ht="16.5" customHeight="1" x14ac:dyDescent="0.3">
      <c r="H7" s="17"/>
      <c r="I7" s="16"/>
      <c r="J7" s="16"/>
    </row>
    <row r="8" spans="2:10" ht="20.25" customHeight="1" x14ac:dyDescent="0.3">
      <c r="E8" s="240" t="s">
        <v>1065</v>
      </c>
      <c r="H8" s="17"/>
      <c r="I8" s="16"/>
      <c r="J8" s="16"/>
    </row>
    <row r="9" spans="2:10" ht="16.5" customHeight="1" x14ac:dyDescent="0.3">
      <c r="H9" s="17"/>
      <c r="I9" s="16"/>
      <c r="J9" s="16"/>
    </row>
    <row r="10" spans="2:10" s="52" customFormat="1" ht="9.75" customHeight="1" x14ac:dyDescent="0.3">
      <c r="B10" s="235" t="s">
        <v>245</v>
      </c>
      <c r="D10" s="30"/>
    </row>
    <row r="11" spans="2:10" s="52" customFormat="1" ht="9.75" customHeight="1" x14ac:dyDescent="0.3">
      <c r="B11" s="237"/>
      <c r="D11" s="30"/>
    </row>
    <row r="12" spans="2:10" s="52" customFormat="1" ht="9.75" customHeight="1" x14ac:dyDescent="0.3">
      <c r="B12" s="236" t="s">
        <v>56</v>
      </c>
      <c r="D12" s="30"/>
    </row>
    <row r="13" spans="2:10" ht="1.5" customHeight="1" x14ac:dyDescent="0.3"/>
    <row r="14" spans="2:10" s="52" customFormat="1" ht="9.75" customHeight="1" x14ac:dyDescent="0.3">
      <c r="B14" s="236" t="s">
        <v>46</v>
      </c>
      <c r="D14" s="30"/>
    </row>
    <row r="15" spans="2:10" ht="1.5" customHeight="1" x14ac:dyDescent="0.3"/>
    <row r="16" spans="2:10" s="52" customFormat="1" ht="9.75" customHeight="1" x14ac:dyDescent="0.3">
      <c r="B16" s="236" t="s">
        <v>49</v>
      </c>
      <c r="D16" s="30"/>
    </row>
    <row r="17" spans="2:4" ht="1.5" customHeight="1" x14ac:dyDescent="0.3"/>
    <row r="18" spans="2:4" s="52" customFormat="1" ht="9.75" customHeight="1" x14ac:dyDescent="0.3">
      <c r="B18" s="236" t="s">
        <v>440</v>
      </c>
      <c r="D18" s="30"/>
    </row>
    <row r="19" spans="2:4" ht="1.5" customHeight="1" x14ac:dyDescent="0.3"/>
    <row r="20" spans="2:4" s="52" customFormat="1" ht="9.75" customHeight="1" x14ac:dyDescent="0.3">
      <c r="B20" s="236" t="s">
        <v>55</v>
      </c>
      <c r="D20" s="30"/>
    </row>
    <row r="21" spans="2:4" ht="1.5" customHeight="1" x14ac:dyDescent="0.3"/>
    <row r="22" spans="2:4" s="52" customFormat="1" ht="9.75" customHeight="1" x14ac:dyDescent="0.3">
      <c r="B22" s="236" t="s">
        <v>439</v>
      </c>
      <c r="D22" s="30"/>
    </row>
    <row r="23" spans="2:4" s="52" customFormat="1" ht="9.75" customHeight="1" x14ac:dyDescent="0.3">
      <c r="B23" s="237"/>
      <c r="D23" s="30"/>
    </row>
    <row r="24" spans="2:4" s="52" customFormat="1" ht="9.75" customHeight="1" x14ac:dyDescent="0.3">
      <c r="B24" s="236" t="s">
        <v>67</v>
      </c>
      <c r="D24" s="30"/>
    </row>
    <row r="25" spans="2:4" ht="1.5" customHeight="1" x14ac:dyDescent="0.3"/>
    <row r="26" spans="2:4" s="52" customFormat="1" ht="9.75" customHeight="1" x14ac:dyDescent="0.3">
      <c r="B26" s="236" t="s">
        <v>292</v>
      </c>
      <c r="D26" s="30"/>
    </row>
    <row r="27" spans="2:4" ht="1.5" customHeight="1" x14ac:dyDescent="0.3"/>
    <row r="28" spans="2:4" s="52" customFormat="1" ht="9.75" customHeight="1" x14ac:dyDescent="0.3">
      <c r="B28" s="236" t="s">
        <v>69</v>
      </c>
      <c r="D28" s="30"/>
    </row>
    <row r="29" spans="2:4" ht="1.5" customHeight="1" x14ac:dyDescent="0.3"/>
    <row r="30" spans="2:4" s="52" customFormat="1" ht="9.75" customHeight="1" x14ac:dyDescent="0.3">
      <c r="B30" s="236" t="s">
        <v>70</v>
      </c>
      <c r="D30" s="30"/>
    </row>
    <row r="31" spans="2:4" ht="1.5" customHeight="1" x14ac:dyDescent="0.3"/>
    <row r="32" spans="2:4" s="52" customFormat="1" ht="9.75" customHeight="1" x14ac:dyDescent="0.3">
      <c r="B32" s="236" t="s">
        <v>71</v>
      </c>
      <c r="D32" s="30"/>
    </row>
    <row r="33" spans="2:4" ht="1.5" customHeight="1" x14ac:dyDescent="0.3"/>
    <row r="34" spans="2:4" s="52" customFormat="1" ht="9.75" customHeight="1" x14ac:dyDescent="0.3">
      <c r="B34" s="236" t="s">
        <v>72</v>
      </c>
      <c r="D34" s="30"/>
    </row>
    <row r="35" spans="2:4" s="52" customFormat="1" ht="9.75" customHeight="1" x14ac:dyDescent="0.3">
      <c r="B35" s="237"/>
      <c r="D35" s="30"/>
    </row>
    <row r="36" spans="2:4" s="52" customFormat="1" ht="9.75" customHeight="1" x14ac:dyDescent="0.3">
      <c r="B36" s="236" t="s">
        <v>75</v>
      </c>
      <c r="D36" s="30"/>
    </row>
    <row r="37" spans="2:4" ht="1.5" customHeight="1" x14ac:dyDescent="0.3"/>
    <row r="38" spans="2:4" s="52" customFormat="1" ht="9.75" customHeight="1" x14ac:dyDescent="0.3">
      <c r="B38" s="236" t="s">
        <v>1001</v>
      </c>
      <c r="D38" s="30"/>
    </row>
    <row r="39" spans="2:4" ht="1.5" customHeight="1" x14ac:dyDescent="0.3"/>
    <row r="40" spans="2:4" s="52" customFormat="1" ht="9.75" customHeight="1" x14ac:dyDescent="0.3">
      <c r="B40" s="236" t="s">
        <v>1002</v>
      </c>
      <c r="D40" s="30"/>
    </row>
    <row r="41" spans="2:4" ht="1.5" customHeight="1" x14ac:dyDescent="0.3"/>
    <row r="42" spans="2:4" s="52" customFormat="1" ht="9.75" customHeight="1" x14ac:dyDescent="0.3">
      <c r="B42" s="236" t="s">
        <v>1003</v>
      </c>
      <c r="D42" s="30"/>
    </row>
    <row r="43" spans="2:4" ht="1.5" customHeight="1" x14ac:dyDescent="0.3"/>
    <row r="44" spans="2:4" s="52" customFormat="1" ht="9.75" customHeight="1" x14ac:dyDescent="0.3">
      <c r="B44" s="236" t="s">
        <v>1004</v>
      </c>
      <c r="D44" s="30"/>
    </row>
    <row r="45" spans="2:4" ht="1.5" customHeight="1" x14ac:dyDescent="0.3"/>
    <row r="46" spans="2:4" s="52" customFormat="1" ht="9.75" customHeight="1" x14ac:dyDescent="0.3">
      <c r="B46" s="236" t="s">
        <v>1008</v>
      </c>
      <c r="D46" s="30"/>
    </row>
    <row r="47" spans="2:4" ht="1.5" customHeight="1" x14ac:dyDescent="0.3"/>
    <row r="48" spans="2:4" s="52" customFormat="1" ht="9.75" customHeight="1" x14ac:dyDescent="0.3">
      <c r="B48" s="236" t="s">
        <v>1005</v>
      </c>
      <c r="D48" s="30"/>
    </row>
    <row r="49" spans="2:13" ht="1.5" customHeight="1" x14ac:dyDescent="0.3"/>
    <row r="50" spans="2:13" s="52" customFormat="1" ht="9.75" customHeight="1" x14ac:dyDescent="0.3">
      <c r="B50" s="236" t="s">
        <v>1006</v>
      </c>
      <c r="D50" s="30"/>
    </row>
    <row r="51" spans="2:13" s="52" customFormat="1" ht="9.75" customHeight="1" x14ac:dyDescent="0.3">
      <c r="B51" s="237"/>
      <c r="D51" s="30"/>
    </row>
    <row r="52" spans="2:13" s="52" customFormat="1" ht="9.75" customHeight="1" x14ac:dyDescent="0.3">
      <c r="B52" s="241" t="s">
        <v>318</v>
      </c>
      <c r="D52" s="30"/>
      <c r="M52" s="53"/>
    </row>
    <row r="53" spans="2:13" ht="1.5" customHeight="1" x14ac:dyDescent="0.3"/>
    <row r="54" spans="2:13" s="52" customFormat="1" ht="9.75" customHeight="1" x14ac:dyDescent="0.3">
      <c r="B54" s="241" t="s">
        <v>441</v>
      </c>
      <c r="D54" s="30"/>
    </row>
    <row r="55" spans="2:13" ht="1.5" customHeight="1" x14ac:dyDescent="0.3"/>
    <row r="56" spans="2:13" s="52" customFormat="1" ht="9.75" customHeight="1" x14ac:dyDescent="0.3">
      <c r="B56" s="241" t="s">
        <v>325</v>
      </c>
      <c r="D56" s="30"/>
    </row>
    <row r="57" spans="2:13" ht="1.5" customHeight="1" x14ac:dyDescent="0.3"/>
    <row r="58" spans="2:13" s="52" customFormat="1" ht="9.75" customHeight="1" x14ac:dyDescent="0.3">
      <c r="B58" s="241" t="s">
        <v>327</v>
      </c>
      <c r="D58" s="30"/>
    </row>
    <row r="59" spans="2:13" ht="1.5" customHeight="1" x14ac:dyDescent="0.3"/>
    <row r="60" spans="2:13" s="52" customFormat="1" ht="9.75" customHeight="1" x14ac:dyDescent="0.3">
      <c r="B60" s="241" t="s">
        <v>330</v>
      </c>
      <c r="D60" s="30"/>
    </row>
    <row r="61" spans="2:13" ht="1.5" customHeight="1" x14ac:dyDescent="0.3"/>
    <row r="62" spans="2:13" s="52" customFormat="1" ht="9.75" customHeight="1" x14ac:dyDescent="0.3">
      <c r="B62" s="241" t="s">
        <v>333</v>
      </c>
      <c r="D62" s="30"/>
    </row>
    <row r="63" spans="2:13" ht="1.5" customHeight="1" x14ac:dyDescent="0.3"/>
    <row r="64" spans="2:13" s="52" customFormat="1" ht="9.75" customHeight="1" x14ac:dyDescent="0.3">
      <c r="B64" s="241" t="s">
        <v>336</v>
      </c>
      <c r="D64" s="30"/>
    </row>
    <row r="65" spans="2:4" s="52" customFormat="1" ht="9.75" customHeight="1" x14ac:dyDescent="0.3">
      <c r="B65" s="237"/>
      <c r="D65" s="30"/>
    </row>
    <row r="66" spans="2:4" s="52" customFormat="1" ht="9.75" customHeight="1" x14ac:dyDescent="0.3">
      <c r="B66" s="241" t="s">
        <v>83</v>
      </c>
      <c r="D66" s="30"/>
    </row>
    <row r="67" spans="2:4" ht="1.5" customHeight="1" x14ac:dyDescent="0.3"/>
    <row r="68" spans="2:4" s="52" customFormat="1" ht="9.75" customHeight="1" x14ac:dyDescent="0.3">
      <c r="B68" s="241" t="s">
        <v>84</v>
      </c>
      <c r="D68" s="30"/>
    </row>
    <row r="69" spans="2:4" ht="1.5" customHeight="1" x14ac:dyDescent="0.3"/>
    <row r="70" spans="2:4" s="52" customFormat="1" ht="9.75" customHeight="1" x14ac:dyDescent="0.3">
      <c r="B70" s="241" t="s">
        <v>110</v>
      </c>
      <c r="D70" s="30"/>
    </row>
    <row r="71" spans="2:4" ht="1.5" customHeight="1" x14ac:dyDescent="0.3"/>
    <row r="72" spans="2:4" s="52" customFormat="1" ht="9.75" customHeight="1" x14ac:dyDescent="0.3">
      <c r="B72" s="241" t="s">
        <v>345</v>
      </c>
      <c r="D72" s="30"/>
    </row>
    <row r="73" spans="2:4" ht="1.5" customHeight="1" x14ac:dyDescent="0.3"/>
    <row r="74" spans="2:4" s="52" customFormat="1" ht="9.75" customHeight="1" x14ac:dyDescent="0.3">
      <c r="B74" s="241" t="s">
        <v>87</v>
      </c>
      <c r="D74" s="30"/>
    </row>
    <row r="75" spans="2:4" ht="1.5" customHeight="1" x14ac:dyDescent="0.3">
      <c r="B75" s="243"/>
    </row>
    <row r="76" spans="2:4" s="52" customFormat="1" ht="9.75" customHeight="1" x14ac:dyDescent="0.3">
      <c r="B76" s="241" t="s">
        <v>348</v>
      </c>
      <c r="D76" s="30"/>
    </row>
    <row r="77" spans="2:4" ht="1.5" customHeight="1" x14ac:dyDescent="0.3"/>
    <row r="78" spans="2:4" s="52" customFormat="1" ht="9.75" customHeight="1" x14ac:dyDescent="0.3">
      <c r="B78" s="241" t="s">
        <v>92</v>
      </c>
      <c r="D78" s="30"/>
    </row>
    <row r="79" spans="2:4" s="52" customFormat="1" ht="9.75" customHeight="1" x14ac:dyDescent="0.3">
      <c r="B79" s="237"/>
      <c r="D79" s="30"/>
    </row>
    <row r="80" spans="2:4" s="52" customFormat="1" ht="9.75" customHeight="1" x14ac:dyDescent="0.3">
      <c r="B80" s="238" t="s">
        <v>30</v>
      </c>
      <c r="D80" s="30"/>
    </row>
    <row r="81" spans="2:4" ht="1.5" customHeight="1" x14ac:dyDescent="0.3"/>
    <row r="82" spans="2:4" s="52" customFormat="1" ht="9.75" customHeight="1" x14ac:dyDescent="0.3">
      <c r="B82" s="238" t="s">
        <v>32</v>
      </c>
      <c r="D82" s="30"/>
    </row>
    <row r="83" spans="2:4" ht="1.5" customHeight="1" x14ac:dyDescent="0.3"/>
    <row r="84" spans="2:4" s="52" customFormat="1" ht="9.75" customHeight="1" x14ac:dyDescent="0.3">
      <c r="B84" s="238" t="s">
        <v>33</v>
      </c>
      <c r="D84" s="30"/>
    </row>
    <row r="85" spans="2:4" ht="1.5" customHeight="1" x14ac:dyDescent="0.3"/>
    <row r="86" spans="2:4" s="52" customFormat="1" ht="9.75" customHeight="1" x14ac:dyDescent="0.3">
      <c r="B86" s="238" t="s">
        <v>34</v>
      </c>
      <c r="D86" s="30"/>
    </row>
    <row r="87" spans="2:4" ht="1.5" customHeight="1" x14ac:dyDescent="0.3"/>
    <row r="88" spans="2:4" s="52" customFormat="1" ht="9.75" customHeight="1" x14ac:dyDescent="0.3">
      <c r="B88" s="238" t="s">
        <v>35</v>
      </c>
      <c r="D88" s="30"/>
    </row>
    <row r="89" spans="2:4" ht="1.5" customHeight="1" x14ac:dyDescent="0.3"/>
    <row r="90" spans="2:4" s="52" customFormat="1" ht="9.75" customHeight="1" x14ac:dyDescent="0.3">
      <c r="B90" s="238" t="s">
        <v>36</v>
      </c>
      <c r="D90" s="30"/>
    </row>
    <row r="91" spans="2:4" ht="1.5" customHeight="1" x14ac:dyDescent="0.3"/>
    <row r="92" spans="2:4" s="52" customFormat="1" ht="9.75" customHeight="1" x14ac:dyDescent="0.3">
      <c r="B92" s="238" t="s">
        <v>442</v>
      </c>
      <c r="D92" s="30"/>
    </row>
    <row r="93" spans="2:4" ht="1.5" customHeight="1" x14ac:dyDescent="0.3"/>
    <row r="94" spans="2:4" s="52" customFormat="1" ht="9.75" customHeight="1" x14ac:dyDescent="0.3">
      <c r="B94" s="238" t="s">
        <v>243</v>
      </c>
      <c r="D94" s="30"/>
    </row>
    <row r="95" spans="2:4" ht="1.5" customHeight="1" x14ac:dyDescent="0.3"/>
    <row r="96" spans="2:4" s="52" customFormat="1" ht="9.75" customHeight="1" x14ac:dyDescent="0.3">
      <c r="B96" s="238" t="s">
        <v>244</v>
      </c>
      <c r="D96" s="30"/>
    </row>
    <row r="97" spans="2:4" s="52" customFormat="1" ht="9.75" customHeight="1" x14ac:dyDescent="0.3">
      <c r="B97" s="237"/>
      <c r="D97" s="30"/>
    </row>
    <row r="98" spans="2:4" s="52" customFormat="1" ht="9.75" customHeight="1" x14ac:dyDescent="0.3">
      <c r="B98" s="242" t="s">
        <v>95</v>
      </c>
      <c r="D98" s="30"/>
    </row>
    <row r="99" spans="2:4" ht="1.5" customHeight="1" x14ac:dyDescent="0.3"/>
    <row r="100" spans="2:4" s="52" customFormat="1" ht="9.75" customHeight="1" x14ac:dyDescent="0.3">
      <c r="B100" s="242" t="s">
        <v>98</v>
      </c>
      <c r="D100" s="30"/>
    </row>
    <row r="101" spans="2:4" ht="1.5" customHeight="1" x14ac:dyDescent="0.3"/>
    <row r="102" spans="2:4" s="52" customFormat="1" ht="9.75" customHeight="1" x14ac:dyDescent="0.3">
      <c r="B102" s="242" t="s">
        <v>102</v>
      </c>
      <c r="D102" s="30"/>
    </row>
    <row r="103" spans="2:4" ht="1.5" customHeight="1" x14ac:dyDescent="0.3"/>
    <row r="104" spans="2:4" s="52" customFormat="1" ht="9.75" customHeight="1" x14ac:dyDescent="0.3">
      <c r="B104" s="242" t="s">
        <v>104</v>
      </c>
      <c r="D104" s="30"/>
    </row>
    <row r="105" spans="2:4" ht="1.5" customHeight="1" x14ac:dyDescent="0.3"/>
    <row r="106" spans="2:4" s="52" customFormat="1" ht="9.75" customHeight="1" x14ac:dyDescent="0.3">
      <c r="B106" s="242" t="s">
        <v>92</v>
      </c>
      <c r="D106" s="30"/>
    </row>
    <row r="107" spans="2:4" ht="1.5" customHeight="1" x14ac:dyDescent="0.3"/>
    <row r="108" spans="2:4" s="52" customFormat="1" ht="9.75" customHeight="1" x14ac:dyDescent="0.3">
      <c r="B108" s="242" t="s">
        <v>107</v>
      </c>
      <c r="D108" s="30"/>
    </row>
    <row r="109" spans="2:4" ht="1.5" customHeight="1" x14ac:dyDescent="0.3"/>
    <row r="110" spans="2:4" s="52" customFormat="1" ht="9.75" customHeight="1" x14ac:dyDescent="0.3">
      <c r="B110" s="242" t="s">
        <v>110</v>
      </c>
      <c r="D110" s="30"/>
    </row>
    <row r="111" spans="2:4" ht="1.5" customHeight="1" x14ac:dyDescent="0.3"/>
    <row r="112" spans="2:4" s="52" customFormat="1" ht="9.75" customHeight="1" x14ac:dyDescent="0.3">
      <c r="B112" s="242" t="s">
        <v>112</v>
      </c>
      <c r="D112" s="30"/>
    </row>
    <row r="113" spans="2:4" ht="1.5" customHeight="1" x14ac:dyDescent="0.3"/>
    <row r="114" spans="2:4" s="52" customFormat="1" ht="9.75" customHeight="1" x14ac:dyDescent="0.3">
      <c r="B114" s="242" t="s">
        <v>114</v>
      </c>
      <c r="D114" s="53"/>
    </row>
    <row r="115" spans="2:4" ht="1.5" customHeight="1" x14ac:dyDescent="0.3"/>
    <row r="116" spans="2:4" s="52" customFormat="1" ht="9.75" customHeight="1" x14ac:dyDescent="0.3">
      <c r="B116" s="242" t="s">
        <v>116</v>
      </c>
      <c r="D116" s="30"/>
    </row>
    <row r="117" spans="2:4" ht="1.5" customHeight="1" x14ac:dyDescent="0.3"/>
    <row r="118" spans="2:4" s="52" customFormat="1" ht="9.75" customHeight="1" x14ac:dyDescent="0.3">
      <c r="B118" s="242" t="s">
        <v>118</v>
      </c>
      <c r="D118" s="30"/>
    </row>
    <row r="119" spans="2:4" ht="1.5" customHeight="1" x14ac:dyDescent="0.3"/>
    <row r="120" spans="2:4" s="52" customFormat="1" ht="9.75" customHeight="1" x14ac:dyDescent="0.3">
      <c r="B120" s="242" t="s">
        <v>120</v>
      </c>
      <c r="D120" s="30"/>
    </row>
    <row r="121" spans="2:4" ht="1.5" customHeight="1" x14ac:dyDescent="0.3"/>
    <row r="122" spans="2:4" s="52" customFormat="1" ht="9.75" customHeight="1" x14ac:dyDescent="0.3">
      <c r="B122" s="242" t="s">
        <v>122</v>
      </c>
      <c r="D122" s="30"/>
    </row>
    <row r="123" spans="2:4" ht="1.5" customHeight="1" x14ac:dyDescent="0.3"/>
    <row r="124" spans="2:4" s="52" customFormat="1" ht="9.75" customHeight="1" x14ac:dyDescent="0.3">
      <c r="B124" s="242" t="s">
        <v>124</v>
      </c>
      <c r="D124" s="30"/>
    </row>
    <row r="125" spans="2:4" ht="1.5" customHeight="1" x14ac:dyDescent="0.3"/>
    <row r="126" spans="2:4" s="52" customFormat="1" ht="9.75" customHeight="1" x14ac:dyDescent="0.3">
      <c r="B126" s="242" t="s">
        <v>126</v>
      </c>
      <c r="D126" s="30"/>
    </row>
    <row r="127" spans="2:4" s="52" customFormat="1" ht="9.75" customHeight="1" x14ac:dyDescent="0.3">
      <c r="B127" s="237"/>
      <c r="D127" s="30"/>
    </row>
    <row r="128" spans="2:4" s="52" customFormat="1" ht="9.75" customHeight="1" x14ac:dyDescent="0.3">
      <c r="B128" s="239" t="s">
        <v>902</v>
      </c>
      <c r="D128" s="30"/>
    </row>
    <row r="129" spans="2:4" ht="1.5" customHeight="1" x14ac:dyDescent="0.3"/>
    <row r="130" spans="2:4" s="52" customFormat="1" ht="9.75" customHeight="1" x14ac:dyDescent="0.3">
      <c r="B130" s="239" t="s">
        <v>948</v>
      </c>
      <c r="D130" s="30"/>
    </row>
    <row r="131" spans="2:4" ht="1.5" customHeight="1" x14ac:dyDescent="0.3"/>
    <row r="132" spans="2:4" s="52" customFormat="1" ht="9.75" customHeight="1" x14ac:dyDescent="0.3">
      <c r="B132" s="239" t="s">
        <v>102</v>
      </c>
      <c r="D132" s="30"/>
    </row>
    <row r="133" spans="2:4" ht="1.5" customHeight="1" x14ac:dyDescent="0.3"/>
    <row r="134" spans="2:4" s="52" customFormat="1" ht="9.75" customHeight="1" x14ac:dyDescent="0.3">
      <c r="B134" s="239" t="s">
        <v>92</v>
      </c>
      <c r="D134" s="30"/>
    </row>
    <row r="135" spans="2:4" ht="1.5" customHeight="1" x14ac:dyDescent="0.3"/>
    <row r="136" spans="2:4" s="52" customFormat="1" ht="9.75" customHeight="1" x14ac:dyDescent="0.3">
      <c r="B136" s="239" t="s">
        <v>107</v>
      </c>
      <c r="D136" s="30"/>
    </row>
    <row r="137" spans="2:4" ht="1.5" customHeight="1" x14ac:dyDescent="0.3"/>
    <row r="138" spans="2:4" s="52" customFormat="1" ht="9.75" customHeight="1" x14ac:dyDescent="0.3">
      <c r="B138" s="239" t="s">
        <v>116</v>
      </c>
      <c r="D138" s="30"/>
    </row>
    <row r="139" spans="2:4" ht="1.5" customHeight="1" x14ac:dyDescent="0.3"/>
    <row r="140" spans="2:4" s="52" customFormat="1" ht="9.75" customHeight="1" x14ac:dyDescent="0.3">
      <c r="B140" s="239" t="s">
        <v>124</v>
      </c>
      <c r="D140" s="30"/>
    </row>
    <row r="141" spans="2:4" ht="1.5" customHeight="1" x14ac:dyDescent="0.3"/>
    <row r="142" spans="2:4" s="52" customFormat="1" ht="9.75" customHeight="1" x14ac:dyDescent="0.3">
      <c r="B142" s="239" t="s">
        <v>126</v>
      </c>
      <c r="D142" s="30"/>
    </row>
  </sheetData>
  <pageMargins left="0.7" right="0.7" top="0.75" bottom="0.75" header="0.3" footer="0.3"/>
  <pageSetup scale="4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L154"/>
  <sheetViews>
    <sheetView showGridLines="0" showRowColHeaders="0" zoomScaleNormal="100" workbookViewId="0"/>
  </sheetViews>
  <sheetFormatPr defaultColWidth="9.109375" defaultRowHeight="14.4" x14ac:dyDescent="0.3"/>
  <cols>
    <col min="1" max="2" width="9.109375" style="12"/>
    <col min="3" max="3" width="9.109375" style="12" customWidth="1"/>
    <col min="4" max="6" width="9.109375" style="12"/>
    <col min="7" max="7" width="20.6640625" style="30" customWidth="1"/>
    <col min="8" max="16384" width="9.109375" style="12"/>
  </cols>
  <sheetData>
    <row r="2" spans="2:12" ht="30" x14ac:dyDescent="0.3">
      <c r="F2" s="318" t="s">
        <v>1204</v>
      </c>
      <c r="K2" s="105"/>
      <c r="L2" s="32"/>
    </row>
    <row r="3" spans="2:12" ht="22.8" x14ac:dyDescent="0.4">
      <c r="F3" s="31" t="s">
        <v>26</v>
      </c>
      <c r="K3" s="32"/>
      <c r="L3" s="32"/>
    </row>
    <row r="4" spans="2:12" ht="16.2" thickBot="1" x14ac:dyDescent="0.35">
      <c r="F4" s="33"/>
    </row>
    <row r="5" spans="2:12" ht="15.6" x14ac:dyDescent="0.3">
      <c r="B5" s="34"/>
      <c r="C5" s="35"/>
      <c r="D5" s="35"/>
      <c r="E5" s="35"/>
      <c r="F5" s="36"/>
      <c r="G5" s="37"/>
      <c r="H5" s="35"/>
      <c r="I5" s="38"/>
    </row>
    <row r="6" spans="2:12" ht="15" x14ac:dyDescent="0.3">
      <c r="B6" s="39"/>
      <c r="C6" s="40" t="s">
        <v>40</v>
      </c>
      <c r="D6" s="41"/>
      <c r="E6" s="41"/>
      <c r="F6" s="41"/>
      <c r="G6" s="314"/>
      <c r="H6" s="41"/>
      <c r="I6" s="42"/>
    </row>
    <row r="7" spans="2:12" ht="15.6" x14ac:dyDescent="0.3">
      <c r="B7" s="39"/>
      <c r="C7" s="41"/>
      <c r="D7" s="41"/>
      <c r="E7" s="41"/>
      <c r="F7" s="43"/>
      <c r="G7" s="44"/>
      <c r="H7" s="41"/>
      <c r="I7" s="42"/>
    </row>
    <row r="8" spans="2:12" ht="20.399999999999999" x14ac:dyDescent="0.3">
      <c r="B8" s="39"/>
      <c r="C8" s="41"/>
      <c r="D8" s="41"/>
      <c r="E8" s="41"/>
      <c r="F8" s="45" t="s">
        <v>27</v>
      </c>
      <c r="G8" s="44"/>
      <c r="H8" s="41"/>
      <c r="I8" s="42"/>
    </row>
    <row r="9" spans="2:12" x14ac:dyDescent="0.3">
      <c r="B9" s="39"/>
      <c r="C9" s="41"/>
      <c r="D9" s="41"/>
      <c r="E9" s="41"/>
      <c r="F9" s="41"/>
      <c r="G9" s="44"/>
      <c r="H9" s="41"/>
      <c r="I9" s="42"/>
    </row>
    <row r="10" spans="2:12" ht="15.6" x14ac:dyDescent="0.3">
      <c r="B10" s="39"/>
      <c r="C10" s="46" t="s">
        <v>56</v>
      </c>
      <c r="D10" s="41"/>
      <c r="E10" s="41"/>
      <c r="F10" s="41"/>
      <c r="G10" s="44"/>
      <c r="H10" s="41"/>
      <c r="I10" s="42"/>
    </row>
    <row r="11" spans="2:12" x14ac:dyDescent="0.3">
      <c r="B11" s="39"/>
      <c r="C11" s="41" t="s">
        <v>41</v>
      </c>
      <c r="D11" s="41"/>
      <c r="E11" s="41"/>
      <c r="F11" s="41"/>
      <c r="G11" s="314"/>
      <c r="H11" s="41"/>
      <c r="I11" s="42"/>
    </row>
    <row r="12" spans="2:12" x14ac:dyDescent="0.3">
      <c r="B12" s="39"/>
      <c r="C12" s="41" t="s">
        <v>43</v>
      </c>
      <c r="D12" s="41"/>
      <c r="E12" s="41"/>
      <c r="F12" s="41"/>
      <c r="G12" s="307" t="str">
        <f>IF($G$6&lt;&gt;0,G11*100000/$G$6,"Not Calculated")</f>
        <v>Not Calculated</v>
      </c>
      <c r="H12" s="41"/>
      <c r="I12" s="42"/>
    </row>
    <row r="13" spans="2:12" x14ac:dyDescent="0.3">
      <c r="B13" s="39"/>
      <c r="C13" s="41" t="s">
        <v>42</v>
      </c>
      <c r="D13" s="41"/>
      <c r="E13" s="41"/>
      <c r="F13" s="41"/>
      <c r="G13" s="44"/>
      <c r="H13" s="41"/>
      <c r="I13" s="42"/>
    </row>
    <row r="14" spans="2:12" ht="45" customHeight="1" x14ac:dyDescent="0.3">
      <c r="B14" s="39"/>
      <c r="C14" s="321"/>
      <c r="D14" s="322"/>
      <c r="E14" s="322"/>
      <c r="F14" s="322"/>
      <c r="G14" s="322"/>
      <c r="H14" s="323"/>
      <c r="I14" s="42"/>
    </row>
    <row r="15" spans="2:12" x14ac:dyDescent="0.3">
      <c r="B15" s="39"/>
      <c r="C15" s="41"/>
      <c r="D15" s="41"/>
      <c r="E15" s="41"/>
      <c r="F15" s="41"/>
      <c r="G15" s="44"/>
      <c r="H15" s="41"/>
      <c r="I15" s="42"/>
    </row>
    <row r="16" spans="2:12" ht="15.6" x14ac:dyDescent="0.3">
      <c r="B16" s="39"/>
      <c r="C16" s="46" t="s">
        <v>46</v>
      </c>
      <c r="D16" s="41"/>
      <c r="E16" s="41"/>
      <c r="F16" s="41"/>
      <c r="G16" s="44"/>
      <c r="H16" s="41"/>
      <c r="I16" s="42"/>
    </row>
    <row r="17" spans="2:9" x14ac:dyDescent="0.3">
      <c r="B17" s="39"/>
      <c r="C17" s="41" t="s">
        <v>44</v>
      </c>
      <c r="D17" s="41"/>
      <c r="E17" s="41"/>
      <c r="F17" s="41"/>
      <c r="G17" s="314"/>
      <c r="H17" s="41"/>
      <c r="I17" s="42"/>
    </row>
    <row r="18" spans="2:9" x14ac:dyDescent="0.3">
      <c r="B18" s="39"/>
      <c r="C18" s="41" t="s">
        <v>45</v>
      </c>
      <c r="D18" s="41"/>
      <c r="E18" s="41"/>
      <c r="F18" s="41"/>
      <c r="G18" s="307" t="str">
        <f>IF($G$6&lt;&gt;0,G17*100000/$G$6,"Not Calculated")</f>
        <v>Not Calculated</v>
      </c>
      <c r="H18" s="41"/>
      <c r="I18" s="42"/>
    </row>
    <row r="19" spans="2:9" x14ac:dyDescent="0.3">
      <c r="B19" s="39"/>
      <c r="C19" s="41" t="s">
        <v>42</v>
      </c>
      <c r="D19" s="41"/>
      <c r="E19" s="41"/>
      <c r="F19" s="41"/>
      <c r="G19" s="44"/>
      <c r="H19" s="41"/>
      <c r="I19" s="42"/>
    </row>
    <row r="20" spans="2:9" x14ac:dyDescent="0.3">
      <c r="B20" s="39"/>
      <c r="C20" s="321"/>
      <c r="D20" s="322"/>
      <c r="E20" s="322"/>
      <c r="F20" s="322"/>
      <c r="G20" s="322"/>
      <c r="H20" s="323"/>
      <c r="I20" s="42"/>
    </row>
    <row r="21" spans="2:9" x14ac:dyDescent="0.3">
      <c r="B21" s="39"/>
      <c r="C21" s="41"/>
      <c r="D21" s="41"/>
      <c r="E21" s="41"/>
      <c r="F21" s="41"/>
      <c r="G21" s="44"/>
      <c r="H21" s="41"/>
      <c r="I21" s="42"/>
    </row>
    <row r="22" spans="2:9" ht="15.6" x14ac:dyDescent="0.3">
      <c r="B22" s="39"/>
      <c r="C22" s="46" t="s">
        <v>49</v>
      </c>
      <c r="D22" s="41"/>
      <c r="E22" s="41"/>
      <c r="F22" s="41"/>
      <c r="G22" s="44"/>
      <c r="H22" s="41"/>
      <c r="I22" s="42"/>
    </row>
    <row r="23" spans="2:9" x14ac:dyDescent="0.3">
      <c r="B23" s="39"/>
      <c r="C23" s="41" t="s">
        <v>47</v>
      </c>
      <c r="D23" s="41"/>
      <c r="E23" s="41"/>
      <c r="F23" s="41"/>
      <c r="G23" s="314"/>
      <c r="H23" s="41"/>
      <c r="I23" s="42"/>
    </row>
    <row r="24" spans="2:9" x14ac:dyDescent="0.3">
      <c r="B24" s="39"/>
      <c r="C24" s="41" t="s">
        <v>48</v>
      </c>
      <c r="D24" s="41"/>
      <c r="E24" s="41"/>
      <c r="F24" s="41"/>
      <c r="G24" s="307" t="str">
        <f>IF($G$6&lt;&gt;0,G23*100000/$G$6,"Not Calculated")</f>
        <v>Not Calculated</v>
      </c>
      <c r="H24" s="41"/>
      <c r="I24" s="42"/>
    </row>
    <row r="25" spans="2:9" x14ac:dyDescent="0.3">
      <c r="B25" s="39"/>
      <c r="C25" s="41" t="s">
        <v>42</v>
      </c>
      <c r="D25" s="41"/>
      <c r="E25" s="41"/>
      <c r="F25" s="41"/>
      <c r="G25" s="44"/>
      <c r="H25" s="41"/>
      <c r="I25" s="42"/>
    </row>
    <row r="26" spans="2:9" ht="30" customHeight="1" x14ac:dyDescent="0.3">
      <c r="B26" s="39"/>
      <c r="C26" s="321"/>
      <c r="D26" s="322"/>
      <c r="E26" s="322"/>
      <c r="F26" s="322"/>
      <c r="G26" s="322"/>
      <c r="H26" s="323"/>
      <c r="I26" s="42"/>
    </row>
    <row r="27" spans="2:9" x14ac:dyDescent="0.3">
      <c r="B27" s="39"/>
      <c r="C27" s="41"/>
      <c r="D27" s="41"/>
      <c r="E27" s="41"/>
      <c r="F27" s="41"/>
      <c r="G27" s="44"/>
      <c r="H27" s="41"/>
      <c r="I27" s="42"/>
    </row>
    <row r="28" spans="2:9" ht="15.6" x14ac:dyDescent="0.3">
      <c r="B28" s="39"/>
      <c r="C28" s="46" t="s">
        <v>52</v>
      </c>
      <c r="D28" s="41"/>
      <c r="E28" s="41"/>
      <c r="F28" s="41"/>
      <c r="G28" s="44"/>
      <c r="H28" s="41"/>
      <c r="I28" s="42"/>
    </row>
    <row r="29" spans="2:9" x14ac:dyDescent="0.3">
      <c r="B29" s="39"/>
      <c r="C29" s="41" t="s">
        <v>50</v>
      </c>
      <c r="D29" s="41"/>
      <c r="E29" s="41"/>
      <c r="F29" s="41"/>
      <c r="G29" s="314"/>
      <c r="H29" s="41"/>
      <c r="I29" s="42"/>
    </row>
    <row r="30" spans="2:9" x14ac:dyDescent="0.3">
      <c r="B30" s="39"/>
      <c r="C30" s="41" t="s">
        <v>51</v>
      </c>
      <c r="D30" s="41"/>
      <c r="E30" s="41"/>
      <c r="F30" s="41"/>
      <c r="G30" s="307" t="str">
        <f>IF($G$6&lt;&gt;0,G29*100000/$G$6,"Not Calculated")</f>
        <v>Not Calculated</v>
      </c>
      <c r="H30" s="41"/>
      <c r="I30" s="42"/>
    </row>
    <row r="31" spans="2:9" x14ac:dyDescent="0.3">
      <c r="B31" s="39"/>
      <c r="C31" s="41" t="s">
        <v>42</v>
      </c>
      <c r="D31" s="41"/>
      <c r="E31" s="41"/>
      <c r="F31" s="41"/>
      <c r="G31" s="44"/>
      <c r="H31" s="41"/>
      <c r="I31" s="42"/>
    </row>
    <row r="32" spans="2:9" x14ac:dyDescent="0.3">
      <c r="B32" s="39"/>
      <c r="C32" s="321"/>
      <c r="D32" s="322"/>
      <c r="E32" s="322"/>
      <c r="F32" s="322"/>
      <c r="G32" s="322"/>
      <c r="H32" s="323"/>
      <c r="I32" s="42"/>
    </row>
    <row r="33" spans="2:9" x14ac:dyDescent="0.3">
      <c r="B33" s="39"/>
      <c r="C33" s="41"/>
      <c r="D33" s="41"/>
      <c r="E33" s="41"/>
      <c r="F33" s="41"/>
      <c r="G33" s="44"/>
      <c r="H33" s="41"/>
      <c r="I33" s="42"/>
    </row>
    <row r="34" spans="2:9" ht="15.6" x14ac:dyDescent="0.3">
      <c r="B34" s="39"/>
      <c r="C34" s="46" t="s">
        <v>55</v>
      </c>
      <c r="D34" s="41"/>
      <c r="E34" s="41"/>
      <c r="F34" s="41"/>
      <c r="G34" s="44"/>
      <c r="H34" s="41"/>
      <c r="I34" s="42"/>
    </row>
    <row r="35" spans="2:9" x14ac:dyDescent="0.3">
      <c r="B35" s="39"/>
      <c r="C35" s="41" t="s">
        <v>53</v>
      </c>
      <c r="D35" s="41"/>
      <c r="E35" s="41"/>
      <c r="F35" s="41"/>
      <c r="G35" s="314"/>
      <c r="H35" s="41"/>
      <c r="I35" s="42"/>
    </row>
    <row r="36" spans="2:9" x14ac:dyDescent="0.3">
      <c r="B36" s="39"/>
      <c r="C36" s="41" t="s">
        <v>54</v>
      </c>
      <c r="D36" s="41"/>
      <c r="E36" s="41"/>
      <c r="F36" s="41"/>
      <c r="G36" s="307" t="str">
        <f>IF($G$6&lt;&gt;0,G35*100000/$G$6,"Not Calculated")</f>
        <v>Not Calculated</v>
      </c>
      <c r="H36" s="41"/>
      <c r="I36" s="42"/>
    </row>
    <row r="37" spans="2:9" x14ac:dyDescent="0.3">
      <c r="B37" s="39"/>
      <c r="C37" s="41" t="s">
        <v>42</v>
      </c>
      <c r="D37" s="41"/>
      <c r="E37" s="41"/>
      <c r="F37" s="41"/>
      <c r="G37" s="44"/>
      <c r="H37" s="41"/>
      <c r="I37" s="42"/>
    </row>
    <row r="38" spans="2:9" ht="30" customHeight="1" x14ac:dyDescent="0.3">
      <c r="B38" s="39"/>
      <c r="C38" s="321"/>
      <c r="D38" s="322"/>
      <c r="E38" s="322"/>
      <c r="F38" s="322"/>
      <c r="G38" s="322"/>
      <c r="H38" s="323"/>
      <c r="I38" s="42"/>
    </row>
    <row r="39" spans="2:9" ht="15" thickBot="1" x14ac:dyDescent="0.35">
      <c r="B39" s="47"/>
      <c r="C39" s="48"/>
      <c r="D39" s="48"/>
      <c r="E39" s="48"/>
      <c r="F39" s="48"/>
      <c r="G39" s="49"/>
      <c r="H39" s="48"/>
      <c r="I39" s="50"/>
    </row>
    <row r="40" spans="2:9" ht="15" thickBot="1" x14ac:dyDescent="0.35"/>
    <row r="41" spans="2:9" x14ac:dyDescent="0.3">
      <c r="B41" s="34"/>
      <c r="C41" s="35"/>
      <c r="D41" s="35"/>
      <c r="E41" s="35"/>
      <c r="F41" s="35"/>
      <c r="G41" s="37"/>
      <c r="H41" s="35"/>
      <c r="I41" s="38"/>
    </row>
    <row r="42" spans="2:9" ht="20.399999999999999" x14ac:dyDescent="0.3">
      <c r="B42" s="39"/>
      <c r="C42" s="41"/>
      <c r="D42" s="41"/>
      <c r="E42" s="41"/>
      <c r="F42" s="45" t="s">
        <v>28</v>
      </c>
      <c r="G42" s="44"/>
      <c r="H42" s="41"/>
      <c r="I42" s="42"/>
    </row>
    <row r="43" spans="2:9" x14ac:dyDescent="0.3">
      <c r="B43" s="39"/>
      <c r="C43" s="41"/>
      <c r="D43" s="41"/>
      <c r="E43" s="41"/>
      <c r="F43" s="41"/>
      <c r="G43" s="44"/>
      <c r="H43" s="41"/>
      <c r="I43" s="42"/>
    </row>
    <row r="44" spans="2:9" ht="15.6" x14ac:dyDescent="0.3">
      <c r="B44" s="39"/>
      <c r="C44" s="46" t="s">
        <v>67</v>
      </c>
      <c r="D44" s="41"/>
      <c r="E44" s="41"/>
      <c r="F44" s="41"/>
      <c r="G44" s="44"/>
      <c r="H44" s="41"/>
      <c r="I44" s="42"/>
    </row>
    <row r="45" spans="2:9" x14ac:dyDescent="0.3">
      <c r="B45" s="39"/>
      <c r="C45" s="41" t="s">
        <v>57</v>
      </c>
      <c r="D45" s="41"/>
      <c r="E45" s="41"/>
      <c r="F45" s="41"/>
      <c r="G45" s="314"/>
      <c r="H45" s="41"/>
      <c r="I45" s="42"/>
    </row>
    <row r="46" spans="2:9" x14ac:dyDescent="0.3">
      <c r="B46" s="39"/>
      <c r="C46" s="41" t="s">
        <v>58</v>
      </c>
      <c r="D46" s="41"/>
      <c r="E46" s="41"/>
      <c r="F46" s="41"/>
      <c r="G46" s="307" t="str">
        <f>IF($G$6&lt;&gt;0,G45*100000/$G$6,"Not Calculated")</f>
        <v>Not Calculated</v>
      </c>
      <c r="H46" s="41"/>
      <c r="I46" s="42"/>
    </row>
    <row r="47" spans="2:9" x14ac:dyDescent="0.3">
      <c r="B47" s="39"/>
      <c r="C47" s="41" t="s">
        <v>42</v>
      </c>
      <c r="D47" s="41"/>
      <c r="E47" s="41"/>
      <c r="F47" s="41"/>
      <c r="G47" s="44"/>
      <c r="H47" s="41"/>
      <c r="I47" s="42"/>
    </row>
    <row r="48" spans="2:9" x14ac:dyDescent="0.3">
      <c r="B48" s="39"/>
      <c r="C48" s="321"/>
      <c r="D48" s="322"/>
      <c r="E48" s="322"/>
      <c r="F48" s="322"/>
      <c r="G48" s="322"/>
      <c r="H48" s="323"/>
      <c r="I48" s="42"/>
    </row>
    <row r="49" spans="2:9" x14ac:dyDescent="0.3">
      <c r="B49" s="39"/>
      <c r="C49" s="41"/>
      <c r="D49" s="41"/>
      <c r="E49" s="41"/>
      <c r="F49" s="41"/>
      <c r="G49" s="44"/>
      <c r="H49" s="41"/>
      <c r="I49" s="42"/>
    </row>
    <row r="50" spans="2:9" ht="15.6" x14ac:dyDescent="0.3">
      <c r="B50" s="39"/>
      <c r="C50" s="46" t="s">
        <v>68</v>
      </c>
      <c r="D50" s="41"/>
      <c r="E50" s="41"/>
      <c r="F50" s="41"/>
      <c r="G50" s="44"/>
      <c r="H50" s="41"/>
      <c r="I50" s="42"/>
    </row>
    <row r="51" spans="2:9" x14ac:dyDescent="0.3">
      <c r="B51" s="39"/>
      <c r="C51" s="41" t="s">
        <v>59</v>
      </c>
      <c r="D51" s="41"/>
      <c r="E51" s="41"/>
      <c r="F51" s="41"/>
      <c r="G51" s="314"/>
      <c r="H51" s="41"/>
      <c r="I51" s="42"/>
    </row>
    <row r="52" spans="2:9" x14ac:dyDescent="0.3">
      <c r="B52" s="39"/>
      <c r="C52" s="41" t="s">
        <v>60</v>
      </c>
      <c r="D52" s="41"/>
      <c r="E52" s="41"/>
      <c r="F52" s="41"/>
      <c r="G52" s="307" t="str">
        <f>IF($G$6&lt;&gt;0,G51*100000/$G$6,"Not Calculated")</f>
        <v>Not Calculated</v>
      </c>
      <c r="H52" s="41"/>
      <c r="I52" s="42"/>
    </row>
    <row r="53" spans="2:9" x14ac:dyDescent="0.3">
      <c r="B53" s="39"/>
      <c r="C53" s="41" t="s">
        <v>42</v>
      </c>
      <c r="D53" s="41"/>
      <c r="E53" s="41"/>
      <c r="F53" s="41"/>
      <c r="G53" s="44"/>
      <c r="H53" s="41"/>
      <c r="I53" s="42"/>
    </row>
    <row r="54" spans="2:9" x14ac:dyDescent="0.3">
      <c r="B54" s="39"/>
      <c r="C54" s="321"/>
      <c r="D54" s="322"/>
      <c r="E54" s="322"/>
      <c r="F54" s="322"/>
      <c r="G54" s="322"/>
      <c r="H54" s="323"/>
      <c r="I54" s="42"/>
    </row>
    <row r="55" spans="2:9" x14ac:dyDescent="0.3">
      <c r="B55" s="39"/>
      <c r="C55" s="41"/>
      <c r="D55" s="41"/>
      <c r="E55" s="41"/>
      <c r="F55" s="41"/>
      <c r="G55" s="44"/>
      <c r="H55" s="41"/>
      <c r="I55" s="42"/>
    </row>
    <row r="56" spans="2:9" ht="15.6" x14ac:dyDescent="0.3">
      <c r="B56" s="39"/>
      <c r="C56" s="46" t="s">
        <v>69</v>
      </c>
      <c r="D56" s="41"/>
      <c r="E56" s="41"/>
      <c r="F56" s="41"/>
      <c r="G56" s="44"/>
      <c r="H56" s="41"/>
      <c r="I56" s="42"/>
    </row>
    <row r="57" spans="2:9" x14ac:dyDescent="0.3">
      <c r="B57" s="39"/>
      <c r="C57" s="41" t="s">
        <v>1158</v>
      </c>
      <c r="D57" s="41"/>
      <c r="E57" s="41"/>
      <c r="F57" s="41"/>
      <c r="G57" s="314"/>
      <c r="H57" s="41"/>
      <c r="I57" s="42"/>
    </row>
    <row r="58" spans="2:9" x14ac:dyDescent="0.3">
      <c r="B58" s="39"/>
      <c r="C58" s="41" t="s">
        <v>1159</v>
      </c>
      <c r="D58" s="41"/>
      <c r="E58" s="41"/>
      <c r="F58" s="41"/>
      <c r="G58" s="314"/>
      <c r="H58" s="41"/>
      <c r="I58" s="42"/>
    </row>
    <row r="59" spans="2:9" x14ac:dyDescent="0.3">
      <c r="B59" s="39"/>
      <c r="C59" s="41" t="s">
        <v>61</v>
      </c>
      <c r="D59" s="41"/>
      <c r="E59" s="41"/>
      <c r="F59" s="41"/>
      <c r="G59" s="309">
        <f>G57+G58</f>
        <v>0</v>
      </c>
      <c r="H59" s="41"/>
      <c r="I59" s="42"/>
    </row>
    <row r="60" spans="2:9" x14ac:dyDescent="0.3">
      <c r="B60" s="39"/>
      <c r="C60" s="41" t="s">
        <v>62</v>
      </c>
      <c r="D60" s="41"/>
      <c r="E60" s="41"/>
      <c r="F60" s="41"/>
      <c r="G60" s="269" t="str">
        <f>IF($G$6&lt;&gt;0,G59*100000/$G$6,"Not Calculated")</f>
        <v>Not Calculated</v>
      </c>
      <c r="H60" s="41"/>
      <c r="I60" s="42"/>
    </row>
    <row r="61" spans="2:9" x14ac:dyDescent="0.3">
      <c r="B61" s="39"/>
      <c r="C61" s="41" t="s">
        <v>42</v>
      </c>
      <c r="D61" s="41"/>
      <c r="E61" s="41"/>
      <c r="F61" s="41"/>
      <c r="G61" s="44"/>
      <c r="H61" s="41"/>
      <c r="I61" s="42"/>
    </row>
    <row r="62" spans="2:9" ht="30" customHeight="1" x14ac:dyDescent="0.3">
      <c r="B62" s="39"/>
      <c r="C62" s="321"/>
      <c r="D62" s="322"/>
      <c r="E62" s="322"/>
      <c r="F62" s="322"/>
      <c r="G62" s="322"/>
      <c r="H62" s="323"/>
      <c r="I62" s="42"/>
    </row>
    <row r="63" spans="2:9" x14ac:dyDescent="0.3">
      <c r="B63" s="39"/>
      <c r="C63" s="41"/>
      <c r="D63" s="41"/>
      <c r="E63" s="41"/>
      <c r="F63" s="41"/>
      <c r="G63" s="44"/>
      <c r="H63" s="41"/>
      <c r="I63" s="42"/>
    </row>
    <row r="64" spans="2:9" ht="15.6" x14ac:dyDescent="0.3">
      <c r="B64" s="39"/>
      <c r="C64" s="46" t="s">
        <v>70</v>
      </c>
      <c r="D64" s="41"/>
      <c r="E64" s="41"/>
      <c r="F64" s="41"/>
      <c r="G64" s="44"/>
      <c r="H64" s="41"/>
      <c r="I64" s="42"/>
    </row>
    <row r="65" spans="2:9" x14ac:dyDescent="0.3">
      <c r="B65" s="39"/>
      <c r="C65" s="41" t="s">
        <v>63</v>
      </c>
      <c r="D65" s="41"/>
      <c r="E65" s="41"/>
      <c r="F65" s="41"/>
      <c r="G65" s="314"/>
      <c r="H65" s="41"/>
      <c r="I65" s="42"/>
    </row>
    <row r="66" spans="2:9" x14ac:dyDescent="0.3">
      <c r="B66" s="39"/>
      <c r="C66" s="41" t="s">
        <v>64</v>
      </c>
      <c r="D66" s="41"/>
      <c r="E66" s="41"/>
      <c r="F66" s="41"/>
      <c r="G66" s="307" t="str">
        <f>IF($G$6&lt;&gt;0,G65*100000/$G$6,"Not Calculated")</f>
        <v>Not Calculated</v>
      </c>
      <c r="H66" s="41"/>
      <c r="I66" s="42"/>
    </row>
    <row r="67" spans="2:9" x14ac:dyDescent="0.3">
      <c r="B67" s="39"/>
      <c r="C67" s="41" t="s">
        <v>42</v>
      </c>
      <c r="D67" s="41"/>
      <c r="E67" s="41"/>
      <c r="F67" s="41"/>
      <c r="G67" s="44"/>
      <c r="H67" s="41"/>
      <c r="I67" s="42"/>
    </row>
    <row r="68" spans="2:9" x14ac:dyDescent="0.3">
      <c r="B68" s="39"/>
      <c r="C68" s="321"/>
      <c r="D68" s="322"/>
      <c r="E68" s="322"/>
      <c r="F68" s="322"/>
      <c r="G68" s="322"/>
      <c r="H68" s="323"/>
      <c r="I68" s="42"/>
    </row>
    <row r="69" spans="2:9" x14ac:dyDescent="0.3">
      <c r="B69" s="39"/>
      <c r="C69" s="41"/>
      <c r="D69" s="41"/>
      <c r="E69" s="41"/>
      <c r="F69" s="41"/>
      <c r="G69" s="44"/>
      <c r="H69" s="41"/>
      <c r="I69" s="42"/>
    </row>
    <row r="70" spans="2:9" ht="15.6" x14ac:dyDescent="0.3">
      <c r="B70" s="39"/>
      <c r="C70" s="46" t="s">
        <v>71</v>
      </c>
      <c r="D70" s="41"/>
      <c r="E70" s="41"/>
      <c r="F70" s="41"/>
      <c r="G70" s="44"/>
      <c r="H70" s="41"/>
      <c r="I70" s="42"/>
    </row>
    <row r="71" spans="2:9" x14ac:dyDescent="0.3">
      <c r="B71" s="39"/>
      <c r="C71" s="41" t="s">
        <v>366</v>
      </c>
      <c r="D71" s="41"/>
      <c r="E71" s="41"/>
      <c r="F71" s="41"/>
      <c r="G71" s="314"/>
      <c r="H71" s="41"/>
      <c r="I71" s="42"/>
    </row>
    <row r="72" spans="2:9" x14ac:dyDescent="0.3">
      <c r="B72" s="39"/>
      <c r="C72" s="41" t="s">
        <v>367</v>
      </c>
      <c r="D72" s="41"/>
      <c r="E72" s="41"/>
      <c r="F72" s="41"/>
      <c r="G72" s="307" t="str">
        <f>IF($G$6&lt;&gt;0,G71*100000/$G$6,"Not Calculated")</f>
        <v>Not Calculated</v>
      </c>
      <c r="H72" s="41"/>
      <c r="I72" s="42"/>
    </row>
    <row r="73" spans="2:9" x14ac:dyDescent="0.3">
      <c r="B73" s="39"/>
      <c r="C73" s="41" t="s">
        <v>42</v>
      </c>
      <c r="D73" s="41"/>
      <c r="E73" s="41"/>
      <c r="F73" s="41"/>
      <c r="G73" s="44"/>
      <c r="H73" s="41"/>
      <c r="I73" s="42"/>
    </row>
    <row r="74" spans="2:9" ht="45" customHeight="1" x14ac:dyDescent="0.3">
      <c r="B74" s="39"/>
      <c r="C74" s="321"/>
      <c r="D74" s="322"/>
      <c r="E74" s="322"/>
      <c r="F74" s="322"/>
      <c r="G74" s="322"/>
      <c r="H74" s="323"/>
      <c r="I74" s="42"/>
    </row>
    <row r="75" spans="2:9" x14ac:dyDescent="0.3">
      <c r="B75" s="39"/>
      <c r="C75" s="41"/>
      <c r="D75" s="41"/>
      <c r="E75" s="41"/>
      <c r="F75" s="41"/>
      <c r="G75" s="44"/>
      <c r="H75" s="41"/>
      <c r="I75" s="42"/>
    </row>
    <row r="76" spans="2:9" ht="15.6" x14ac:dyDescent="0.3">
      <c r="B76" s="39"/>
      <c r="C76" s="46" t="s">
        <v>72</v>
      </c>
      <c r="D76" s="41"/>
      <c r="E76" s="41"/>
      <c r="F76" s="41"/>
      <c r="G76" s="44"/>
      <c r="H76" s="41"/>
      <c r="I76" s="42"/>
    </row>
    <row r="77" spans="2:9" x14ac:dyDescent="0.3">
      <c r="B77" s="39"/>
      <c r="C77" s="41" t="s">
        <v>65</v>
      </c>
      <c r="D77" s="41"/>
      <c r="E77" s="41"/>
      <c r="F77" s="41"/>
      <c r="G77" s="314"/>
      <c r="H77" s="41"/>
      <c r="I77" s="42"/>
    </row>
    <row r="78" spans="2:9" x14ac:dyDescent="0.3">
      <c r="B78" s="39"/>
      <c r="C78" s="41" t="s">
        <v>66</v>
      </c>
      <c r="D78" s="41"/>
      <c r="E78" s="41"/>
      <c r="F78" s="41"/>
      <c r="G78" s="307" t="str">
        <f>IF($G$6&lt;&gt;0,G77*100000/$G$6,"Not Calculated")</f>
        <v>Not Calculated</v>
      </c>
      <c r="H78" s="41"/>
      <c r="I78" s="42"/>
    </row>
    <row r="79" spans="2:9" x14ac:dyDescent="0.3">
      <c r="B79" s="39"/>
      <c r="C79" s="41" t="s">
        <v>42</v>
      </c>
      <c r="D79" s="41"/>
      <c r="E79" s="41"/>
      <c r="F79" s="41"/>
      <c r="G79" s="44"/>
      <c r="H79" s="41"/>
      <c r="I79" s="42"/>
    </row>
    <row r="80" spans="2:9" x14ac:dyDescent="0.3">
      <c r="B80" s="39"/>
      <c r="C80" s="321"/>
      <c r="D80" s="322"/>
      <c r="E80" s="322"/>
      <c r="F80" s="322"/>
      <c r="G80" s="322"/>
      <c r="H80" s="323"/>
      <c r="I80" s="42"/>
    </row>
    <row r="81" spans="2:9" ht="15" thickBot="1" x14ac:dyDescent="0.35">
      <c r="B81" s="47"/>
      <c r="C81" s="48"/>
      <c r="D81" s="48"/>
      <c r="E81" s="48"/>
      <c r="F81" s="48"/>
      <c r="G81" s="49"/>
      <c r="H81" s="48"/>
      <c r="I81" s="50"/>
    </row>
    <row r="82" spans="2:9" ht="15" thickBot="1" x14ac:dyDescent="0.35"/>
    <row r="83" spans="2:9" x14ac:dyDescent="0.3">
      <c r="B83" s="34"/>
      <c r="C83" s="35"/>
      <c r="D83" s="35"/>
      <c r="E83" s="35"/>
      <c r="F83" s="35"/>
      <c r="G83" s="37"/>
      <c r="H83" s="35"/>
      <c r="I83" s="38"/>
    </row>
    <row r="84" spans="2:9" ht="20.399999999999999" x14ac:dyDescent="0.3">
      <c r="B84" s="39"/>
      <c r="C84" s="41"/>
      <c r="D84" s="41"/>
      <c r="E84" s="41"/>
      <c r="F84" s="51" t="s">
        <v>1009</v>
      </c>
      <c r="G84" s="44"/>
      <c r="H84" s="41"/>
      <c r="I84" s="42"/>
    </row>
    <row r="85" spans="2:9" x14ac:dyDescent="0.3">
      <c r="B85" s="39"/>
      <c r="C85" s="41"/>
      <c r="D85" s="41"/>
      <c r="E85" s="41"/>
      <c r="F85" s="41"/>
      <c r="G85" s="44"/>
      <c r="H85" s="41"/>
      <c r="I85" s="42"/>
    </row>
    <row r="86" spans="2:9" ht="15.6" x14ac:dyDescent="0.3">
      <c r="B86" s="39"/>
      <c r="C86" s="46" t="s">
        <v>75</v>
      </c>
      <c r="D86" s="41"/>
      <c r="E86" s="41"/>
      <c r="F86" s="41"/>
      <c r="G86" s="44"/>
      <c r="H86" s="41"/>
      <c r="I86" s="42"/>
    </row>
    <row r="87" spans="2:9" x14ac:dyDescent="0.3">
      <c r="B87" s="39"/>
      <c r="C87" s="41" t="s">
        <v>73</v>
      </c>
      <c r="D87" s="41"/>
      <c r="E87" s="41"/>
      <c r="F87" s="41"/>
      <c r="G87" s="314"/>
      <c r="H87" s="41"/>
      <c r="I87" s="42"/>
    </row>
    <row r="88" spans="2:9" x14ac:dyDescent="0.3">
      <c r="B88" s="39"/>
      <c r="C88" s="41" t="s">
        <v>74</v>
      </c>
      <c r="D88" s="41"/>
      <c r="E88" s="41"/>
      <c r="F88" s="41"/>
      <c r="G88" s="307">
        <f>G87*1768/8760</f>
        <v>0</v>
      </c>
      <c r="H88" s="41"/>
      <c r="I88" s="42"/>
    </row>
    <row r="89" spans="2:9" x14ac:dyDescent="0.3">
      <c r="B89" s="39"/>
      <c r="C89" s="41" t="s">
        <v>42</v>
      </c>
      <c r="D89" s="41"/>
      <c r="E89" s="41"/>
      <c r="F89" s="41"/>
      <c r="G89" s="44"/>
      <c r="H89" s="41"/>
      <c r="I89" s="42"/>
    </row>
    <row r="90" spans="2:9" x14ac:dyDescent="0.3">
      <c r="B90" s="39"/>
      <c r="C90" s="321"/>
      <c r="D90" s="322"/>
      <c r="E90" s="322"/>
      <c r="F90" s="322"/>
      <c r="G90" s="322"/>
      <c r="H90" s="323"/>
      <c r="I90" s="42"/>
    </row>
    <row r="91" spans="2:9" x14ac:dyDescent="0.3">
      <c r="B91" s="39"/>
      <c r="C91" s="41"/>
      <c r="D91" s="41"/>
      <c r="E91" s="41"/>
      <c r="F91" s="41"/>
      <c r="G91" s="44"/>
      <c r="H91" s="41"/>
      <c r="I91" s="42"/>
    </row>
    <row r="92" spans="2:9" x14ac:dyDescent="0.3">
      <c r="B92" s="39"/>
      <c r="C92" s="41" t="s">
        <v>76</v>
      </c>
      <c r="D92" s="41"/>
      <c r="E92" s="41"/>
      <c r="F92" s="41"/>
      <c r="G92" s="314"/>
      <c r="H92" s="41"/>
      <c r="I92" s="42"/>
    </row>
    <row r="93" spans="2:9" x14ac:dyDescent="0.3">
      <c r="B93" s="39"/>
      <c r="C93" s="41" t="s">
        <v>77</v>
      </c>
      <c r="D93" s="41"/>
      <c r="E93" s="41"/>
      <c r="F93" s="41"/>
      <c r="G93" s="307">
        <f>G92/365</f>
        <v>0</v>
      </c>
      <c r="H93" s="41"/>
      <c r="I93" s="42"/>
    </row>
    <row r="94" spans="2:9" x14ac:dyDescent="0.3">
      <c r="B94" s="39"/>
      <c r="C94" s="41" t="s">
        <v>42</v>
      </c>
      <c r="D94" s="41"/>
      <c r="E94" s="41"/>
      <c r="F94" s="41"/>
      <c r="G94" s="44"/>
      <c r="H94" s="41"/>
      <c r="I94" s="42"/>
    </row>
    <row r="95" spans="2:9" x14ac:dyDescent="0.3">
      <c r="B95" s="39"/>
      <c r="C95" s="321"/>
      <c r="D95" s="322"/>
      <c r="E95" s="322"/>
      <c r="F95" s="322"/>
      <c r="G95" s="322"/>
      <c r="H95" s="323"/>
      <c r="I95" s="42"/>
    </row>
    <row r="96" spans="2:9" x14ac:dyDescent="0.3">
      <c r="B96" s="39"/>
      <c r="C96" s="41"/>
      <c r="D96" s="41"/>
      <c r="E96" s="41"/>
      <c r="F96" s="41"/>
      <c r="G96" s="44"/>
      <c r="H96" s="41"/>
      <c r="I96" s="42"/>
    </row>
    <row r="97" spans="2:9" x14ac:dyDescent="0.3">
      <c r="B97" s="39"/>
      <c r="C97" s="41" t="s">
        <v>78</v>
      </c>
      <c r="D97" s="41"/>
      <c r="E97" s="41"/>
      <c r="F97" s="41"/>
      <c r="G97" s="269" t="str">
        <f>IF(G88=0,"N/A",G93/G88)</f>
        <v>N/A</v>
      </c>
      <c r="H97" s="41"/>
      <c r="I97" s="42"/>
    </row>
    <row r="98" spans="2:9" x14ac:dyDescent="0.3">
      <c r="B98" s="39"/>
      <c r="C98" s="41"/>
      <c r="D98" s="41"/>
      <c r="E98" s="41"/>
      <c r="F98" s="41"/>
      <c r="G98" s="44"/>
      <c r="H98" s="41"/>
      <c r="I98" s="42"/>
    </row>
    <row r="99" spans="2:9" ht="15.6" x14ac:dyDescent="0.3">
      <c r="B99" s="39"/>
      <c r="C99" s="46" t="s">
        <v>1007</v>
      </c>
      <c r="D99" s="41"/>
      <c r="E99" s="41"/>
      <c r="F99" s="41"/>
      <c r="G99" s="44"/>
      <c r="H99" s="41"/>
      <c r="I99" s="42"/>
    </row>
    <row r="100" spans="2:9" x14ac:dyDescent="0.3">
      <c r="B100" s="39"/>
      <c r="C100" s="41" t="s">
        <v>61</v>
      </c>
      <c r="D100" s="41"/>
      <c r="E100" s="41"/>
      <c r="F100" s="41"/>
      <c r="G100" s="308">
        <f>G59</f>
        <v>0</v>
      </c>
      <c r="H100" s="41"/>
      <c r="I100" s="42"/>
    </row>
    <row r="101" spans="2:9" x14ac:dyDescent="0.3">
      <c r="B101" s="39"/>
      <c r="C101" s="41" t="s">
        <v>983</v>
      </c>
      <c r="D101" s="41"/>
      <c r="E101" s="41"/>
      <c r="F101" s="41"/>
      <c r="G101" s="314"/>
      <c r="H101" s="41"/>
      <c r="I101" s="42"/>
    </row>
    <row r="102" spans="2:9" x14ac:dyDescent="0.3">
      <c r="B102" s="39"/>
      <c r="C102" s="41" t="s">
        <v>984</v>
      </c>
      <c r="D102" s="41"/>
      <c r="E102" s="41"/>
      <c r="F102" s="41"/>
      <c r="G102" s="308">
        <f>G100+G101</f>
        <v>0</v>
      </c>
      <c r="H102" s="41"/>
      <c r="I102" s="42"/>
    </row>
    <row r="103" spans="2:9" x14ac:dyDescent="0.3">
      <c r="B103" s="39"/>
      <c r="C103" s="41" t="s">
        <v>42</v>
      </c>
      <c r="D103" s="41"/>
      <c r="E103" s="41"/>
      <c r="F103" s="41"/>
      <c r="G103" s="44"/>
      <c r="H103" s="41"/>
      <c r="I103" s="42"/>
    </row>
    <row r="104" spans="2:9" x14ac:dyDescent="0.3">
      <c r="B104" s="39"/>
      <c r="C104" s="321"/>
      <c r="D104" s="322"/>
      <c r="E104" s="322"/>
      <c r="F104" s="322"/>
      <c r="G104" s="322"/>
      <c r="H104" s="323"/>
      <c r="I104" s="42"/>
    </row>
    <row r="105" spans="2:9" x14ac:dyDescent="0.3">
      <c r="B105" s="39"/>
      <c r="C105" s="41"/>
      <c r="D105" s="41"/>
      <c r="E105" s="41"/>
      <c r="F105" s="41"/>
      <c r="G105" s="44"/>
      <c r="H105" s="41"/>
      <c r="I105" s="42"/>
    </row>
    <row r="106" spans="2:9" ht="15.6" x14ac:dyDescent="0.3">
      <c r="B106" s="39"/>
      <c r="C106" s="46" t="s">
        <v>1003</v>
      </c>
      <c r="D106" s="41"/>
      <c r="E106" s="41"/>
      <c r="F106" s="41"/>
      <c r="G106" s="44"/>
      <c r="H106" s="41"/>
      <c r="I106" s="42"/>
    </row>
    <row r="107" spans="2:9" x14ac:dyDescent="0.3">
      <c r="B107" s="39"/>
      <c r="C107" s="324" t="s">
        <v>79</v>
      </c>
      <c r="D107" s="324"/>
      <c r="E107" s="324"/>
      <c r="F107" s="324"/>
      <c r="G107" s="44"/>
      <c r="H107" s="41"/>
      <c r="I107" s="42"/>
    </row>
    <row r="108" spans="2:9" x14ac:dyDescent="0.3">
      <c r="B108" s="39"/>
      <c r="C108" s="324"/>
      <c r="D108" s="324"/>
      <c r="E108" s="324"/>
      <c r="F108" s="324"/>
      <c r="G108" s="314"/>
      <c r="H108" s="41"/>
      <c r="I108" s="42"/>
    </row>
    <row r="109" spans="2:9" x14ac:dyDescent="0.3">
      <c r="B109" s="39"/>
      <c r="C109" s="41" t="s">
        <v>42</v>
      </c>
      <c r="D109" s="41"/>
      <c r="E109" s="41"/>
      <c r="F109" s="41"/>
      <c r="G109" s="44"/>
      <c r="H109" s="41"/>
      <c r="I109" s="42"/>
    </row>
    <row r="110" spans="2:9" x14ac:dyDescent="0.3">
      <c r="B110" s="39"/>
      <c r="C110" s="321"/>
      <c r="D110" s="322"/>
      <c r="E110" s="322"/>
      <c r="F110" s="322"/>
      <c r="G110" s="322"/>
      <c r="H110" s="323"/>
      <c r="I110" s="42"/>
    </row>
    <row r="111" spans="2:9" x14ac:dyDescent="0.3">
      <c r="B111" s="39"/>
      <c r="C111" s="41"/>
      <c r="D111" s="41"/>
      <c r="E111" s="41"/>
      <c r="F111" s="41"/>
      <c r="G111" s="44"/>
      <c r="H111" s="41"/>
      <c r="I111" s="42"/>
    </row>
    <row r="112" spans="2:9" ht="15.6" x14ac:dyDescent="0.3">
      <c r="B112" s="39"/>
      <c r="C112" s="46" t="s">
        <v>1008</v>
      </c>
      <c r="D112" s="41"/>
      <c r="E112" s="41"/>
      <c r="F112" s="41"/>
      <c r="G112" s="44"/>
      <c r="H112" s="41"/>
      <c r="I112" s="42"/>
    </row>
    <row r="113" spans="2:9" x14ac:dyDescent="0.3">
      <c r="B113" s="39"/>
      <c r="C113" s="324" t="s">
        <v>80</v>
      </c>
      <c r="D113" s="324"/>
      <c r="E113" s="324"/>
      <c r="F113" s="324"/>
      <c r="G113" s="44"/>
      <c r="H113" s="41"/>
      <c r="I113" s="42"/>
    </row>
    <row r="114" spans="2:9" x14ac:dyDescent="0.3">
      <c r="B114" s="39"/>
      <c r="C114" s="324"/>
      <c r="D114" s="324"/>
      <c r="E114" s="324"/>
      <c r="F114" s="324"/>
      <c r="G114" s="314"/>
      <c r="H114" s="41"/>
      <c r="I114" s="42"/>
    </row>
    <row r="115" spans="2:9" x14ac:dyDescent="0.3">
      <c r="B115" s="39"/>
      <c r="C115" s="41" t="s">
        <v>42</v>
      </c>
      <c r="D115" s="41"/>
      <c r="E115" s="41"/>
      <c r="F115" s="41"/>
      <c r="G115" s="44"/>
      <c r="H115" s="41"/>
      <c r="I115" s="42"/>
    </row>
    <row r="116" spans="2:9" x14ac:dyDescent="0.3">
      <c r="B116" s="39"/>
      <c r="C116" s="321"/>
      <c r="D116" s="322"/>
      <c r="E116" s="322"/>
      <c r="F116" s="322"/>
      <c r="G116" s="322"/>
      <c r="H116" s="323"/>
      <c r="I116" s="42"/>
    </row>
    <row r="117" spans="2:9" ht="15" thickBot="1" x14ac:dyDescent="0.35">
      <c r="B117" s="47"/>
      <c r="C117" s="48"/>
      <c r="D117" s="48"/>
      <c r="E117" s="48"/>
      <c r="F117" s="48"/>
      <c r="G117" s="49"/>
      <c r="H117" s="48"/>
      <c r="I117" s="50"/>
    </row>
    <row r="118" spans="2:9" ht="15" thickBot="1" x14ac:dyDescent="0.35"/>
    <row r="119" spans="2:9" x14ac:dyDescent="0.3">
      <c r="B119" s="34"/>
      <c r="C119" s="35"/>
      <c r="D119" s="35"/>
      <c r="E119" s="35"/>
      <c r="F119" s="35"/>
      <c r="G119" s="37"/>
      <c r="H119" s="35"/>
      <c r="I119" s="38"/>
    </row>
    <row r="120" spans="2:9" ht="20.399999999999999" x14ac:dyDescent="0.3">
      <c r="B120" s="39"/>
      <c r="C120" s="41"/>
      <c r="D120" s="41"/>
      <c r="E120" s="41"/>
      <c r="F120" s="51" t="s">
        <v>29</v>
      </c>
      <c r="G120" s="44"/>
      <c r="H120" s="41"/>
      <c r="I120" s="42"/>
    </row>
    <row r="121" spans="2:9" x14ac:dyDescent="0.3">
      <c r="B121" s="39"/>
      <c r="C121" s="41"/>
      <c r="D121" s="41"/>
      <c r="E121" s="41"/>
      <c r="F121" s="41"/>
      <c r="G121" s="44"/>
      <c r="H121" s="41"/>
      <c r="I121" s="42"/>
    </row>
    <row r="122" spans="2:9" ht="15.6" x14ac:dyDescent="0.3">
      <c r="B122" s="39"/>
      <c r="C122" s="46" t="s">
        <v>83</v>
      </c>
      <c r="D122" s="41"/>
      <c r="E122" s="41"/>
      <c r="F122" s="41"/>
      <c r="G122" s="44"/>
      <c r="H122" s="41"/>
      <c r="I122" s="42"/>
    </row>
    <row r="123" spans="2:9" x14ac:dyDescent="0.3">
      <c r="B123" s="39"/>
      <c r="C123" s="41" t="s">
        <v>81</v>
      </c>
      <c r="D123" s="41"/>
      <c r="E123" s="41"/>
      <c r="F123" s="41"/>
      <c r="G123" s="314"/>
      <c r="H123" s="41"/>
      <c r="I123" s="42"/>
    </row>
    <row r="124" spans="2:9" x14ac:dyDescent="0.3">
      <c r="B124" s="39"/>
      <c r="C124" s="41" t="s">
        <v>82</v>
      </c>
      <c r="D124" s="41"/>
      <c r="E124" s="41"/>
      <c r="F124" s="41"/>
      <c r="G124" s="307" t="str">
        <f>IF($G$6&lt;&gt;0,G123*100000/$G$6,"Not Calculated")</f>
        <v>Not Calculated</v>
      </c>
      <c r="H124" s="41"/>
      <c r="I124" s="42"/>
    </row>
    <row r="125" spans="2:9" x14ac:dyDescent="0.3">
      <c r="B125" s="39"/>
      <c r="C125" s="41" t="s">
        <v>42</v>
      </c>
      <c r="D125" s="41"/>
      <c r="E125" s="41"/>
      <c r="F125" s="41"/>
      <c r="G125" s="44"/>
      <c r="H125" s="41"/>
      <c r="I125" s="42"/>
    </row>
    <row r="126" spans="2:9" x14ac:dyDescent="0.3">
      <c r="B126" s="39"/>
      <c r="C126" s="321"/>
      <c r="D126" s="322"/>
      <c r="E126" s="322"/>
      <c r="F126" s="322"/>
      <c r="G126" s="322"/>
      <c r="H126" s="323"/>
      <c r="I126" s="42"/>
    </row>
    <row r="127" spans="2:9" x14ac:dyDescent="0.3">
      <c r="B127" s="39"/>
      <c r="C127" s="41"/>
      <c r="D127" s="41"/>
      <c r="E127" s="41"/>
      <c r="F127" s="41"/>
      <c r="G127" s="44"/>
      <c r="H127" s="41"/>
      <c r="I127" s="42"/>
    </row>
    <row r="128" spans="2:9" ht="15.6" x14ac:dyDescent="0.3">
      <c r="B128" s="39"/>
      <c r="C128" s="46" t="s">
        <v>84</v>
      </c>
      <c r="D128" s="41"/>
      <c r="E128" s="41"/>
      <c r="F128" s="41"/>
      <c r="G128" s="44"/>
      <c r="H128" s="41"/>
      <c r="I128" s="42"/>
    </row>
    <row r="129" spans="2:9" x14ac:dyDescent="0.3">
      <c r="B129" s="39"/>
      <c r="C129" s="324" t="s">
        <v>85</v>
      </c>
      <c r="D129" s="324"/>
      <c r="E129" s="324"/>
      <c r="F129" s="324"/>
      <c r="G129" s="44"/>
      <c r="H129" s="41"/>
      <c r="I129" s="42"/>
    </row>
    <row r="130" spans="2:9" x14ac:dyDescent="0.3">
      <c r="B130" s="39"/>
      <c r="C130" s="324"/>
      <c r="D130" s="324"/>
      <c r="E130" s="324"/>
      <c r="F130" s="324"/>
      <c r="G130" s="44"/>
      <c r="H130" s="41"/>
      <c r="I130" s="42"/>
    </row>
    <row r="131" spans="2:9" x14ac:dyDescent="0.3">
      <c r="B131" s="39"/>
      <c r="C131" s="324"/>
      <c r="D131" s="324"/>
      <c r="E131" s="324"/>
      <c r="F131" s="324"/>
      <c r="G131" s="44"/>
      <c r="H131" s="41"/>
      <c r="I131" s="42"/>
    </row>
    <row r="132" spans="2:9" x14ac:dyDescent="0.3">
      <c r="B132" s="39"/>
      <c r="C132" s="324"/>
      <c r="D132" s="324"/>
      <c r="E132" s="324"/>
      <c r="F132" s="324"/>
      <c r="G132" s="314"/>
      <c r="H132" s="41"/>
      <c r="I132" s="42"/>
    </row>
    <row r="133" spans="2:9" x14ac:dyDescent="0.3">
      <c r="B133" s="39"/>
      <c r="C133" s="41" t="s">
        <v>42</v>
      </c>
      <c r="D133" s="41"/>
      <c r="E133" s="41"/>
      <c r="F133" s="41"/>
      <c r="G133" s="44"/>
      <c r="H133" s="41"/>
      <c r="I133" s="42"/>
    </row>
    <row r="134" spans="2:9" x14ac:dyDescent="0.3">
      <c r="B134" s="39"/>
      <c r="C134" s="321"/>
      <c r="D134" s="322"/>
      <c r="E134" s="322"/>
      <c r="F134" s="322"/>
      <c r="G134" s="322"/>
      <c r="H134" s="323"/>
      <c r="I134" s="42"/>
    </row>
    <row r="135" spans="2:9" x14ac:dyDescent="0.3">
      <c r="B135" s="39"/>
      <c r="C135" s="41"/>
      <c r="D135" s="41"/>
      <c r="E135" s="41"/>
      <c r="F135" s="41"/>
      <c r="G135" s="44"/>
      <c r="H135" s="41"/>
      <c r="I135" s="42"/>
    </row>
    <row r="136" spans="2:9" ht="15.6" x14ac:dyDescent="0.3">
      <c r="B136" s="39"/>
      <c r="C136" s="46" t="s">
        <v>87</v>
      </c>
      <c r="D136" s="41"/>
      <c r="E136" s="41"/>
      <c r="F136" s="41"/>
      <c r="G136" s="44"/>
      <c r="H136" s="41"/>
      <c r="I136" s="42"/>
    </row>
    <row r="137" spans="2:9" x14ac:dyDescent="0.3">
      <c r="B137" s="39"/>
      <c r="C137" s="41" t="s">
        <v>86</v>
      </c>
      <c r="D137" s="41"/>
      <c r="E137" s="41"/>
      <c r="F137" s="41"/>
      <c r="G137" s="314"/>
      <c r="H137" s="41"/>
      <c r="I137" s="42"/>
    </row>
    <row r="138" spans="2:9" x14ac:dyDescent="0.3">
      <c r="B138" s="39"/>
      <c r="C138" s="41" t="s">
        <v>42</v>
      </c>
      <c r="D138" s="41"/>
      <c r="E138" s="41"/>
      <c r="F138" s="41"/>
      <c r="G138" s="44"/>
      <c r="H138" s="41"/>
      <c r="I138" s="42"/>
    </row>
    <row r="139" spans="2:9" x14ac:dyDescent="0.3">
      <c r="B139" s="39"/>
      <c r="C139" s="321"/>
      <c r="D139" s="322"/>
      <c r="E139" s="322"/>
      <c r="F139" s="322"/>
      <c r="G139" s="322"/>
      <c r="H139" s="323"/>
      <c r="I139" s="42"/>
    </row>
    <row r="140" spans="2:9" x14ac:dyDescent="0.3">
      <c r="B140" s="39"/>
      <c r="C140" s="41"/>
      <c r="D140" s="41"/>
      <c r="E140" s="41"/>
      <c r="F140" s="41"/>
      <c r="G140" s="44"/>
      <c r="H140" s="41"/>
      <c r="I140" s="42"/>
    </row>
    <row r="141" spans="2:9" ht="15.6" x14ac:dyDescent="0.3">
      <c r="B141" s="39"/>
      <c r="C141" s="46" t="s">
        <v>88</v>
      </c>
      <c r="D141" s="41"/>
      <c r="E141" s="41"/>
      <c r="F141" s="41"/>
      <c r="G141" s="44"/>
      <c r="H141" s="41"/>
      <c r="I141" s="42"/>
    </row>
    <row r="142" spans="2:9" x14ac:dyDescent="0.3">
      <c r="B142" s="39"/>
      <c r="C142" s="324" t="s">
        <v>89</v>
      </c>
      <c r="D142" s="324"/>
      <c r="E142" s="324"/>
      <c r="F142" s="324"/>
      <c r="G142" s="44"/>
      <c r="H142" s="41"/>
      <c r="I142" s="42"/>
    </row>
    <row r="143" spans="2:9" x14ac:dyDescent="0.3">
      <c r="B143" s="39"/>
      <c r="C143" s="324"/>
      <c r="D143" s="324"/>
      <c r="E143" s="324"/>
      <c r="F143" s="324"/>
      <c r="G143" s="44"/>
      <c r="H143" s="41"/>
      <c r="I143" s="42"/>
    </row>
    <row r="144" spans="2:9" x14ac:dyDescent="0.3">
      <c r="B144" s="39"/>
      <c r="C144" s="324"/>
      <c r="D144" s="324"/>
      <c r="E144" s="324"/>
      <c r="F144" s="324"/>
      <c r="G144" s="44"/>
      <c r="H144" s="41"/>
      <c r="I144" s="42"/>
    </row>
    <row r="145" spans="2:9" x14ac:dyDescent="0.3">
      <c r="B145" s="39"/>
      <c r="C145" s="324"/>
      <c r="D145" s="324"/>
      <c r="E145" s="324"/>
      <c r="F145" s="324"/>
      <c r="G145" s="314"/>
      <c r="H145" s="41"/>
      <c r="I145" s="42"/>
    </row>
    <row r="146" spans="2:9" x14ac:dyDescent="0.3">
      <c r="B146" s="39"/>
      <c r="C146" s="41" t="s">
        <v>42</v>
      </c>
      <c r="D146" s="41"/>
      <c r="E146" s="41"/>
      <c r="F146" s="41"/>
      <c r="G146" s="44"/>
      <c r="H146" s="41"/>
      <c r="I146" s="42"/>
    </row>
    <row r="147" spans="2:9" x14ac:dyDescent="0.3">
      <c r="B147" s="39"/>
      <c r="C147" s="321"/>
      <c r="D147" s="322"/>
      <c r="E147" s="322"/>
      <c r="F147" s="322"/>
      <c r="G147" s="322"/>
      <c r="H147" s="323"/>
      <c r="I147" s="42"/>
    </row>
    <row r="148" spans="2:9" x14ac:dyDescent="0.3">
      <c r="B148" s="39"/>
      <c r="C148" s="41"/>
      <c r="D148" s="41"/>
      <c r="E148" s="41"/>
      <c r="F148" s="41"/>
      <c r="G148" s="44"/>
      <c r="H148" s="41"/>
      <c r="I148" s="42"/>
    </row>
    <row r="149" spans="2:9" ht="15.6" x14ac:dyDescent="0.3">
      <c r="B149" s="39"/>
      <c r="C149" s="46" t="s">
        <v>92</v>
      </c>
      <c r="D149" s="41"/>
      <c r="E149" s="41"/>
      <c r="F149" s="41"/>
      <c r="G149" s="44"/>
      <c r="H149" s="41"/>
      <c r="I149" s="42"/>
    </row>
    <row r="150" spans="2:9" x14ac:dyDescent="0.3">
      <c r="B150" s="39"/>
      <c r="C150" s="41" t="s">
        <v>90</v>
      </c>
      <c r="D150" s="41"/>
      <c r="E150" s="41"/>
      <c r="F150" s="41"/>
      <c r="G150" s="314"/>
      <c r="H150" s="41"/>
      <c r="I150" s="42"/>
    </row>
    <row r="151" spans="2:9" x14ac:dyDescent="0.3">
      <c r="B151" s="39"/>
      <c r="C151" s="41" t="s">
        <v>91</v>
      </c>
      <c r="D151" s="41"/>
      <c r="E151" s="41"/>
      <c r="F151" s="41"/>
      <c r="G151" s="307" t="str">
        <f>IF($G$6&lt;&gt;0,G150*100000/$G$6,"Not Calculated")</f>
        <v>Not Calculated</v>
      </c>
      <c r="H151" s="41"/>
      <c r="I151" s="42"/>
    </row>
    <row r="152" spans="2:9" x14ac:dyDescent="0.3">
      <c r="B152" s="39"/>
      <c r="C152" s="41" t="s">
        <v>42</v>
      </c>
      <c r="D152" s="41"/>
      <c r="E152" s="41"/>
      <c r="F152" s="41"/>
      <c r="G152" s="44"/>
      <c r="H152" s="41"/>
      <c r="I152" s="42"/>
    </row>
    <row r="153" spans="2:9" x14ac:dyDescent="0.3">
      <c r="B153" s="39"/>
      <c r="C153" s="321"/>
      <c r="D153" s="322"/>
      <c r="E153" s="322"/>
      <c r="F153" s="322"/>
      <c r="G153" s="322"/>
      <c r="H153" s="323"/>
      <c r="I153" s="42"/>
    </row>
    <row r="154" spans="2:9" ht="15" thickBot="1" x14ac:dyDescent="0.35">
      <c r="B154" s="47"/>
      <c r="C154" s="48"/>
      <c r="D154" s="48"/>
      <c r="E154" s="48"/>
      <c r="F154" s="48"/>
      <c r="G154" s="49"/>
      <c r="H154" s="48"/>
      <c r="I154" s="50"/>
    </row>
  </sheetData>
  <mergeCells count="25">
    <mergeCell ref="C14:H14"/>
    <mergeCell ref="C80:H80"/>
    <mergeCell ref="C48:H48"/>
    <mergeCell ref="C54:H54"/>
    <mergeCell ref="C20:H20"/>
    <mergeCell ref="C26:H26"/>
    <mergeCell ref="C32:H32"/>
    <mergeCell ref="C68:H68"/>
    <mergeCell ref="C62:H62"/>
    <mergeCell ref="C74:H74"/>
    <mergeCell ref="C38:H38"/>
    <mergeCell ref="C153:H153"/>
    <mergeCell ref="C129:F132"/>
    <mergeCell ref="C142:F145"/>
    <mergeCell ref="C134:H134"/>
    <mergeCell ref="C139:H139"/>
    <mergeCell ref="C147:H147"/>
    <mergeCell ref="C104:H104"/>
    <mergeCell ref="C95:H95"/>
    <mergeCell ref="C90:H90"/>
    <mergeCell ref="C126:H126"/>
    <mergeCell ref="C116:H116"/>
    <mergeCell ref="C107:F108"/>
    <mergeCell ref="C113:F114"/>
    <mergeCell ref="C110:H110"/>
  </mergeCells>
  <pageMargins left="0.7" right="0.7" top="0.75" bottom="0.75" header="0.3" footer="0.3"/>
  <pageSetup scale="89" orientation="portrait" r:id="rId1"/>
  <colBreaks count="1" manualBreakCount="1">
    <brk id="10"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M61"/>
  <sheetViews>
    <sheetView showGridLines="0" showRowColHeaders="0" topLeftCell="A22" zoomScaleNormal="100" workbookViewId="0">
      <selection activeCell="H7" sqref="H7"/>
    </sheetView>
  </sheetViews>
  <sheetFormatPr defaultColWidth="9.109375" defaultRowHeight="14.4" x14ac:dyDescent="0.3"/>
  <cols>
    <col min="1" max="2" width="9.109375" style="12"/>
    <col min="3" max="3" width="9.109375" style="12" customWidth="1"/>
    <col min="4" max="7" width="9.109375" style="12"/>
    <col min="8" max="8" width="9.109375" style="30"/>
    <col min="9" max="16384" width="9.109375" style="12"/>
  </cols>
  <sheetData>
    <row r="2" spans="1:13" ht="30" x14ac:dyDescent="0.3">
      <c r="F2" s="318" t="s">
        <v>1204</v>
      </c>
      <c r="G2" s="30"/>
      <c r="H2" s="12"/>
      <c r="K2" s="105"/>
      <c r="L2" s="32"/>
    </row>
    <row r="3" spans="1:13" ht="22.8" x14ac:dyDescent="0.4">
      <c r="F3" s="31" t="s">
        <v>751</v>
      </c>
      <c r="L3" s="32"/>
      <c r="M3" s="32"/>
    </row>
    <row r="4" spans="1:13" ht="23.4" thickBot="1" x14ac:dyDescent="0.45">
      <c r="F4" s="31"/>
      <c r="L4" s="32"/>
      <c r="M4" s="32"/>
    </row>
    <row r="5" spans="1:13" x14ac:dyDescent="0.3">
      <c r="B5" s="54"/>
      <c r="C5" s="55"/>
      <c r="D5" s="55"/>
      <c r="E5" s="55"/>
      <c r="F5" s="55"/>
      <c r="G5" s="55"/>
      <c r="H5" s="56"/>
      <c r="I5" s="55"/>
      <c r="J5" s="57"/>
    </row>
    <row r="6" spans="1:13" ht="15" x14ac:dyDescent="0.3">
      <c r="B6" s="58"/>
      <c r="C6" s="59" t="s">
        <v>30</v>
      </c>
      <c r="D6" s="60"/>
      <c r="E6" s="60"/>
      <c r="F6" s="60"/>
      <c r="G6" s="60"/>
      <c r="H6" s="61"/>
      <c r="I6" s="60"/>
      <c r="J6" s="62"/>
    </row>
    <row r="7" spans="1:13" x14ac:dyDescent="0.3">
      <c r="B7" s="58"/>
      <c r="C7" s="63" t="s">
        <v>94</v>
      </c>
      <c r="D7" s="60"/>
      <c r="E7" s="60"/>
      <c r="F7" s="60"/>
      <c r="G7" s="60"/>
      <c r="H7" s="132"/>
      <c r="I7" s="60"/>
      <c r="J7" s="62"/>
    </row>
    <row r="8" spans="1:13" x14ac:dyDescent="0.3">
      <c r="B8" s="58"/>
      <c r="C8" s="64" t="s">
        <v>93</v>
      </c>
      <c r="D8" s="65"/>
      <c r="E8" s="60"/>
      <c r="F8" s="60"/>
      <c r="G8" s="60"/>
      <c r="H8" s="61">
        <f>IF(H7=0,0,IF(H7&lt;5,1,IF(H7&lt;10,2,IF(H7&lt;15,3,4))))</f>
        <v>0</v>
      </c>
      <c r="I8" s="60"/>
      <c r="J8" s="62"/>
    </row>
    <row r="9" spans="1:13" x14ac:dyDescent="0.3">
      <c r="B9" s="58"/>
      <c r="C9" s="64" t="s">
        <v>31</v>
      </c>
      <c r="D9" s="65"/>
      <c r="E9" s="60"/>
      <c r="F9" s="60"/>
      <c r="G9" s="60"/>
      <c r="H9" s="61"/>
      <c r="I9" s="60"/>
      <c r="J9" s="62"/>
    </row>
    <row r="10" spans="1:13" ht="30" customHeight="1" x14ac:dyDescent="0.3">
      <c r="B10" s="58"/>
      <c r="C10" s="325"/>
      <c r="D10" s="326"/>
      <c r="E10" s="326"/>
      <c r="F10" s="326"/>
      <c r="G10" s="326"/>
      <c r="H10" s="326"/>
      <c r="I10" s="327"/>
      <c r="J10" s="62"/>
    </row>
    <row r="11" spans="1:13" x14ac:dyDescent="0.3">
      <c r="B11" s="58"/>
      <c r="C11" s="66"/>
      <c r="D11" s="67"/>
      <c r="E11" s="60"/>
      <c r="F11" s="60"/>
      <c r="G11" s="60"/>
      <c r="H11" s="68"/>
      <c r="I11" s="60"/>
      <c r="J11" s="62"/>
    </row>
    <row r="12" spans="1:13" ht="15" x14ac:dyDescent="0.3">
      <c r="B12" s="69"/>
      <c r="C12" s="70" t="s">
        <v>32</v>
      </c>
      <c r="D12" s="67"/>
      <c r="E12" s="60"/>
      <c r="F12" s="60"/>
      <c r="G12" s="60"/>
      <c r="H12" s="68"/>
      <c r="I12" s="60"/>
      <c r="J12" s="62"/>
    </row>
    <row r="13" spans="1:13" x14ac:dyDescent="0.3">
      <c r="A13" s="53"/>
      <c r="B13" s="71"/>
      <c r="C13" s="63" t="s">
        <v>236</v>
      </c>
      <c r="D13" s="60"/>
      <c r="E13" s="60"/>
      <c r="F13" s="60"/>
      <c r="G13" s="60"/>
      <c r="H13" s="132"/>
      <c r="I13" s="60"/>
      <c r="J13" s="62"/>
    </row>
    <row r="14" spans="1:13" x14ac:dyDescent="0.3">
      <c r="A14" s="53"/>
      <c r="B14" s="58"/>
      <c r="C14" s="64" t="s">
        <v>93</v>
      </c>
      <c r="D14" s="65"/>
      <c r="E14" s="60"/>
      <c r="F14" s="60"/>
      <c r="G14" s="60"/>
      <c r="H14" s="61">
        <f>IF(H13=0,0,IF(H13&lt;5,1,IF(H13&lt;10,2,IF(H13&lt;15,3,4))))</f>
        <v>0</v>
      </c>
      <c r="I14" s="60"/>
      <c r="J14" s="62"/>
    </row>
    <row r="15" spans="1:13" x14ac:dyDescent="0.3">
      <c r="A15" s="53"/>
      <c r="B15" s="58"/>
      <c r="C15" s="64" t="s">
        <v>31</v>
      </c>
      <c r="D15" s="67"/>
      <c r="E15" s="60"/>
      <c r="F15" s="60"/>
      <c r="G15" s="60"/>
      <c r="H15" s="61"/>
      <c r="I15" s="60"/>
      <c r="J15" s="62"/>
    </row>
    <row r="16" spans="1:13" ht="30" customHeight="1" x14ac:dyDescent="0.3">
      <c r="A16" s="53"/>
      <c r="B16" s="58"/>
      <c r="C16" s="325"/>
      <c r="D16" s="326"/>
      <c r="E16" s="326"/>
      <c r="F16" s="326"/>
      <c r="G16" s="326"/>
      <c r="H16" s="326"/>
      <c r="I16" s="327"/>
      <c r="J16" s="62"/>
    </row>
    <row r="17" spans="2:10" x14ac:dyDescent="0.3">
      <c r="B17" s="58"/>
      <c r="C17" s="60"/>
      <c r="D17" s="60"/>
      <c r="E17" s="60"/>
      <c r="F17" s="60"/>
      <c r="G17" s="60"/>
      <c r="H17" s="61"/>
      <c r="I17" s="60"/>
      <c r="J17" s="62"/>
    </row>
    <row r="18" spans="2:10" ht="15" x14ac:dyDescent="0.3">
      <c r="B18" s="58"/>
      <c r="C18" s="70" t="s">
        <v>33</v>
      </c>
      <c r="D18" s="60"/>
      <c r="E18" s="60"/>
      <c r="F18" s="60"/>
      <c r="G18" s="60"/>
      <c r="H18" s="61"/>
      <c r="I18" s="60"/>
      <c r="J18" s="62"/>
    </row>
    <row r="19" spans="2:10" x14ac:dyDescent="0.3">
      <c r="B19" s="58"/>
      <c r="C19" s="331" t="s">
        <v>235</v>
      </c>
      <c r="D19" s="331"/>
      <c r="E19" s="331"/>
      <c r="F19" s="331"/>
      <c r="G19" s="331"/>
      <c r="H19" s="61"/>
      <c r="I19" s="60"/>
      <c r="J19" s="62"/>
    </row>
    <row r="20" spans="2:10" x14ac:dyDescent="0.3">
      <c r="B20" s="58"/>
      <c r="C20" s="331"/>
      <c r="D20" s="331"/>
      <c r="E20" s="331"/>
      <c r="F20" s="331"/>
      <c r="G20" s="331"/>
      <c r="H20" s="132"/>
      <c r="I20" s="60"/>
      <c r="J20" s="62"/>
    </row>
    <row r="21" spans="2:10" x14ac:dyDescent="0.3">
      <c r="B21" s="72"/>
      <c r="C21" s="64" t="s">
        <v>93</v>
      </c>
      <c r="D21" s="65"/>
      <c r="E21" s="60"/>
      <c r="F21" s="60"/>
      <c r="G21" s="60"/>
      <c r="H21" s="61">
        <f>IF(H20=0,0,IF(H20&lt;5,1,IF(H20&lt;10,2,IF(H20&lt;15,3,4))))</f>
        <v>0</v>
      </c>
      <c r="I21" s="60"/>
      <c r="J21" s="62"/>
    </row>
    <row r="22" spans="2:10" x14ac:dyDescent="0.3">
      <c r="B22" s="69"/>
      <c r="C22" s="64" t="s">
        <v>31</v>
      </c>
      <c r="D22" s="67"/>
      <c r="E22" s="60"/>
      <c r="F22" s="60"/>
      <c r="G22" s="60"/>
      <c r="H22" s="61"/>
      <c r="I22" s="60"/>
      <c r="J22" s="62"/>
    </row>
    <row r="23" spans="2:10" ht="30" customHeight="1" x14ac:dyDescent="0.3">
      <c r="B23" s="69"/>
      <c r="C23" s="325"/>
      <c r="D23" s="326"/>
      <c r="E23" s="326"/>
      <c r="F23" s="326"/>
      <c r="G23" s="326"/>
      <c r="H23" s="326"/>
      <c r="I23" s="327"/>
      <c r="J23" s="62"/>
    </row>
    <row r="24" spans="2:10" x14ac:dyDescent="0.3">
      <c r="B24" s="58"/>
      <c r="C24" s="60"/>
      <c r="D24" s="60"/>
      <c r="E24" s="60"/>
      <c r="F24" s="60"/>
      <c r="G24" s="60"/>
      <c r="H24" s="61"/>
      <c r="I24" s="60"/>
      <c r="J24" s="62"/>
    </row>
    <row r="25" spans="2:10" ht="15" x14ac:dyDescent="0.3">
      <c r="B25" s="58"/>
      <c r="C25" s="70" t="s">
        <v>34</v>
      </c>
      <c r="D25" s="60"/>
      <c r="E25" s="60"/>
      <c r="F25" s="60"/>
      <c r="G25" s="60"/>
      <c r="H25" s="61"/>
      <c r="I25" s="60"/>
      <c r="J25" s="62"/>
    </row>
    <row r="26" spans="2:10" x14ac:dyDescent="0.3">
      <c r="B26" s="58"/>
      <c r="C26" s="63" t="s">
        <v>237</v>
      </c>
      <c r="D26" s="60"/>
      <c r="E26" s="60"/>
      <c r="F26" s="60"/>
      <c r="G26" s="60"/>
      <c r="H26" s="132"/>
      <c r="I26" s="60"/>
      <c r="J26" s="62"/>
    </row>
    <row r="27" spans="2:10" x14ac:dyDescent="0.3">
      <c r="B27" s="73"/>
      <c r="C27" s="64" t="s">
        <v>93</v>
      </c>
      <c r="D27" s="65"/>
      <c r="E27" s="60"/>
      <c r="F27" s="60"/>
      <c r="G27" s="60"/>
      <c r="H27" s="61">
        <f>IF(H26=0,0,IF(H26&lt;5,1,IF(H26&lt;10,2,IF(H26&lt;15,3,4))))</f>
        <v>0</v>
      </c>
      <c r="I27" s="60"/>
      <c r="J27" s="62"/>
    </row>
    <row r="28" spans="2:10" x14ac:dyDescent="0.3">
      <c r="B28" s="69"/>
      <c r="C28" s="64" t="s">
        <v>31</v>
      </c>
      <c r="D28" s="67"/>
      <c r="E28" s="60"/>
      <c r="F28" s="60"/>
      <c r="G28" s="60"/>
      <c r="H28" s="61"/>
      <c r="I28" s="60"/>
      <c r="J28" s="62"/>
    </row>
    <row r="29" spans="2:10" ht="30" customHeight="1" x14ac:dyDescent="0.3">
      <c r="B29" s="69"/>
      <c r="C29" s="325"/>
      <c r="D29" s="326"/>
      <c r="E29" s="326"/>
      <c r="F29" s="326"/>
      <c r="G29" s="326"/>
      <c r="H29" s="326"/>
      <c r="I29" s="327"/>
      <c r="J29" s="62"/>
    </row>
    <row r="30" spans="2:10" x14ac:dyDescent="0.3">
      <c r="B30" s="58"/>
      <c r="C30" s="60"/>
      <c r="D30" s="60"/>
      <c r="E30" s="60"/>
      <c r="F30" s="60"/>
      <c r="G30" s="60"/>
      <c r="H30" s="61"/>
      <c r="I30" s="60"/>
      <c r="J30" s="62"/>
    </row>
    <row r="31" spans="2:10" ht="15" x14ac:dyDescent="0.3">
      <c r="B31" s="58"/>
      <c r="C31" s="70" t="s">
        <v>35</v>
      </c>
      <c r="D31" s="60"/>
      <c r="E31" s="60"/>
      <c r="F31" s="60"/>
      <c r="G31" s="60"/>
      <c r="H31" s="61"/>
      <c r="I31" s="60"/>
      <c r="J31" s="62"/>
    </row>
    <row r="32" spans="2:10" x14ac:dyDescent="0.3">
      <c r="B32" s="58"/>
      <c r="C32" s="331" t="s">
        <v>238</v>
      </c>
      <c r="D32" s="331"/>
      <c r="E32" s="331"/>
      <c r="F32" s="331"/>
      <c r="G32" s="331"/>
      <c r="H32" s="61"/>
      <c r="I32" s="60"/>
      <c r="J32" s="62"/>
    </row>
    <row r="33" spans="2:10" x14ac:dyDescent="0.3">
      <c r="B33" s="58"/>
      <c r="C33" s="331"/>
      <c r="D33" s="331"/>
      <c r="E33" s="331"/>
      <c r="F33" s="331"/>
      <c r="G33" s="331"/>
      <c r="H33" s="132"/>
      <c r="I33" s="60"/>
      <c r="J33" s="62"/>
    </row>
    <row r="34" spans="2:10" x14ac:dyDescent="0.3">
      <c r="B34" s="72"/>
      <c r="C34" s="64" t="s">
        <v>93</v>
      </c>
      <c r="D34" s="65"/>
      <c r="E34" s="60"/>
      <c r="F34" s="60"/>
      <c r="G34" s="60"/>
      <c r="H34" s="61">
        <f>IF(H33=0,0,IF(H33&lt;5,1,IF(H33&lt;10,2,IF(H33&lt;15,3,4))))</f>
        <v>0</v>
      </c>
      <c r="I34" s="60"/>
      <c r="J34" s="62"/>
    </row>
    <row r="35" spans="2:10" x14ac:dyDescent="0.3">
      <c r="B35" s="69"/>
      <c r="C35" s="64" t="s">
        <v>31</v>
      </c>
      <c r="D35" s="67"/>
      <c r="E35" s="60"/>
      <c r="F35" s="60"/>
      <c r="G35" s="60"/>
      <c r="H35" s="61"/>
      <c r="I35" s="60"/>
      <c r="J35" s="62"/>
    </row>
    <row r="36" spans="2:10" ht="15" customHeight="1" x14ac:dyDescent="0.3">
      <c r="B36" s="69"/>
      <c r="C36" s="325"/>
      <c r="D36" s="326"/>
      <c r="E36" s="326"/>
      <c r="F36" s="326"/>
      <c r="G36" s="326"/>
      <c r="H36" s="326"/>
      <c r="I36" s="327"/>
      <c r="J36" s="62"/>
    </row>
    <row r="37" spans="2:10" x14ac:dyDescent="0.3">
      <c r="B37" s="58"/>
      <c r="C37" s="60"/>
      <c r="D37" s="60"/>
      <c r="E37" s="60"/>
      <c r="F37" s="60"/>
      <c r="G37" s="60"/>
      <c r="H37" s="61"/>
      <c r="I37" s="60"/>
      <c r="J37" s="62"/>
    </row>
    <row r="38" spans="2:10" ht="15" x14ac:dyDescent="0.3">
      <c r="B38" s="58"/>
      <c r="C38" s="70" t="s">
        <v>36</v>
      </c>
      <c r="D38" s="60"/>
      <c r="E38" s="60"/>
      <c r="F38" s="60"/>
      <c r="G38" s="60"/>
      <c r="H38" s="61"/>
      <c r="I38" s="60"/>
      <c r="J38" s="62"/>
    </row>
    <row r="39" spans="2:10" x14ac:dyDescent="0.3">
      <c r="B39" s="58"/>
      <c r="C39" s="63" t="s">
        <v>239</v>
      </c>
      <c r="D39" s="60"/>
      <c r="E39" s="60"/>
      <c r="F39" s="60"/>
      <c r="G39" s="60"/>
      <c r="H39" s="132"/>
      <c r="I39" s="60"/>
      <c r="J39" s="62"/>
    </row>
    <row r="40" spans="2:10" x14ac:dyDescent="0.3">
      <c r="B40" s="73"/>
      <c r="C40" s="64" t="s">
        <v>93</v>
      </c>
      <c r="D40" s="65"/>
      <c r="E40" s="60"/>
      <c r="F40" s="60"/>
      <c r="G40" s="60"/>
      <c r="H40" s="61">
        <f>IF(H39=0,0,IF(H39&lt;5,1,IF(H39&lt;10,2,IF(H39&lt;15,3,4))))</f>
        <v>0</v>
      </c>
      <c r="I40" s="60"/>
      <c r="J40" s="62"/>
    </row>
    <row r="41" spans="2:10" x14ac:dyDescent="0.3">
      <c r="B41" s="69"/>
      <c r="C41" s="64" t="s">
        <v>31</v>
      </c>
      <c r="D41" s="67"/>
      <c r="E41" s="60"/>
      <c r="F41" s="60"/>
      <c r="G41" s="60"/>
      <c r="H41" s="61"/>
      <c r="I41" s="60"/>
      <c r="J41" s="62"/>
    </row>
    <row r="42" spans="2:10" ht="15" customHeight="1" x14ac:dyDescent="0.3">
      <c r="B42" s="69"/>
      <c r="C42" s="325"/>
      <c r="D42" s="326"/>
      <c r="E42" s="326"/>
      <c r="F42" s="326"/>
      <c r="G42" s="326"/>
      <c r="H42" s="326"/>
      <c r="I42" s="327"/>
      <c r="J42" s="62"/>
    </row>
    <row r="43" spans="2:10" x14ac:dyDescent="0.3">
      <c r="B43" s="58"/>
      <c r="C43" s="60"/>
      <c r="D43" s="60"/>
      <c r="E43" s="60"/>
      <c r="F43" s="60"/>
      <c r="G43" s="60"/>
      <c r="H43" s="61"/>
      <c r="I43" s="60"/>
      <c r="J43" s="62"/>
    </row>
    <row r="44" spans="2:10" ht="15" x14ac:dyDescent="0.3">
      <c r="B44" s="58"/>
      <c r="C44" s="70" t="s">
        <v>37</v>
      </c>
      <c r="D44" s="60"/>
      <c r="E44" s="60"/>
      <c r="F44" s="60"/>
      <c r="G44" s="60"/>
      <c r="H44" s="61"/>
      <c r="I44" s="60"/>
      <c r="J44" s="62"/>
    </row>
    <row r="45" spans="2:10" x14ac:dyDescent="0.3">
      <c r="B45" s="58"/>
      <c r="C45" s="63" t="s">
        <v>240</v>
      </c>
      <c r="D45" s="60"/>
      <c r="E45" s="60"/>
      <c r="F45" s="60"/>
      <c r="G45" s="60"/>
      <c r="H45" s="132"/>
      <c r="I45" s="60"/>
      <c r="J45" s="62"/>
    </row>
    <row r="46" spans="2:10" x14ac:dyDescent="0.3">
      <c r="B46" s="72"/>
      <c r="C46" s="64" t="s">
        <v>93</v>
      </c>
      <c r="D46" s="65"/>
      <c r="E46" s="60"/>
      <c r="F46" s="60"/>
      <c r="G46" s="60"/>
      <c r="H46" s="61">
        <f>IF(H45=0,0,IF(H45&lt;5,1,IF(H45&lt;10,2,IF(H45&lt;15,3,4))))</f>
        <v>0</v>
      </c>
      <c r="I46" s="60"/>
      <c r="J46" s="62"/>
    </row>
    <row r="47" spans="2:10" x14ac:dyDescent="0.3">
      <c r="B47" s="69"/>
      <c r="C47" s="64" t="s">
        <v>31</v>
      </c>
      <c r="D47" s="67"/>
      <c r="E47" s="60"/>
      <c r="F47" s="60"/>
      <c r="G47" s="60"/>
      <c r="H47" s="61"/>
      <c r="I47" s="60"/>
      <c r="J47" s="62"/>
    </row>
    <row r="48" spans="2:10" x14ac:dyDescent="0.3">
      <c r="B48" s="69"/>
      <c r="C48" s="325"/>
      <c r="D48" s="329"/>
      <c r="E48" s="329"/>
      <c r="F48" s="329"/>
      <c r="G48" s="329"/>
      <c r="H48" s="329"/>
      <c r="I48" s="330"/>
      <c r="J48" s="62"/>
    </row>
    <row r="49" spans="2:10" x14ac:dyDescent="0.3">
      <c r="B49" s="58"/>
      <c r="C49" s="60"/>
      <c r="D49" s="60"/>
      <c r="E49" s="60"/>
      <c r="F49" s="60"/>
      <c r="G49" s="60"/>
      <c r="H49" s="61"/>
      <c r="I49" s="60"/>
      <c r="J49" s="62"/>
    </row>
    <row r="50" spans="2:10" ht="15" x14ac:dyDescent="0.3">
      <c r="B50" s="58"/>
      <c r="C50" s="70" t="s">
        <v>243</v>
      </c>
      <c r="D50" s="60"/>
      <c r="E50" s="60"/>
      <c r="F50" s="60"/>
      <c r="G50" s="60"/>
      <c r="H50" s="61"/>
      <c r="I50" s="60"/>
      <c r="J50" s="62"/>
    </row>
    <row r="51" spans="2:10" x14ac:dyDescent="0.3">
      <c r="B51" s="58"/>
      <c r="C51" s="63" t="s">
        <v>241</v>
      </c>
      <c r="D51" s="60"/>
      <c r="E51" s="60"/>
      <c r="F51" s="60"/>
      <c r="G51" s="60"/>
      <c r="H51" s="132"/>
      <c r="I51" s="60"/>
      <c r="J51" s="62"/>
    </row>
    <row r="52" spans="2:10" x14ac:dyDescent="0.3">
      <c r="B52" s="72"/>
      <c r="C52" s="64" t="s">
        <v>93</v>
      </c>
      <c r="D52" s="65"/>
      <c r="E52" s="60"/>
      <c r="F52" s="60"/>
      <c r="G52" s="60"/>
      <c r="H52" s="61">
        <f>IF(H51=0,0,IF(H51&lt;5,1,IF(H51&lt;10,2,IF(H51&lt;15,3,4))))</f>
        <v>0</v>
      </c>
      <c r="I52" s="60"/>
      <c r="J52" s="62"/>
    </row>
    <row r="53" spans="2:10" x14ac:dyDescent="0.3">
      <c r="B53" s="69"/>
      <c r="C53" s="64" t="s">
        <v>31</v>
      </c>
      <c r="D53" s="67"/>
      <c r="E53" s="60"/>
      <c r="F53" s="60"/>
      <c r="G53" s="60"/>
      <c r="H53" s="61"/>
      <c r="I53" s="60"/>
      <c r="J53" s="62"/>
    </row>
    <row r="54" spans="2:10" x14ac:dyDescent="0.3">
      <c r="B54" s="69"/>
      <c r="C54" s="325"/>
      <c r="D54" s="329"/>
      <c r="E54" s="329"/>
      <c r="F54" s="329"/>
      <c r="G54" s="329"/>
      <c r="H54" s="329"/>
      <c r="I54" s="330"/>
      <c r="J54" s="62"/>
    </row>
    <row r="55" spans="2:10" x14ac:dyDescent="0.3">
      <c r="B55" s="58"/>
      <c r="C55" s="60"/>
      <c r="D55" s="60"/>
      <c r="E55" s="60"/>
      <c r="F55" s="60"/>
      <c r="G55" s="60"/>
      <c r="H55" s="61"/>
      <c r="I55" s="60"/>
      <c r="J55" s="62"/>
    </row>
    <row r="56" spans="2:10" ht="15" x14ac:dyDescent="0.3">
      <c r="B56" s="58"/>
      <c r="C56" s="70" t="s">
        <v>244</v>
      </c>
      <c r="D56" s="60"/>
      <c r="E56" s="60"/>
      <c r="F56" s="60"/>
      <c r="G56" s="60"/>
      <c r="H56" s="61"/>
      <c r="I56" s="60"/>
      <c r="J56" s="62"/>
    </row>
    <row r="57" spans="2:10" x14ac:dyDescent="0.3">
      <c r="B57" s="58"/>
      <c r="C57" s="63" t="s">
        <v>242</v>
      </c>
      <c r="D57" s="60"/>
      <c r="E57" s="60"/>
      <c r="F57" s="60"/>
      <c r="G57" s="60"/>
      <c r="H57" s="132"/>
      <c r="I57" s="60"/>
      <c r="J57" s="62"/>
    </row>
    <row r="58" spans="2:10" x14ac:dyDescent="0.3">
      <c r="B58" s="72"/>
      <c r="C58" s="64" t="s">
        <v>93</v>
      </c>
      <c r="D58" s="65"/>
      <c r="E58" s="60"/>
      <c r="F58" s="60"/>
      <c r="G58" s="60"/>
      <c r="H58" s="61">
        <f>IF(H57=0,0,IF(H57&lt;5,1,IF(H57&lt;10,2,IF(H57&lt;15,3,4))))</f>
        <v>0</v>
      </c>
      <c r="I58" s="60"/>
      <c r="J58" s="62"/>
    </row>
    <row r="59" spans="2:10" x14ac:dyDescent="0.3">
      <c r="B59" s="69"/>
      <c r="C59" s="64" t="s">
        <v>31</v>
      </c>
      <c r="D59" s="67"/>
      <c r="E59" s="60"/>
      <c r="F59" s="60"/>
      <c r="G59" s="60"/>
      <c r="H59" s="61"/>
      <c r="I59" s="60"/>
      <c r="J59" s="62"/>
    </row>
    <row r="60" spans="2:10" x14ac:dyDescent="0.3">
      <c r="B60" s="58"/>
      <c r="C60" s="328"/>
      <c r="D60" s="326"/>
      <c r="E60" s="326"/>
      <c r="F60" s="326"/>
      <c r="G60" s="326"/>
      <c r="H60" s="326"/>
      <c r="I60" s="327"/>
      <c r="J60" s="62"/>
    </row>
    <row r="61" spans="2:10" ht="15" thickBot="1" x14ac:dyDescent="0.35">
      <c r="B61" s="74"/>
      <c r="C61" s="75"/>
      <c r="D61" s="75"/>
      <c r="E61" s="75"/>
      <c r="F61" s="75"/>
      <c r="G61" s="75"/>
      <c r="H61" s="76"/>
      <c r="I61" s="75"/>
      <c r="J61" s="77"/>
    </row>
  </sheetData>
  <mergeCells count="11">
    <mergeCell ref="C10:I10"/>
    <mergeCell ref="C16:I16"/>
    <mergeCell ref="C23:I23"/>
    <mergeCell ref="C60:I60"/>
    <mergeCell ref="C54:I54"/>
    <mergeCell ref="C48:I48"/>
    <mergeCell ref="C42:I42"/>
    <mergeCell ref="C36:I36"/>
    <mergeCell ref="C29:I29"/>
    <mergeCell ref="C19:G20"/>
    <mergeCell ref="C32:G33"/>
  </mergeCells>
  <pageMargins left="0.7" right="0.7" top="0.75" bottom="0.75" header="0.3" footer="0.3"/>
  <pageSetup scale="89" orientation="portrait" r:id="rId1"/>
  <colBreaks count="1" manualBreakCount="1">
    <brk id="11"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2:O230"/>
  <sheetViews>
    <sheetView showGridLines="0" showRowColHeaders="0" zoomScale="85" zoomScaleNormal="85" workbookViewId="0">
      <selection activeCell="I8" sqref="I8"/>
    </sheetView>
  </sheetViews>
  <sheetFormatPr defaultColWidth="9.109375" defaultRowHeight="14.4" x14ac:dyDescent="0.3"/>
  <cols>
    <col min="1" max="2" width="9.109375" style="12"/>
    <col min="3" max="3" width="14.44140625" style="12" customWidth="1"/>
    <col min="4" max="6" width="9.109375" style="12"/>
    <col min="7" max="7" width="9.109375" style="12" customWidth="1"/>
    <col min="8" max="8" width="2.44140625" style="12" customWidth="1"/>
    <col min="9" max="9" width="27.33203125" style="99" customWidth="1"/>
    <col min="10" max="10" width="15.109375" style="99" customWidth="1"/>
    <col min="11" max="16384" width="9.109375" style="12"/>
  </cols>
  <sheetData>
    <row r="2" spans="2:15" ht="32.4" x14ac:dyDescent="0.3">
      <c r="G2" s="17" t="s">
        <v>1204</v>
      </c>
      <c r="H2" s="17"/>
      <c r="J2" s="12"/>
      <c r="K2" s="99"/>
    </row>
    <row r="3" spans="2:15" ht="22.8" x14ac:dyDescent="0.4">
      <c r="G3" s="31" t="s">
        <v>1</v>
      </c>
      <c r="H3" s="31"/>
      <c r="J3" s="12"/>
      <c r="K3" s="99"/>
      <c r="N3" s="32"/>
      <c r="O3" s="32"/>
    </row>
    <row r="4" spans="2:15" ht="15" thickBot="1" x14ac:dyDescent="0.35">
      <c r="J4" s="12"/>
      <c r="K4" s="99"/>
    </row>
    <row r="5" spans="2:15" x14ac:dyDescent="0.3">
      <c r="B5" s="78"/>
      <c r="C5" s="79"/>
      <c r="D5" s="79"/>
      <c r="E5" s="79"/>
      <c r="F5" s="79"/>
      <c r="G5" s="79"/>
      <c r="H5" s="79"/>
      <c r="I5" s="80"/>
      <c r="J5" s="80"/>
      <c r="K5" s="81"/>
    </row>
    <row r="6" spans="2:15" ht="15" x14ac:dyDescent="0.3">
      <c r="B6" s="82"/>
      <c r="C6" s="83" t="s">
        <v>95</v>
      </c>
      <c r="D6" s="84"/>
      <c r="E6" s="84"/>
      <c r="F6" s="85"/>
      <c r="G6" s="86"/>
      <c r="H6" s="86"/>
      <c r="I6" s="87" t="s">
        <v>130</v>
      </c>
      <c r="J6" s="87" t="s">
        <v>131</v>
      </c>
      <c r="K6" s="88"/>
    </row>
    <row r="7" spans="2:15" ht="15" x14ac:dyDescent="0.3">
      <c r="B7" s="82"/>
      <c r="C7" s="83"/>
      <c r="D7" s="84"/>
      <c r="E7" s="84"/>
      <c r="F7" s="85"/>
      <c r="G7" s="86"/>
      <c r="H7" s="86"/>
      <c r="I7" s="87"/>
      <c r="J7" s="87"/>
      <c r="K7" s="88"/>
    </row>
    <row r="8" spans="2:15" ht="146.25" customHeight="1" x14ac:dyDescent="0.3">
      <c r="B8" s="82"/>
      <c r="C8" s="332" t="s">
        <v>132</v>
      </c>
      <c r="D8" s="332"/>
      <c r="E8" s="332"/>
      <c r="F8" s="332"/>
      <c r="G8" s="332"/>
      <c r="H8" s="89"/>
      <c r="I8" s="133"/>
      <c r="J8" s="84" t="str">
        <f>IF(I8=$B$226,0,IF(I8=$B$227,1,IF(I8=$B$228,2,IF(I8=$B$229,3,IF(I8=$B$230,4,"Not Calculated")))))</f>
        <v>Not Calculated</v>
      </c>
      <c r="K8" s="88"/>
    </row>
    <row r="9" spans="2:15" ht="15.75" customHeight="1" x14ac:dyDescent="0.3">
      <c r="B9" s="82"/>
      <c r="C9" s="83"/>
      <c r="D9" s="84"/>
      <c r="E9" s="84"/>
      <c r="F9" s="85"/>
      <c r="G9" s="86"/>
      <c r="H9" s="86"/>
      <c r="I9" s="87"/>
      <c r="J9" s="87"/>
      <c r="K9" s="88"/>
    </row>
    <row r="10" spans="2:15" ht="163.5" customHeight="1" x14ac:dyDescent="0.3">
      <c r="B10" s="82"/>
      <c r="C10" s="332" t="s">
        <v>133</v>
      </c>
      <c r="D10" s="332"/>
      <c r="E10" s="332"/>
      <c r="F10" s="332"/>
      <c r="G10" s="332"/>
      <c r="H10" s="89"/>
      <c r="I10" s="133"/>
      <c r="J10" s="84" t="str">
        <f>IF(I10=$B$226,0,IF(I10=$B$227,1,IF(I10=$B$228,2,IF(I10=$B$229,3,IF(I10=$B$230,4,"Not Calculated")))))</f>
        <v>Not Calculated</v>
      </c>
      <c r="K10" s="88"/>
    </row>
    <row r="11" spans="2:15" ht="15.75" customHeight="1" x14ac:dyDescent="0.3">
      <c r="B11" s="82"/>
      <c r="C11" s="83"/>
      <c r="D11" s="84"/>
      <c r="E11" s="84"/>
      <c r="F11" s="85"/>
      <c r="G11" s="86"/>
      <c r="H11" s="86"/>
      <c r="I11" s="87"/>
      <c r="J11" s="87"/>
      <c r="K11" s="88"/>
    </row>
    <row r="12" spans="2:15" ht="105.75" customHeight="1" x14ac:dyDescent="0.3">
      <c r="B12" s="82"/>
      <c r="C12" s="332" t="s">
        <v>134</v>
      </c>
      <c r="D12" s="332"/>
      <c r="E12" s="332"/>
      <c r="F12" s="332"/>
      <c r="G12" s="332"/>
      <c r="H12" s="89"/>
      <c r="I12" s="133"/>
      <c r="J12" s="84" t="str">
        <f>IF(I12=$B$226,0,IF(I12=$B$227,1,IF(I12=$B$228,2,IF(I12=$B$229,3,IF(I12=$B$230,4,"Not Calculated")))))</f>
        <v>Not Calculated</v>
      </c>
      <c r="K12" s="88"/>
    </row>
    <row r="13" spans="2:15" ht="15.75" customHeight="1" x14ac:dyDescent="0.3">
      <c r="B13" s="82"/>
      <c r="C13" s="83"/>
      <c r="D13" s="84"/>
      <c r="E13" s="84"/>
      <c r="F13" s="85"/>
      <c r="G13" s="86"/>
      <c r="H13" s="86"/>
      <c r="I13" s="87"/>
      <c r="J13" s="87"/>
      <c r="K13" s="88"/>
    </row>
    <row r="14" spans="2:15" ht="132" customHeight="1" x14ac:dyDescent="0.3">
      <c r="B14" s="82"/>
      <c r="C14" s="332" t="s">
        <v>135</v>
      </c>
      <c r="D14" s="332"/>
      <c r="E14" s="332"/>
      <c r="F14" s="332"/>
      <c r="G14" s="332"/>
      <c r="H14" s="89"/>
      <c r="I14" s="133"/>
      <c r="J14" s="84" t="str">
        <f>IF(I14=$B$226,0,IF(I14=$B$227,1,IF(I14=$B$228,2,IF(I14=$B$229,3,IF(I14=$B$230,4,"Not Calculated")))))</f>
        <v>Not Calculated</v>
      </c>
      <c r="K14" s="88"/>
    </row>
    <row r="15" spans="2:15" ht="15.75" customHeight="1" x14ac:dyDescent="0.3">
      <c r="B15" s="82"/>
      <c r="C15" s="83"/>
      <c r="D15" s="84"/>
      <c r="E15" s="84"/>
      <c r="F15" s="85"/>
      <c r="G15" s="86"/>
      <c r="H15" s="86"/>
      <c r="I15" s="87"/>
      <c r="J15" s="87"/>
      <c r="K15" s="88"/>
    </row>
    <row r="16" spans="2:15" x14ac:dyDescent="0.3">
      <c r="B16" s="82"/>
      <c r="C16" s="90" t="s">
        <v>97</v>
      </c>
      <c r="D16" s="86"/>
      <c r="E16" s="86"/>
      <c r="F16" s="85"/>
      <c r="G16" s="86"/>
      <c r="H16" s="86"/>
      <c r="I16" s="84"/>
      <c r="J16" s="91" t="str">
        <f>IF(OR(J10="Not Calculated",J12="Not Calculated",J14="Not Calculated")=TRUE,"Not Calculated",AVERAGE(J8,J10,J12,J14))</f>
        <v>Not Calculated</v>
      </c>
      <c r="K16" s="88"/>
    </row>
    <row r="17" spans="2:11" ht="15" thickBot="1" x14ac:dyDescent="0.35">
      <c r="B17" s="92"/>
      <c r="C17" s="93"/>
      <c r="D17" s="94"/>
      <c r="E17" s="94"/>
      <c r="F17" s="94"/>
      <c r="G17" s="95"/>
      <c r="H17" s="95"/>
      <c r="I17" s="96"/>
      <c r="J17" s="96"/>
      <c r="K17" s="97"/>
    </row>
    <row r="18" spans="2:11" ht="15" thickBot="1" x14ac:dyDescent="0.35">
      <c r="B18" s="101"/>
      <c r="C18" s="102"/>
      <c r="D18" s="101"/>
      <c r="E18" s="101"/>
      <c r="F18" s="101"/>
      <c r="G18" s="103"/>
      <c r="H18" s="103"/>
      <c r="I18" s="104"/>
      <c r="J18" s="104"/>
      <c r="K18" s="103"/>
    </row>
    <row r="19" spans="2:11" x14ac:dyDescent="0.3">
      <c r="B19" s="98"/>
      <c r="C19" s="85"/>
      <c r="D19" s="86"/>
      <c r="E19" s="86"/>
      <c r="F19" s="85"/>
      <c r="G19" s="86"/>
      <c r="H19" s="86"/>
      <c r="I19" s="84"/>
      <c r="J19" s="84"/>
      <c r="K19" s="88"/>
    </row>
    <row r="20" spans="2:11" ht="15" x14ac:dyDescent="0.3">
      <c r="B20" s="82"/>
      <c r="C20" s="83" t="s">
        <v>98</v>
      </c>
      <c r="D20" s="86"/>
      <c r="E20" s="86"/>
      <c r="F20" s="85"/>
      <c r="G20" s="86"/>
      <c r="H20" s="86"/>
      <c r="I20" s="84"/>
      <c r="J20" s="84"/>
      <c r="K20" s="88"/>
    </row>
    <row r="21" spans="2:11" ht="15.75" customHeight="1" x14ac:dyDescent="0.3">
      <c r="B21" s="82"/>
      <c r="C21" s="83"/>
      <c r="D21" s="84"/>
      <c r="E21" s="84"/>
      <c r="F21" s="85"/>
      <c r="G21" s="86"/>
      <c r="H21" s="86"/>
      <c r="I21" s="87"/>
      <c r="J21" s="87"/>
      <c r="K21" s="88"/>
    </row>
    <row r="22" spans="2:11" ht="237.75" customHeight="1" x14ac:dyDescent="0.3">
      <c r="B22" s="82"/>
      <c r="C22" s="332" t="s">
        <v>136</v>
      </c>
      <c r="D22" s="332"/>
      <c r="E22" s="332"/>
      <c r="F22" s="332"/>
      <c r="G22" s="332"/>
      <c r="H22" s="89"/>
      <c r="I22" s="133"/>
      <c r="J22" s="84" t="str">
        <f>IF(I22=$B$226,0,IF(I22=$B$227,1,IF(I22=$B$228,2,IF(I22=$B$229,3,IF(I22=$B$230,4,"Not Calculated")))))</f>
        <v>Not Calculated</v>
      </c>
      <c r="K22" s="88"/>
    </row>
    <row r="23" spans="2:11" ht="15.75" customHeight="1" x14ac:dyDescent="0.3">
      <c r="B23" s="82"/>
      <c r="C23" s="83"/>
      <c r="D23" s="84"/>
      <c r="E23" s="84"/>
      <c r="F23" s="85"/>
      <c r="G23" s="86"/>
      <c r="H23" s="86"/>
      <c r="I23" s="87"/>
      <c r="J23" s="87"/>
      <c r="K23" s="88"/>
    </row>
    <row r="24" spans="2:11" ht="194.25" customHeight="1" x14ac:dyDescent="0.3">
      <c r="B24" s="82"/>
      <c r="C24" s="332" t="s">
        <v>137</v>
      </c>
      <c r="D24" s="332"/>
      <c r="E24" s="332"/>
      <c r="F24" s="332"/>
      <c r="G24" s="332"/>
      <c r="H24" s="89"/>
      <c r="I24" s="133"/>
      <c r="J24" s="84" t="str">
        <f>IF(I24=$B$226,0,IF(I24=$B$227,1,IF(I24=$B$228,2,IF(I24=$B$229,3,IF(I24=$B$230,4,"Not Calculated")))))</f>
        <v>Not Calculated</v>
      </c>
      <c r="K24" s="88"/>
    </row>
    <row r="25" spans="2:11" ht="15.75" customHeight="1" x14ac:dyDescent="0.3">
      <c r="B25" s="82"/>
      <c r="C25" s="83"/>
      <c r="D25" s="84"/>
      <c r="E25" s="84"/>
      <c r="F25" s="85"/>
      <c r="G25" s="86"/>
      <c r="H25" s="86"/>
      <c r="I25" s="87"/>
      <c r="J25" s="87"/>
      <c r="K25" s="88"/>
    </row>
    <row r="26" spans="2:11" ht="204" customHeight="1" x14ac:dyDescent="0.3">
      <c r="B26" s="82"/>
      <c r="C26" s="332" t="s">
        <v>138</v>
      </c>
      <c r="D26" s="332"/>
      <c r="E26" s="332"/>
      <c r="F26" s="332"/>
      <c r="G26" s="332"/>
      <c r="H26" s="89"/>
      <c r="I26" s="133"/>
      <c r="J26" s="84" t="str">
        <f>IF(I26=$B$226,0,IF(I26=$B$227,1,IF(I26=$B$228,2,IF(I26=$B$229,3,IF(I26=$B$230,4,"Not Calculated")))))</f>
        <v>Not Calculated</v>
      </c>
      <c r="K26" s="88"/>
    </row>
    <row r="27" spans="2:11" ht="15.75" customHeight="1" x14ac:dyDescent="0.3">
      <c r="B27" s="82"/>
      <c r="C27" s="83"/>
      <c r="D27" s="84"/>
      <c r="E27" s="84"/>
      <c r="F27" s="85"/>
      <c r="G27" s="86"/>
      <c r="H27" s="86"/>
      <c r="I27" s="87"/>
      <c r="J27" s="87"/>
      <c r="K27" s="88"/>
    </row>
    <row r="28" spans="2:11" x14ac:dyDescent="0.3">
      <c r="B28" s="82"/>
      <c r="C28" s="90" t="s">
        <v>101</v>
      </c>
      <c r="D28" s="86"/>
      <c r="E28" s="86"/>
      <c r="F28" s="85"/>
      <c r="G28" s="86"/>
      <c r="H28" s="86"/>
      <c r="I28" s="84"/>
      <c r="J28" s="91" t="str">
        <f>IF(OR(J22="Not Calculated",J24="Not Calculated",J26="Not Calculated")=TRUE,"Not Calculated",AVERAGE(J22,J24,J26))</f>
        <v>Not Calculated</v>
      </c>
      <c r="K28" s="88"/>
    </row>
    <row r="29" spans="2:11" ht="15" thickBot="1" x14ac:dyDescent="0.35">
      <c r="B29" s="92"/>
      <c r="C29" s="93"/>
      <c r="D29" s="94"/>
      <c r="E29" s="94"/>
      <c r="F29" s="94"/>
      <c r="G29" s="95"/>
      <c r="H29" s="95"/>
      <c r="I29" s="96"/>
      <c r="J29" s="96"/>
      <c r="K29" s="97"/>
    </row>
    <row r="30" spans="2:11" ht="15" thickBot="1" x14ac:dyDescent="0.35">
      <c r="B30" s="101"/>
      <c r="C30" s="102"/>
      <c r="D30" s="101"/>
      <c r="E30" s="101"/>
      <c r="F30" s="101"/>
      <c r="G30" s="103"/>
      <c r="H30" s="103"/>
      <c r="I30" s="104"/>
      <c r="J30" s="104"/>
      <c r="K30" s="103"/>
    </row>
    <row r="31" spans="2:11" ht="15.75" customHeight="1" x14ac:dyDescent="0.3">
      <c r="B31" s="82"/>
      <c r="C31" s="85"/>
      <c r="D31" s="86"/>
      <c r="E31" s="86"/>
      <c r="F31" s="85"/>
      <c r="G31" s="86"/>
      <c r="H31" s="86"/>
      <c r="I31" s="84"/>
      <c r="J31" s="84"/>
      <c r="K31" s="88"/>
    </row>
    <row r="32" spans="2:11" ht="15" x14ac:dyDescent="0.3">
      <c r="B32" s="82"/>
      <c r="C32" s="83" t="s">
        <v>102</v>
      </c>
      <c r="D32" s="86"/>
      <c r="E32" s="86"/>
      <c r="F32" s="85"/>
      <c r="G32" s="86"/>
      <c r="H32" s="86"/>
      <c r="I32" s="84"/>
      <c r="J32" s="84"/>
      <c r="K32" s="88"/>
    </row>
    <row r="33" spans="2:11" ht="15.75" customHeight="1" x14ac:dyDescent="0.3">
      <c r="B33" s="82"/>
      <c r="C33" s="83"/>
      <c r="D33" s="84"/>
      <c r="E33" s="84"/>
      <c r="F33" s="85"/>
      <c r="G33" s="86"/>
      <c r="H33" s="86"/>
      <c r="I33" s="87"/>
      <c r="J33" s="87"/>
      <c r="K33" s="88"/>
    </row>
    <row r="34" spans="2:11" ht="104.25" customHeight="1" x14ac:dyDescent="0.3">
      <c r="B34" s="82"/>
      <c r="C34" s="332" t="s">
        <v>182</v>
      </c>
      <c r="D34" s="332"/>
      <c r="E34" s="332"/>
      <c r="F34" s="332"/>
      <c r="G34" s="332"/>
      <c r="H34" s="89"/>
      <c r="I34" s="133"/>
      <c r="J34" s="84" t="str">
        <f>IF(I34=$B$226,0,IF(I34=$B$227,1,IF(I34=$B$228,2,IF(I34=$B$229,3,IF(I34=$B$230,4,"Not Calculated")))))</f>
        <v>Not Calculated</v>
      </c>
      <c r="K34" s="88"/>
    </row>
    <row r="35" spans="2:11" ht="15.75" customHeight="1" x14ac:dyDescent="0.3">
      <c r="B35" s="82"/>
      <c r="C35" s="83"/>
      <c r="D35" s="84"/>
      <c r="E35" s="84"/>
      <c r="F35" s="85"/>
      <c r="G35" s="86"/>
      <c r="H35" s="86"/>
      <c r="I35" s="87"/>
      <c r="J35" s="87"/>
      <c r="K35" s="88"/>
    </row>
    <row r="36" spans="2:11" ht="138.75" customHeight="1" x14ac:dyDescent="0.3">
      <c r="B36" s="82"/>
      <c r="C36" s="332" t="s">
        <v>183</v>
      </c>
      <c r="D36" s="332"/>
      <c r="E36" s="332"/>
      <c r="F36" s="332"/>
      <c r="G36" s="332"/>
      <c r="H36" s="89"/>
      <c r="I36" s="133"/>
      <c r="J36" s="84" t="str">
        <f>IF(I36=$B$226,0,IF(I36=$B$227,1,IF(I36=$B$228,2,IF(I36=$B$229,3,IF(I36=$B$230,4,"Not Calculated")))))</f>
        <v>Not Calculated</v>
      </c>
      <c r="K36" s="88"/>
    </row>
    <row r="37" spans="2:11" ht="15.75" customHeight="1" x14ac:dyDescent="0.3">
      <c r="B37" s="82"/>
      <c r="C37" s="83"/>
      <c r="D37" s="84"/>
      <c r="E37" s="84"/>
      <c r="F37" s="85"/>
      <c r="G37" s="86"/>
      <c r="H37" s="86"/>
      <c r="I37" s="87"/>
      <c r="J37" s="87"/>
      <c r="K37" s="88"/>
    </row>
    <row r="38" spans="2:11" ht="134.25" customHeight="1" x14ac:dyDescent="0.3">
      <c r="B38" s="82"/>
      <c r="C38" s="332" t="s">
        <v>184</v>
      </c>
      <c r="D38" s="332"/>
      <c r="E38" s="332"/>
      <c r="F38" s="332"/>
      <c r="G38" s="332"/>
      <c r="H38" s="89"/>
      <c r="I38" s="133"/>
      <c r="J38" s="84" t="str">
        <f>IF(I38=$B$226,0,IF(I38=$B$227,1,IF(I38=$B$228,2,IF(I38=$B$229,3,IF(I38=$B$230,4,"Not Calculated")))))</f>
        <v>Not Calculated</v>
      </c>
      <c r="K38" s="88"/>
    </row>
    <row r="39" spans="2:11" ht="15.75" customHeight="1" x14ac:dyDescent="0.3">
      <c r="B39" s="82"/>
      <c r="C39" s="83"/>
      <c r="D39" s="84"/>
      <c r="E39" s="84"/>
      <c r="F39" s="85"/>
      <c r="G39" s="86"/>
      <c r="H39" s="86"/>
      <c r="I39" s="87"/>
      <c r="J39" s="87"/>
      <c r="K39" s="88"/>
    </row>
    <row r="40" spans="2:11" ht="108" customHeight="1" x14ac:dyDescent="0.3">
      <c r="B40" s="82"/>
      <c r="C40" s="332" t="s">
        <v>185</v>
      </c>
      <c r="D40" s="332"/>
      <c r="E40" s="332"/>
      <c r="F40" s="332"/>
      <c r="G40" s="332"/>
      <c r="H40" s="89"/>
      <c r="I40" s="133"/>
      <c r="J40" s="84" t="str">
        <f>IF(I40=$B$226,0,IF(I40=$B$227,1,IF(I40=$B$228,2,IF(I40=$B$229,3,IF(I40=$B$230,4,"Not Calculated")))))</f>
        <v>Not Calculated</v>
      </c>
      <c r="K40" s="88"/>
    </row>
    <row r="41" spans="2:11" ht="15.75" customHeight="1" x14ac:dyDescent="0.3">
      <c r="B41" s="82"/>
      <c r="C41" s="83"/>
      <c r="D41" s="84"/>
      <c r="E41" s="84"/>
      <c r="F41" s="85"/>
      <c r="G41" s="86"/>
      <c r="H41" s="86"/>
      <c r="I41" s="87"/>
      <c r="J41" s="87"/>
      <c r="K41" s="88"/>
    </row>
    <row r="42" spans="2:11" ht="151.5" customHeight="1" x14ac:dyDescent="0.3">
      <c r="B42" s="82"/>
      <c r="C42" s="332" t="s">
        <v>186</v>
      </c>
      <c r="D42" s="332"/>
      <c r="E42" s="332"/>
      <c r="F42" s="332"/>
      <c r="G42" s="332"/>
      <c r="H42" s="89"/>
      <c r="I42" s="133"/>
      <c r="J42" s="84" t="str">
        <f>IF(I42=$B$226,0,IF(I42=$B$227,1,IF(I42=$B$228,2,IF(I42=$B$229,3,IF(I42=$B$230,4,"Not Calculated")))))</f>
        <v>Not Calculated</v>
      </c>
      <c r="K42" s="88"/>
    </row>
    <row r="43" spans="2:11" ht="15.75" customHeight="1" x14ac:dyDescent="0.3">
      <c r="B43" s="82"/>
      <c r="C43" s="83"/>
      <c r="D43" s="84"/>
      <c r="E43" s="84"/>
      <c r="F43" s="85"/>
      <c r="G43" s="86"/>
      <c r="H43" s="86"/>
      <c r="I43" s="87"/>
      <c r="J43" s="87"/>
      <c r="K43" s="88"/>
    </row>
    <row r="44" spans="2:11" x14ac:dyDescent="0.3">
      <c r="B44" s="82"/>
      <c r="C44" s="90" t="s">
        <v>103</v>
      </c>
      <c r="D44" s="86"/>
      <c r="E44" s="86"/>
      <c r="F44" s="85"/>
      <c r="G44" s="86"/>
      <c r="H44" s="86"/>
      <c r="I44" s="84"/>
      <c r="J44" s="91" t="str">
        <f>IF(OR(J34="Not Calculated",J36="Not Calculated",J38="Not Calculated",J40="Not Calculated",J42="Not Calculated")=TRUE,"Not Calculated",AVERAGE(J34,J36,J38,J40,J42))</f>
        <v>Not Calculated</v>
      </c>
      <c r="K44" s="88"/>
    </row>
    <row r="45" spans="2:11" ht="15" thickBot="1" x14ac:dyDescent="0.35">
      <c r="B45" s="92"/>
      <c r="C45" s="93"/>
      <c r="D45" s="94"/>
      <c r="E45" s="94"/>
      <c r="F45" s="94"/>
      <c r="G45" s="95"/>
      <c r="H45" s="95"/>
      <c r="I45" s="96"/>
      <c r="J45" s="96"/>
      <c r="K45" s="97"/>
    </row>
    <row r="46" spans="2:11" ht="15" thickBot="1" x14ac:dyDescent="0.35">
      <c r="B46" s="101"/>
      <c r="C46" s="102"/>
      <c r="D46" s="101"/>
      <c r="E46" s="101"/>
      <c r="F46" s="101"/>
      <c r="G46" s="103"/>
      <c r="H46" s="103"/>
      <c r="I46" s="104"/>
      <c r="J46" s="104"/>
      <c r="K46" s="103"/>
    </row>
    <row r="47" spans="2:11" x14ac:dyDescent="0.3">
      <c r="B47" s="82"/>
      <c r="C47" s="85"/>
      <c r="D47" s="86"/>
      <c r="E47" s="86"/>
      <c r="F47" s="85"/>
      <c r="G47" s="86"/>
      <c r="H47" s="86"/>
      <c r="I47" s="84"/>
      <c r="J47" s="84"/>
      <c r="K47" s="88"/>
    </row>
    <row r="48" spans="2:11" ht="15" x14ac:dyDescent="0.3">
      <c r="B48" s="82"/>
      <c r="C48" s="83" t="s">
        <v>104</v>
      </c>
      <c r="D48" s="86"/>
      <c r="E48" s="86"/>
      <c r="F48" s="85"/>
      <c r="G48" s="86"/>
      <c r="H48" s="86"/>
      <c r="I48" s="84"/>
      <c r="J48" s="84"/>
      <c r="K48" s="88"/>
    </row>
    <row r="49" spans="2:11" ht="15.75" customHeight="1" x14ac:dyDescent="0.3">
      <c r="B49" s="82"/>
      <c r="C49" s="83"/>
      <c r="D49" s="84"/>
      <c r="E49" s="84"/>
      <c r="F49" s="85"/>
      <c r="G49" s="86"/>
      <c r="H49" s="86"/>
      <c r="I49" s="87"/>
      <c r="J49" s="87"/>
      <c r="K49" s="88"/>
    </row>
    <row r="50" spans="2:11" ht="93.75" customHeight="1" x14ac:dyDescent="0.3">
      <c r="B50" s="82"/>
      <c r="C50" s="332" t="s">
        <v>187</v>
      </c>
      <c r="D50" s="332"/>
      <c r="E50" s="332"/>
      <c r="F50" s="332"/>
      <c r="G50" s="332"/>
      <c r="H50" s="89"/>
      <c r="I50" s="133"/>
      <c r="J50" s="84" t="str">
        <f>IF(I50=$B$226,0,IF(I50=$B$227,1,IF(I50=$B$228,2,IF(I50=$B$229,3,IF(I50=$B$230,4,"Not Calculated")))))</f>
        <v>Not Calculated</v>
      </c>
      <c r="K50" s="88"/>
    </row>
    <row r="51" spans="2:11" ht="15.75" customHeight="1" x14ac:dyDescent="0.3">
      <c r="B51" s="82"/>
      <c r="C51" s="83"/>
      <c r="D51" s="84"/>
      <c r="E51" s="84"/>
      <c r="F51" s="85"/>
      <c r="G51" s="86"/>
      <c r="H51" s="86"/>
      <c r="I51" s="87"/>
      <c r="J51" s="87"/>
      <c r="K51" s="88"/>
    </row>
    <row r="52" spans="2:11" ht="138.75" customHeight="1" x14ac:dyDescent="0.3">
      <c r="B52" s="82"/>
      <c r="C52" s="332" t="s">
        <v>188</v>
      </c>
      <c r="D52" s="332"/>
      <c r="E52" s="332"/>
      <c r="F52" s="332"/>
      <c r="G52" s="332"/>
      <c r="H52" s="89"/>
      <c r="I52" s="133"/>
      <c r="J52" s="84" t="str">
        <f>IF(I52=$B$226,0,IF(I52=$B$227,1,IF(I52=$B$228,2,IF(I52=$B$229,3,IF(I52=$B$230,4,"Not Calculated")))))</f>
        <v>Not Calculated</v>
      </c>
      <c r="K52" s="88"/>
    </row>
    <row r="53" spans="2:11" ht="15.75" customHeight="1" x14ac:dyDescent="0.3">
      <c r="B53" s="82"/>
      <c r="C53" s="83"/>
      <c r="D53" s="84"/>
      <c r="E53" s="84"/>
      <c r="F53" s="85"/>
      <c r="G53" s="86"/>
      <c r="H53" s="86"/>
      <c r="I53" s="87"/>
      <c r="J53" s="87"/>
      <c r="K53" s="88"/>
    </row>
    <row r="54" spans="2:11" ht="109.5" customHeight="1" x14ac:dyDescent="0.3">
      <c r="B54" s="82"/>
      <c r="C54" s="332" t="s">
        <v>189</v>
      </c>
      <c r="D54" s="332"/>
      <c r="E54" s="332"/>
      <c r="F54" s="332"/>
      <c r="G54" s="332"/>
      <c r="H54" s="89"/>
      <c r="I54" s="133"/>
      <c r="J54" s="84" t="str">
        <f>IF(I54=$B$226,0,IF(I54=$B$227,1,IF(I54=$B$228,2,IF(I54=$B$229,3,IF(I54=$B$230,4,"Not Calculated")))))</f>
        <v>Not Calculated</v>
      </c>
      <c r="K54" s="88"/>
    </row>
    <row r="55" spans="2:11" ht="15.75" customHeight="1" x14ac:dyDescent="0.3">
      <c r="B55" s="82"/>
      <c r="C55" s="83"/>
      <c r="D55" s="84"/>
      <c r="E55" s="84"/>
      <c r="F55" s="85"/>
      <c r="G55" s="86"/>
      <c r="H55" s="86"/>
      <c r="I55" s="87"/>
      <c r="J55" s="87"/>
      <c r="K55" s="88"/>
    </row>
    <row r="56" spans="2:11" ht="107.25" customHeight="1" x14ac:dyDescent="0.3">
      <c r="B56" s="82"/>
      <c r="C56" s="332" t="s">
        <v>190</v>
      </c>
      <c r="D56" s="332"/>
      <c r="E56" s="332"/>
      <c r="F56" s="332"/>
      <c r="G56" s="332"/>
      <c r="H56" s="89"/>
      <c r="I56" s="133"/>
      <c r="J56" s="84" t="str">
        <f>IF(I56=$B$226,0,IF(I56=$B$227,1,IF(I56=$B$228,2,IF(I56=$B$229,3,IF(I56=$B$230,4,"Not Calculated")))))</f>
        <v>Not Calculated</v>
      </c>
      <c r="K56" s="88"/>
    </row>
    <row r="57" spans="2:11" ht="15.75" customHeight="1" x14ac:dyDescent="0.3">
      <c r="B57" s="82"/>
      <c r="C57" s="83"/>
      <c r="D57" s="84"/>
      <c r="E57" s="84"/>
      <c r="F57" s="85"/>
      <c r="G57" s="86"/>
      <c r="H57" s="86"/>
      <c r="I57" s="87"/>
      <c r="J57" s="87"/>
      <c r="K57" s="88"/>
    </row>
    <row r="58" spans="2:11" ht="117.75" customHeight="1" x14ac:dyDescent="0.3">
      <c r="B58" s="82"/>
      <c r="C58" s="332" t="s">
        <v>191</v>
      </c>
      <c r="D58" s="332"/>
      <c r="E58" s="332"/>
      <c r="F58" s="332"/>
      <c r="G58" s="332"/>
      <c r="H58" s="89"/>
      <c r="I58" s="133"/>
      <c r="J58" s="84" t="str">
        <f>IF(I58=$B$226,0,IF(I58=$B$227,1,IF(I58=$B$228,2,IF(I58=$B$229,3,IF(I58=$B$230,4,"Not Calculated")))))</f>
        <v>Not Calculated</v>
      </c>
      <c r="K58" s="88"/>
    </row>
    <row r="59" spans="2:11" ht="15.75" customHeight="1" x14ac:dyDescent="0.3">
      <c r="B59" s="82"/>
      <c r="C59" s="83"/>
      <c r="D59" s="84"/>
      <c r="E59" s="84"/>
      <c r="F59" s="85"/>
      <c r="G59" s="86"/>
      <c r="H59" s="86"/>
      <c r="I59" s="87"/>
      <c r="J59" s="87"/>
      <c r="K59" s="88"/>
    </row>
    <row r="60" spans="2:11" x14ac:dyDescent="0.3">
      <c r="B60" s="82"/>
      <c r="C60" s="90" t="s">
        <v>105</v>
      </c>
      <c r="D60" s="86"/>
      <c r="E60" s="86"/>
      <c r="F60" s="85"/>
      <c r="G60" s="86"/>
      <c r="H60" s="86"/>
      <c r="I60" s="84"/>
      <c r="J60" s="91" t="str">
        <f>IF(OR(J50="Not Calculated",J52="Not Calculated",J54="Not Calculated",J56="Not Calculated",J58="Not Calculated")=TRUE,"Not Calculated",AVERAGE(J50,J52,J54,J56,J58))</f>
        <v>Not Calculated</v>
      </c>
      <c r="K60" s="88"/>
    </row>
    <row r="61" spans="2:11" ht="15" thickBot="1" x14ac:dyDescent="0.35">
      <c r="B61" s="92"/>
      <c r="C61" s="93"/>
      <c r="D61" s="94"/>
      <c r="E61" s="94"/>
      <c r="F61" s="94"/>
      <c r="G61" s="95"/>
      <c r="H61" s="95"/>
      <c r="I61" s="96"/>
      <c r="J61" s="96"/>
      <c r="K61" s="97"/>
    </row>
    <row r="62" spans="2:11" ht="15" thickBot="1" x14ac:dyDescent="0.35">
      <c r="B62" s="101"/>
      <c r="C62" s="102"/>
      <c r="D62" s="101"/>
      <c r="E62" s="101"/>
      <c r="F62" s="101"/>
      <c r="G62" s="103"/>
      <c r="H62" s="103"/>
      <c r="I62" s="104"/>
      <c r="J62" s="104"/>
      <c r="K62" s="103"/>
    </row>
    <row r="63" spans="2:11" x14ac:dyDescent="0.3">
      <c r="B63" s="82"/>
      <c r="C63" s="85"/>
      <c r="D63" s="86"/>
      <c r="E63" s="86"/>
      <c r="F63" s="85"/>
      <c r="G63" s="86"/>
      <c r="H63" s="86"/>
      <c r="I63" s="84"/>
      <c r="J63" s="84"/>
      <c r="K63" s="88"/>
    </row>
    <row r="64" spans="2:11" ht="15" x14ac:dyDescent="0.3">
      <c r="B64" s="82"/>
      <c r="C64" s="83" t="s">
        <v>92</v>
      </c>
      <c r="D64" s="86"/>
      <c r="E64" s="86"/>
      <c r="F64" s="85"/>
      <c r="G64" s="86"/>
      <c r="H64" s="86"/>
      <c r="I64" s="84"/>
      <c r="J64" s="84"/>
      <c r="K64" s="88"/>
    </row>
    <row r="65" spans="2:11" ht="15.75" customHeight="1" x14ac:dyDescent="0.3">
      <c r="B65" s="82"/>
      <c r="C65" s="83"/>
      <c r="D65" s="84"/>
      <c r="E65" s="84"/>
      <c r="F65" s="85"/>
      <c r="G65" s="86"/>
      <c r="H65" s="86"/>
      <c r="I65" s="87"/>
      <c r="J65" s="87"/>
      <c r="K65" s="88"/>
    </row>
    <row r="66" spans="2:11" ht="88.5" customHeight="1" x14ac:dyDescent="0.3">
      <c r="B66" s="82"/>
      <c r="C66" s="332" t="s">
        <v>196</v>
      </c>
      <c r="D66" s="332"/>
      <c r="E66" s="332"/>
      <c r="F66" s="332"/>
      <c r="G66" s="332"/>
      <c r="H66" s="89"/>
      <c r="I66" s="133"/>
      <c r="J66" s="84" t="str">
        <f>IF(I66=$B$226,0,IF(I66=$B$227,1,IF(I66=$B$228,2,IF(I66=$B$229,3,IF(I66=$B$230,4,"Not Calculated")))))</f>
        <v>Not Calculated</v>
      </c>
      <c r="K66" s="88"/>
    </row>
    <row r="67" spans="2:11" ht="15.75" customHeight="1" x14ac:dyDescent="0.3">
      <c r="B67" s="82"/>
      <c r="C67" s="83"/>
      <c r="D67" s="84"/>
      <c r="E67" s="84"/>
      <c r="F67" s="85"/>
      <c r="G67" s="86"/>
      <c r="H67" s="86"/>
      <c r="I67" s="87"/>
      <c r="J67" s="87"/>
      <c r="K67" s="88"/>
    </row>
    <row r="68" spans="2:11" ht="108" customHeight="1" x14ac:dyDescent="0.3">
      <c r="B68" s="82"/>
      <c r="C68" s="332" t="s">
        <v>195</v>
      </c>
      <c r="D68" s="332"/>
      <c r="E68" s="332"/>
      <c r="F68" s="332"/>
      <c r="G68" s="332"/>
      <c r="H68" s="89"/>
      <c r="I68" s="133"/>
      <c r="J68" s="84" t="str">
        <f>IF(I68=$B$226,0,IF(I68=$B$227,1,IF(I68=$B$228,2,IF(I68=$B$229,3,IF(I68=$B$230,4,"Not Calculated")))))</f>
        <v>Not Calculated</v>
      </c>
      <c r="K68" s="88"/>
    </row>
    <row r="69" spans="2:11" ht="15.75" customHeight="1" x14ac:dyDescent="0.3">
      <c r="B69" s="82"/>
      <c r="C69" s="83"/>
      <c r="D69" s="84"/>
      <c r="E69" s="84"/>
      <c r="F69" s="85"/>
      <c r="G69" s="86"/>
      <c r="H69" s="86"/>
      <c r="I69" s="87"/>
      <c r="J69" s="87"/>
      <c r="K69" s="88"/>
    </row>
    <row r="70" spans="2:11" ht="87" customHeight="1" x14ac:dyDescent="0.3">
      <c r="B70" s="82"/>
      <c r="C70" s="332" t="s">
        <v>194</v>
      </c>
      <c r="D70" s="332"/>
      <c r="E70" s="332"/>
      <c r="F70" s="332"/>
      <c r="G70" s="332"/>
      <c r="H70" s="89"/>
      <c r="I70" s="133"/>
      <c r="J70" s="84" t="str">
        <f>IF(I70=$B$226,0,IF(I70=$B$227,1,IF(I70=$B$228,2,IF(I70=$B$229,3,IF(I70=$B$230,4,"Not Calculated")))))</f>
        <v>Not Calculated</v>
      </c>
      <c r="K70" s="88"/>
    </row>
    <row r="71" spans="2:11" ht="15.75" customHeight="1" x14ac:dyDescent="0.3">
      <c r="B71" s="82"/>
      <c r="C71" s="83"/>
      <c r="D71" s="84"/>
      <c r="E71" s="84"/>
      <c r="F71" s="85"/>
      <c r="G71" s="86"/>
      <c r="H71" s="86"/>
      <c r="I71" s="87"/>
      <c r="J71" s="87"/>
      <c r="K71" s="88"/>
    </row>
    <row r="72" spans="2:11" ht="121.5" customHeight="1" x14ac:dyDescent="0.3">
      <c r="B72" s="82"/>
      <c r="C72" s="332" t="s">
        <v>193</v>
      </c>
      <c r="D72" s="332"/>
      <c r="E72" s="332"/>
      <c r="F72" s="332"/>
      <c r="G72" s="332"/>
      <c r="H72" s="89"/>
      <c r="I72" s="133"/>
      <c r="J72" s="84" t="str">
        <f>IF(I72=$B$226,0,IF(I72=$B$227,1,IF(I72=$B$228,2,IF(I72=$B$229,3,IF(I72=$B$230,4,"Not Calculated")))))</f>
        <v>Not Calculated</v>
      </c>
      <c r="K72" s="88"/>
    </row>
    <row r="73" spans="2:11" ht="15.75" customHeight="1" x14ac:dyDescent="0.3">
      <c r="B73" s="82"/>
      <c r="C73" s="83"/>
      <c r="D73" s="84"/>
      <c r="E73" s="84"/>
      <c r="F73" s="85"/>
      <c r="G73" s="86"/>
      <c r="H73" s="86"/>
      <c r="I73" s="87"/>
      <c r="J73" s="87"/>
      <c r="K73" s="88"/>
    </row>
    <row r="74" spans="2:11" ht="104.25" customHeight="1" x14ac:dyDescent="0.3">
      <c r="B74" s="82"/>
      <c r="C74" s="332" t="s">
        <v>192</v>
      </c>
      <c r="D74" s="332"/>
      <c r="E74" s="332"/>
      <c r="F74" s="332"/>
      <c r="G74" s="332"/>
      <c r="H74" s="89"/>
      <c r="I74" s="133"/>
      <c r="J74" s="84" t="str">
        <f>IF(I74=$B$226,0,IF(I74=$B$227,1,IF(I74=$B$228,2,IF(I74=$B$229,3,IF(I74=$B$230,4,"Not Calculated")))))</f>
        <v>Not Calculated</v>
      </c>
      <c r="K74" s="88"/>
    </row>
    <row r="75" spans="2:11" ht="15.75" customHeight="1" x14ac:dyDescent="0.3">
      <c r="B75" s="82"/>
      <c r="C75" s="83"/>
      <c r="D75" s="84"/>
      <c r="E75" s="84"/>
      <c r="F75" s="85"/>
      <c r="G75" s="86"/>
      <c r="H75" s="86"/>
      <c r="I75" s="87"/>
      <c r="J75" s="87"/>
      <c r="K75" s="88"/>
    </row>
    <row r="76" spans="2:11" x14ac:dyDescent="0.3">
      <c r="B76" s="82"/>
      <c r="C76" s="90" t="s">
        <v>106</v>
      </c>
      <c r="D76" s="86"/>
      <c r="E76" s="86"/>
      <c r="F76" s="85"/>
      <c r="G76" s="86"/>
      <c r="H76" s="86"/>
      <c r="I76" s="84"/>
      <c r="J76" s="91" t="str">
        <f>IF(OR(J66="Not Calculated",J68="Not Calculated",J70="Not Calculated",J72="Not Calculated",J74="Not Calculated")=TRUE,"Not Calculated",AVERAGE(J66,J68,J70,J72,J74))</f>
        <v>Not Calculated</v>
      </c>
      <c r="K76" s="88"/>
    </row>
    <row r="77" spans="2:11" ht="15" thickBot="1" x14ac:dyDescent="0.35">
      <c r="B77" s="92"/>
      <c r="C77" s="93"/>
      <c r="D77" s="94"/>
      <c r="E77" s="94"/>
      <c r="F77" s="94"/>
      <c r="G77" s="95"/>
      <c r="H77" s="95"/>
      <c r="I77" s="96"/>
      <c r="J77" s="96"/>
      <c r="K77" s="97"/>
    </row>
    <row r="78" spans="2:11" ht="15" thickBot="1" x14ac:dyDescent="0.35">
      <c r="B78" s="101"/>
      <c r="C78" s="102"/>
      <c r="D78" s="101"/>
      <c r="E78" s="101"/>
      <c r="F78" s="101"/>
      <c r="G78" s="103"/>
      <c r="H78" s="103"/>
      <c r="I78" s="104"/>
      <c r="J78" s="104"/>
      <c r="K78" s="103"/>
    </row>
    <row r="79" spans="2:11" x14ac:dyDescent="0.3">
      <c r="B79" s="82"/>
      <c r="C79" s="85"/>
      <c r="D79" s="86"/>
      <c r="E79" s="86"/>
      <c r="F79" s="85"/>
      <c r="G79" s="86"/>
      <c r="H79" s="86"/>
      <c r="I79" s="84"/>
      <c r="J79" s="84"/>
      <c r="K79" s="88"/>
    </row>
    <row r="80" spans="2:11" ht="15" x14ac:dyDescent="0.3">
      <c r="B80" s="82"/>
      <c r="C80" s="83" t="s">
        <v>107</v>
      </c>
      <c r="D80" s="86"/>
      <c r="E80" s="86"/>
      <c r="F80" s="85"/>
      <c r="G80" s="86"/>
      <c r="H80" s="86"/>
      <c r="I80" s="84"/>
      <c r="J80" s="84"/>
      <c r="K80" s="88"/>
    </row>
    <row r="81" spans="2:11" ht="15.75" customHeight="1" x14ac:dyDescent="0.3">
      <c r="B81" s="82"/>
      <c r="C81" s="83"/>
      <c r="D81" s="84"/>
      <c r="E81" s="84"/>
      <c r="F81" s="85"/>
      <c r="G81" s="86"/>
      <c r="H81" s="86"/>
      <c r="I81" s="87"/>
      <c r="J81" s="87"/>
      <c r="K81" s="88"/>
    </row>
    <row r="82" spans="2:11" ht="135.75" customHeight="1" x14ac:dyDescent="0.3">
      <c r="B82" s="82"/>
      <c r="C82" s="332" t="s">
        <v>179</v>
      </c>
      <c r="D82" s="332"/>
      <c r="E82" s="332"/>
      <c r="F82" s="332"/>
      <c r="G82" s="332"/>
      <c r="H82" s="89"/>
      <c r="I82" s="133"/>
      <c r="J82" s="84" t="str">
        <f>IF(I82=$B$226,0,IF(I82=$B$227,1,IF(I82=$B$228,2,IF(I82=$B$229,3,IF(I82=$B$230,4,"Not Calculated")))))</f>
        <v>Not Calculated</v>
      </c>
      <c r="K82" s="88"/>
    </row>
    <row r="83" spans="2:11" ht="15.75" customHeight="1" x14ac:dyDescent="0.3">
      <c r="B83" s="82"/>
      <c r="C83" s="83"/>
      <c r="D83" s="84"/>
      <c r="E83" s="84"/>
      <c r="F83" s="85"/>
      <c r="G83" s="86"/>
      <c r="H83" s="86"/>
      <c r="I83" s="87"/>
      <c r="J83" s="87"/>
      <c r="K83" s="88"/>
    </row>
    <row r="84" spans="2:11" ht="197.25" customHeight="1" x14ac:dyDescent="0.3">
      <c r="B84" s="82"/>
      <c r="C84" s="332" t="s">
        <v>180</v>
      </c>
      <c r="D84" s="332"/>
      <c r="E84" s="332"/>
      <c r="F84" s="332"/>
      <c r="G84" s="332"/>
      <c r="H84" s="89"/>
      <c r="I84" s="133"/>
      <c r="J84" s="84" t="str">
        <f>IF(I84=$B$226,0,IF(I84=$B$227,1,IF(I84=$B$228,2,IF(I84=$B$229,3,IF(I84=$B$230,4,"Not Calculated")))))</f>
        <v>Not Calculated</v>
      </c>
      <c r="K84" s="88"/>
    </row>
    <row r="85" spans="2:11" ht="15.75" customHeight="1" x14ac:dyDescent="0.3">
      <c r="B85" s="82"/>
      <c r="C85" s="83"/>
      <c r="D85" s="84"/>
      <c r="E85" s="84"/>
      <c r="F85" s="85"/>
      <c r="G85" s="86"/>
      <c r="H85" s="86"/>
      <c r="I85" s="87"/>
      <c r="J85" s="87"/>
      <c r="K85" s="88"/>
    </row>
    <row r="86" spans="2:11" ht="120" customHeight="1" x14ac:dyDescent="0.3">
      <c r="B86" s="82"/>
      <c r="C86" s="332" t="s">
        <v>181</v>
      </c>
      <c r="D86" s="332"/>
      <c r="E86" s="332"/>
      <c r="F86" s="332"/>
      <c r="G86" s="332"/>
      <c r="H86" s="89"/>
      <c r="I86" s="133"/>
      <c r="J86" s="84" t="str">
        <f>IF(I86=$B$226,0,IF(I86=$B$227,1,IF(I86=$B$228,2,IF(I86=$B$229,3,IF(I86=$B$230,4,"Not Calculated")))))</f>
        <v>Not Calculated</v>
      </c>
      <c r="K86" s="88"/>
    </row>
    <row r="87" spans="2:11" ht="15.75" customHeight="1" x14ac:dyDescent="0.3">
      <c r="B87" s="82"/>
      <c r="C87" s="83"/>
      <c r="D87" s="84"/>
      <c r="E87" s="84"/>
      <c r="F87" s="85"/>
      <c r="G87" s="86"/>
      <c r="H87" s="86"/>
      <c r="I87" s="87"/>
      <c r="J87" s="87"/>
      <c r="K87" s="88"/>
    </row>
    <row r="88" spans="2:11" x14ac:dyDescent="0.3">
      <c r="B88" s="82"/>
      <c r="C88" s="90" t="s">
        <v>109</v>
      </c>
      <c r="D88" s="86"/>
      <c r="E88" s="86"/>
      <c r="F88" s="85"/>
      <c r="G88" s="86"/>
      <c r="H88" s="86"/>
      <c r="I88" s="84"/>
      <c r="J88" s="91" t="str">
        <f>IF(OR(J82="Not Calculated",J84="Not Calculated",J86="Not Calculated")=TRUE,"Not Calculated",AVERAGE(J82,J84,J86))</f>
        <v>Not Calculated</v>
      </c>
      <c r="K88" s="88"/>
    </row>
    <row r="89" spans="2:11" ht="15" thickBot="1" x14ac:dyDescent="0.35">
      <c r="B89" s="92"/>
      <c r="C89" s="93"/>
      <c r="D89" s="94"/>
      <c r="E89" s="94"/>
      <c r="F89" s="94"/>
      <c r="G89" s="95"/>
      <c r="H89" s="95"/>
      <c r="I89" s="96"/>
      <c r="J89" s="96"/>
      <c r="K89" s="97"/>
    </row>
    <row r="90" spans="2:11" ht="15" thickBot="1" x14ac:dyDescent="0.35">
      <c r="B90" s="101"/>
      <c r="C90" s="102"/>
      <c r="D90" s="101"/>
      <c r="E90" s="101"/>
      <c r="F90" s="101"/>
      <c r="G90" s="103"/>
      <c r="H90" s="103"/>
      <c r="I90" s="104"/>
      <c r="J90" s="104"/>
      <c r="K90" s="103"/>
    </row>
    <row r="91" spans="2:11" x14ac:dyDescent="0.3">
      <c r="B91" s="82"/>
      <c r="C91" s="85"/>
      <c r="D91" s="86"/>
      <c r="E91" s="86"/>
      <c r="F91" s="85"/>
      <c r="G91" s="86"/>
      <c r="H91" s="86"/>
      <c r="I91" s="84"/>
      <c r="J91" s="84"/>
      <c r="K91" s="88"/>
    </row>
    <row r="92" spans="2:11" ht="15" x14ac:dyDescent="0.3">
      <c r="B92" s="82"/>
      <c r="C92" s="83" t="s">
        <v>110</v>
      </c>
      <c r="D92" s="86"/>
      <c r="E92" s="86"/>
      <c r="F92" s="85"/>
      <c r="G92" s="86"/>
      <c r="H92" s="86"/>
      <c r="I92" s="84"/>
      <c r="J92" s="84"/>
      <c r="K92" s="88"/>
    </row>
    <row r="93" spans="2:11" ht="15.75" customHeight="1" x14ac:dyDescent="0.3">
      <c r="B93" s="82"/>
      <c r="C93" s="83"/>
      <c r="D93" s="84"/>
      <c r="E93" s="84"/>
      <c r="F93" s="85"/>
      <c r="G93" s="86"/>
      <c r="H93" s="86"/>
      <c r="I93" s="87"/>
      <c r="J93" s="87"/>
      <c r="K93" s="88"/>
    </row>
    <row r="94" spans="2:11" ht="120.75" customHeight="1" x14ac:dyDescent="0.3">
      <c r="B94" s="82"/>
      <c r="C94" s="332" t="s">
        <v>178</v>
      </c>
      <c r="D94" s="332"/>
      <c r="E94" s="332"/>
      <c r="F94" s="332"/>
      <c r="G94" s="332"/>
      <c r="H94" s="89"/>
      <c r="I94" s="133"/>
      <c r="J94" s="84" t="str">
        <f>IF(I94=$B$226,0,IF(I94=$B$227,1,IF(I94=$B$228,2,IF(I94=$B$229,3,IF(I94=$B$230,4,"Not Calculated")))))</f>
        <v>Not Calculated</v>
      </c>
      <c r="K94" s="88"/>
    </row>
    <row r="95" spans="2:11" ht="15.75" customHeight="1" x14ac:dyDescent="0.3">
      <c r="B95" s="82"/>
      <c r="C95" s="83"/>
      <c r="D95" s="84"/>
      <c r="E95" s="84"/>
      <c r="F95" s="85"/>
      <c r="G95" s="86"/>
      <c r="H95" s="86"/>
      <c r="I95" s="87"/>
      <c r="J95" s="87"/>
      <c r="K95" s="88"/>
    </row>
    <row r="96" spans="2:11" ht="91.5" customHeight="1" x14ac:dyDescent="0.3">
      <c r="B96" s="82"/>
      <c r="C96" s="332" t="s">
        <v>177</v>
      </c>
      <c r="D96" s="332"/>
      <c r="E96" s="332"/>
      <c r="F96" s="332"/>
      <c r="G96" s="332"/>
      <c r="H96" s="89"/>
      <c r="I96" s="133"/>
      <c r="J96" s="84" t="str">
        <f>IF(I96=$B$226,0,IF(I96=$B$227,1,IF(I96=$B$228,2,IF(I96=$B$229,3,IF(I96=$B$230,4,"Not Calculated")))))</f>
        <v>Not Calculated</v>
      </c>
      <c r="K96" s="88"/>
    </row>
    <row r="97" spans="2:11" ht="15.75" customHeight="1" x14ac:dyDescent="0.3">
      <c r="B97" s="82"/>
      <c r="C97" s="83"/>
      <c r="D97" s="84"/>
      <c r="E97" s="84"/>
      <c r="F97" s="85"/>
      <c r="G97" s="86"/>
      <c r="H97" s="86"/>
      <c r="I97" s="87"/>
      <c r="J97" s="87"/>
      <c r="K97" s="88"/>
    </row>
    <row r="98" spans="2:11" ht="105" customHeight="1" x14ac:dyDescent="0.3">
      <c r="B98" s="82"/>
      <c r="C98" s="332" t="s">
        <v>176</v>
      </c>
      <c r="D98" s="332"/>
      <c r="E98" s="332"/>
      <c r="F98" s="332"/>
      <c r="G98" s="332"/>
      <c r="H98" s="89"/>
      <c r="I98" s="133"/>
      <c r="J98" s="84" t="str">
        <f>IF(I98=$B$226,0,IF(I98=$B$227,1,IF(I98=$B$228,2,IF(I98=$B$229,3,IF(I98=$B$230,4,"Not Calculated")))))</f>
        <v>Not Calculated</v>
      </c>
      <c r="K98" s="88"/>
    </row>
    <row r="99" spans="2:11" ht="15.75" customHeight="1" x14ac:dyDescent="0.3">
      <c r="B99" s="82"/>
      <c r="C99" s="83"/>
      <c r="D99" s="84"/>
      <c r="E99" s="84"/>
      <c r="F99" s="85"/>
      <c r="G99" s="86"/>
      <c r="H99" s="86"/>
      <c r="I99" s="87"/>
      <c r="J99" s="87"/>
      <c r="K99" s="88"/>
    </row>
    <row r="100" spans="2:11" ht="61.5" customHeight="1" x14ac:dyDescent="0.3">
      <c r="B100" s="82"/>
      <c r="C100" s="332" t="s">
        <v>175</v>
      </c>
      <c r="D100" s="332"/>
      <c r="E100" s="332"/>
      <c r="F100" s="332"/>
      <c r="G100" s="332"/>
      <c r="H100" s="89"/>
      <c r="I100" s="133"/>
      <c r="J100" s="84" t="str">
        <f>IF(I100=$B$226,0,IF(I100=$B$227,1,IF(I100=$B$228,2,IF(I100=$B$229,3,IF(I100=$B$230,4,"Not Calculated")))))</f>
        <v>Not Calculated</v>
      </c>
      <c r="K100" s="88"/>
    </row>
    <row r="101" spans="2:11" ht="15.75" customHeight="1" x14ac:dyDescent="0.3">
      <c r="B101" s="82"/>
      <c r="C101" s="83"/>
      <c r="D101" s="84"/>
      <c r="E101" s="84"/>
      <c r="F101" s="85"/>
      <c r="G101" s="86"/>
      <c r="H101" s="86"/>
      <c r="I101" s="87"/>
      <c r="J101" s="87"/>
      <c r="K101" s="88"/>
    </row>
    <row r="102" spans="2:11" x14ac:dyDescent="0.3">
      <c r="B102" s="82"/>
      <c r="C102" s="90" t="s">
        <v>111</v>
      </c>
      <c r="D102" s="86"/>
      <c r="E102" s="86"/>
      <c r="F102" s="85"/>
      <c r="G102" s="86"/>
      <c r="H102" s="86"/>
      <c r="I102" s="84"/>
      <c r="J102" s="91" t="str">
        <f>IF(OR(J96="Not Calculated",J98="Not Calculated",J100="Not Calculated")=TRUE,"Not Calculated",AVERAGE(J96,J98,J100))</f>
        <v>Not Calculated</v>
      </c>
      <c r="K102" s="88"/>
    </row>
    <row r="103" spans="2:11" ht="15" thickBot="1" x14ac:dyDescent="0.35">
      <c r="B103" s="92"/>
      <c r="C103" s="93"/>
      <c r="D103" s="94"/>
      <c r="E103" s="94"/>
      <c r="F103" s="94"/>
      <c r="G103" s="95"/>
      <c r="H103" s="95"/>
      <c r="I103" s="96"/>
      <c r="J103" s="96"/>
      <c r="K103" s="97"/>
    </row>
    <row r="104" spans="2:11" ht="15" thickBot="1" x14ac:dyDescent="0.35">
      <c r="B104" s="101"/>
      <c r="C104" s="102"/>
      <c r="D104" s="101"/>
      <c r="E104" s="101"/>
      <c r="F104" s="101"/>
      <c r="G104" s="103"/>
      <c r="H104" s="103"/>
      <c r="I104" s="104"/>
      <c r="J104" s="104"/>
      <c r="K104" s="103"/>
    </row>
    <row r="105" spans="2:11" x14ac:dyDescent="0.3">
      <c r="B105" s="82"/>
      <c r="C105" s="85"/>
      <c r="D105" s="86"/>
      <c r="E105" s="86"/>
      <c r="F105" s="85"/>
      <c r="G105" s="86"/>
      <c r="H105" s="86"/>
      <c r="I105" s="84"/>
      <c r="J105" s="84"/>
      <c r="K105" s="88"/>
    </row>
    <row r="106" spans="2:11" ht="15" x14ac:dyDescent="0.3">
      <c r="B106" s="82"/>
      <c r="C106" s="83" t="s">
        <v>112</v>
      </c>
      <c r="D106" s="86"/>
      <c r="E106" s="86"/>
      <c r="F106" s="85"/>
      <c r="G106" s="86"/>
      <c r="H106" s="86"/>
      <c r="I106" s="84"/>
      <c r="J106" s="84"/>
      <c r="K106" s="88"/>
    </row>
    <row r="107" spans="2:11" ht="15.75" customHeight="1" x14ac:dyDescent="0.3">
      <c r="B107" s="82"/>
      <c r="C107" s="83"/>
      <c r="D107" s="84"/>
      <c r="E107" s="84"/>
      <c r="F107" s="85"/>
      <c r="G107" s="86"/>
      <c r="H107" s="86"/>
      <c r="I107" s="87"/>
      <c r="J107" s="87"/>
      <c r="K107" s="88"/>
    </row>
    <row r="108" spans="2:11" ht="86.25" customHeight="1" x14ac:dyDescent="0.3">
      <c r="B108" s="82"/>
      <c r="C108" s="332" t="s">
        <v>174</v>
      </c>
      <c r="D108" s="332"/>
      <c r="E108" s="332"/>
      <c r="F108" s="332"/>
      <c r="G108" s="332"/>
      <c r="H108" s="89"/>
      <c r="I108" s="133"/>
      <c r="J108" s="84" t="str">
        <f>IF(I108=$B$226,0,IF(I108=$B$227,1,IF(I108=$B$228,2,IF(I108=$B$229,3,IF(I108=$B$230,4,"Not Calculated")))))</f>
        <v>Not Calculated</v>
      </c>
      <c r="K108" s="88"/>
    </row>
    <row r="109" spans="2:11" ht="15.75" customHeight="1" x14ac:dyDescent="0.3">
      <c r="B109" s="82"/>
      <c r="C109" s="83"/>
      <c r="D109" s="84"/>
      <c r="E109" s="84"/>
      <c r="F109" s="85"/>
      <c r="G109" s="86"/>
      <c r="H109" s="86"/>
      <c r="I109" s="87"/>
      <c r="J109" s="87"/>
      <c r="K109" s="88"/>
    </row>
    <row r="110" spans="2:11" ht="72.75" customHeight="1" x14ac:dyDescent="0.3">
      <c r="B110" s="82"/>
      <c r="C110" s="332" t="s">
        <v>173</v>
      </c>
      <c r="D110" s="332"/>
      <c r="E110" s="332"/>
      <c r="F110" s="332"/>
      <c r="G110" s="332"/>
      <c r="H110" s="89"/>
      <c r="I110" s="133"/>
      <c r="J110" s="84" t="str">
        <f>IF(I110=$B$226,0,IF(I110=$B$227,1,IF(I110=$B$228,2,IF(I110=$B$229,3,IF(I110=$B$230,4,"Not Calculated")))))</f>
        <v>Not Calculated</v>
      </c>
      <c r="K110" s="88"/>
    </row>
    <row r="111" spans="2:11" ht="15.75" customHeight="1" x14ac:dyDescent="0.3">
      <c r="B111" s="82"/>
      <c r="C111" s="83"/>
      <c r="D111" s="84"/>
      <c r="E111" s="84"/>
      <c r="F111" s="85"/>
      <c r="G111" s="86"/>
      <c r="H111" s="86"/>
      <c r="I111" s="87"/>
      <c r="J111" s="87"/>
      <c r="K111" s="88"/>
    </row>
    <row r="112" spans="2:11" ht="76.5" customHeight="1" x14ac:dyDescent="0.3">
      <c r="B112" s="82"/>
      <c r="C112" s="332" t="s">
        <v>172</v>
      </c>
      <c r="D112" s="332"/>
      <c r="E112" s="332"/>
      <c r="F112" s="332"/>
      <c r="G112" s="332"/>
      <c r="H112" s="89"/>
      <c r="I112" s="133"/>
      <c r="J112" s="84" t="str">
        <f>IF(I112=$B$226,0,IF(I112=$B$227,1,IF(I112=$B$228,2,IF(I112=$B$229,3,IF(I112=$B$230,4,"Not Calculated")))))</f>
        <v>Not Calculated</v>
      </c>
      <c r="K112" s="88"/>
    </row>
    <row r="113" spans="2:11" ht="15.75" customHeight="1" x14ac:dyDescent="0.3">
      <c r="B113" s="82"/>
      <c r="C113" s="83"/>
      <c r="D113" s="84"/>
      <c r="E113" s="84"/>
      <c r="F113" s="85"/>
      <c r="G113" s="86"/>
      <c r="H113" s="86"/>
      <c r="I113" s="87"/>
      <c r="J113" s="87"/>
      <c r="K113" s="88"/>
    </row>
    <row r="114" spans="2:11" ht="88.5" customHeight="1" x14ac:dyDescent="0.3">
      <c r="B114" s="82"/>
      <c r="C114" s="332" t="s">
        <v>171</v>
      </c>
      <c r="D114" s="332"/>
      <c r="E114" s="332"/>
      <c r="F114" s="332"/>
      <c r="G114" s="332"/>
      <c r="H114" s="89"/>
      <c r="I114" s="133"/>
      <c r="J114" s="84" t="str">
        <f>IF(I114=$B$226,0,IF(I114=$B$227,1,IF(I114=$B$228,2,IF(I114=$B$229,3,IF(I114=$B$230,4,"Not Calculated")))))</f>
        <v>Not Calculated</v>
      </c>
      <c r="K114" s="88"/>
    </row>
    <row r="115" spans="2:11" ht="15.75" customHeight="1" x14ac:dyDescent="0.3">
      <c r="B115" s="82"/>
      <c r="C115" s="83"/>
      <c r="D115" s="84"/>
      <c r="E115" s="84"/>
      <c r="F115" s="85"/>
      <c r="G115" s="86"/>
      <c r="H115" s="86"/>
      <c r="I115" s="87"/>
      <c r="J115" s="87"/>
      <c r="K115" s="88"/>
    </row>
    <row r="116" spans="2:11" ht="62.25" customHeight="1" x14ac:dyDescent="0.3">
      <c r="B116" s="82"/>
      <c r="C116" s="332" t="s">
        <v>170</v>
      </c>
      <c r="D116" s="332"/>
      <c r="E116" s="332"/>
      <c r="F116" s="332"/>
      <c r="G116" s="332"/>
      <c r="H116" s="89"/>
      <c r="I116" s="133"/>
      <c r="J116" s="84" t="str">
        <f>IF(I116=$B$226,0,IF(I116=$B$227,1,IF(I116=$B$228,2,IF(I116=$B$229,3,IF(I116=$B$230,4,"Not Calculated")))))</f>
        <v>Not Calculated</v>
      </c>
      <c r="K116" s="88"/>
    </row>
    <row r="117" spans="2:11" ht="15.75" customHeight="1" x14ac:dyDescent="0.3">
      <c r="B117" s="82"/>
      <c r="C117" s="83"/>
      <c r="D117" s="84"/>
      <c r="E117" s="84"/>
      <c r="F117" s="85"/>
      <c r="G117" s="86"/>
      <c r="H117" s="86"/>
      <c r="I117" s="87"/>
      <c r="J117" s="87"/>
      <c r="K117" s="88"/>
    </row>
    <row r="118" spans="2:11" x14ac:dyDescent="0.3">
      <c r="B118" s="82"/>
      <c r="C118" s="90" t="s">
        <v>113</v>
      </c>
      <c r="D118" s="86"/>
      <c r="E118" s="86"/>
      <c r="F118" s="85"/>
      <c r="G118" s="86"/>
      <c r="H118" s="86"/>
      <c r="I118" s="84"/>
      <c r="J118" s="91" t="str">
        <f>IF(OR(J108="Not Calculated",J110="Not Calculated",J112="Not Calculated",J114="Not Calculated",J116="Not Calculated")=TRUE,"Not Calculated",AVERAGE(J108,J110,J112,J114,J116))</f>
        <v>Not Calculated</v>
      </c>
      <c r="K118" s="88"/>
    </row>
    <row r="119" spans="2:11" ht="15" thickBot="1" x14ac:dyDescent="0.35">
      <c r="B119" s="92"/>
      <c r="C119" s="93"/>
      <c r="D119" s="94"/>
      <c r="E119" s="94"/>
      <c r="F119" s="94"/>
      <c r="G119" s="95"/>
      <c r="H119" s="95"/>
      <c r="I119" s="96"/>
      <c r="J119" s="96"/>
      <c r="K119" s="97"/>
    </row>
    <row r="120" spans="2:11" ht="15" thickBot="1" x14ac:dyDescent="0.35">
      <c r="B120" s="101"/>
      <c r="C120" s="102"/>
      <c r="D120" s="101"/>
      <c r="E120" s="101"/>
      <c r="F120" s="101"/>
      <c r="G120" s="103"/>
      <c r="H120" s="103"/>
      <c r="I120" s="104"/>
      <c r="J120" s="104"/>
      <c r="K120" s="103"/>
    </row>
    <row r="121" spans="2:11" x14ac:dyDescent="0.3">
      <c r="B121" s="82"/>
      <c r="C121" s="85"/>
      <c r="D121" s="86"/>
      <c r="E121" s="86"/>
      <c r="F121" s="85"/>
      <c r="G121" s="86"/>
      <c r="H121" s="86"/>
      <c r="I121" s="84"/>
      <c r="J121" s="84"/>
      <c r="K121" s="88"/>
    </row>
    <row r="122" spans="2:11" ht="15" x14ac:dyDescent="0.3">
      <c r="B122" s="82"/>
      <c r="C122" s="83" t="s">
        <v>114</v>
      </c>
      <c r="D122" s="86"/>
      <c r="E122" s="86"/>
      <c r="F122" s="85"/>
      <c r="G122" s="86"/>
      <c r="H122" s="86"/>
      <c r="I122" s="84"/>
      <c r="J122" s="84"/>
      <c r="K122" s="88"/>
    </row>
    <row r="123" spans="2:11" ht="15.75" customHeight="1" x14ac:dyDescent="0.3">
      <c r="B123" s="82"/>
      <c r="C123" s="83"/>
      <c r="D123" s="84"/>
      <c r="E123" s="84"/>
      <c r="F123" s="85"/>
      <c r="G123" s="86"/>
      <c r="H123" s="86"/>
      <c r="I123" s="87"/>
      <c r="J123" s="87"/>
      <c r="K123" s="88"/>
    </row>
    <row r="124" spans="2:11" ht="150" customHeight="1" x14ac:dyDescent="0.3">
      <c r="B124" s="82"/>
      <c r="C124" s="332" t="s">
        <v>169</v>
      </c>
      <c r="D124" s="332"/>
      <c r="E124" s="332"/>
      <c r="F124" s="332"/>
      <c r="G124" s="332"/>
      <c r="H124" s="89"/>
      <c r="I124" s="133"/>
      <c r="J124" s="84" t="str">
        <f>IF(I124=$B$226,0,IF(I124=$B$227,1,IF(I124=$B$228,2,IF(I124=$B$229,3,IF(I124=$B$230,4,"Not Calculated")))))</f>
        <v>Not Calculated</v>
      </c>
      <c r="K124" s="88"/>
    </row>
    <row r="125" spans="2:11" ht="15.75" customHeight="1" x14ac:dyDescent="0.3">
      <c r="B125" s="82"/>
      <c r="C125" s="83"/>
      <c r="D125" s="84"/>
      <c r="E125" s="84"/>
      <c r="F125" s="85"/>
      <c r="G125" s="86"/>
      <c r="H125" s="86"/>
      <c r="I125" s="87"/>
      <c r="J125" s="87"/>
      <c r="K125" s="88"/>
    </row>
    <row r="126" spans="2:11" ht="57.75" customHeight="1" x14ac:dyDescent="0.3">
      <c r="B126" s="82"/>
      <c r="C126" s="332" t="s">
        <v>168</v>
      </c>
      <c r="D126" s="332"/>
      <c r="E126" s="332"/>
      <c r="F126" s="332"/>
      <c r="G126" s="332"/>
      <c r="H126" s="89"/>
      <c r="I126" s="133"/>
      <c r="J126" s="84" t="str">
        <f>IF(I126=$B$226,0,IF(I126=$B$227,1,IF(I126=$B$228,2,IF(I126=$B$229,3,IF(I126=$B$230,4,"Not Calculated")))))</f>
        <v>Not Calculated</v>
      </c>
      <c r="K126" s="88"/>
    </row>
    <row r="127" spans="2:11" ht="15.75" customHeight="1" x14ac:dyDescent="0.3">
      <c r="B127" s="82"/>
      <c r="C127" s="83"/>
      <c r="D127" s="84"/>
      <c r="E127" s="84"/>
      <c r="F127" s="85"/>
      <c r="G127" s="86"/>
      <c r="H127" s="86"/>
      <c r="I127" s="87"/>
      <c r="J127" s="87"/>
      <c r="K127" s="88"/>
    </row>
    <row r="128" spans="2:11" ht="72" customHeight="1" x14ac:dyDescent="0.3">
      <c r="B128" s="82"/>
      <c r="C128" s="332" t="s">
        <v>167</v>
      </c>
      <c r="D128" s="332"/>
      <c r="E128" s="332"/>
      <c r="F128" s="332"/>
      <c r="G128" s="332"/>
      <c r="H128" s="89"/>
      <c r="I128" s="133"/>
      <c r="J128" s="84" t="str">
        <f>IF(I128=$B$226,0,IF(I128=$B$227,1,IF(I128=$B$228,2,IF(I128=$B$229,3,IF(I128=$B$230,4,"Not Calculated")))))</f>
        <v>Not Calculated</v>
      </c>
      <c r="K128" s="88"/>
    </row>
    <row r="129" spans="2:11" ht="15.75" customHeight="1" x14ac:dyDescent="0.3">
      <c r="B129" s="82"/>
      <c r="C129" s="83"/>
      <c r="D129" s="84"/>
      <c r="E129" s="84"/>
      <c r="F129" s="85"/>
      <c r="G129" s="86"/>
      <c r="H129" s="86"/>
      <c r="I129" s="87"/>
      <c r="J129" s="87"/>
      <c r="K129" s="88"/>
    </row>
    <row r="130" spans="2:11" ht="90.75" customHeight="1" x14ac:dyDescent="0.3">
      <c r="B130" s="82"/>
      <c r="C130" s="332" t="s">
        <v>166</v>
      </c>
      <c r="D130" s="332"/>
      <c r="E130" s="332"/>
      <c r="F130" s="332"/>
      <c r="G130" s="332"/>
      <c r="H130" s="89"/>
      <c r="I130" s="133"/>
      <c r="J130" s="84" t="str">
        <f>IF(I130=$B$226,0,IF(I130=$B$227,1,IF(I130=$B$228,2,IF(I130=$B$229,3,IF(I130=$B$230,4,"Not Calculated")))))</f>
        <v>Not Calculated</v>
      </c>
      <c r="K130" s="88"/>
    </row>
    <row r="131" spans="2:11" ht="15.75" customHeight="1" x14ac:dyDescent="0.3">
      <c r="B131" s="82"/>
      <c r="C131" s="83"/>
      <c r="D131" s="84"/>
      <c r="E131" s="84"/>
      <c r="F131" s="85"/>
      <c r="G131" s="86"/>
      <c r="H131" s="86"/>
      <c r="I131" s="87"/>
      <c r="J131" s="87"/>
      <c r="K131" s="88"/>
    </row>
    <row r="132" spans="2:11" ht="63" customHeight="1" x14ac:dyDescent="0.3">
      <c r="B132" s="82"/>
      <c r="C132" s="332" t="s">
        <v>165</v>
      </c>
      <c r="D132" s="332"/>
      <c r="E132" s="332"/>
      <c r="F132" s="332"/>
      <c r="G132" s="332"/>
      <c r="H132" s="89"/>
      <c r="I132" s="133"/>
      <c r="J132" s="84" t="str">
        <f>IF(I132=$B$226,0,IF(I132=$B$227,1,IF(I132=$B$228,2,IF(I132=$B$229,3,IF(I132=$B$230,4,"Not Calculated")))))</f>
        <v>Not Calculated</v>
      </c>
      <c r="K132" s="88"/>
    </row>
    <row r="133" spans="2:11" ht="15.75" customHeight="1" x14ac:dyDescent="0.3">
      <c r="B133" s="82"/>
      <c r="C133" s="83"/>
      <c r="D133" s="84"/>
      <c r="E133" s="84"/>
      <c r="F133" s="85"/>
      <c r="G133" s="86"/>
      <c r="H133" s="86"/>
      <c r="I133" s="87"/>
      <c r="J133" s="87"/>
      <c r="K133" s="88"/>
    </row>
    <row r="134" spans="2:11" ht="72.75" customHeight="1" x14ac:dyDescent="0.3">
      <c r="B134" s="82"/>
      <c r="C134" s="332" t="s">
        <v>164</v>
      </c>
      <c r="D134" s="332"/>
      <c r="E134" s="332"/>
      <c r="F134" s="332"/>
      <c r="G134" s="332"/>
      <c r="H134" s="89"/>
      <c r="I134" s="133"/>
      <c r="J134" s="84" t="str">
        <f>IF(I134=$B$226,0,IF(I134=$B$227,1,IF(I134=$B$228,2,IF(I134=$B$229,3,IF(I134=$B$230,4,"Not Calculated")))))</f>
        <v>Not Calculated</v>
      </c>
      <c r="K134" s="88"/>
    </row>
    <row r="135" spans="2:11" ht="15.75" customHeight="1" x14ac:dyDescent="0.3">
      <c r="B135" s="82"/>
      <c r="C135" s="83"/>
      <c r="D135" s="84"/>
      <c r="E135" s="84"/>
      <c r="F135" s="85"/>
      <c r="G135" s="86"/>
      <c r="H135" s="86"/>
      <c r="I135" s="87"/>
      <c r="J135" s="87"/>
      <c r="K135" s="88"/>
    </row>
    <row r="136" spans="2:11" x14ac:dyDescent="0.3">
      <c r="B136" s="82"/>
      <c r="C136" s="90" t="s">
        <v>115</v>
      </c>
      <c r="D136" s="86"/>
      <c r="E136" s="86"/>
      <c r="F136" s="85"/>
      <c r="G136" s="86"/>
      <c r="H136" s="86"/>
      <c r="I136" s="84"/>
      <c r="J136" s="91" t="str">
        <f>IF(OR(J124="Not Calculated",J126="Not Calculated",J128="Not Calculated",J130="Not Calculated",J132="Not Calculated",J134="Not Calculated")=TRUE,"Not Calculated",AVERAGE(J124,J126,J128,J130,J132,J134))</f>
        <v>Not Calculated</v>
      </c>
      <c r="K136" s="88"/>
    </row>
    <row r="137" spans="2:11" ht="15" thickBot="1" x14ac:dyDescent="0.35">
      <c r="B137" s="92"/>
      <c r="C137" s="93"/>
      <c r="D137" s="94"/>
      <c r="E137" s="94"/>
      <c r="F137" s="94"/>
      <c r="G137" s="95"/>
      <c r="H137" s="95"/>
      <c r="I137" s="96"/>
      <c r="J137" s="96"/>
      <c r="K137" s="97"/>
    </row>
    <row r="138" spans="2:11" ht="15" thickBot="1" x14ac:dyDescent="0.35">
      <c r="B138" s="101"/>
      <c r="C138" s="102"/>
      <c r="D138" s="101"/>
      <c r="E138" s="101"/>
      <c r="F138" s="101"/>
      <c r="G138" s="103"/>
      <c r="H138" s="103"/>
      <c r="I138" s="104"/>
      <c r="J138" s="104"/>
      <c r="K138" s="103"/>
    </row>
    <row r="139" spans="2:11" x14ac:dyDescent="0.3">
      <c r="B139" s="82"/>
      <c r="C139" s="85"/>
      <c r="D139" s="86"/>
      <c r="E139" s="86"/>
      <c r="F139" s="85"/>
      <c r="G139" s="86"/>
      <c r="H139" s="86"/>
      <c r="I139" s="84"/>
      <c r="J139" s="84"/>
      <c r="K139" s="88"/>
    </row>
    <row r="140" spans="2:11" ht="15" x14ac:dyDescent="0.3">
      <c r="B140" s="82"/>
      <c r="C140" s="83" t="s">
        <v>116</v>
      </c>
      <c r="D140" s="86"/>
      <c r="E140" s="86"/>
      <c r="F140" s="85"/>
      <c r="G140" s="86"/>
      <c r="H140" s="86"/>
      <c r="I140" s="84"/>
      <c r="J140" s="84"/>
      <c r="K140" s="88"/>
    </row>
    <row r="141" spans="2:11" ht="15.75" customHeight="1" x14ac:dyDescent="0.3">
      <c r="B141" s="82"/>
      <c r="C141" s="83"/>
      <c r="D141" s="84"/>
      <c r="E141" s="84"/>
      <c r="F141" s="85"/>
      <c r="G141" s="86"/>
      <c r="H141" s="86"/>
      <c r="I141" s="87"/>
      <c r="J141" s="87"/>
      <c r="K141" s="88"/>
    </row>
    <row r="142" spans="2:11" ht="164.25" customHeight="1" x14ac:dyDescent="0.3">
      <c r="B142" s="82"/>
      <c r="C142" s="332" t="s">
        <v>163</v>
      </c>
      <c r="D142" s="332"/>
      <c r="E142" s="332"/>
      <c r="F142" s="332"/>
      <c r="G142" s="332"/>
      <c r="H142" s="89"/>
      <c r="I142" s="133"/>
      <c r="J142" s="84" t="str">
        <f>IF(I142=$B$226,0,IF(I142=$B$227,1,IF(I142=$B$228,2,IF(I142=$B$229,3,IF(I142=$B$230,4,"Not Calculated")))))</f>
        <v>Not Calculated</v>
      </c>
      <c r="K142" s="88"/>
    </row>
    <row r="143" spans="2:11" ht="15.75" customHeight="1" x14ac:dyDescent="0.3">
      <c r="B143" s="82"/>
      <c r="C143" s="83"/>
      <c r="D143" s="84"/>
      <c r="E143" s="84"/>
      <c r="F143" s="85"/>
      <c r="G143" s="86"/>
      <c r="H143" s="86"/>
      <c r="I143" s="87"/>
      <c r="J143" s="87"/>
      <c r="K143" s="88"/>
    </row>
    <row r="144" spans="2:11" ht="136.5" customHeight="1" x14ac:dyDescent="0.3">
      <c r="B144" s="82"/>
      <c r="C144" s="332" t="s">
        <v>162</v>
      </c>
      <c r="D144" s="332"/>
      <c r="E144" s="332"/>
      <c r="F144" s="332"/>
      <c r="G144" s="332"/>
      <c r="H144" s="89"/>
      <c r="I144" s="133"/>
      <c r="J144" s="84" t="str">
        <f>IF(I144=$B$226,0,IF(I144=$B$227,1,IF(I144=$B$228,2,IF(I144=$B$229,3,IF(I144=$B$230,4,"Not Calculated")))))</f>
        <v>Not Calculated</v>
      </c>
      <c r="K144" s="88"/>
    </row>
    <row r="145" spans="2:11" ht="15.75" customHeight="1" x14ac:dyDescent="0.3">
      <c r="B145" s="82"/>
      <c r="C145" s="83"/>
      <c r="D145" s="84"/>
      <c r="E145" s="84"/>
      <c r="F145" s="85"/>
      <c r="G145" s="86"/>
      <c r="H145" s="86"/>
      <c r="I145" s="87"/>
      <c r="J145" s="87"/>
      <c r="K145" s="88"/>
    </row>
    <row r="146" spans="2:11" ht="135" customHeight="1" x14ac:dyDescent="0.3">
      <c r="B146" s="82"/>
      <c r="C146" s="332" t="s">
        <v>161</v>
      </c>
      <c r="D146" s="332"/>
      <c r="E146" s="332"/>
      <c r="F146" s="332"/>
      <c r="G146" s="332"/>
      <c r="H146" s="89"/>
      <c r="I146" s="133"/>
      <c r="J146" s="84" t="str">
        <f>IF(I146=$B$226,0,IF(I146=$B$227,1,IF(I146=$B$228,2,IF(I146=$B$229,3,IF(I146=$B$230,4,"Not Calculated")))))</f>
        <v>Not Calculated</v>
      </c>
      <c r="K146" s="88"/>
    </row>
    <row r="147" spans="2:11" ht="15.75" customHeight="1" x14ac:dyDescent="0.3">
      <c r="B147" s="82"/>
      <c r="C147" s="83"/>
      <c r="D147" s="84"/>
      <c r="E147" s="84"/>
      <c r="F147" s="85"/>
      <c r="G147" s="86"/>
      <c r="H147" s="86"/>
      <c r="I147" s="87"/>
      <c r="J147" s="87"/>
      <c r="K147" s="88"/>
    </row>
    <row r="148" spans="2:11" ht="119.25" customHeight="1" x14ac:dyDescent="0.3">
      <c r="B148" s="82"/>
      <c r="C148" s="332" t="s">
        <v>160</v>
      </c>
      <c r="D148" s="332"/>
      <c r="E148" s="332"/>
      <c r="F148" s="332"/>
      <c r="G148" s="332"/>
      <c r="H148" s="89"/>
      <c r="I148" s="133"/>
      <c r="J148" s="84" t="str">
        <f>IF(I148=$B$226,0,IF(I148=$B$227,1,IF(I148=$B$228,2,IF(I148=$B$229,3,IF(I148=$B$230,4,"Not Calculated")))))</f>
        <v>Not Calculated</v>
      </c>
      <c r="K148" s="88"/>
    </row>
    <row r="149" spans="2:11" ht="15.75" customHeight="1" x14ac:dyDescent="0.3">
      <c r="B149" s="82"/>
      <c r="C149" s="83"/>
      <c r="D149" s="84"/>
      <c r="E149" s="84"/>
      <c r="F149" s="85"/>
      <c r="G149" s="86"/>
      <c r="H149" s="86"/>
      <c r="I149" s="87"/>
      <c r="J149" s="87"/>
      <c r="K149" s="88"/>
    </row>
    <row r="150" spans="2:11" x14ac:dyDescent="0.3">
      <c r="B150" s="82"/>
      <c r="C150" s="90" t="s">
        <v>117</v>
      </c>
      <c r="D150" s="86"/>
      <c r="E150" s="86"/>
      <c r="F150" s="85"/>
      <c r="G150" s="86"/>
      <c r="H150" s="86"/>
      <c r="I150" s="84"/>
      <c r="J150" s="91" t="str">
        <f>IF(OR(J144="Not Calculated",J146="Not Calculated",J148="Not Calculated")=TRUE,"Not Calculated",AVERAGE(J144,J146,J148))</f>
        <v>Not Calculated</v>
      </c>
      <c r="K150" s="88"/>
    </row>
    <row r="151" spans="2:11" ht="15" thickBot="1" x14ac:dyDescent="0.35">
      <c r="B151" s="92"/>
      <c r="C151" s="93"/>
      <c r="D151" s="94"/>
      <c r="E151" s="94"/>
      <c r="F151" s="94"/>
      <c r="G151" s="95"/>
      <c r="H151" s="95"/>
      <c r="I151" s="96"/>
      <c r="J151" s="96"/>
      <c r="K151" s="97"/>
    </row>
    <row r="152" spans="2:11" ht="15" thickBot="1" x14ac:dyDescent="0.35">
      <c r="B152" s="101"/>
      <c r="C152" s="102"/>
      <c r="D152" s="101"/>
      <c r="E152" s="101"/>
      <c r="F152" s="101"/>
      <c r="G152" s="103"/>
      <c r="H152" s="103"/>
      <c r="I152" s="104"/>
      <c r="J152" s="104"/>
      <c r="K152" s="103"/>
    </row>
    <row r="153" spans="2:11" x14ac:dyDescent="0.3">
      <c r="B153" s="82"/>
      <c r="C153" s="85"/>
      <c r="D153" s="86"/>
      <c r="E153" s="86"/>
      <c r="F153" s="85"/>
      <c r="G153" s="86"/>
      <c r="H153" s="86"/>
      <c r="I153" s="84"/>
      <c r="J153" s="84"/>
      <c r="K153" s="88"/>
    </row>
    <row r="154" spans="2:11" ht="15" x14ac:dyDescent="0.3">
      <c r="B154" s="82"/>
      <c r="C154" s="83" t="s">
        <v>118</v>
      </c>
      <c r="D154" s="86"/>
      <c r="E154" s="86"/>
      <c r="F154" s="85"/>
      <c r="G154" s="86"/>
      <c r="H154" s="86"/>
      <c r="I154" s="84"/>
      <c r="J154" s="84"/>
      <c r="K154" s="88"/>
    </row>
    <row r="155" spans="2:11" ht="15.75" customHeight="1" x14ac:dyDescent="0.3">
      <c r="B155" s="82"/>
      <c r="C155" s="83"/>
      <c r="D155" s="84"/>
      <c r="E155" s="84"/>
      <c r="F155" s="85"/>
      <c r="G155" s="86"/>
      <c r="H155" s="86"/>
      <c r="I155" s="87"/>
      <c r="J155" s="87"/>
      <c r="K155" s="88"/>
    </row>
    <row r="156" spans="2:11" ht="120.75" customHeight="1" x14ac:dyDescent="0.3">
      <c r="B156" s="82"/>
      <c r="C156" s="332" t="s">
        <v>159</v>
      </c>
      <c r="D156" s="332"/>
      <c r="E156" s="332"/>
      <c r="F156" s="332"/>
      <c r="G156" s="332"/>
      <c r="H156" s="89"/>
      <c r="I156" s="133"/>
      <c r="J156" s="84" t="str">
        <f>IF(I156=$B$226,0,IF(I156=$B$227,1,IF(I156=$B$228,2,IF(I156=$B$229,3,IF(I156=$B$230,4,"Not Calculated")))))</f>
        <v>Not Calculated</v>
      </c>
      <c r="K156" s="88"/>
    </row>
    <row r="157" spans="2:11" ht="15.75" customHeight="1" x14ac:dyDescent="0.3">
      <c r="B157" s="82"/>
      <c r="C157" s="83"/>
      <c r="D157" s="84"/>
      <c r="E157" s="84"/>
      <c r="F157" s="85"/>
      <c r="G157" s="86"/>
      <c r="H157" s="86"/>
      <c r="I157" s="87"/>
      <c r="J157" s="87"/>
      <c r="K157" s="88"/>
    </row>
    <row r="158" spans="2:11" ht="105" customHeight="1" x14ac:dyDescent="0.3">
      <c r="B158" s="82"/>
      <c r="C158" s="332" t="s">
        <v>158</v>
      </c>
      <c r="D158" s="332"/>
      <c r="E158" s="332"/>
      <c r="F158" s="332"/>
      <c r="G158" s="332"/>
      <c r="H158" s="89"/>
      <c r="I158" s="133"/>
      <c r="J158" s="84" t="str">
        <f>IF(I158=$B$226,0,IF(I158=$B$227,1,IF(I158=$B$228,2,IF(I158=$B$229,3,IF(I158=$B$230,4,"Not Calculated")))))</f>
        <v>Not Calculated</v>
      </c>
      <c r="K158" s="88"/>
    </row>
    <row r="159" spans="2:11" ht="15.75" customHeight="1" x14ac:dyDescent="0.3">
      <c r="B159" s="82"/>
      <c r="C159" s="83"/>
      <c r="D159" s="84"/>
      <c r="E159" s="84"/>
      <c r="F159" s="85"/>
      <c r="G159" s="86"/>
      <c r="H159" s="86"/>
      <c r="I159" s="87"/>
      <c r="J159" s="87"/>
      <c r="K159" s="88"/>
    </row>
    <row r="160" spans="2:11" ht="133.5" customHeight="1" x14ac:dyDescent="0.3">
      <c r="B160" s="82"/>
      <c r="C160" s="332" t="s">
        <v>157</v>
      </c>
      <c r="D160" s="332"/>
      <c r="E160" s="332"/>
      <c r="F160" s="332"/>
      <c r="G160" s="332"/>
      <c r="H160" s="89"/>
      <c r="I160" s="133"/>
      <c r="J160" s="84" t="str">
        <f>IF(I160=$B$226,0,IF(I160=$B$227,1,IF(I160=$B$228,2,IF(I160=$B$229,3,IF(I160=$B$230,4,"Not Calculated")))))</f>
        <v>Not Calculated</v>
      </c>
      <c r="K160" s="88"/>
    </row>
    <row r="161" spans="2:11" ht="15.75" customHeight="1" x14ac:dyDescent="0.3">
      <c r="B161" s="82"/>
      <c r="C161" s="83"/>
      <c r="D161" s="84"/>
      <c r="E161" s="84"/>
      <c r="F161" s="85"/>
      <c r="G161" s="86"/>
      <c r="H161" s="86"/>
      <c r="I161" s="87"/>
      <c r="J161" s="87"/>
      <c r="K161" s="88"/>
    </row>
    <row r="162" spans="2:11" ht="78" customHeight="1" x14ac:dyDescent="0.3">
      <c r="B162" s="82"/>
      <c r="C162" s="332" t="s">
        <v>156</v>
      </c>
      <c r="D162" s="332"/>
      <c r="E162" s="332"/>
      <c r="F162" s="332"/>
      <c r="G162" s="332"/>
      <c r="H162" s="89"/>
      <c r="I162" s="133"/>
      <c r="J162" s="84" t="str">
        <f>IF(I162=$B$226,0,IF(I162=$B$227,1,IF(I162=$B$228,2,IF(I162=$B$229,3,IF(I162=$B$230,4,"Not Calculated")))))</f>
        <v>Not Calculated</v>
      </c>
      <c r="K162" s="88"/>
    </row>
    <row r="163" spans="2:11" ht="15.75" customHeight="1" x14ac:dyDescent="0.3">
      <c r="B163" s="82"/>
      <c r="C163" s="83"/>
      <c r="D163" s="84"/>
      <c r="E163" s="84"/>
      <c r="F163" s="85"/>
      <c r="G163" s="86"/>
      <c r="H163" s="86"/>
      <c r="I163" s="87"/>
      <c r="J163" s="87"/>
      <c r="K163" s="88"/>
    </row>
    <row r="164" spans="2:11" x14ac:dyDescent="0.3">
      <c r="B164" s="82"/>
      <c r="C164" s="90" t="s">
        <v>119</v>
      </c>
      <c r="D164" s="86"/>
      <c r="E164" s="86"/>
      <c r="F164" s="85"/>
      <c r="G164" s="86"/>
      <c r="H164" s="86"/>
      <c r="I164" s="84"/>
      <c r="J164" s="91" t="str">
        <f>IF(OR(J158="Not Calculated",J160="Not Calculated",J162="Not Calculated")=TRUE,"Not Calculated",AVERAGE(J158,J160,J162))</f>
        <v>Not Calculated</v>
      </c>
      <c r="K164" s="88"/>
    </row>
    <row r="165" spans="2:11" ht="15" thickBot="1" x14ac:dyDescent="0.35">
      <c r="B165" s="92"/>
      <c r="C165" s="93"/>
      <c r="D165" s="94"/>
      <c r="E165" s="94"/>
      <c r="F165" s="94"/>
      <c r="G165" s="95"/>
      <c r="H165" s="95"/>
      <c r="I165" s="96"/>
      <c r="J165" s="96"/>
      <c r="K165" s="97"/>
    </row>
    <row r="166" spans="2:11" ht="15" thickBot="1" x14ac:dyDescent="0.35">
      <c r="B166" s="101"/>
      <c r="C166" s="102"/>
      <c r="D166" s="101"/>
      <c r="E166" s="101"/>
      <c r="F166" s="101"/>
      <c r="G166" s="103"/>
      <c r="H166" s="103"/>
      <c r="I166" s="104"/>
      <c r="J166" s="104"/>
      <c r="K166" s="103"/>
    </row>
    <row r="167" spans="2:11" x14ac:dyDescent="0.3">
      <c r="B167" s="82"/>
      <c r="C167" s="85"/>
      <c r="D167" s="86"/>
      <c r="E167" s="86"/>
      <c r="F167" s="85"/>
      <c r="G167" s="86"/>
      <c r="H167" s="86"/>
      <c r="I167" s="84"/>
      <c r="J167" s="84"/>
      <c r="K167" s="88"/>
    </row>
    <row r="168" spans="2:11" ht="15" x14ac:dyDescent="0.3">
      <c r="B168" s="82"/>
      <c r="C168" s="83" t="s">
        <v>120</v>
      </c>
      <c r="D168" s="86"/>
      <c r="E168" s="86"/>
      <c r="F168" s="85"/>
      <c r="G168" s="86"/>
      <c r="H168" s="86"/>
      <c r="I168" s="84"/>
      <c r="J168" s="84"/>
      <c r="K168" s="88"/>
    </row>
    <row r="169" spans="2:11" ht="15.75" customHeight="1" x14ac:dyDescent="0.3">
      <c r="B169" s="82"/>
      <c r="C169" s="83"/>
      <c r="D169" s="84"/>
      <c r="E169" s="84"/>
      <c r="F169" s="85"/>
      <c r="G169" s="86"/>
      <c r="H169" s="86"/>
      <c r="I169" s="87"/>
      <c r="J169" s="87"/>
      <c r="K169" s="88"/>
    </row>
    <row r="170" spans="2:11" ht="89.25" customHeight="1" x14ac:dyDescent="0.3">
      <c r="B170" s="82"/>
      <c r="C170" s="332" t="s">
        <v>155</v>
      </c>
      <c r="D170" s="332"/>
      <c r="E170" s="332"/>
      <c r="F170" s="332"/>
      <c r="G170" s="332"/>
      <c r="H170" s="89"/>
      <c r="I170" s="133"/>
      <c r="J170" s="84" t="str">
        <f>IF(I170=$B$226,0,IF(I170=$B$227,1,IF(I170=$B$228,2,IF(I170=$B$229,3,IF(I170=$B$230,4,"Not Calculated")))))</f>
        <v>Not Calculated</v>
      </c>
      <c r="K170" s="88"/>
    </row>
    <row r="171" spans="2:11" ht="15.75" customHeight="1" x14ac:dyDescent="0.3">
      <c r="B171" s="82"/>
      <c r="C171" s="83"/>
      <c r="D171" s="84"/>
      <c r="E171" s="84"/>
      <c r="F171" s="85"/>
      <c r="G171" s="86"/>
      <c r="H171" s="86"/>
      <c r="I171" s="87"/>
      <c r="J171" s="87"/>
      <c r="K171" s="88"/>
    </row>
    <row r="172" spans="2:11" ht="118.5" customHeight="1" x14ac:dyDescent="0.3">
      <c r="B172" s="82"/>
      <c r="C172" s="332" t="s">
        <v>154</v>
      </c>
      <c r="D172" s="332"/>
      <c r="E172" s="332"/>
      <c r="F172" s="332"/>
      <c r="G172" s="332"/>
      <c r="H172" s="89"/>
      <c r="I172" s="133"/>
      <c r="J172" s="84" t="str">
        <f>IF(I172=$B$226,0,IF(I172=$B$227,1,IF(I172=$B$228,2,IF(I172=$B$229,3,IF(I172=$B$230,4,"Not Calculated")))))</f>
        <v>Not Calculated</v>
      </c>
      <c r="K172" s="88"/>
    </row>
    <row r="173" spans="2:11" ht="15.75" customHeight="1" x14ac:dyDescent="0.3">
      <c r="B173" s="82"/>
      <c r="C173" s="83"/>
      <c r="D173" s="84"/>
      <c r="E173" s="84"/>
      <c r="F173" s="85"/>
      <c r="G173" s="86"/>
      <c r="H173" s="86"/>
      <c r="I173" s="87"/>
      <c r="J173" s="87"/>
      <c r="K173" s="88"/>
    </row>
    <row r="174" spans="2:11" ht="148.5" customHeight="1" x14ac:dyDescent="0.3">
      <c r="B174" s="82"/>
      <c r="C174" s="332" t="s">
        <v>153</v>
      </c>
      <c r="D174" s="332"/>
      <c r="E174" s="332"/>
      <c r="F174" s="332"/>
      <c r="G174" s="332"/>
      <c r="H174" s="89"/>
      <c r="I174" s="133"/>
      <c r="J174" s="84" t="str">
        <f>IF(I174=$B$226,0,IF(I174=$B$227,1,IF(I174=$B$228,2,IF(I174=$B$229,3,IF(I174=$B$230,4,"Not Calculated")))))</f>
        <v>Not Calculated</v>
      </c>
      <c r="K174" s="88"/>
    </row>
    <row r="175" spans="2:11" ht="15.75" customHeight="1" x14ac:dyDescent="0.3">
      <c r="B175" s="82"/>
      <c r="C175" s="83"/>
      <c r="D175" s="84"/>
      <c r="E175" s="84"/>
      <c r="F175" s="85"/>
      <c r="G175" s="86"/>
      <c r="H175" s="86"/>
      <c r="I175" s="87"/>
      <c r="J175" s="87"/>
      <c r="K175" s="88"/>
    </row>
    <row r="176" spans="2:11" ht="104.25" customHeight="1" x14ac:dyDescent="0.3">
      <c r="B176" s="82"/>
      <c r="C176" s="332" t="s">
        <v>152</v>
      </c>
      <c r="D176" s="332"/>
      <c r="E176" s="332"/>
      <c r="F176" s="332"/>
      <c r="G176" s="332"/>
      <c r="H176" s="89"/>
      <c r="I176" s="133"/>
      <c r="J176" s="84" t="str">
        <f>IF(I176=$B$226,0,IF(I176=$B$227,1,IF(I176=$B$228,2,IF(I176=$B$229,3,IF(I176=$B$230,4,"Not Calculated")))))</f>
        <v>Not Calculated</v>
      </c>
      <c r="K176" s="88"/>
    </row>
    <row r="177" spans="2:11" ht="15.75" customHeight="1" x14ac:dyDescent="0.3">
      <c r="B177" s="82"/>
      <c r="C177" s="83"/>
      <c r="D177" s="84"/>
      <c r="E177" s="84"/>
      <c r="F177" s="85"/>
      <c r="G177" s="86"/>
      <c r="H177" s="86"/>
      <c r="I177" s="87"/>
      <c r="J177" s="87"/>
      <c r="K177" s="88"/>
    </row>
    <row r="178" spans="2:11" ht="72" customHeight="1" x14ac:dyDescent="0.3">
      <c r="B178" s="82"/>
      <c r="C178" s="332" t="s">
        <v>151</v>
      </c>
      <c r="D178" s="332"/>
      <c r="E178" s="332"/>
      <c r="F178" s="332"/>
      <c r="G178" s="332"/>
      <c r="H178" s="89"/>
      <c r="I178" s="133"/>
      <c r="J178" s="84" t="str">
        <f>IF(I178=$B$226,0,IF(I178=$B$227,1,IF(I178=$B$228,2,IF(I178=$B$229,3,IF(I178=$B$230,4,"Not Calculated")))))</f>
        <v>Not Calculated</v>
      </c>
      <c r="K178" s="88"/>
    </row>
    <row r="179" spans="2:11" ht="15.75" customHeight="1" x14ac:dyDescent="0.3">
      <c r="B179" s="82"/>
      <c r="C179" s="83"/>
      <c r="D179" s="84"/>
      <c r="E179" s="84"/>
      <c r="F179" s="85"/>
      <c r="G179" s="86"/>
      <c r="H179" s="86"/>
      <c r="I179" s="87"/>
      <c r="J179" s="87"/>
      <c r="K179" s="88"/>
    </row>
    <row r="180" spans="2:11" x14ac:dyDescent="0.3">
      <c r="B180" s="82"/>
      <c r="C180" s="90" t="s">
        <v>121</v>
      </c>
      <c r="D180" s="86"/>
      <c r="E180" s="86"/>
      <c r="F180" s="85"/>
      <c r="G180" s="86"/>
      <c r="H180" s="86"/>
      <c r="I180" s="84"/>
      <c r="J180" s="91" t="str">
        <f>IF(OR(J170="Not Calculated",J172="Not Calculated",J174="Not Calculated",J176="Not Calculated",J178="Not Calculated")=TRUE,"Not Calculated",AVERAGE(J170,J172,J174,J176,J178))</f>
        <v>Not Calculated</v>
      </c>
      <c r="K180" s="88"/>
    </row>
    <row r="181" spans="2:11" ht="15" thickBot="1" x14ac:dyDescent="0.35">
      <c r="B181" s="92"/>
      <c r="C181" s="93"/>
      <c r="D181" s="94"/>
      <c r="E181" s="94"/>
      <c r="F181" s="94"/>
      <c r="G181" s="95"/>
      <c r="H181" s="95"/>
      <c r="I181" s="96"/>
      <c r="J181" s="96"/>
      <c r="K181" s="97"/>
    </row>
    <row r="182" spans="2:11" ht="15" thickBot="1" x14ac:dyDescent="0.35">
      <c r="B182" s="101"/>
      <c r="C182" s="102"/>
      <c r="D182" s="101"/>
      <c r="E182" s="101"/>
      <c r="F182" s="101"/>
      <c r="G182" s="103"/>
      <c r="H182" s="103"/>
      <c r="I182" s="104"/>
      <c r="J182" s="104"/>
      <c r="K182" s="103"/>
    </row>
    <row r="183" spans="2:11" x14ac:dyDescent="0.3">
      <c r="B183" s="82"/>
      <c r="C183" s="85"/>
      <c r="D183" s="86"/>
      <c r="E183" s="86"/>
      <c r="F183" s="85"/>
      <c r="G183" s="86"/>
      <c r="H183" s="86"/>
      <c r="I183" s="84"/>
      <c r="J183" s="84"/>
      <c r="K183" s="88"/>
    </row>
    <row r="184" spans="2:11" ht="15" x14ac:dyDescent="0.3">
      <c r="B184" s="82"/>
      <c r="C184" s="83" t="s">
        <v>122</v>
      </c>
      <c r="D184" s="86"/>
      <c r="E184" s="86"/>
      <c r="F184" s="85"/>
      <c r="G184" s="86"/>
      <c r="H184" s="86"/>
      <c r="I184" s="84"/>
      <c r="J184" s="84"/>
      <c r="K184" s="88"/>
    </row>
    <row r="185" spans="2:11" ht="15.75" customHeight="1" x14ac:dyDescent="0.3">
      <c r="B185" s="82"/>
      <c r="C185" s="83"/>
      <c r="D185" s="84"/>
      <c r="E185" s="84"/>
      <c r="F185" s="85"/>
      <c r="G185" s="86"/>
      <c r="H185" s="86"/>
      <c r="I185" s="87"/>
      <c r="J185" s="87"/>
      <c r="K185" s="88"/>
    </row>
    <row r="186" spans="2:11" ht="105.75" customHeight="1" x14ac:dyDescent="0.3">
      <c r="B186" s="82"/>
      <c r="C186" s="332" t="s">
        <v>150</v>
      </c>
      <c r="D186" s="332"/>
      <c r="E186" s="332"/>
      <c r="F186" s="332"/>
      <c r="G186" s="332"/>
      <c r="H186" s="89"/>
      <c r="I186" s="133"/>
      <c r="J186" s="84" t="str">
        <f>IF(I186=$B$226,0,IF(I186=$B$227,1,IF(I186=$B$228,2,IF(I186=$B$229,3,IF(I186=$B$230,4,"Not Calculated")))))</f>
        <v>Not Calculated</v>
      </c>
      <c r="K186" s="88"/>
    </row>
    <row r="187" spans="2:11" ht="15.75" customHeight="1" x14ac:dyDescent="0.3">
      <c r="B187" s="82"/>
      <c r="C187" s="83"/>
      <c r="D187" s="84"/>
      <c r="E187" s="84"/>
      <c r="F187" s="85"/>
      <c r="G187" s="86"/>
      <c r="H187" s="86"/>
      <c r="I187" s="87"/>
      <c r="J187" s="87"/>
      <c r="K187" s="88"/>
    </row>
    <row r="188" spans="2:11" ht="123" customHeight="1" x14ac:dyDescent="0.3">
      <c r="B188" s="82"/>
      <c r="C188" s="332" t="s">
        <v>149</v>
      </c>
      <c r="D188" s="332"/>
      <c r="E188" s="332"/>
      <c r="F188" s="332"/>
      <c r="G188" s="332"/>
      <c r="H188" s="89"/>
      <c r="I188" s="133"/>
      <c r="J188" s="84" t="str">
        <f>IF(I188=$B$226,0,IF(I188=$B$227,1,IF(I188=$B$228,2,IF(I188=$B$229,3,IF(I188=$B$230,4,"Not Calculated")))))</f>
        <v>Not Calculated</v>
      </c>
      <c r="K188" s="88"/>
    </row>
    <row r="189" spans="2:11" ht="15.75" customHeight="1" x14ac:dyDescent="0.3">
      <c r="B189" s="82"/>
      <c r="C189" s="83"/>
      <c r="D189" s="84"/>
      <c r="E189" s="84"/>
      <c r="F189" s="85"/>
      <c r="G189" s="86"/>
      <c r="H189" s="86"/>
      <c r="I189" s="87"/>
      <c r="J189" s="87"/>
      <c r="K189" s="88"/>
    </row>
    <row r="190" spans="2:11" ht="74.25" customHeight="1" x14ac:dyDescent="0.3">
      <c r="B190" s="82"/>
      <c r="C190" s="332" t="s">
        <v>148</v>
      </c>
      <c r="D190" s="332"/>
      <c r="E190" s="332"/>
      <c r="F190" s="332"/>
      <c r="G190" s="332"/>
      <c r="H190" s="89"/>
      <c r="I190" s="133"/>
      <c r="J190" s="84" t="str">
        <f>IF(I190=$B$226,0,IF(I190=$B$227,1,IF(I190=$B$228,2,IF(I190=$B$229,3,IF(I190=$B$230,4,"Not Calculated")))))</f>
        <v>Not Calculated</v>
      </c>
      <c r="K190" s="88"/>
    </row>
    <row r="191" spans="2:11" ht="15.75" customHeight="1" x14ac:dyDescent="0.3">
      <c r="B191" s="82"/>
      <c r="C191" s="83"/>
      <c r="D191" s="84"/>
      <c r="E191" s="84"/>
      <c r="F191" s="85"/>
      <c r="G191" s="86"/>
      <c r="H191" s="86"/>
      <c r="I191" s="87"/>
      <c r="J191" s="87"/>
      <c r="K191" s="88"/>
    </row>
    <row r="192" spans="2:11" ht="93" customHeight="1" x14ac:dyDescent="0.3">
      <c r="B192" s="82"/>
      <c r="C192" s="332" t="s">
        <v>147</v>
      </c>
      <c r="D192" s="332"/>
      <c r="E192" s="332"/>
      <c r="F192" s="332"/>
      <c r="G192" s="332"/>
      <c r="H192" s="89"/>
      <c r="I192" s="133"/>
      <c r="J192" s="84" t="str">
        <f>IF(I192=$B$226,0,IF(I192=$B$227,1,IF(I192=$B$228,2,IF(I192=$B$229,3,IF(I192=$B$230,4,"Not Calculated")))))</f>
        <v>Not Calculated</v>
      </c>
      <c r="K192" s="88"/>
    </row>
    <row r="193" spans="2:11" ht="15.75" customHeight="1" x14ac:dyDescent="0.3">
      <c r="B193" s="82"/>
      <c r="C193" s="83"/>
      <c r="D193" s="84"/>
      <c r="E193" s="84"/>
      <c r="F193" s="85"/>
      <c r="G193" s="86"/>
      <c r="H193" s="86"/>
      <c r="I193" s="87"/>
      <c r="J193" s="87"/>
      <c r="K193" s="88"/>
    </row>
    <row r="194" spans="2:11" x14ac:dyDescent="0.3">
      <c r="B194" s="82"/>
      <c r="C194" s="90" t="s">
        <v>123</v>
      </c>
      <c r="D194" s="86"/>
      <c r="E194" s="86"/>
      <c r="F194" s="85"/>
      <c r="G194" s="86"/>
      <c r="H194" s="86"/>
      <c r="I194" s="84"/>
      <c r="J194" s="91" t="str">
        <f>IF(OR(J188="Not Calculated",J190="Not Calculated",J192="Not Calculated")=TRUE,"Not Calculated",AVERAGE(J188,J190,J192))</f>
        <v>Not Calculated</v>
      </c>
      <c r="K194" s="88"/>
    </row>
    <row r="195" spans="2:11" ht="15" thickBot="1" x14ac:dyDescent="0.35">
      <c r="B195" s="92"/>
      <c r="C195" s="93"/>
      <c r="D195" s="94"/>
      <c r="E195" s="94"/>
      <c r="F195" s="94"/>
      <c r="G195" s="95"/>
      <c r="H195" s="95"/>
      <c r="I195" s="96"/>
      <c r="J195" s="96"/>
      <c r="K195" s="97"/>
    </row>
    <row r="196" spans="2:11" ht="15" thickBot="1" x14ac:dyDescent="0.35">
      <c r="B196" s="101"/>
      <c r="C196" s="102"/>
      <c r="D196" s="101"/>
      <c r="E196" s="101"/>
      <c r="F196" s="101"/>
      <c r="G196" s="103"/>
      <c r="H196" s="103"/>
      <c r="I196" s="104"/>
      <c r="J196" s="104"/>
      <c r="K196" s="103"/>
    </row>
    <row r="197" spans="2:11" x14ac:dyDescent="0.3">
      <c r="B197" s="82"/>
      <c r="C197" s="85"/>
      <c r="D197" s="86"/>
      <c r="E197" s="86"/>
      <c r="F197" s="85"/>
      <c r="G197" s="86"/>
      <c r="H197" s="86"/>
      <c r="I197" s="84"/>
      <c r="J197" s="84"/>
      <c r="K197" s="88"/>
    </row>
    <row r="198" spans="2:11" ht="15" x14ac:dyDescent="0.3">
      <c r="B198" s="82"/>
      <c r="C198" s="83" t="s">
        <v>124</v>
      </c>
      <c r="D198" s="86"/>
      <c r="E198" s="86"/>
      <c r="F198" s="85"/>
      <c r="G198" s="86"/>
      <c r="H198" s="86"/>
      <c r="I198" s="84"/>
      <c r="J198" s="84"/>
      <c r="K198" s="88"/>
    </row>
    <row r="199" spans="2:11" ht="15.75" customHeight="1" x14ac:dyDescent="0.3">
      <c r="B199" s="82"/>
      <c r="C199" s="83"/>
      <c r="D199" s="84"/>
      <c r="E199" s="84"/>
      <c r="F199" s="85"/>
      <c r="G199" s="86"/>
      <c r="H199" s="86"/>
      <c r="I199" s="87"/>
      <c r="J199" s="87"/>
      <c r="K199" s="88"/>
    </row>
    <row r="200" spans="2:11" ht="72" customHeight="1" x14ac:dyDescent="0.3">
      <c r="B200" s="82"/>
      <c r="C200" s="332" t="s">
        <v>139</v>
      </c>
      <c r="D200" s="332"/>
      <c r="E200" s="332"/>
      <c r="F200" s="332"/>
      <c r="G200" s="332"/>
      <c r="H200" s="89"/>
      <c r="I200" s="133"/>
      <c r="J200" s="84" t="str">
        <f>IF(I200=$B$226,0,IF(I200=$B$227,1,IF(I200=$B$228,2,IF(I200=$B$229,3,IF(I200=$B$230,4,"Not Calculated")))))</f>
        <v>Not Calculated</v>
      </c>
      <c r="K200" s="88"/>
    </row>
    <row r="201" spans="2:11" ht="15.75" customHeight="1" x14ac:dyDescent="0.3">
      <c r="B201" s="82"/>
      <c r="C201" s="83"/>
      <c r="D201" s="84"/>
      <c r="E201" s="84"/>
      <c r="F201" s="85"/>
      <c r="G201" s="86"/>
      <c r="H201" s="86"/>
      <c r="I201" s="87"/>
      <c r="J201" s="87"/>
      <c r="K201" s="88"/>
    </row>
    <row r="202" spans="2:11" ht="133.5" customHeight="1" x14ac:dyDescent="0.3">
      <c r="B202" s="82"/>
      <c r="C202" s="332" t="s">
        <v>140</v>
      </c>
      <c r="D202" s="332"/>
      <c r="E202" s="332"/>
      <c r="F202" s="332"/>
      <c r="G202" s="332"/>
      <c r="H202" s="89"/>
      <c r="I202" s="133"/>
      <c r="J202" s="84" t="str">
        <f>IF(I202=$B$226,0,IF(I202=$B$227,1,IF(I202=$B$228,2,IF(I202=$B$229,3,IF(I202=$B$230,4,"Not Calculated")))))</f>
        <v>Not Calculated</v>
      </c>
      <c r="K202" s="88"/>
    </row>
    <row r="203" spans="2:11" ht="15.75" customHeight="1" x14ac:dyDescent="0.3">
      <c r="B203" s="82"/>
      <c r="C203" s="83"/>
      <c r="D203" s="84"/>
      <c r="E203" s="84"/>
      <c r="F203" s="85"/>
      <c r="G203" s="86"/>
      <c r="H203" s="86"/>
      <c r="I203" s="87"/>
      <c r="J203" s="87"/>
      <c r="K203" s="88"/>
    </row>
    <row r="204" spans="2:11" ht="117.75" customHeight="1" x14ac:dyDescent="0.3">
      <c r="B204" s="82"/>
      <c r="C204" s="332" t="s">
        <v>141</v>
      </c>
      <c r="D204" s="332"/>
      <c r="E204" s="332"/>
      <c r="F204" s="332"/>
      <c r="G204" s="332"/>
      <c r="H204" s="89"/>
      <c r="I204" s="133"/>
      <c r="J204" s="84" t="str">
        <f>IF(I204=$B$226,0,IF(I204=$B$227,1,IF(I204=$B$228,2,IF(I204=$B$229,3,IF(I204=$B$230,4,"Not Calculated")))))</f>
        <v>Not Calculated</v>
      </c>
      <c r="K204" s="88"/>
    </row>
    <row r="205" spans="2:11" ht="15.75" customHeight="1" x14ac:dyDescent="0.3">
      <c r="B205" s="82"/>
      <c r="C205" s="83"/>
      <c r="D205" s="84"/>
      <c r="E205" s="84"/>
      <c r="F205" s="85"/>
      <c r="G205" s="86"/>
      <c r="H205" s="86"/>
      <c r="I205" s="87"/>
      <c r="J205" s="87"/>
      <c r="K205" s="88"/>
    </row>
    <row r="206" spans="2:11" ht="63.75" customHeight="1" x14ac:dyDescent="0.3">
      <c r="B206" s="82"/>
      <c r="C206" s="332" t="s">
        <v>142</v>
      </c>
      <c r="D206" s="332"/>
      <c r="E206" s="332"/>
      <c r="F206" s="332"/>
      <c r="G206" s="332"/>
      <c r="H206" s="89"/>
      <c r="I206" s="133"/>
      <c r="J206" s="84" t="str">
        <f>IF(I206=$B$226,0,IF(I206=$B$227,1,IF(I206=$B$228,2,IF(I206=$B$229,3,IF(I206=$B$230,4,"Not Calculated")))))</f>
        <v>Not Calculated</v>
      </c>
      <c r="K206" s="88"/>
    </row>
    <row r="207" spans="2:11" ht="15.75" customHeight="1" x14ac:dyDescent="0.3">
      <c r="B207" s="82"/>
      <c r="C207" s="83"/>
      <c r="D207" s="84"/>
      <c r="E207" s="84"/>
      <c r="F207" s="85"/>
      <c r="G207" s="86"/>
      <c r="H207" s="86"/>
      <c r="I207" s="87"/>
      <c r="J207" s="87"/>
      <c r="K207" s="88"/>
    </row>
    <row r="208" spans="2:11" x14ac:dyDescent="0.3">
      <c r="B208" s="82"/>
      <c r="C208" s="90" t="s">
        <v>125</v>
      </c>
      <c r="D208" s="86"/>
      <c r="E208" s="86"/>
      <c r="F208" s="85"/>
      <c r="G208" s="86"/>
      <c r="H208" s="86"/>
      <c r="I208" s="84"/>
      <c r="J208" s="91" t="str">
        <f>IF(OR(J200="Not Calculated",J202="Not Calculated",J204="Not Calculated",J206="Not Calculated")=TRUE,"Not Calculated",AVERAGE(J200,J202,J204,J206))</f>
        <v>Not Calculated</v>
      </c>
      <c r="K208" s="88"/>
    </row>
    <row r="209" spans="2:11" ht="15" thickBot="1" x14ac:dyDescent="0.35">
      <c r="B209" s="92"/>
      <c r="C209" s="93"/>
      <c r="D209" s="94"/>
      <c r="E209" s="94"/>
      <c r="F209" s="94"/>
      <c r="G209" s="95"/>
      <c r="H209" s="95"/>
      <c r="I209" s="96"/>
      <c r="J209" s="96"/>
      <c r="K209" s="97"/>
    </row>
    <row r="210" spans="2:11" ht="15" thickBot="1" x14ac:dyDescent="0.35">
      <c r="B210" s="101"/>
      <c r="C210" s="102"/>
      <c r="D210" s="101"/>
      <c r="E210" s="101"/>
      <c r="F210" s="101"/>
      <c r="G210" s="103"/>
      <c r="H210" s="103"/>
      <c r="I210" s="104"/>
      <c r="J210" s="104"/>
      <c r="K210" s="103"/>
    </row>
    <row r="211" spans="2:11" x14ac:dyDescent="0.3">
      <c r="B211" s="82"/>
      <c r="C211" s="85"/>
      <c r="D211" s="86"/>
      <c r="E211" s="86"/>
      <c r="F211" s="85"/>
      <c r="G211" s="86"/>
      <c r="H211" s="86"/>
      <c r="I211" s="84"/>
      <c r="J211" s="84"/>
      <c r="K211" s="88"/>
    </row>
    <row r="212" spans="2:11" ht="15" x14ac:dyDescent="0.3">
      <c r="B212" s="82"/>
      <c r="C212" s="83" t="s">
        <v>126</v>
      </c>
      <c r="D212" s="86"/>
      <c r="E212" s="86"/>
      <c r="F212" s="85"/>
      <c r="G212" s="86"/>
      <c r="H212" s="86"/>
      <c r="I212" s="84"/>
      <c r="J212" s="84"/>
      <c r="K212" s="88"/>
    </row>
    <row r="213" spans="2:11" ht="15.75" customHeight="1" x14ac:dyDescent="0.3">
      <c r="B213" s="82"/>
      <c r="C213" s="83"/>
      <c r="D213" s="84"/>
      <c r="E213" s="84"/>
      <c r="F213" s="85"/>
      <c r="G213" s="86"/>
      <c r="H213" s="86"/>
      <c r="I213" s="87"/>
      <c r="J213" s="87"/>
      <c r="K213" s="88"/>
    </row>
    <row r="214" spans="2:11" ht="133.5" customHeight="1" x14ac:dyDescent="0.3">
      <c r="B214" s="82"/>
      <c r="C214" s="332" t="s">
        <v>146</v>
      </c>
      <c r="D214" s="332"/>
      <c r="E214" s="332"/>
      <c r="F214" s="332"/>
      <c r="G214" s="332"/>
      <c r="H214" s="89"/>
      <c r="I214" s="133"/>
      <c r="J214" s="84" t="str">
        <f>IF(I214=$B$226,0,IF(I214=$B$227,1,IF(I214=$B$228,2,IF(I214=$B$229,3,IF(I214=$B$230,4,"Not Calculated")))))</f>
        <v>Not Calculated</v>
      </c>
      <c r="K214" s="88"/>
    </row>
    <row r="215" spans="2:11" ht="15.75" customHeight="1" x14ac:dyDescent="0.3">
      <c r="B215" s="82"/>
      <c r="C215" s="83"/>
      <c r="D215" s="84"/>
      <c r="E215" s="84"/>
      <c r="F215" s="85"/>
      <c r="G215" s="86"/>
      <c r="H215" s="86"/>
      <c r="I215" s="87"/>
      <c r="J215" s="87"/>
      <c r="K215" s="88"/>
    </row>
    <row r="216" spans="2:11" ht="74.25" customHeight="1" x14ac:dyDescent="0.3">
      <c r="B216" s="82"/>
      <c r="C216" s="332" t="s">
        <v>145</v>
      </c>
      <c r="D216" s="332"/>
      <c r="E216" s="332"/>
      <c r="F216" s="332"/>
      <c r="G216" s="332"/>
      <c r="H216" s="89"/>
      <c r="I216" s="133"/>
      <c r="J216" s="84" t="str">
        <f>IF(I216=$B$226,0,IF(I216=$B$227,1,IF(I216=$B$228,2,IF(I216=$B$229,3,IF(I216=$B$230,4,"Not Calculated")))))</f>
        <v>Not Calculated</v>
      </c>
      <c r="K216" s="88"/>
    </row>
    <row r="217" spans="2:11" ht="15.75" customHeight="1" x14ac:dyDescent="0.3">
      <c r="B217" s="82"/>
      <c r="C217" s="83"/>
      <c r="D217" s="84"/>
      <c r="E217" s="84"/>
      <c r="F217" s="85"/>
      <c r="G217" s="86"/>
      <c r="H217" s="86"/>
      <c r="I217" s="87"/>
      <c r="J217" s="87"/>
      <c r="K217" s="88"/>
    </row>
    <row r="218" spans="2:11" ht="119.25" customHeight="1" x14ac:dyDescent="0.3">
      <c r="B218" s="82"/>
      <c r="C218" s="332" t="s">
        <v>144</v>
      </c>
      <c r="D218" s="332"/>
      <c r="E218" s="332"/>
      <c r="F218" s="332"/>
      <c r="G218" s="332"/>
      <c r="H218" s="89"/>
      <c r="I218" s="133"/>
      <c r="J218" s="84" t="str">
        <f>IF(I218=$B$226,0,IF(I218=$B$227,1,IF(I218=$B$228,2,IF(I218=$B$229,3,IF(I218=$B$230,4,"Not Calculated")))))</f>
        <v>Not Calculated</v>
      </c>
      <c r="K218" s="88"/>
    </row>
    <row r="219" spans="2:11" ht="15.75" customHeight="1" x14ac:dyDescent="0.3">
      <c r="B219" s="82"/>
      <c r="C219" s="83"/>
      <c r="D219" s="84"/>
      <c r="E219" s="84"/>
      <c r="F219" s="85"/>
      <c r="G219" s="86"/>
      <c r="H219" s="86"/>
      <c r="I219" s="87"/>
      <c r="J219" s="87"/>
      <c r="K219" s="88"/>
    </row>
    <row r="220" spans="2:11" ht="88.5" customHeight="1" x14ac:dyDescent="0.3">
      <c r="B220" s="82"/>
      <c r="C220" s="332" t="s">
        <v>143</v>
      </c>
      <c r="D220" s="332"/>
      <c r="E220" s="332"/>
      <c r="F220" s="332"/>
      <c r="G220" s="332"/>
      <c r="H220" s="89"/>
      <c r="I220" s="133"/>
      <c r="J220" s="84" t="str">
        <f>IF(I220=$B$226,0,IF(I220=$B$227,1,IF(I220=$B$228,2,IF(I220=$B$229,3,IF(I220=$B$230,4,"Not Calculated")))))</f>
        <v>Not Calculated</v>
      </c>
      <c r="K220" s="88"/>
    </row>
    <row r="221" spans="2:11" ht="15.75" customHeight="1" x14ac:dyDescent="0.3">
      <c r="B221" s="82"/>
      <c r="C221" s="83"/>
      <c r="D221" s="84"/>
      <c r="E221" s="84"/>
      <c r="F221" s="85"/>
      <c r="G221" s="86"/>
      <c r="H221" s="86"/>
      <c r="I221" s="87"/>
      <c r="J221" s="87"/>
      <c r="K221" s="88"/>
    </row>
    <row r="222" spans="2:11" x14ac:dyDescent="0.3">
      <c r="B222" s="82"/>
      <c r="C222" s="90" t="s">
        <v>127</v>
      </c>
      <c r="D222" s="86"/>
      <c r="E222" s="86"/>
      <c r="F222" s="85"/>
      <c r="G222" s="86"/>
      <c r="H222" s="86"/>
      <c r="I222" s="84"/>
      <c r="J222" s="91" t="str">
        <f>IF(OR(J216="Not Calculated",J218="Not Calculated",J220="Not Calculated")=TRUE,"Not Calculated",AVERAGE(J216,J218,J220))</f>
        <v>Not Calculated</v>
      </c>
      <c r="K222" s="88"/>
    </row>
    <row r="223" spans="2:11" ht="15" thickBot="1" x14ac:dyDescent="0.35">
      <c r="B223" s="92"/>
      <c r="C223" s="93"/>
      <c r="D223" s="94"/>
      <c r="E223" s="94"/>
      <c r="F223" s="94"/>
      <c r="G223" s="95"/>
      <c r="H223" s="95"/>
      <c r="I223" s="96"/>
      <c r="J223" s="96"/>
      <c r="K223" s="97"/>
    </row>
    <row r="224" spans="2:11" x14ac:dyDescent="0.3">
      <c r="B224" s="100"/>
      <c r="C224" s="52"/>
      <c r="D224" s="100"/>
      <c r="E224" s="100"/>
      <c r="F224" s="100"/>
    </row>
    <row r="225" spans="1:6" hidden="1" x14ac:dyDescent="0.3">
      <c r="A225" s="12" t="s">
        <v>128</v>
      </c>
      <c r="B225" s="100"/>
      <c r="C225" s="52"/>
      <c r="D225" s="100"/>
      <c r="E225" s="100"/>
      <c r="F225" s="100"/>
    </row>
    <row r="226" spans="1:6" hidden="1" x14ac:dyDescent="0.3">
      <c r="A226" s="12">
        <v>0</v>
      </c>
      <c r="B226" s="12" t="s">
        <v>129</v>
      </c>
    </row>
    <row r="227" spans="1:6" hidden="1" x14ac:dyDescent="0.3">
      <c r="A227" s="12">
        <v>1</v>
      </c>
      <c r="B227" s="12" t="s">
        <v>108</v>
      </c>
    </row>
    <row r="228" spans="1:6" hidden="1" x14ac:dyDescent="0.3">
      <c r="A228" s="12">
        <v>2</v>
      </c>
      <c r="B228" s="12" t="s">
        <v>99</v>
      </c>
    </row>
    <row r="229" spans="1:6" hidden="1" x14ac:dyDescent="0.3">
      <c r="A229" s="12">
        <v>3</v>
      </c>
      <c r="B229" s="12" t="s">
        <v>100</v>
      </c>
    </row>
    <row r="230" spans="1:6" hidden="1" x14ac:dyDescent="0.3">
      <c r="A230" s="12">
        <v>4</v>
      </c>
      <c r="B230" s="12" t="s">
        <v>96</v>
      </c>
    </row>
  </sheetData>
  <mergeCells count="65">
    <mergeCell ref="C186:G186"/>
    <mergeCell ref="C188:G188"/>
    <mergeCell ref="C190:G190"/>
    <mergeCell ref="C192:G192"/>
    <mergeCell ref="C170:G170"/>
    <mergeCell ref="C172:G172"/>
    <mergeCell ref="C174:G174"/>
    <mergeCell ref="C176:G176"/>
    <mergeCell ref="C178:G178"/>
    <mergeCell ref="C214:G214"/>
    <mergeCell ref="C216:G216"/>
    <mergeCell ref="C218:G218"/>
    <mergeCell ref="C220:G220"/>
    <mergeCell ref="C200:G200"/>
    <mergeCell ref="C202:G202"/>
    <mergeCell ref="C204:G204"/>
    <mergeCell ref="C206:G206"/>
    <mergeCell ref="C156:G156"/>
    <mergeCell ref="C158:G158"/>
    <mergeCell ref="C160:G160"/>
    <mergeCell ref="C162:G162"/>
    <mergeCell ref="C142:G142"/>
    <mergeCell ref="C144:G144"/>
    <mergeCell ref="C146:G146"/>
    <mergeCell ref="C148:G148"/>
    <mergeCell ref="C126:G126"/>
    <mergeCell ref="C128:G128"/>
    <mergeCell ref="C130:G130"/>
    <mergeCell ref="C132:G132"/>
    <mergeCell ref="C134:G134"/>
    <mergeCell ref="C94:G94"/>
    <mergeCell ref="C96:G96"/>
    <mergeCell ref="C98:G98"/>
    <mergeCell ref="C100:G100"/>
    <mergeCell ref="C124:G124"/>
    <mergeCell ref="C108:G108"/>
    <mergeCell ref="C110:G110"/>
    <mergeCell ref="C112:G112"/>
    <mergeCell ref="C114:G114"/>
    <mergeCell ref="C116:G116"/>
    <mergeCell ref="C82:G82"/>
    <mergeCell ref="C84:G84"/>
    <mergeCell ref="C86:G86"/>
    <mergeCell ref="C66:G66"/>
    <mergeCell ref="C68:G68"/>
    <mergeCell ref="C70:G70"/>
    <mergeCell ref="C72:G72"/>
    <mergeCell ref="C74:G74"/>
    <mergeCell ref="C34:G34"/>
    <mergeCell ref="C36:G36"/>
    <mergeCell ref="C38:G38"/>
    <mergeCell ref="C40:G40"/>
    <mergeCell ref="C42:G42"/>
    <mergeCell ref="C50:G50"/>
    <mergeCell ref="C52:G52"/>
    <mergeCell ref="C54:G54"/>
    <mergeCell ref="C56:G56"/>
    <mergeCell ref="C58:G58"/>
    <mergeCell ref="C22:G22"/>
    <mergeCell ref="C24:G24"/>
    <mergeCell ref="C26:G26"/>
    <mergeCell ref="C8:G8"/>
    <mergeCell ref="C10:G10"/>
    <mergeCell ref="C12:G12"/>
    <mergeCell ref="C14:G14"/>
  </mergeCells>
  <dataValidations count="1">
    <dataValidation type="list" allowBlank="1" showInputMessage="1" showErrorMessage="1" sqref="I14 I206 I178 I214 I162 I188 I174 I172 I160 I156 I144 I132 I128 I124 I112 I108 I96 I84 I72 I220 I56 I52 I40 I36 I218 I148 I116 I100 I86 I74 I42 I202 I70 I204 I176 I26 I8 I10 I12 I22 I24 I34 I38 I50 I54 I66 I68 I82 I94 I98 I110 I114 I126 I130 I142 I146 I158 I170 I134 I186 I190 I192 I216 I200 I58" xr:uid="{00000000-0002-0000-0700-000000000000}">
      <formula1>$B$226:$B$230</formula1>
    </dataValidation>
  </dataValidations>
  <pageMargins left="0.7" right="0.7" top="0.75" bottom="0.75" header="0.3" footer="0.3"/>
  <pageSetup scale="6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5"/>
  <dimension ref="A2:O116"/>
  <sheetViews>
    <sheetView showGridLines="0" showRowColHeaders="0" topLeftCell="A7" zoomScale="85" zoomScaleNormal="85" workbookViewId="0">
      <selection activeCell="I8" sqref="I8"/>
    </sheetView>
  </sheetViews>
  <sheetFormatPr defaultColWidth="9.109375" defaultRowHeight="14.4" x14ac:dyDescent="0.3"/>
  <cols>
    <col min="1" max="2" width="9.109375" style="12"/>
    <col min="3" max="3" width="14.44140625" style="12" customWidth="1"/>
    <col min="4" max="6" width="9.109375" style="12"/>
    <col min="7" max="7" width="9.109375" style="12" customWidth="1"/>
    <col min="8" max="8" width="2.44140625" style="12" customWidth="1"/>
    <col min="9" max="9" width="27.33203125" style="99" customWidth="1"/>
    <col min="10" max="10" width="15.109375" style="99" customWidth="1"/>
    <col min="11" max="16384" width="9.109375" style="12"/>
  </cols>
  <sheetData>
    <row r="2" spans="2:15" ht="32.4" x14ac:dyDescent="0.3">
      <c r="G2" s="17" t="s">
        <v>1204</v>
      </c>
      <c r="H2" s="17"/>
      <c r="J2" s="12"/>
      <c r="K2" s="99"/>
    </row>
    <row r="3" spans="2:15" ht="22.8" x14ac:dyDescent="0.4">
      <c r="G3" s="31" t="s">
        <v>901</v>
      </c>
      <c r="H3" s="31"/>
      <c r="J3" s="12"/>
      <c r="K3" s="99"/>
      <c r="N3" s="32"/>
      <c r="O3" s="32"/>
    </row>
    <row r="4" spans="2:15" ht="15" thickBot="1" x14ac:dyDescent="0.35">
      <c r="J4" s="12"/>
      <c r="K4" s="99"/>
    </row>
    <row r="5" spans="2:15" x14ac:dyDescent="0.3">
      <c r="B5" s="78"/>
      <c r="C5" s="79"/>
      <c r="D5" s="79"/>
      <c r="E5" s="79"/>
      <c r="F5" s="79"/>
      <c r="G5" s="79"/>
      <c r="H5" s="79"/>
      <c r="I5" s="80"/>
      <c r="J5" s="80"/>
      <c r="K5" s="81"/>
    </row>
    <row r="6" spans="2:15" ht="15" x14ac:dyDescent="0.3">
      <c r="B6" s="82"/>
      <c r="C6" s="83" t="s">
        <v>902</v>
      </c>
      <c r="D6" s="84"/>
      <c r="E6" s="84"/>
      <c r="F6" s="85"/>
      <c r="G6" s="86"/>
      <c r="H6" s="86"/>
      <c r="I6" s="87" t="s">
        <v>130</v>
      </c>
      <c r="J6" s="87" t="s">
        <v>131</v>
      </c>
      <c r="K6" s="88"/>
    </row>
    <row r="7" spans="2:15" ht="15" x14ac:dyDescent="0.3">
      <c r="B7" s="82"/>
      <c r="C7" s="83"/>
      <c r="D7" s="84"/>
      <c r="E7" s="84"/>
      <c r="F7" s="85"/>
      <c r="G7" s="86"/>
      <c r="H7" s="86"/>
      <c r="I7" s="87"/>
      <c r="J7" s="87"/>
      <c r="K7" s="88"/>
    </row>
    <row r="8" spans="2:15" ht="271.5" customHeight="1" x14ac:dyDescent="0.3">
      <c r="B8" s="82"/>
      <c r="C8" s="332" t="s">
        <v>906</v>
      </c>
      <c r="D8" s="333"/>
      <c r="E8" s="333"/>
      <c r="F8" s="333"/>
      <c r="G8" s="333"/>
      <c r="H8" s="89"/>
      <c r="I8" s="133"/>
      <c r="J8" s="84" t="str">
        <f>IF(I8=$B$112,0,IF(I8=$B$113,1,IF(I8=$B$114,2,IF(I8=$B$115,3,IF(I8=$B$116,4,"Not Calculated")))))</f>
        <v>Not Calculated</v>
      </c>
      <c r="K8" s="88"/>
    </row>
    <row r="9" spans="2:15" ht="15.75" customHeight="1" x14ac:dyDescent="0.3">
      <c r="B9" s="82"/>
      <c r="C9" s="83"/>
      <c r="D9" s="84"/>
      <c r="E9" s="84"/>
      <c r="F9" s="85"/>
      <c r="G9" s="86"/>
      <c r="H9" s="86"/>
      <c r="I9" s="87"/>
      <c r="J9" s="87"/>
      <c r="K9" s="88"/>
    </row>
    <row r="10" spans="2:15" ht="135.75" customHeight="1" x14ac:dyDescent="0.3">
      <c r="B10" s="82"/>
      <c r="C10" s="332" t="s">
        <v>907</v>
      </c>
      <c r="D10" s="332"/>
      <c r="E10" s="332"/>
      <c r="F10" s="332"/>
      <c r="G10" s="332"/>
      <c r="H10" s="89"/>
      <c r="I10" s="133"/>
      <c r="J10" s="84" t="str">
        <f>IF(I10=$B$112,0,IF(I10=$B$113,1,IF(I10=$B$114,2,IF(I10=$B$115,3,IF(I10=$B$116,4,"Not Calculated")))))</f>
        <v>Not Calculated</v>
      </c>
      <c r="K10" s="88"/>
    </row>
    <row r="11" spans="2:15" ht="15.75" customHeight="1" x14ac:dyDescent="0.3">
      <c r="B11" s="82"/>
      <c r="C11" s="83"/>
      <c r="D11" s="84"/>
      <c r="E11" s="84"/>
      <c r="F11" s="85"/>
      <c r="G11" s="86"/>
      <c r="H11" s="86"/>
      <c r="I11" s="87"/>
      <c r="J11" s="87"/>
      <c r="K11" s="88"/>
    </row>
    <row r="12" spans="2:15" ht="105.75" customHeight="1" x14ac:dyDescent="0.3">
      <c r="B12" s="82"/>
      <c r="C12" s="332" t="s">
        <v>908</v>
      </c>
      <c r="D12" s="332"/>
      <c r="E12" s="332"/>
      <c r="F12" s="332"/>
      <c r="G12" s="332"/>
      <c r="H12" s="89"/>
      <c r="I12" s="133"/>
      <c r="J12" s="84" t="str">
        <f>IF(I12=$B$112,0,IF(I12=$B$113,1,IF(I12=$B$114,2,IF(I12=$B$115,3,IF(I12=$B$116,4,"Not Calculated")))))</f>
        <v>Not Calculated</v>
      </c>
      <c r="K12" s="88"/>
    </row>
    <row r="13" spans="2:15" ht="15.75" customHeight="1" x14ac:dyDescent="0.3">
      <c r="B13" s="82"/>
      <c r="C13" s="83"/>
      <c r="D13" s="84"/>
      <c r="E13" s="84"/>
      <c r="F13" s="85"/>
      <c r="G13" s="86"/>
      <c r="H13" s="86"/>
      <c r="I13" s="87"/>
      <c r="J13" s="87"/>
      <c r="K13" s="88"/>
    </row>
    <row r="14" spans="2:15" ht="150" customHeight="1" x14ac:dyDescent="0.3">
      <c r="B14" s="82"/>
      <c r="C14" s="332" t="s">
        <v>909</v>
      </c>
      <c r="D14" s="333"/>
      <c r="E14" s="333"/>
      <c r="F14" s="333"/>
      <c r="G14" s="333"/>
      <c r="H14" s="89"/>
      <c r="I14" s="133"/>
      <c r="J14" s="84" t="str">
        <f>IF(I14=$B$112,0,IF(I14=$B$113,1,IF(I14=$B$114,2,IF(I14=$B$115,3,IF(I14=$B$116,4,"Not Calculated")))))</f>
        <v>Not Calculated</v>
      </c>
      <c r="K14" s="88"/>
    </row>
    <row r="15" spans="2:15" ht="15.75" customHeight="1" x14ac:dyDescent="0.3">
      <c r="B15" s="82"/>
      <c r="C15" s="83"/>
      <c r="D15" s="84"/>
      <c r="E15" s="84"/>
      <c r="F15" s="85"/>
      <c r="G15" s="86"/>
      <c r="H15" s="86"/>
      <c r="I15" s="87"/>
      <c r="J15" s="87"/>
      <c r="K15" s="88"/>
    </row>
    <row r="16" spans="2:15" ht="154.5" customHeight="1" x14ac:dyDescent="0.3">
      <c r="B16" s="82"/>
      <c r="C16" s="332" t="s">
        <v>910</v>
      </c>
      <c r="D16" s="332"/>
      <c r="E16" s="332"/>
      <c r="F16" s="332"/>
      <c r="G16" s="332"/>
      <c r="H16" s="89"/>
      <c r="I16" s="133"/>
      <c r="J16" s="84" t="str">
        <f>IF(I16=$B$112,0,IF(I16=$B$113,1,IF(I16=$B$114,2,IF(I16=$B$115,3,IF(I16=$B$116,4,"Not Calculated")))))</f>
        <v>Not Calculated</v>
      </c>
      <c r="K16" s="88"/>
    </row>
    <row r="17" spans="2:11" ht="15.75" customHeight="1" x14ac:dyDescent="0.3">
      <c r="B17" s="82"/>
      <c r="C17" s="83"/>
      <c r="D17" s="84"/>
      <c r="E17" s="84"/>
      <c r="F17" s="85"/>
      <c r="G17" s="86"/>
      <c r="H17" s="86"/>
      <c r="I17" s="87"/>
      <c r="J17" s="87"/>
      <c r="K17" s="88"/>
    </row>
    <row r="18" spans="2:11" ht="282" customHeight="1" x14ac:dyDescent="0.3">
      <c r="B18" s="82"/>
      <c r="C18" s="332" t="s">
        <v>911</v>
      </c>
      <c r="D18" s="333"/>
      <c r="E18" s="333"/>
      <c r="F18" s="333"/>
      <c r="G18" s="333"/>
      <c r="H18" s="89"/>
      <c r="I18" s="133"/>
      <c r="J18" s="84" t="str">
        <f>IF(I18=$B$112,0,IF(I18=$B$113,1,IF(I18=$B$114,2,IF(I18=$B$115,3,IF(I18=$B$116,4,"Not Calculated")))))</f>
        <v>Not Calculated</v>
      </c>
      <c r="K18" s="88"/>
    </row>
    <row r="19" spans="2:11" ht="15.75" customHeight="1" x14ac:dyDescent="0.3">
      <c r="B19" s="82"/>
      <c r="C19" s="83"/>
      <c r="D19" s="84"/>
      <c r="E19" s="84"/>
      <c r="F19" s="85"/>
      <c r="G19" s="86"/>
      <c r="H19" s="86"/>
      <c r="I19" s="87"/>
      <c r="J19" s="87"/>
      <c r="K19" s="88"/>
    </row>
    <row r="20" spans="2:11" ht="195.75" customHeight="1" x14ac:dyDescent="0.3">
      <c r="B20" s="82"/>
      <c r="C20" s="332" t="s">
        <v>912</v>
      </c>
      <c r="D20" s="333"/>
      <c r="E20" s="333"/>
      <c r="F20" s="333"/>
      <c r="G20" s="333"/>
      <c r="H20" s="89"/>
      <c r="I20" s="133"/>
      <c r="J20" s="84" t="str">
        <f>IF(I20=$B$112,0,IF(I20=$B$113,1,IF(I20=$B$114,2,IF(I20=$B$115,3,IF(I20=$B$116,4,"Not Calculated")))))</f>
        <v>Not Calculated</v>
      </c>
      <c r="K20" s="88"/>
    </row>
    <row r="21" spans="2:11" ht="15.75" customHeight="1" x14ac:dyDescent="0.3">
      <c r="B21" s="82"/>
      <c r="C21" s="83"/>
      <c r="D21" s="84"/>
      <c r="E21" s="84"/>
      <c r="F21" s="85"/>
      <c r="G21" s="86"/>
      <c r="H21" s="86"/>
      <c r="I21" s="87"/>
      <c r="J21" s="87"/>
      <c r="K21" s="88"/>
    </row>
    <row r="22" spans="2:11" x14ac:dyDescent="0.3">
      <c r="B22" s="82"/>
      <c r="C22" s="90" t="s">
        <v>904</v>
      </c>
      <c r="D22" s="86"/>
      <c r="E22" s="86"/>
      <c r="F22" s="85"/>
      <c r="G22" s="86"/>
      <c r="H22" s="86"/>
      <c r="I22" s="84"/>
      <c r="J22" s="91" t="str">
        <f>IF(OR(J8="Not Calculated",J10="Not Calculated",J12="Not Calculated",J14="Not Calculated",J16="Not Calculated",J18="Not Calculated",J20="Not Calculated")=TRUE,"Not Calculated",AVERAGE(J8,J10,J12,J14,J16,J18,J20))</f>
        <v>Not Calculated</v>
      </c>
      <c r="K22" s="88"/>
    </row>
    <row r="23" spans="2:11" ht="15" thickBot="1" x14ac:dyDescent="0.35">
      <c r="B23" s="92"/>
      <c r="C23" s="93"/>
      <c r="D23" s="94"/>
      <c r="E23" s="94"/>
      <c r="F23" s="94"/>
      <c r="G23" s="95"/>
      <c r="H23" s="95"/>
      <c r="I23" s="96"/>
      <c r="J23" s="96"/>
      <c r="K23" s="97"/>
    </row>
    <row r="24" spans="2:11" ht="15" thickBot="1" x14ac:dyDescent="0.35">
      <c r="B24" s="101"/>
      <c r="C24" s="102"/>
      <c r="D24" s="101"/>
      <c r="E24" s="101"/>
      <c r="F24" s="101"/>
      <c r="G24" s="103"/>
      <c r="H24" s="103"/>
      <c r="I24" s="104"/>
      <c r="J24" s="104"/>
      <c r="K24" s="103"/>
    </row>
    <row r="25" spans="2:11" x14ac:dyDescent="0.3">
      <c r="B25" s="98"/>
      <c r="C25" s="85"/>
      <c r="D25" s="86"/>
      <c r="E25" s="86"/>
      <c r="F25" s="85"/>
      <c r="G25" s="86"/>
      <c r="H25" s="86"/>
      <c r="I25" s="84"/>
      <c r="J25" s="84"/>
      <c r="K25" s="88"/>
    </row>
    <row r="26" spans="2:11" ht="15" x14ac:dyDescent="0.3">
      <c r="B26" s="82"/>
      <c r="C26" s="83" t="s">
        <v>903</v>
      </c>
      <c r="D26" s="86"/>
      <c r="E26" s="86"/>
      <c r="F26" s="85"/>
      <c r="G26" s="86"/>
      <c r="H26" s="86"/>
      <c r="I26" s="84"/>
      <c r="J26" s="84"/>
      <c r="K26" s="88"/>
    </row>
    <row r="27" spans="2:11" ht="15.75" customHeight="1" x14ac:dyDescent="0.3">
      <c r="B27" s="82"/>
      <c r="C27" s="83"/>
      <c r="D27" s="84"/>
      <c r="E27" s="84"/>
      <c r="F27" s="85"/>
      <c r="G27" s="86"/>
      <c r="H27" s="86"/>
      <c r="I27" s="87"/>
      <c r="J27" s="87"/>
      <c r="K27" s="88"/>
    </row>
    <row r="28" spans="2:11" ht="75" customHeight="1" x14ac:dyDescent="0.3">
      <c r="B28" s="82"/>
      <c r="C28" s="332" t="s">
        <v>913</v>
      </c>
      <c r="D28" s="333"/>
      <c r="E28" s="333"/>
      <c r="F28" s="333"/>
      <c r="G28" s="333"/>
      <c r="H28" s="89"/>
      <c r="I28" s="133"/>
      <c r="J28" s="84" t="str">
        <f>IF(I28=$B$112,0,IF(I28=$B$113,1,IF(I28=$B$114,2,IF(I28=$B$115,3,IF(I28=$B$116,4,"Not Calculated")))))</f>
        <v>Not Calculated</v>
      </c>
      <c r="K28" s="88"/>
    </row>
    <row r="29" spans="2:11" ht="15.75" customHeight="1" x14ac:dyDescent="0.3">
      <c r="B29" s="82"/>
      <c r="C29" s="83"/>
      <c r="D29" s="84"/>
      <c r="E29" s="84"/>
      <c r="F29" s="85"/>
      <c r="G29" s="86"/>
      <c r="H29" s="86"/>
      <c r="I29" s="87"/>
      <c r="J29" s="87"/>
      <c r="K29" s="88"/>
    </row>
    <row r="30" spans="2:11" ht="177.75" customHeight="1" x14ac:dyDescent="0.3">
      <c r="B30" s="82"/>
      <c r="C30" s="332" t="s">
        <v>914</v>
      </c>
      <c r="D30" s="332"/>
      <c r="E30" s="332"/>
      <c r="F30" s="332"/>
      <c r="G30" s="332"/>
      <c r="H30" s="89"/>
      <c r="I30" s="133"/>
      <c r="J30" s="84" t="str">
        <f>IF(I30=$B$112,0,IF(I30=$B$113,1,IF(I30=$B$114,2,IF(I30=$B$115,3,IF(I30=$B$116,4,"Not Calculated")))))</f>
        <v>Not Calculated</v>
      </c>
      <c r="K30" s="88"/>
    </row>
    <row r="31" spans="2:11" ht="15.75" customHeight="1" x14ac:dyDescent="0.3">
      <c r="B31" s="82"/>
      <c r="C31" s="83"/>
      <c r="D31" s="84"/>
      <c r="E31" s="84"/>
      <c r="F31" s="85"/>
      <c r="G31" s="86"/>
      <c r="H31" s="86"/>
      <c r="I31" s="87"/>
      <c r="J31" s="87"/>
      <c r="K31" s="88"/>
    </row>
    <row r="32" spans="2:11" x14ac:dyDescent="0.3">
      <c r="B32" s="82"/>
      <c r="C32" s="90" t="s">
        <v>905</v>
      </c>
      <c r="D32" s="86"/>
      <c r="E32" s="86"/>
      <c r="F32" s="85"/>
      <c r="G32" s="86"/>
      <c r="H32" s="86"/>
      <c r="I32" s="84"/>
      <c r="J32" s="91" t="str">
        <f>IF(OR(J28="Not Calculated",J30="Not Calculated")=TRUE,"Not Calculated",AVERAGE(J28,J30))</f>
        <v>Not Calculated</v>
      </c>
      <c r="K32" s="88"/>
    </row>
    <row r="33" spans="2:11" ht="15" thickBot="1" x14ac:dyDescent="0.35">
      <c r="B33" s="92"/>
      <c r="C33" s="93"/>
      <c r="D33" s="94"/>
      <c r="E33" s="94"/>
      <c r="F33" s="94"/>
      <c r="G33" s="95"/>
      <c r="H33" s="95"/>
      <c r="I33" s="96"/>
      <c r="J33" s="96"/>
      <c r="K33" s="97"/>
    </row>
    <row r="34" spans="2:11" ht="15" thickBot="1" x14ac:dyDescent="0.35">
      <c r="B34" s="101"/>
      <c r="C34" s="102"/>
      <c r="D34" s="101"/>
      <c r="E34" s="101"/>
      <c r="F34" s="101"/>
      <c r="G34" s="103"/>
      <c r="H34" s="103"/>
      <c r="I34" s="104"/>
      <c r="J34" s="104"/>
      <c r="K34" s="103"/>
    </row>
    <row r="35" spans="2:11" ht="15.75" customHeight="1" x14ac:dyDescent="0.3">
      <c r="B35" s="82"/>
      <c r="C35" s="85"/>
      <c r="D35" s="86"/>
      <c r="E35" s="86"/>
      <c r="F35" s="85"/>
      <c r="G35" s="86"/>
      <c r="H35" s="86"/>
      <c r="I35" s="84"/>
      <c r="J35" s="84"/>
      <c r="K35" s="88"/>
    </row>
    <row r="36" spans="2:11" ht="15" x14ac:dyDescent="0.3">
      <c r="B36" s="82"/>
      <c r="C36" s="83" t="s">
        <v>102</v>
      </c>
      <c r="D36" s="86"/>
      <c r="E36" s="86"/>
      <c r="F36" s="85"/>
      <c r="G36" s="86"/>
      <c r="H36" s="86"/>
      <c r="I36" s="84"/>
      <c r="J36" s="84"/>
      <c r="K36" s="88"/>
    </row>
    <row r="37" spans="2:11" ht="15.75" customHeight="1" x14ac:dyDescent="0.3">
      <c r="B37" s="82"/>
      <c r="C37" s="83"/>
      <c r="D37" s="84"/>
      <c r="E37" s="84"/>
      <c r="F37" s="85"/>
      <c r="G37" s="86"/>
      <c r="H37" s="86"/>
      <c r="I37" s="87"/>
      <c r="J37" s="87"/>
      <c r="K37" s="88"/>
    </row>
    <row r="38" spans="2:11" ht="63" customHeight="1" x14ac:dyDescent="0.3">
      <c r="B38" s="82"/>
      <c r="C38" s="332" t="s">
        <v>915</v>
      </c>
      <c r="D38" s="332"/>
      <c r="E38" s="332"/>
      <c r="F38" s="332"/>
      <c r="G38" s="332"/>
      <c r="H38" s="89"/>
      <c r="I38" s="133"/>
      <c r="J38" s="84" t="str">
        <f>IF(I38=$B$112,0,IF(I38=$B$113,1,IF(I38=$B$114,2,IF(I38=$B$115,3,IF(I38=$B$116,4,"Not Calculated")))))</f>
        <v>Not Calculated</v>
      </c>
      <c r="K38" s="88"/>
    </row>
    <row r="39" spans="2:11" ht="15.75" customHeight="1" x14ac:dyDescent="0.3">
      <c r="B39" s="82"/>
      <c r="C39" s="83"/>
      <c r="D39" s="84"/>
      <c r="E39" s="84"/>
      <c r="F39" s="85"/>
      <c r="G39" s="86"/>
      <c r="H39" s="86"/>
      <c r="I39" s="87"/>
      <c r="J39" s="87"/>
      <c r="K39" s="88"/>
    </row>
    <row r="40" spans="2:11" ht="136.5" customHeight="1" x14ac:dyDescent="0.3">
      <c r="B40" s="82"/>
      <c r="C40" s="332" t="s">
        <v>916</v>
      </c>
      <c r="D40" s="332"/>
      <c r="E40" s="332"/>
      <c r="F40" s="332"/>
      <c r="G40" s="332"/>
      <c r="H40" s="89"/>
      <c r="I40" s="133"/>
      <c r="J40" s="84" t="str">
        <f>IF(I40=$B$112,0,IF(I40=$B$113,1,IF(I40=$B$114,2,IF(I40=$B$115,3,IF(I40=$B$116,4,"Not Calculated")))))</f>
        <v>Not Calculated</v>
      </c>
      <c r="K40" s="88"/>
    </row>
    <row r="41" spans="2:11" ht="15.75" customHeight="1" x14ac:dyDescent="0.3">
      <c r="B41" s="82"/>
      <c r="C41" s="83"/>
      <c r="D41" s="84"/>
      <c r="E41" s="84"/>
      <c r="F41" s="85"/>
      <c r="G41" s="86"/>
      <c r="H41" s="86"/>
      <c r="I41" s="87"/>
      <c r="J41" s="87"/>
      <c r="K41" s="88"/>
    </row>
    <row r="42" spans="2:11" ht="105.75" customHeight="1" x14ac:dyDescent="0.3">
      <c r="B42" s="82"/>
      <c r="C42" s="332" t="s">
        <v>917</v>
      </c>
      <c r="D42" s="332"/>
      <c r="E42" s="332"/>
      <c r="F42" s="332"/>
      <c r="G42" s="332"/>
      <c r="H42" s="89"/>
      <c r="I42" s="133"/>
      <c r="J42" s="84" t="str">
        <f>IF(I42=$B$112,0,IF(I42=$B$113,1,IF(I42=$B$114,2,IF(I42=$B$115,3,IF(I42=$B$116,4,"Not Calculated")))))</f>
        <v>Not Calculated</v>
      </c>
      <c r="K42" s="88"/>
    </row>
    <row r="43" spans="2:11" ht="15.75" customHeight="1" x14ac:dyDescent="0.3">
      <c r="B43" s="82"/>
      <c r="C43" s="83"/>
      <c r="D43" s="84"/>
      <c r="E43" s="84"/>
      <c r="F43" s="85"/>
      <c r="G43" s="86"/>
      <c r="H43" s="86"/>
      <c r="I43" s="87"/>
      <c r="J43" s="87"/>
      <c r="K43" s="88"/>
    </row>
    <row r="44" spans="2:11" ht="150" customHeight="1" x14ac:dyDescent="0.3">
      <c r="B44" s="82"/>
      <c r="C44" s="332" t="s">
        <v>918</v>
      </c>
      <c r="D44" s="333"/>
      <c r="E44" s="333"/>
      <c r="F44" s="333"/>
      <c r="G44" s="333"/>
      <c r="H44" s="89"/>
      <c r="I44" s="133"/>
      <c r="J44" s="84" t="str">
        <f>IF(I44=$B$112,0,IF(I44=$B$113,1,IF(I44=$B$114,2,IF(I44=$B$115,3,IF(I44=$B$116,4,"Not Calculated")))))</f>
        <v>Not Calculated</v>
      </c>
      <c r="K44" s="88"/>
    </row>
    <row r="45" spans="2:11" ht="15.75" customHeight="1" x14ac:dyDescent="0.3">
      <c r="B45" s="82"/>
      <c r="C45" s="83"/>
      <c r="D45" s="84"/>
      <c r="E45" s="84"/>
      <c r="F45" s="85"/>
      <c r="G45" s="86"/>
      <c r="H45" s="86"/>
      <c r="I45" s="87"/>
      <c r="J45" s="87"/>
      <c r="K45" s="88"/>
    </row>
    <row r="46" spans="2:11" x14ac:dyDescent="0.3">
      <c r="B46" s="82"/>
      <c r="C46" s="90" t="s">
        <v>103</v>
      </c>
      <c r="D46" s="86"/>
      <c r="E46" s="86"/>
      <c r="F46" s="85"/>
      <c r="G46" s="86"/>
      <c r="H46" s="86"/>
      <c r="I46" s="84"/>
      <c r="J46" s="91" t="str">
        <f>IF(OR(J38="Not Calculated",J40="Not Calculated",J42="Not Calculated",J44="Not Calculated")=TRUE,"Not Calculated",AVERAGE(J38,J40,J42,J44))</f>
        <v>Not Calculated</v>
      </c>
      <c r="K46" s="88"/>
    </row>
    <row r="47" spans="2:11" ht="15" thickBot="1" x14ac:dyDescent="0.35">
      <c r="B47" s="92"/>
      <c r="C47" s="93"/>
      <c r="D47" s="94"/>
      <c r="E47" s="94"/>
      <c r="F47" s="94"/>
      <c r="G47" s="95"/>
      <c r="H47" s="95"/>
      <c r="I47" s="96"/>
      <c r="J47" s="96"/>
      <c r="K47" s="97"/>
    </row>
    <row r="48" spans="2:11" ht="15" thickBot="1" x14ac:dyDescent="0.35">
      <c r="B48" s="101"/>
      <c r="C48" s="102"/>
      <c r="D48" s="101"/>
      <c r="E48" s="101"/>
      <c r="F48" s="101"/>
      <c r="G48" s="103"/>
      <c r="H48" s="103"/>
      <c r="I48" s="104"/>
      <c r="J48" s="104"/>
      <c r="K48" s="103"/>
    </row>
    <row r="49" spans="2:11" x14ac:dyDescent="0.3">
      <c r="B49" s="82"/>
      <c r="C49" s="85"/>
      <c r="D49" s="86"/>
      <c r="E49" s="86"/>
      <c r="F49" s="85"/>
      <c r="G49" s="86"/>
      <c r="H49" s="86"/>
      <c r="I49" s="84"/>
      <c r="J49" s="84"/>
      <c r="K49" s="88"/>
    </row>
    <row r="50" spans="2:11" ht="15" x14ac:dyDescent="0.3">
      <c r="B50" s="82"/>
      <c r="C50" s="83" t="s">
        <v>92</v>
      </c>
      <c r="D50" s="86"/>
      <c r="E50" s="86"/>
      <c r="F50" s="85"/>
      <c r="G50" s="86"/>
      <c r="H50" s="86"/>
      <c r="I50" s="84"/>
      <c r="J50" s="84"/>
      <c r="K50" s="88"/>
    </row>
    <row r="51" spans="2:11" ht="15.75" customHeight="1" x14ac:dyDescent="0.3">
      <c r="B51" s="82"/>
      <c r="C51" s="83"/>
      <c r="D51" s="84"/>
      <c r="E51" s="84"/>
      <c r="F51" s="85"/>
      <c r="G51" s="86"/>
      <c r="H51" s="86"/>
      <c r="I51" s="87"/>
      <c r="J51" s="87"/>
      <c r="K51" s="88"/>
    </row>
    <row r="52" spans="2:11" ht="88.5" customHeight="1" x14ac:dyDescent="0.3">
      <c r="B52" s="82"/>
      <c r="C52" s="332" t="s">
        <v>919</v>
      </c>
      <c r="D52" s="332"/>
      <c r="E52" s="332"/>
      <c r="F52" s="332"/>
      <c r="G52" s="332"/>
      <c r="H52" s="89"/>
      <c r="I52" s="133"/>
      <c r="J52" s="84" t="str">
        <f>IF(I52=$B$112,0,IF(I52=$B$113,1,IF(I52=$B$114,2,IF(I52=$B$115,3,IF(I52=$B$116,4,"Not Calculated")))))</f>
        <v>Not Calculated</v>
      </c>
      <c r="K52" s="88"/>
    </row>
    <row r="53" spans="2:11" ht="15.75" customHeight="1" x14ac:dyDescent="0.3">
      <c r="B53" s="82"/>
      <c r="C53" s="83"/>
      <c r="D53" s="84"/>
      <c r="E53" s="84"/>
      <c r="F53" s="85"/>
      <c r="G53" s="86"/>
      <c r="H53" s="86"/>
      <c r="I53" s="87"/>
      <c r="J53" s="87"/>
      <c r="K53" s="88"/>
    </row>
    <row r="54" spans="2:11" ht="108" customHeight="1" x14ac:dyDescent="0.3">
      <c r="B54" s="82"/>
      <c r="C54" s="332" t="s">
        <v>920</v>
      </c>
      <c r="D54" s="332"/>
      <c r="E54" s="332"/>
      <c r="F54" s="332"/>
      <c r="G54" s="332"/>
      <c r="H54" s="89"/>
      <c r="I54" s="133"/>
      <c r="J54" s="84" t="str">
        <f>IF(I54=$B$112,0,IF(I54=$B$113,1,IF(I54=$B$114,2,IF(I54=$B$115,3,IF(I54=$B$116,4,"Not Calculated")))))</f>
        <v>Not Calculated</v>
      </c>
      <c r="K54" s="88"/>
    </row>
    <row r="55" spans="2:11" ht="15.75" customHeight="1" x14ac:dyDescent="0.3">
      <c r="B55" s="82"/>
      <c r="C55" s="83"/>
      <c r="D55" s="84"/>
      <c r="E55" s="84"/>
      <c r="F55" s="85"/>
      <c r="G55" s="86"/>
      <c r="H55" s="86"/>
      <c r="I55" s="87"/>
      <c r="J55" s="87"/>
      <c r="K55" s="88"/>
    </row>
    <row r="56" spans="2:11" ht="120" customHeight="1" x14ac:dyDescent="0.3">
      <c r="B56" s="82"/>
      <c r="C56" s="332" t="s">
        <v>921</v>
      </c>
      <c r="D56" s="333"/>
      <c r="E56" s="333"/>
      <c r="F56" s="333"/>
      <c r="G56" s="333"/>
      <c r="H56" s="89"/>
      <c r="I56" s="133"/>
      <c r="J56" s="84" t="str">
        <f>IF(I56=$B$112,0,IF(I56=$B$113,1,IF(I56=$B$114,2,IF(I56=$B$115,3,IF(I56=$B$116,4,"Not Calculated")))))</f>
        <v>Not Calculated</v>
      </c>
      <c r="K56" s="88"/>
    </row>
    <row r="57" spans="2:11" ht="15.75" customHeight="1" x14ac:dyDescent="0.3">
      <c r="B57" s="82"/>
      <c r="C57" s="83"/>
      <c r="D57" s="84"/>
      <c r="E57" s="84"/>
      <c r="F57" s="85"/>
      <c r="G57" s="86"/>
      <c r="H57" s="86"/>
      <c r="I57" s="87"/>
      <c r="J57" s="87"/>
      <c r="K57" s="88"/>
    </row>
    <row r="58" spans="2:11" x14ac:dyDescent="0.3">
      <c r="B58" s="82"/>
      <c r="C58" s="90" t="s">
        <v>106</v>
      </c>
      <c r="D58" s="86"/>
      <c r="E58" s="86"/>
      <c r="F58" s="85"/>
      <c r="G58" s="86"/>
      <c r="H58" s="86"/>
      <c r="I58" s="84"/>
      <c r="J58" s="91" t="str">
        <f>IF(OR(J52="Not Calculated",J54="Not Calculated",J56="Not Calculated")=TRUE,"Not Calculated",AVERAGE(J52,J54,J56))</f>
        <v>Not Calculated</v>
      </c>
      <c r="K58" s="88"/>
    </row>
    <row r="59" spans="2:11" ht="15" thickBot="1" x14ac:dyDescent="0.35">
      <c r="B59" s="92"/>
      <c r="C59" s="93"/>
      <c r="D59" s="94"/>
      <c r="E59" s="94"/>
      <c r="F59" s="94"/>
      <c r="G59" s="95"/>
      <c r="H59" s="95"/>
      <c r="I59" s="96"/>
      <c r="J59" s="96"/>
      <c r="K59" s="97"/>
    </row>
    <row r="60" spans="2:11" ht="15" thickBot="1" x14ac:dyDescent="0.35">
      <c r="B60" s="101"/>
      <c r="C60" s="102"/>
      <c r="D60" s="101"/>
      <c r="E60" s="101"/>
      <c r="F60" s="101"/>
      <c r="G60" s="103"/>
      <c r="H60" s="103"/>
      <c r="I60" s="104"/>
      <c r="J60" s="104"/>
      <c r="K60" s="103"/>
    </row>
    <row r="61" spans="2:11" x14ac:dyDescent="0.3">
      <c r="B61" s="82"/>
      <c r="C61" s="85"/>
      <c r="D61" s="86"/>
      <c r="E61" s="86"/>
      <c r="F61" s="85"/>
      <c r="G61" s="86"/>
      <c r="H61" s="86"/>
      <c r="I61" s="84"/>
      <c r="J61" s="84"/>
      <c r="K61" s="88"/>
    </row>
    <row r="62" spans="2:11" ht="15" x14ac:dyDescent="0.3">
      <c r="B62" s="82"/>
      <c r="C62" s="83" t="s">
        <v>107</v>
      </c>
      <c r="D62" s="86"/>
      <c r="E62" s="86"/>
      <c r="F62" s="85"/>
      <c r="G62" s="86"/>
      <c r="H62" s="86"/>
      <c r="I62" s="84"/>
      <c r="J62" s="84"/>
      <c r="K62" s="88"/>
    </row>
    <row r="63" spans="2:11" ht="15.75" customHeight="1" x14ac:dyDescent="0.3">
      <c r="B63" s="82"/>
      <c r="C63" s="83"/>
      <c r="D63" s="84"/>
      <c r="E63" s="84"/>
      <c r="F63" s="85"/>
      <c r="G63" s="86"/>
      <c r="H63" s="86"/>
      <c r="I63" s="87"/>
      <c r="J63" s="87"/>
      <c r="K63" s="88"/>
    </row>
    <row r="64" spans="2:11" ht="164.25" customHeight="1" x14ac:dyDescent="0.3">
      <c r="B64" s="82"/>
      <c r="C64" s="332" t="s">
        <v>922</v>
      </c>
      <c r="D64" s="332"/>
      <c r="E64" s="332"/>
      <c r="F64" s="332"/>
      <c r="G64" s="332"/>
      <c r="H64" s="89"/>
      <c r="I64" s="133"/>
      <c r="J64" s="84" t="str">
        <f>IF(I64=$B$112,0,IF(I64=$B$113,1,IF(I64=$B$114,2,IF(I64=$B$115,3,IF(I64=$B$116,4,"Not Calculated")))))</f>
        <v>Not Calculated</v>
      </c>
      <c r="K64" s="88"/>
    </row>
    <row r="65" spans="2:11" ht="15.75" customHeight="1" x14ac:dyDescent="0.3">
      <c r="B65" s="82"/>
      <c r="C65" s="83"/>
      <c r="D65" s="84"/>
      <c r="E65" s="84"/>
      <c r="F65" s="85"/>
      <c r="G65" s="86"/>
      <c r="H65" s="86"/>
      <c r="I65" s="87"/>
      <c r="J65" s="87"/>
      <c r="K65" s="88"/>
    </row>
    <row r="66" spans="2:11" ht="162.75" customHeight="1" x14ac:dyDescent="0.3">
      <c r="B66" s="82"/>
      <c r="C66" s="332" t="s">
        <v>923</v>
      </c>
      <c r="D66" s="332"/>
      <c r="E66" s="332"/>
      <c r="F66" s="332"/>
      <c r="G66" s="332"/>
      <c r="H66" s="89"/>
      <c r="I66" s="133"/>
      <c r="J66" s="84" t="str">
        <f>IF(I66=$B$112,0,IF(I66=$B$113,1,IF(I66=$B$114,2,IF(I66=$B$115,3,IF(I66=$B$116,4,"Not Calculated")))))</f>
        <v>Not Calculated</v>
      </c>
      <c r="K66" s="88"/>
    </row>
    <row r="67" spans="2:11" ht="15.75" customHeight="1" x14ac:dyDescent="0.3">
      <c r="B67" s="82"/>
      <c r="C67" s="83"/>
      <c r="D67" s="84"/>
      <c r="E67" s="84"/>
      <c r="F67" s="85"/>
      <c r="G67" s="86"/>
      <c r="H67" s="86"/>
      <c r="I67" s="87"/>
      <c r="J67" s="87"/>
      <c r="K67" s="88"/>
    </row>
    <row r="68" spans="2:11" x14ac:dyDescent="0.3">
      <c r="B68" s="82"/>
      <c r="C68" s="90" t="s">
        <v>109</v>
      </c>
      <c r="D68" s="86"/>
      <c r="E68" s="86"/>
      <c r="F68" s="85"/>
      <c r="G68" s="86"/>
      <c r="H68" s="86"/>
      <c r="I68" s="84"/>
      <c r="J68" s="91" t="str">
        <f>IF(OR(J64="Not Calculated",J66="Not Calculated")=TRUE,"Not Calculated",AVERAGE(J64,J66))</f>
        <v>Not Calculated</v>
      </c>
      <c r="K68" s="88"/>
    </row>
    <row r="69" spans="2:11" ht="15" thickBot="1" x14ac:dyDescent="0.35">
      <c r="B69" s="92"/>
      <c r="C69" s="93"/>
      <c r="D69" s="94"/>
      <c r="E69" s="94"/>
      <c r="F69" s="94"/>
      <c r="G69" s="95"/>
      <c r="H69" s="95"/>
      <c r="I69" s="96"/>
      <c r="J69" s="96"/>
      <c r="K69" s="97"/>
    </row>
    <row r="70" spans="2:11" ht="15" thickBot="1" x14ac:dyDescent="0.35">
      <c r="B70" s="101"/>
      <c r="C70" s="102"/>
      <c r="D70" s="101"/>
      <c r="E70" s="101"/>
      <c r="F70" s="101"/>
      <c r="G70" s="103"/>
      <c r="H70" s="103"/>
      <c r="I70" s="104"/>
      <c r="J70" s="104"/>
      <c r="K70" s="103"/>
    </row>
    <row r="71" spans="2:11" x14ac:dyDescent="0.3">
      <c r="B71" s="82"/>
      <c r="C71" s="85"/>
      <c r="D71" s="86"/>
      <c r="E71" s="86"/>
      <c r="F71" s="85"/>
      <c r="G71" s="86"/>
      <c r="H71" s="86"/>
      <c r="I71" s="84"/>
      <c r="J71" s="84"/>
      <c r="K71" s="88"/>
    </row>
    <row r="72" spans="2:11" ht="15" x14ac:dyDescent="0.3">
      <c r="B72" s="82"/>
      <c r="C72" s="83" t="s">
        <v>116</v>
      </c>
      <c r="D72" s="86"/>
      <c r="E72" s="86"/>
      <c r="F72" s="85"/>
      <c r="G72" s="86"/>
      <c r="H72" s="86"/>
      <c r="I72" s="84"/>
      <c r="J72" s="84"/>
      <c r="K72" s="88"/>
    </row>
    <row r="73" spans="2:11" ht="15.75" customHeight="1" x14ac:dyDescent="0.3">
      <c r="B73" s="82"/>
      <c r="C73" s="83"/>
      <c r="D73" s="84"/>
      <c r="E73" s="84"/>
      <c r="F73" s="85"/>
      <c r="G73" s="86"/>
      <c r="H73" s="86"/>
      <c r="I73" s="87"/>
      <c r="J73" s="87"/>
      <c r="K73" s="88"/>
    </row>
    <row r="74" spans="2:11" ht="164.25" customHeight="1" x14ac:dyDescent="0.3">
      <c r="B74" s="82"/>
      <c r="C74" s="332" t="s">
        <v>924</v>
      </c>
      <c r="D74" s="332"/>
      <c r="E74" s="332"/>
      <c r="F74" s="332"/>
      <c r="G74" s="332"/>
      <c r="H74" s="89"/>
      <c r="I74" s="133"/>
      <c r="J74" s="84" t="str">
        <f>IF(I74=$B$112,0,IF(I74=$B$113,1,IF(I74=$B$114,2,IF(I74=$B$115,3,IF(I74=$B$116,4,"Not Calculated")))))</f>
        <v>Not Calculated</v>
      </c>
      <c r="K74" s="88"/>
    </row>
    <row r="75" spans="2:11" ht="15.75" customHeight="1" x14ac:dyDescent="0.3">
      <c r="B75" s="82"/>
      <c r="C75" s="83"/>
      <c r="D75" s="84"/>
      <c r="E75" s="84"/>
      <c r="F75" s="85"/>
      <c r="G75" s="86"/>
      <c r="H75" s="86"/>
      <c r="I75" s="87"/>
      <c r="J75" s="87"/>
      <c r="K75" s="88"/>
    </row>
    <row r="76" spans="2:11" ht="180" customHeight="1" x14ac:dyDescent="0.3">
      <c r="B76" s="82"/>
      <c r="C76" s="332" t="s">
        <v>925</v>
      </c>
      <c r="D76" s="333"/>
      <c r="E76" s="333"/>
      <c r="F76" s="333"/>
      <c r="G76" s="333"/>
      <c r="H76" s="89"/>
      <c r="I76" s="133"/>
      <c r="J76" s="84" t="str">
        <f>IF(I76=$B$112,0,IF(I76=$B$113,1,IF(I76=$B$114,2,IF(I76=$B$115,3,IF(I76=$B$116,4,"Not Calculated")))))</f>
        <v>Not Calculated</v>
      </c>
      <c r="K76" s="88"/>
    </row>
    <row r="77" spans="2:11" ht="15.75" customHeight="1" x14ac:dyDescent="0.3">
      <c r="B77" s="82"/>
      <c r="C77" s="83"/>
      <c r="D77" s="84"/>
      <c r="E77" s="84"/>
      <c r="F77" s="85"/>
      <c r="G77" s="86"/>
      <c r="H77" s="86"/>
      <c r="I77" s="87"/>
      <c r="J77" s="87"/>
      <c r="K77" s="88"/>
    </row>
    <row r="78" spans="2:11" ht="165" customHeight="1" x14ac:dyDescent="0.3">
      <c r="B78" s="82"/>
      <c r="C78" s="332" t="s">
        <v>926</v>
      </c>
      <c r="D78" s="333"/>
      <c r="E78" s="333"/>
      <c r="F78" s="333"/>
      <c r="G78" s="333"/>
      <c r="H78" s="89"/>
      <c r="I78" s="133"/>
      <c r="J78" s="84" t="str">
        <f>IF(I78=$B$112,0,IF(I78=$B$113,1,IF(I78=$B$114,2,IF(I78=$B$115,3,IF(I78=$B$116,4,"Not Calculated")))))</f>
        <v>Not Calculated</v>
      </c>
      <c r="K78" s="88"/>
    </row>
    <row r="79" spans="2:11" ht="15.75" customHeight="1" x14ac:dyDescent="0.3">
      <c r="B79" s="82"/>
      <c r="C79" s="83"/>
      <c r="D79" s="84"/>
      <c r="E79" s="84"/>
      <c r="F79" s="85"/>
      <c r="G79" s="86"/>
      <c r="H79" s="86"/>
      <c r="I79" s="87"/>
      <c r="J79" s="87"/>
      <c r="K79" s="88"/>
    </row>
    <row r="80" spans="2:11" ht="375" customHeight="1" x14ac:dyDescent="0.3">
      <c r="B80" s="82"/>
      <c r="C80" s="332" t="s">
        <v>927</v>
      </c>
      <c r="D80" s="333"/>
      <c r="E80" s="333"/>
      <c r="F80" s="333"/>
      <c r="G80" s="333"/>
      <c r="H80" s="89"/>
      <c r="I80" s="133"/>
      <c r="J80" s="84" t="str">
        <f>IF(I80=$B$112,0,IF(I80=$B$113,1,IF(I80=$B$114,2,IF(I80=$B$115,3,IF(I80=$B$116,4,"Not Calculated")))))</f>
        <v>Not Calculated</v>
      </c>
      <c r="K80" s="88"/>
    </row>
    <row r="81" spans="2:11" ht="15.75" customHeight="1" x14ac:dyDescent="0.3">
      <c r="B81" s="82"/>
      <c r="C81" s="83"/>
      <c r="D81" s="84"/>
      <c r="E81" s="84"/>
      <c r="F81" s="85"/>
      <c r="G81" s="86"/>
      <c r="H81" s="86"/>
      <c r="I81" s="87"/>
      <c r="J81" s="87"/>
      <c r="K81" s="88"/>
    </row>
    <row r="82" spans="2:11" ht="165" customHeight="1" x14ac:dyDescent="0.3">
      <c r="B82" s="82"/>
      <c r="C82" s="332" t="s">
        <v>928</v>
      </c>
      <c r="D82" s="333"/>
      <c r="E82" s="333"/>
      <c r="F82" s="333"/>
      <c r="G82" s="333"/>
      <c r="H82" s="89"/>
      <c r="I82" s="133"/>
      <c r="J82" s="84" t="str">
        <f>IF(I82=$B$112,0,IF(I82=$B$113,1,IF(I82=$B$114,2,IF(I82=$B$115,3,IF(I82=$B$116,4,"Not Calculated")))))</f>
        <v>Not Calculated</v>
      </c>
      <c r="K82" s="88"/>
    </row>
    <row r="83" spans="2:11" ht="15.75" customHeight="1" x14ac:dyDescent="0.3">
      <c r="B83" s="82"/>
      <c r="C83" s="83"/>
      <c r="D83" s="84"/>
      <c r="E83" s="84"/>
      <c r="F83" s="85"/>
      <c r="G83" s="86"/>
      <c r="H83" s="86"/>
      <c r="I83" s="87"/>
      <c r="J83" s="87"/>
      <c r="K83" s="88"/>
    </row>
    <row r="84" spans="2:11" x14ac:dyDescent="0.3">
      <c r="B84" s="82"/>
      <c r="C84" s="90" t="s">
        <v>117</v>
      </c>
      <c r="D84" s="86"/>
      <c r="E84" s="86"/>
      <c r="F84" s="85"/>
      <c r="G84" s="86"/>
      <c r="H84" s="86"/>
      <c r="I84" s="84"/>
      <c r="J84" s="91" t="str">
        <f>IF(OR(J74="Not Calculated",J76="Not Calculated",J78="Not Calculated",J80="Not Calculated",J82="Not Calculated")=TRUE,"Not Calculated",AVERAGE(J74,J76,J78,J80,J82))</f>
        <v>Not Calculated</v>
      </c>
      <c r="K84" s="88"/>
    </row>
    <row r="85" spans="2:11" ht="15" thickBot="1" x14ac:dyDescent="0.35">
      <c r="B85" s="92"/>
      <c r="C85" s="93"/>
      <c r="D85" s="94"/>
      <c r="E85" s="94"/>
      <c r="F85" s="94"/>
      <c r="G85" s="95"/>
      <c r="H85" s="95"/>
      <c r="I85" s="96"/>
      <c r="J85" s="96"/>
      <c r="K85" s="97"/>
    </row>
    <row r="86" spans="2:11" ht="15" thickBot="1" x14ac:dyDescent="0.35">
      <c r="B86" s="101"/>
      <c r="C86" s="102"/>
      <c r="D86" s="101"/>
      <c r="E86" s="101"/>
      <c r="F86" s="101"/>
      <c r="G86" s="103"/>
      <c r="H86" s="103"/>
      <c r="I86" s="104"/>
      <c r="J86" s="104"/>
      <c r="K86" s="103"/>
    </row>
    <row r="87" spans="2:11" x14ac:dyDescent="0.3">
      <c r="B87" s="82"/>
      <c r="C87" s="85"/>
      <c r="D87" s="86"/>
      <c r="E87" s="86"/>
      <c r="F87" s="85"/>
      <c r="G87" s="86"/>
      <c r="H87" s="86"/>
      <c r="I87" s="84"/>
      <c r="J87" s="84"/>
      <c r="K87" s="88"/>
    </row>
    <row r="88" spans="2:11" ht="15" x14ac:dyDescent="0.3">
      <c r="B88" s="82"/>
      <c r="C88" s="83" t="s">
        <v>124</v>
      </c>
      <c r="D88" s="86"/>
      <c r="E88" s="86"/>
      <c r="F88" s="85"/>
      <c r="G88" s="86"/>
      <c r="H88" s="86"/>
      <c r="I88" s="84"/>
      <c r="J88" s="84"/>
      <c r="K88" s="88"/>
    </row>
    <row r="89" spans="2:11" ht="15.75" customHeight="1" x14ac:dyDescent="0.3">
      <c r="B89" s="82"/>
      <c r="C89" s="83"/>
      <c r="D89" s="84"/>
      <c r="E89" s="84"/>
      <c r="F89" s="85"/>
      <c r="G89" s="86"/>
      <c r="H89" s="86"/>
      <c r="I89" s="87"/>
      <c r="J89" s="87"/>
      <c r="K89" s="88"/>
    </row>
    <row r="90" spans="2:11" ht="92.25" customHeight="1" x14ac:dyDescent="0.3">
      <c r="B90" s="82"/>
      <c r="C90" s="332" t="s">
        <v>929</v>
      </c>
      <c r="D90" s="332"/>
      <c r="E90" s="332"/>
      <c r="F90" s="332"/>
      <c r="G90" s="332"/>
      <c r="H90" s="89"/>
      <c r="I90" s="133"/>
      <c r="J90" s="84" t="str">
        <f>IF(I90=$B$112,0,IF(I90=$B$113,1,IF(I90=$B$114,2,IF(I90=$B$115,3,IF(I90=$B$116,4,"Not Calculated")))))</f>
        <v>Not Calculated</v>
      </c>
      <c r="K90" s="88"/>
    </row>
    <row r="91" spans="2:11" ht="15.75" customHeight="1" x14ac:dyDescent="0.3">
      <c r="B91" s="82"/>
      <c r="C91" s="83"/>
      <c r="D91" s="84"/>
      <c r="E91" s="84"/>
      <c r="F91" s="85"/>
      <c r="G91" s="86"/>
      <c r="H91" s="86"/>
      <c r="I91" s="87"/>
      <c r="J91" s="87"/>
      <c r="K91" s="88"/>
    </row>
    <row r="92" spans="2:11" ht="75.75" customHeight="1" x14ac:dyDescent="0.3">
      <c r="B92" s="82"/>
      <c r="C92" s="332" t="s">
        <v>930</v>
      </c>
      <c r="D92" s="332"/>
      <c r="E92" s="332"/>
      <c r="F92" s="332"/>
      <c r="G92" s="332"/>
      <c r="H92" s="89"/>
      <c r="I92" s="133"/>
      <c r="J92" s="84" t="str">
        <f>IF(I92=$B$112,0,IF(I92=$B$113,1,IF(I92=$B$114,2,IF(I92=$B$115,3,IF(I92=$B$116,4,"Not Calculated")))))</f>
        <v>Not Calculated</v>
      </c>
      <c r="K92" s="88"/>
    </row>
    <row r="93" spans="2:11" ht="15.75" customHeight="1" x14ac:dyDescent="0.3">
      <c r="B93" s="82"/>
      <c r="C93" s="83"/>
      <c r="D93" s="84"/>
      <c r="E93" s="84"/>
      <c r="F93" s="85"/>
      <c r="G93" s="86"/>
      <c r="H93" s="86"/>
      <c r="I93" s="87"/>
      <c r="J93" s="87"/>
      <c r="K93" s="88"/>
    </row>
    <row r="94" spans="2:11" x14ac:dyDescent="0.3">
      <c r="B94" s="82"/>
      <c r="C94" s="90" t="s">
        <v>125</v>
      </c>
      <c r="D94" s="86"/>
      <c r="E94" s="86"/>
      <c r="F94" s="85"/>
      <c r="G94" s="86"/>
      <c r="H94" s="86"/>
      <c r="I94" s="84"/>
      <c r="J94" s="91" t="str">
        <f>IF(OR(J90="Not Calculated",J92="Not Calculated")=TRUE,"Not Calculated",AVERAGE(J90,J92))</f>
        <v>Not Calculated</v>
      </c>
      <c r="K94" s="88"/>
    </row>
    <row r="95" spans="2:11" ht="15" thickBot="1" x14ac:dyDescent="0.35">
      <c r="B95" s="92"/>
      <c r="C95" s="93"/>
      <c r="D95" s="94"/>
      <c r="E95" s="94"/>
      <c r="F95" s="94"/>
      <c r="G95" s="95"/>
      <c r="H95" s="95"/>
      <c r="I95" s="96"/>
      <c r="J95" s="96"/>
      <c r="K95" s="97"/>
    </row>
    <row r="96" spans="2:11" ht="15" thickBot="1" x14ac:dyDescent="0.35">
      <c r="B96" s="101"/>
      <c r="C96" s="102"/>
      <c r="D96" s="101"/>
      <c r="E96" s="101"/>
      <c r="F96" s="101"/>
      <c r="G96" s="103"/>
      <c r="H96" s="103"/>
      <c r="I96" s="104"/>
      <c r="J96" s="104"/>
      <c r="K96" s="103"/>
    </row>
    <row r="97" spans="1:11" x14ac:dyDescent="0.3">
      <c r="B97" s="82"/>
      <c r="C97" s="85"/>
      <c r="D97" s="86"/>
      <c r="E97" s="86"/>
      <c r="F97" s="85"/>
      <c r="G97" s="86"/>
      <c r="H97" s="86"/>
      <c r="I97" s="84"/>
      <c r="J97" s="84"/>
      <c r="K97" s="88"/>
    </row>
    <row r="98" spans="1:11" ht="15" x14ac:dyDescent="0.3">
      <c r="B98" s="82"/>
      <c r="C98" s="83" t="s">
        <v>126</v>
      </c>
      <c r="D98" s="86"/>
      <c r="E98" s="86"/>
      <c r="F98" s="85"/>
      <c r="G98" s="86"/>
      <c r="H98" s="86"/>
      <c r="I98" s="84"/>
      <c r="J98" s="84"/>
      <c r="K98" s="88"/>
    </row>
    <row r="99" spans="1:11" ht="15.75" customHeight="1" x14ac:dyDescent="0.3">
      <c r="B99" s="82"/>
      <c r="C99" s="83"/>
      <c r="D99" s="84"/>
      <c r="E99" s="84"/>
      <c r="F99" s="85"/>
      <c r="G99" s="86"/>
      <c r="H99" s="86"/>
      <c r="I99" s="87"/>
      <c r="J99" s="87"/>
      <c r="K99" s="88"/>
    </row>
    <row r="100" spans="1:11" ht="133.5" customHeight="1" x14ac:dyDescent="0.3">
      <c r="B100" s="82"/>
      <c r="C100" s="332" t="s">
        <v>931</v>
      </c>
      <c r="D100" s="332"/>
      <c r="E100" s="332"/>
      <c r="F100" s="332"/>
      <c r="G100" s="332"/>
      <c r="H100" s="89"/>
      <c r="I100" s="133"/>
      <c r="J100" s="84" t="str">
        <f>IF(I100=$B$112,0,IF(I100=$B$113,1,IF(I100=$B$114,2,IF(I100=$B$115,3,IF(I100=$B$116,4,"Not Calculated")))))</f>
        <v>Not Calculated</v>
      </c>
      <c r="K100" s="88"/>
    </row>
    <row r="101" spans="1:11" ht="15.75" customHeight="1" x14ac:dyDescent="0.3">
      <c r="B101" s="82"/>
      <c r="C101" s="83"/>
      <c r="D101" s="84"/>
      <c r="E101" s="84"/>
      <c r="F101" s="85"/>
      <c r="G101" s="86"/>
      <c r="H101" s="86"/>
      <c r="I101" s="87"/>
      <c r="J101" s="87"/>
      <c r="K101" s="88"/>
    </row>
    <row r="102" spans="1:11" ht="62.25" customHeight="1" x14ac:dyDescent="0.3">
      <c r="B102" s="82"/>
      <c r="C102" s="332" t="s">
        <v>932</v>
      </c>
      <c r="D102" s="332"/>
      <c r="E102" s="332"/>
      <c r="F102" s="332"/>
      <c r="G102" s="332"/>
      <c r="H102" s="89"/>
      <c r="I102" s="133"/>
      <c r="J102" s="84" t="str">
        <f>IF(I102=$B$112,0,IF(I102=$B$113,1,IF(I102=$B$114,2,IF(I102=$B$115,3,IF(I102=$B$116,4,"Not Calculated")))))</f>
        <v>Not Calculated</v>
      </c>
      <c r="K102" s="88"/>
    </row>
    <row r="103" spans="1:11" ht="15.75" customHeight="1" x14ac:dyDescent="0.3">
      <c r="B103" s="82"/>
      <c r="C103" s="83"/>
      <c r="D103" s="84"/>
      <c r="E103" s="84"/>
      <c r="F103" s="85"/>
      <c r="G103" s="86"/>
      <c r="H103" s="86"/>
      <c r="I103" s="87"/>
      <c r="J103" s="87"/>
      <c r="K103" s="88"/>
    </row>
    <row r="104" spans="1:11" ht="119.25" customHeight="1" x14ac:dyDescent="0.3">
      <c r="B104" s="82"/>
      <c r="C104" s="332" t="s">
        <v>933</v>
      </c>
      <c r="D104" s="332"/>
      <c r="E104" s="332"/>
      <c r="F104" s="332"/>
      <c r="G104" s="332"/>
      <c r="H104" s="89"/>
      <c r="I104" s="133"/>
      <c r="J104" s="84" t="str">
        <f>IF(I104=$B$112,0,IF(I104=$B$113,1,IF(I104=$B$114,2,IF(I104=$B$115,3,IF(I104=$B$116,4,"Not Calculated")))))</f>
        <v>Not Calculated</v>
      </c>
      <c r="K104" s="88"/>
    </row>
    <row r="105" spans="1:11" ht="15.75" customHeight="1" x14ac:dyDescent="0.3">
      <c r="B105" s="82"/>
      <c r="C105" s="83"/>
      <c r="D105" s="84"/>
      <c r="E105" s="84"/>
      <c r="F105" s="85"/>
      <c r="G105" s="86"/>
      <c r="H105" s="86"/>
      <c r="I105" s="87"/>
      <c r="J105" s="87"/>
      <c r="K105" s="88"/>
    </row>
    <row r="106" spans="1:11" ht="106.5" customHeight="1" x14ac:dyDescent="0.3">
      <c r="B106" s="82"/>
      <c r="C106" s="332" t="s">
        <v>934</v>
      </c>
      <c r="D106" s="333"/>
      <c r="E106" s="333"/>
      <c r="F106" s="333"/>
      <c r="G106" s="333"/>
      <c r="H106" s="89"/>
      <c r="I106" s="133"/>
      <c r="J106" s="84" t="str">
        <f>IF(I106=$B$112,0,IF(I106=$B$113,1,IF(I106=$B$114,2,IF(I106=$B$115,3,IF(I106=$B$116,4,"Not Calculated")))))</f>
        <v>Not Calculated</v>
      </c>
      <c r="K106" s="88"/>
    </row>
    <row r="107" spans="1:11" ht="15.75" customHeight="1" x14ac:dyDescent="0.3">
      <c r="B107" s="82"/>
      <c r="C107" s="83"/>
      <c r="D107" s="84"/>
      <c r="E107" s="84"/>
      <c r="F107" s="85"/>
      <c r="G107" s="86"/>
      <c r="H107" s="86"/>
      <c r="I107" s="87"/>
      <c r="J107" s="87"/>
      <c r="K107" s="88"/>
    </row>
    <row r="108" spans="1:11" x14ac:dyDescent="0.3">
      <c r="B108" s="82"/>
      <c r="C108" s="90" t="s">
        <v>127</v>
      </c>
      <c r="D108" s="86"/>
      <c r="E108" s="86"/>
      <c r="F108" s="85"/>
      <c r="G108" s="86"/>
      <c r="H108" s="86"/>
      <c r="I108" s="84"/>
      <c r="J108" s="91" t="str">
        <f>IF(OR(J100="Not Calculated",J102="Not Calculated",J104="Not Calculated",J106="Not Calculated")=TRUE,"Not Calculated",AVERAGE(J100,J102,J104,J106))</f>
        <v>Not Calculated</v>
      </c>
      <c r="K108" s="88"/>
    </row>
    <row r="109" spans="1:11" ht="15" thickBot="1" x14ac:dyDescent="0.35">
      <c r="B109" s="92"/>
      <c r="C109" s="93"/>
      <c r="D109" s="94"/>
      <c r="E109" s="94"/>
      <c r="F109" s="94"/>
      <c r="G109" s="95"/>
      <c r="H109" s="95"/>
      <c r="I109" s="96"/>
      <c r="J109" s="96"/>
      <c r="K109" s="97"/>
    </row>
    <row r="110" spans="1:11" x14ac:dyDescent="0.3">
      <c r="B110" s="100"/>
      <c r="C110" s="52"/>
      <c r="D110" s="100"/>
      <c r="E110" s="100"/>
      <c r="F110" s="100"/>
    </row>
    <row r="111" spans="1:11" hidden="1" x14ac:dyDescent="0.3">
      <c r="A111" s="12" t="s">
        <v>128</v>
      </c>
      <c r="B111" s="100"/>
      <c r="C111" s="52"/>
      <c r="D111" s="100"/>
      <c r="E111" s="100"/>
      <c r="F111" s="100"/>
    </row>
    <row r="112" spans="1:11" hidden="1" x14ac:dyDescent="0.3">
      <c r="A112" s="12">
        <v>0</v>
      </c>
      <c r="B112" s="12" t="s">
        <v>129</v>
      </c>
    </row>
    <row r="113" spans="1:2" hidden="1" x14ac:dyDescent="0.3">
      <c r="A113" s="12">
        <v>1</v>
      </c>
      <c r="B113" s="12" t="s">
        <v>108</v>
      </c>
    </row>
    <row r="114" spans="1:2" hidden="1" x14ac:dyDescent="0.3">
      <c r="A114" s="12">
        <v>2</v>
      </c>
      <c r="B114" s="12" t="s">
        <v>99</v>
      </c>
    </row>
    <row r="115" spans="1:2" hidden="1" x14ac:dyDescent="0.3">
      <c r="A115" s="12">
        <v>3</v>
      </c>
      <c r="B115" s="12" t="s">
        <v>100</v>
      </c>
    </row>
    <row r="116" spans="1:2" hidden="1" x14ac:dyDescent="0.3">
      <c r="A116" s="12">
        <v>4</v>
      </c>
      <c r="B116" s="12" t="s">
        <v>96</v>
      </c>
    </row>
  </sheetData>
  <mergeCells count="29">
    <mergeCell ref="C30:G30"/>
    <mergeCell ref="C8:G8"/>
    <mergeCell ref="C10:G10"/>
    <mergeCell ref="C12:G12"/>
    <mergeCell ref="C14:G14"/>
    <mergeCell ref="C28:G28"/>
    <mergeCell ref="C64:G64"/>
    <mergeCell ref="C66:G66"/>
    <mergeCell ref="C52:G52"/>
    <mergeCell ref="C38:G38"/>
    <mergeCell ref="C40:G40"/>
    <mergeCell ref="C42:G42"/>
    <mergeCell ref="C44:G44"/>
    <mergeCell ref="C100:G100"/>
    <mergeCell ref="C102:G102"/>
    <mergeCell ref="C104:G104"/>
    <mergeCell ref="C106:G106"/>
    <mergeCell ref="C16:G16"/>
    <mergeCell ref="C18:G18"/>
    <mergeCell ref="C20:G20"/>
    <mergeCell ref="C82:G82"/>
    <mergeCell ref="C90:G90"/>
    <mergeCell ref="C92:G92"/>
    <mergeCell ref="C78:G78"/>
    <mergeCell ref="C80:G80"/>
    <mergeCell ref="C74:G74"/>
    <mergeCell ref="C76:G76"/>
    <mergeCell ref="C54:G54"/>
    <mergeCell ref="C56:G56"/>
  </mergeCells>
  <dataValidations count="1">
    <dataValidation type="list" allowBlank="1" showInputMessage="1" showErrorMessage="1" sqref="I82 I16 I14 I90 I102 I78 I74 I64 I54 I52 I42 I38 I30 I28 I12 I10 I8 I56 I92 I20 I104 I40 I44 I106 I66 I76 I100 I18 I80" xr:uid="{00000000-0002-0000-0800-000000000000}">
      <formula1>$B$112:$B$116</formula1>
    </dataValidation>
  </dataValidations>
  <pageMargins left="0.7" right="0.7" top="0.75" bottom="0.75" header="0.3" footer="0.3"/>
  <pageSetup scale="6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L121"/>
  <sheetViews>
    <sheetView showGridLines="0" showRowColHeaders="0" zoomScaleNormal="100" workbookViewId="0">
      <selection activeCell="H12" sqref="H12"/>
    </sheetView>
  </sheetViews>
  <sheetFormatPr defaultColWidth="9.109375" defaultRowHeight="14.4" x14ac:dyDescent="0.3"/>
  <cols>
    <col min="1" max="7" width="9.109375" style="12"/>
    <col min="8" max="8" width="20.6640625" style="12" customWidth="1"/>
    <col min="9" max="16384" width="9.109375" style="12"/>
  </cols>
  <sheetData>
    <row r="1" spans="2:12" x14ac:dyDescent="0.3">
      <c r="H1" s="30"/>
    </row>
    <row r="2" spans="2:12" ht="30" x14ac:dyDescent="0.3">
      <c r="F2" s="318" t="s">
        <v>1204</v>
      </c>
      <c r="H2" s="30"/>
      <c r="K2" s="32"/>
      <c r="L2" s="32"/>
    </row>
    <row r="3" spans="2:12" ht="22.8" x14ac:dyDescent="0.4">
      <c r="F3" s="31" t="s">
        <v>22</v>
      </c>
      <c r="H3" s="30"/>
      <c r="K3" s="32"/>
      <c r="L3" s="32"/>
    </row>
    <row r="4" spans="2:12" ht="15" customHeight="1" x14ac:dyDescent="0.3">
      <c r="F4" s="99"/>
      <c r="H4" s="30"/>
      <c r="K4" s="105"/>
      <c r="L4" s="32"/>
    </row>
    <row r="5" spans="2:12" ht="15" customHeight="1" x14ac:dyDescent="0.3">
      <c r="F5" s="99" t="s">
        <v>234</v>
      </c>
      <c r="H5" s="30"/>
      <c r="K5" s="105"/>
      <c r="L5" s="32"/>
    </row>
    <row r="6" spans="2:12" ht="15" customHeight="1" x14ac:dyDescent="0.3">
      <c r="F6" s="106" t="s">
        <v>233</v>
      </c>
      <c r="H6" s="30"/>
      <c r="K6" s="105"/>
    </row>
    <row r="7" spans="2:12" ht="15" customHeight="1" thickBot="1" x14ac:dyDescent="0.35">
      <c r="F7" s="99"/>
      <c r="H7" s="30"/>
      <c r="K7" s="105"/>
      <c r="L7" s="32"/>
    </row>
    <row r="8" spans="2:12" x14ac:dyDescent="0.3">
      <c r="B8" s="2"/>
      <c r="C8" s="3"/>
      <c r="D8" s="3"/>
      <c r="E8" s="3"/>
      <c r="F8" s="3"/>
      <c r="G8" s="3"/>
      <c r="H8" s="4"/>
      <c r="I8" s="5"/>
    </row>
    <row r="9" spans="2:12" x14ac:dyDescent="0.3">
      <c r="B9" s="6"/>
      <c r="C9" s="7"/>
      <c r="D9" s="7"/>
      <c r="E9" s="7"/>
      <c r="F9" s="7"/>
      <c r="G9" s="7"/>
      <c r="H9" s="7"/>
      <c r="I9" s="8"/>
    </row>
    <row r="10" spans="2:12" x14ac:dyDescent="0.3">
      <c r="B10" s="6"/>
      <c r="C10" s="7" t="s">
        <v>200</v>
      </c>
      <c r="D10" s="7"/>
      <c r="E10" s="7"/>
      <c r="F10" s="7"/>
      <c r="G10" s="7"/>
      <c r="H10" s="311">
        <f>'Baseline Health'!G6</f>
        <v>0</v>
      </c>
      <c r="I10" s="8"/>
    </row>
    <row r="11" spans="2:12" x14ac:dyDescent="0.3">
      <c r="B11" s="6"/>
      <c r="C11" s="7"/>
      <c r="D11" s="7"/>
      <c r="E11" s="7"/>
      <c r="F11" s="7"/>
      <c r="G11" s="7"/>
      <c r="H11" s="7"/>
      <c r="I11" s="8"/>
    </row>
    <row r="12" spans="2:12" x14ac:dyDescent="0.3">
      <c r="B12" s="6"/>
      <c r="C12" s="7" t="s">
        <v>201</v>
      </c>
      <c r="D12" s="7"/>
      <c r="E12" s="7"/>
      <c r="F12" s="7"/>
      <c r="G12" s="7"/>
      <c r="H12" s="312"/>
      <c r="I12" s="8"/>
    </row>
    <row r="13" spans="2:12" x14ac:dyDescent="0.3">
      <c r="B13" s="6"/>
      <c r="C13" s="7"/>
      <c r="D13" s="7"/>
      <c r="E13" s="7"/>
      <c r="F13" s="7"/>
      <c r="G13" s="7"/>
      <c r="H13" s="7"/>
      <c r="I13" s="8"/>
    </row>
    <row r="14" spans="2:12" x14ac:dyDescent="0.3">
      <c r="B14" s="6"/>
      <c r="C14" s="7" t="s">
        <v>202</v>
      </c>
      <c r="D14" s="7"/>
      <c r="E14" s="7"/>
      <c r="F14" s="7"/>
      <c r="G14" s="7"/>
      <c r="H14" s="317"/>
      <c r="I14" s="8"/>
    </row>
    <row r="15" spans="2:12" x14ac:dyDescent="0.3">
      <c r="B15" s="6"/>
      <c r="C15" s="7"/>
      <c r="D15" s="7"/>
      <c r="E15" s="7"/>
      <c r="F15" s="7"/>
      <c r="G15" s="7"/>
      <c r="H15" s="7"/>
      <c r="I15" s="8"/>
    </row>
    <row r="16" spans="2:12" x14ac:dyDescent="0.3">
      <c r="B16" s="6"/>
      <c r="C16" s="7" t="s">
        <v>203</v>
      </c>
      <c r="D16" s="7"/>
      <c r="E16" s="7"/>
      <c r="F16" s="7"/>
      <c r="G16" s="7"/>
      <c r="H16" s="317"/>
      <c r="I16" s="8"/>
    </row>
    <row r="17" spans="2:9" x14ac:dyDescent="0.3">
      <c r="B17" s="6"/>
      <c r="C17" s="7"/>
      <c r="D17" s="7"/>
      <c r="E17" s="7"/>
      <c r="F17" s="7"/>
      <c r="G17" s="7"/>
      <c r="H17" s="7"/>
      <c r="I17" s="8"/>
    </row>
    <row r="18" spans="2:9" x14ac:dyDescent="0.3">
      <c r="B18" s="6"/>
      <c r="C18" s="7" t="s">
        <v>204</v>
      </c>
      <c r="D18" s="7"/>
      <c r="E18" s="7"/>
      <c r="F18" s="7"/>
      <c r="G18" s="7"/>
      <c r="H18" s="316"/>
      <c r="I18" s="8"/>
    </row>
    <row r="19" spans="2:9" x14ac:dyDescent="0.3">
      <c r="B19" s="6"/>
      <c r="C19" s="7"/>
      <c r="D19" s="7"/>
      <c r="E19" s="7"/>
      <c r="F19" s="7"/>
      <c r="G19" s="7"/>
      <c r="H19" s="7"/>
      <c r="I19" s="8"/>
    </row>
    <row r="20" spans="2:9" x14ac:dyDescent="0.3">
      <c r="B20" s="6"/>
      <c r="C20" s="7"/>
      <c r="D20" s="336" t="s">
        <v>205</v>
      </c>
      <c r="E20" s="336"/>
      <c r="F20" s="336"/>
      <c r="G20" s="336"/>
      <c r="H20" s="7"/>
      <c r="I20" s="8"/>
    </row>
    <row r="21" spans="2:9" x14ac:dyDescent="0.3">
      <c r="B21" s="6"/>
      <c r="C21" s="7"/>
      <c r="D21" s="336"/>
      <c r="E21" s="336"/>
      <c r="F21" s="336"/>
      <c r="G21" s="336"/>
      <c r="H21" s="312"/>
      <c r="I21" s="8"/>
    </row>
    <row r="22" spans="2:9" x14ac:dyDescent="0.3">
      <c r="B22" s="6"/>
      <c r="C22" s="7"/>
      <c r="D22" s="7"/>
      <c r="E22" s="7"/>
      <c r="F22" s="7"/>
      <c r="G22" s="7"/>
      <c r="H22" s="7"/>
      <c r="I22" s="8"/>
    </row>
    <row r="23" spans="2:9" x14ac:dyDescent="0.3">
      <c r="B23" s="6"/>
      <c r="C23" s="7"/>
      <c r="D23" s="336" t="s">
        <v>206</v>
      </c>
      <c r="E23" s="336"/>
      <c r="F23" s="336"/>
      <c r="G23" s="336"/>
      <c r="H23" s="7"/>
      <c r="I23" s="8"/>
    </row>
    <row r="24" spans="2:9" x14ac:dyDescent="0.3">
      <c r="B24" s="6"/>
      <c r="C24" s="7"/>
      <c r="D24" s="336"/>
      <c r="E24" s="336"/>
      <c r="F24" s="336"/>
      <c r="G24" s="336"/>
      <c r="H24" s="312"/>
      <c r="I24" s="8"/>
    </row>
    <row r="25" spans="2:9" x14ac:dyDescent="0.3">
      <c r="B25" s="6"/>
      <c r="C25" s="7"/>
      <c r="D25" s="7"/>
      <c r="E25" s="7"/>
      <c r="F25" s="7"/>
      <c r="G25" s="7"/>
      <c r="H25" s="7"/>
      <c r="I25" s="8"/>
    </row>
    <row r="26" spans="2:9" x14ac:dyDescent="0.3">
      <c r="B26" s="6"/>
      <c r="C26" s="7" t="s">
        <v>207</v>
      </c>
      <c r="D26" s="7"/>
      <c r="E26" s="7"/>
      <c r="F26" s="7"/>
      <c r="G26" s="7"/>
      <c r="H26" s="316"/>
      <c r="I26" s="8"/>
    </row>
    <row r="27" spans="2:9" x14ac:dyDescent="0.3">
      <c r="B27" s="6"/>
      <c r="C27" s="7"/>
      <c r="D27" s="7"/>
      <c r="E27" s="7"/>
      <c r="F27" s="7"/>
      <c r="G27" s="7"/>
      <c r="H27" s="7"/>
      <c r="I27" s="8"/>
    </row>
    <row r="28" spans="2:9" x14ac:dyDescent="0.3">
      <c r="B28" s="6"/>
      <c r="C28" s="7"/>
      <c r="D28" s="7" t="s">
        <v>208</v>
      </c>
      <c r="E28" s="7"/>
      <c r="F28" s="7"/>
      <c r="G28" s="7"/>
      <c r="H28" s="312"/>
      <c r="I28" s="8"/>
    </row>
    <row r="29" spans="2:9" x14ac:dyDescent="0.3">
      <c r="B29" s="6"/>
      <c r="C29" s="7"/>
      <c r="D29" s="7"/>
      <c r="E29" s="7"/>
      <c r="F29" s="7"/>
      <c r="G29" s="7"/>
      <c r="H29" s="7"/>
      <c r="I29" s="8"/>
    </row>
    <row r="30" spans="2:9" x14ac:dyDescent="0.3">
      <c r="B30" s="6"/>
      <c r="C30" s="7"/>
      <c r="D30" s="7" t="s">
        <v>210</v>
      </c>
      <c r="E30" s="7"/>
      <c r="F30" s="7"/>
      <c r="G30" s="7"/>
      <c r="H30" s="312"/>
      <c r="I30" s="8"/>
    </row>
    <row r="31" spans="2:9" x14ac:dyDescent="0.3">
      <c r="B31" s="6"/>
      <c r="C31" s="7"/>
      <c r="D31" s="7"/>
      <c r="E31" s="7"/>
      <c r="F31" s="7"/>
      <c r="G31" s="7"/>
      <c r="H31" s="7"/>
      <c r="I31" s="8"/>
    </row>
    <row r="32" spans="2:9" x14ac:dyDescent="0.3">
      <c r="B32" s="6"/>
      <c r="C32" s="7"/>
      <c r="D32" s="336" t="s">
        <v>211</v>
      </c>
      <c r="E32" s="336"/>
      <c r="F32" s="336"/>
      <c r="G32" s="336"/>
      <c r="H32" s="7"/>
      <c r="I32" s="8"/>
    </row>
    <row r="33" spans="2:9" x14ac:dyDescent="0.3">
      <c r="B33" s="6"/>
      <c r="C33" s="7"/>
      <c r="D33" s="336"/>
      <c r="E33" s="336"/>
      <c r="F33" s="336"/>
      <c r="G33" s="336"/>
      <c r="H33" s="312"/>
      <c r="I33" s="8"/>
    </row>
    <row r="34" spans="2:9" x14ac:dyDescent="0.3">
      <c r="B34" s="6"/>
      <c r="C34" s="7"/>
      <c r="D34" s="7"/>
      <c r="E34" s="7"/>
      <c r="F34" s="7"/>
      <c r="G34" s="7"/>
      <c r="H34" s="7"/>
      <c r="I34" s="8"/>
    </row>
    <row r="35" spans="2:9" x14ac:dyDescent="0.3">
      <c r="B35" s="6"/>
      <c r="C35" s="7" t="s">
        <v>212</v>
      </c>
      <c r="D35" s="7"/>
      <c r="E35" s="7"/>
      <c r="F35" s="7"/>
      <c r="G35" s="7"/>
      <c r="H35" s="316"/>
      <c r="I35" s="8"/>
    </row>
    <row r="36" spans="2:9" x14ac:dyDescent="0.3">
      <c r="B36" s="6"/>
      <c r="C36" s="7"/>
      <c r="D36" s="7"/>
      <c r="E36" s="7"/>
      <c r="F36" s="7"/>
      <c r="G36" s="7"/>
      <c r="H36" s="7"/>
      <c r="I36" s="8"/>
    </row>
    <row r="37" spans="2:9" x14ac:dyDescent="0.3">
      <c r="B37" s="6"/>
      <c r="C37" s="7"/>
      <c r="D37" s="7" t="s">
        <v>213</v>
      </c>
      <c r="E37" s="7"/>
      <c r="F37" s="7"/>
      <c r="G37" s="7"/>
      <c r="H37" s="312"/>
      <c r="I37" s="8"/>
    </row>
    <row r="38" spans="2:9" x14ac:dyDescent="0.3">
      <c r="B38" s="6"/>
      <c r="C38" s="7"/>
      <c r="D38" s="7"/>
      <c r="E38" s="7"/>
      <c r="F38" s="7"/>
      <c r="G38" s="7"/>
      <c r="H38" s="7"/>
      <c r="I38" s="8"/>
    </row>
    <row r="39" spans="2:9" x14ac:dyDescent="0.3">
      <c r="B39" s="6"/>
      <c r="C39" s="7"/>
      <c r="D39" s="7" t="s">
        <v>214</v>
      </c>
      <c r="E39" s="7"/>
      <c r="F39" s="7"/>
      <c r="G39" s="7"/>
      <c r="H39" s="312"/>
      <c r="I39" s="8"/>
    </row>
    <row r="40" spans="2:9" x14ac:dyDescent="0.3">
      <c r="B40" s="6"/>
      <c r="C40" s="7"/>
      <c r="D40" s="7"/>
      <c r="E40" s="7"/>
      <c r="F40" s="7"/>
      <c r="G40" s="7"/>
      <c r="H40" s="7"/>
      <c r="I40" s="8"/>
    </row>
    <row r="41" spans="2:9" x14ac:dyDescent="0.3">
      <c r="B41" s="6"/>
      <c r="C41" s="7"/>
      <c r="D41" s="336" t="s">
        <v>209</v>
      </c>
      <c r="E41" s="336"/>
      <c r="F41" s="336"/>
      <c r="G41" s="336"/>
      <c r="H41" s="7"/>
      <c r="I41" s="8"/>
    </row>
    <row r="42" spans="2:9" x14ac:dyDescent="0.3">
      <c r="B42" s="6"/>
      <c r="C42" s="7"/>
      <c r="D42" s="336"/>
      <c r="E42" s="336"/>
      <c r="F42" s="336"/>
      <c r="G42" s="336"/>
      <c r="H42" s="312"/>
      <c r="I42" s="8"/>
    </row>
    <row r="43" spans="2:9" x14ac:dyDescent="0.3">
      <c r="B43" s="6"/>
      <c r="C43" s="7"/>
      <c r="D43" s="7"/>
      <c r="E43" s="7"/>
      <c r="F43" s="7"/>
      <c r="G43" s="7"/>
      <c r="H43" s="7"/>
      <c r="I43" s="8"/>
    </row>
    <row r="44" spans="2:9" x14ac:dyDescent="0.3">
      <c r="B44" s="6"/>
      <c r="C44" s="336" t="s">
        <v>197</v>
      </c>
      <c r="D44" s="336"/>
      <c r="E44" s="336"/>
      <c r="F44" s="336"/>
      <c r="G44" s="336"/>
      <c r="H44" s="7"/>
      <c r="I44" s="8"/>
    </row>
    <row r="45" spans="2:9" x14ac:dyDescent="0.3">
      <c r="B45" s="6"/>
      <c r="C45" s="336"/>
      <c r="D45" s="336"/>
      <c r="E45" s="336"/>
      <c r="F45" s="336"/>
      <c r="G45" s="336"/>
      <c r="H45" s="316"/>
      <c r="I45" s="8"/>
    </row>
    <row r="46" spans="2:9" x14ac:dyDescent="0.3">
      <c r="B46" s="6"/>
      <c r="C46" s="7"/>
      <c r="D46" s="7"/>
      <c r="E46" s="7"/>
      <c r="F46" s="7"/>
      <c r="G46" s="7"/>
      <c r="H46" s="7"/>
      <c r="I46" s="8"/>
    </row>
    <row r="47" spans="2:9" x14ac:dyDescent="0.3">
      <c r="B47" s="6"/>
      <c r="C47" s="7"/>
      <c r="D47" s="336" t="s">
        <v>199</v>
      </c>
      <c r="E47" s="336"/>
      <c r="F47" s="336"/>
      <c r="G47" s="336"/>
      <c r="H47" s="7"/>
      <c r="I47" s="8"/>
    </row>
    <row r="48" spans="2:9" ht="15" customHeight="1" x14ac:dyDescent="0.3">
      <c r="B48" s="6"/>
      <c r="C48" s="7"/>
      <c r="D48" s="336"/>
      <c r="E48" s="336"/>
      <c r="F48" s="336"/>
      <c r="G48" s="336"/>
      <c r="H48" s="7"/>
      <c r="I48" s="8"/>
    </row>
    <row r="49" spans="2:9" x14ac:dyDescent="0.3">
      <c r="B49" s="6"/>
      <c r="C49" s="7"/>
      <c r="D49" s="336"/>
      <c r="E49" s="336"/>
      <c r="F49" s="336"/>
      <c r="G49" s="336"/>
      <c r="H49" s="316"/>
      <c r="I49" s="8"/>
    </row>
    <row r="50" spans="2:9" x14ac:dyDescent="0.3">
      <c r="B50" s="6"/>
      <c r="C50" s="7"/>
      <c r="D50" s="14"/>
      <c r="E50" s="14"/>
      <c r="F50" s="14"/>
      <c r="G50" s="14"/>
      <c r="H50" s="7"/>
      <c r="I50" s="8"/>
    </row>
    <row r="51" spans="2:9" x14ac:dyDescent="0.3">
      <c r="B51" s="6"/>
      <c r="C51" s="7"/>
      <c r="D51" s="336" t="s">
        <v>592</v>
      </c>
      <c r="E51" s="336"/>
      <c r="F51" s="336"/>
      <c r="G51" s="336"/>
      <c r="H51" s="7"/>
      <c r="I51" s="8"/>
    </row>
    <row r="52" spans="2:9" ht="15" customHeight="1" x14ac:dyDescent="0.3">
      <c r="B52" s="6"/>
      <c r="C52" s="7"/>
      <c r="D52" s="336"/>
      <c r="E52" s="336"/>
      <c r="F52" s="336"/>
      <c r="G52" s="336"/>
      <c r="H52" s="7"/>
      <c r="I52" s="8"/>
    </row>
    <row r="53" spans="2:9" x14ac:dyDescent="0.3">
      <c r="B53" s="6"/>
      <c r="C53" s="7"/>
      <c r="D53" s="336"/>
      <c r="E53" s="336"/>
      <c r="F53" s="336"/>
      <c r="G53" s="336"/>
      <c r="H53" s="316"/>
      <c r="I53" s="8"/>
    </row>
    <row r="54" spans="2:9" x14ac:dyDescent="0.3">
      <c r="B54" s="6"/>
      <c r="C54" s="7"/>
      <c r="D54" s="14"/>
      <c r="E54" s="14"/>
      <c r="F54" s="14"/>
      <c r="G54" s="14"/>
      <c r="H54" s="7"/>
      <c r="I54" s="8"/>
    </row>
    <row r="55" spans="2:9" x14ac:dyDescent="0.3">
      <c r="B55" s="6"/>
      <c r="C55" s="7"/>
      <c r="D55" s="336" t="s">
        <v>216</v>
      </c>
      <c r="E55" s="336"/>
      <c r="F55" s="336"/>
      <c r="G55" s="336"/>
      <c r="H55" s="7"/>
      <c r="I55" s="8"/>
    </row>
    <row r="56" spans="2:9" x14ac:dyDescent="0.3">
      <c r="B56" s="6"/>
      <c r="C56" s="7"/>
      <c r="D56" s="336"/>
      <c r="E56" s="336"/>
      <c r="F56" s="336"/>
      <c r="G56" s="336"/>
      <c r="H56" s="312"/>
      <c r="I56" s="8"/>
    </row>
    <row r="57" spans="2:9" x14ac:dyDescent="0.3">
      <c r="B57" s="6"/>
      <c r="C57" s="7"/>
      <c r="D57" s="14"/>
      <c r="E57" s="14"/>
      <c r="F57" s="14"/>
      <c r="G57" s="14"/>
      <c r="H57" s="7"/>
      <c r="I57" s="8"/>
    </row>
    <row r="58" spans="2:9" x14ac:dyDescent="0.3">
      <c r="B58" s="6"/>
      <c r="C58" s="7"/>
      <c r="D58" s="336" t="s">
        <v>217</v>
      </c>
      <c r="E58" s="336"/>
      <c r="F58" s="336"/>
      <c r="G58" s="336"/>
      <c r="H58" s="7"/>
      <c r="I58" s="8"/>
    </row>
    <row r="59" spans="2:9" x14ac:dyDescent="0.3">
      <c r="B59" s="6"/>
      <c r="C59" s="7"/>
      <c r="D59" s="336"/>
      <c r="E59" s="336"/>
      <c r="F59" s="336"/>
      <c r="G59" s="336"/>
      <c r="H59" s="316"/>
      <c r="I59" s="8"/>
    </row>
    <row r="60" spans="2:9" x14ac:dyDescent="0.3">
      <c r="B60" s="6"/>
      <c r="C60" s="7"/>
      <c r="D60" s="14"/>
      <c r="E60" s="14"/>
      <c r="F60" s="14"/>
      <c r="G60" s="14"/>
      <c r="H60" s="7"/>
      <c r="I60" s="8"/>
    </row>
    <row r="61" spans="2:9" x14ac:dyDescent="0.3">
      <c r="B61" s="6"/>
      <c r="C61" s="7"/>
      <c r="D61" s="336" t="s">
        <v>218</v>
      </c>
      <c r="E61" s="336"/>
      <c r="F61" s="336"/>
      <c r="G61" s="336"/>
      <c r="H61" s="7"/>
      <c r="I61" s="8"/>
    </row>
    <row r="62" spans="2:9" x14ac:dyDescent="0.3">
      <c r="B62" s="6"/>
      <c r="C62" s="7"/>
      <c r="D62" s="336"/>
      <c r="E62" s="336"/>
      <c r="F62" s="336"/>
      <c r="G62" s="336"/>
      <c r="H62" s="312"/>
      <c r="I62" s="8"/>
    </row>
    <row r="63" spans="2:9" ht="15" customHeight="1" x14ac:dyDescent="0.3">
      <c r="B63" s="6"/>
      <c r="C63" s="7"/>
      <c r="D63" s="336" t="s">
        <v>231</v>
      </c>
      <c r="E63" s="336"/>
      <c r="F63" s="336"/>
      <c r="G63" s="336"/>
      <c r="H63" s="7"/>
      <c r="I63" s="8"/>
    </row>
    <row r="64" spans="2:9" x14ac:dyDescent="0.3">
      <c r="B64" s="6"/>
      <c r="C64" s="7"/>
      <c r="D64" s="336"/>
      <c r="E64" s="336"/>
      <c r="F64" s="336"/>
      <c r="G64" s="336"/>
      <c r="H64" s="310" t="str">
        <f>IF($H$10&lt;&gt;0,H62*100000/$H$10,"Not Calculated")</f>
        <v>Not Calculated</v>
      </c>
      <c r="I64" s="8"/>
    </row>
    <row r="65" spans="2:9" x14ac:dyDescent="0.3">
      <c r="B65" s="6"/>
      <c r="C65" s="7"/>
      <c r="D65" s="14"/>
      <c r="E65" s="14"/>
      <c r="F65" s="14"/>
      <c r="G65" s="14"/>
      <c r="H65" s="7"/>
      <c r="I65" s="8"/>
    </row>
    <row r="66" spans="2:9" x14ac:dyDescent="0.3">
      <c r="B66" s="6"/>
      <c r="C66" s="7"/>
      <c r="D66" s="336" t="s">
        <v>219</v>
      </c>
      <c r="E66" s="336"/>
      <c r="F66" s="336"/>
      <c r="G66" s="336"/>
      <c r="H66" s="7"/>
      <c r="I66" s="8"/>
    </row>
    <row r="67" spans="2:9" x14ac:dyDescent="0.3">
      <c r="B67" s="6"/>
      <c r="C67" s="7"/>
      <c r="D67" s="336"/>
      <c r="E67" s="336"/>
      <c r="F67" s="336"/>
      <c r="G67" s="336"/>
      <c r="H67" s="312"/>
      <c r="I67" s="8"/>
    </row>
    <row r="68" spans="2:9" ht="15" customHeight="1" x14ac:dyDescent="0.3">
      <c r="B68" s="6"/>
      <c r="C68" s="7"/>
      <c r="D68" s="336" t="s">
        <v>232</v>
      </c>
      <c r="E68" s="336"/>
      <c r="F68" s="336"/>
      <c r="G68" s="336"/>
      <c r="H68" s="7"/>
      <c r="I68" s="8"/>
    </row>
    <row r="69" spans="2:9" x14ac:dyDescent="0.3">
      <c r="B69" s="6"/>
      <c r="C69" s="7"/>
      <c r="D69" s="336"/>
      <c r="E69" s="336"/>
      <c r="F69" s="336"/>
      <c r="G69" s="336"/>
      <c r="H69" s="310" t="str">
        <f>IF($H$10&lt;&gt;0,H67*100000/$H$10,"Not Calculated")</f>
        <v>Not Calculated</v>
      </c>
      <c r="I69" s="8"/>
    </row>
    <row r="70" spans="2:9" x14ac:dyDescent="0.3">
      <c r="B70" s="6"/>
      <c r="C70" s="7"/>
      <c r="D70" s="14"/>
      <c r="E70" s="14"/>
      <c r="F70" s="14"/>
      <c r="G70" s="14"/>
      <c r="H70" s="7"/>
      <c r="I70" s="8"/>
    </row>
    <row r="71" spans="2:9" x14ac:dyDescent="0.3">
      <c r="B71" s="6"/>
      <c r="C71" s="7"/>
      <c r="D71" s="336" t="s">
        <v>220</v>
      </c>
      <c r="E71" s="336"/>
      <c r="F71" s="336"/>
      <c r="G71" s="336"/>
      <c r="H71" s="7"/>
      <c r="I71" s="8"/>
    </row>
    <row r="72" spans="2:9" x14ac:dyDescent="0.3">
      <c r="B72" s="6"/>
      <c r="C72" s="7"/>
      <c r="D72" s="336"/>
      <c r="E72" s="336"/>
      <c r="F72" s="336"/>
      <c r="G72" s="336"/>
      <c r="H72" s="312"/>
      <c r="I72" s="8"/>
    </row>
    <row r="73" spans="2:9" x14ac:dyDescent="0.3">
      <c r="B73" s="6"/>
      <c r="C73" s="7"/>
      <c r="D73" s="14"/>
      <c r="E73" s="14"/>
      <c r="F73" s="14"/>
      <c r="G73" s="14"/>
      <c r="H73" s="7"/>
      <c r="I73" s="8"/>
    </row>
    <row r="74" spans="2:9" x14ac:dyDescent="0.3">
      <c r="B74" s="6"/>
      <c r="C74" s="7"/>
      <c r="D74" s="336" t="s">
        <v>221</v>
      </c>
      <c r="E74" s="336"/>
      <c r="F74" s="336"/>
      <c r="G74" s="336"/>
      <c r="H74" s="7"/>
      <c r="I74" s="8"/>
    </row>
    <row r="75" spans="2:9" ht="15" customHeight="1" x14ac:dyDescent="0.3">
      <c r="B75" s="6"/>
      <c r="C75" s="7"/>
      <c r="D75" s="336"/>
      <c r="E75" s="336"/>
      <c r="F75" s="336"/>
      <c r="G75" s="336"/>
      <c r="H75" s="7"/>
      <c r="I75" s="8"/>
    </row>
    <row r="76" spans="2:9" x14ac:dyDescent="0.3">
      <c r="B76" s="6"/>
      <c r="C76" s="7"/>
      <c r="D76" s="336"/>
      <c r="E76" s="336"/>
      <c r="F76" s="336"/>
      <c r="G76" s="336"/>
      <c r="H76" s="312"/>
      <c r="I76" s="8"/>
    </row>
    <row r="77" spans="2:9" x14ac:dyDescent="0.3">
      <c r="B77" s="6"/>
      <c r="C77" s="7"/>
      <c r="D77" s="14"/>
      <c r="E77" s="14"/>
      <c r="F77" s="14"/>
      <c r="G77" s="14"/>
      <c r="H77" s="7"/>
      <c r="I77" s="8"/>
    </row>
    <row r="78" spans="2:9" x14ac:dyDescent="0.3">
      <c r="B78" s="6"/>
      <c r="C78" s="7"/>
      <c r="D78" s="336" t="s">
        <v>995</v>
      </c>
      <c r="E78" s="336"/>
      <c r="F78" s="336"/>
      <c r="G78" s="336"/>
      <c r="H78" s="7"/>
      <c r="I78" s="8"/>
    </row>
    <row r="79" spans="2:9" x14ac:dyDescent="0.3">
      <c r="B79" s="6"/>
      <c r="C79" s="7"/>
      <c r="D79" s="336"/>
      <c r="E79" s="336"/>
      <c r="F79" s="336"/>
      <c r="G79" s="336"/>
      <c r="H79" s="316"/>
      <c r="I79" s="8"/>
    </row>
    <row r="80" spans="2:9" x14ac:dyDescent="0.3">
      <c r="B80" s="6"/>
      <c r="C80" s="7"/>
      <c r="D80" s="14"/>
      <c r="E80" s="14"/>
      <c r="F80" s="14"/>
      <c r="G80" s="14"/>
      <c r="H80" s="7"/>
      <c r="I80" s="8"/>
    </row>
    <row r="81" spans="2:9" x14ac:dyDescent="0.3">
      <c r="B81" s="6"/>
      <c r="C81" s="7"/>
      <c r="D81" s="336" t="s">
        <v>994</v>
      </c>
      <c r="E81" s="336"/>
      <c r="F81" s="336"/>
      <c r="G81" s="336"/>
      <c r="H81" s="7"/>
      <c r="I81" s="8"/>
    </row>
    <row r="82" spans="2:9" x14ac:dyDescent="0.3">
      <c r="B82" s="6"/>
      <c r="C82" s="7"/>
      <c r="D82" s="336"/>
      <c r="E82" s="336"/>
      <c r="F82" s="336"/>
      <c r="G82" s="336"/>
      <c r="H82" s="312"/>
      <c r="I82" s="8"/>
    </row>
    <row r="83" spans="2:9" x14ac:dyDescent="0.3">
      <c r="B83" s="6"/>
      <c r="C83" s="7"/>
      <c r="D83" s="14"/>
      <c r="E83" s="14"/>
      <c r="F83" s="14"/>
      <c r="G83" s="14"/>
      <c r="H83" s="7"/>
      <c r="I83" s="8"/>
    </row>
    <row r="84" spans="2:9" x14ac:dyDescent="0.3">
      <c r="B84" s="6"/>
      <c r="C84" s="7"/>
      <c r="D84" s="336" t="s">
        <v>222</v>
      </c>
      <c r="E84" s="336"/>
      <c r="F84" s="336"/>
      <c r="G84" s="336"/>
      <c r="H84" s="7"/>
      <c r="I84" s="8"/>
    </row>
    <row r="85" spans="2:9" x14ac:dyDescent="0.3">
      <c r="B85" s="6"/>
      <c r="C85" s="7"/>
      <c r="D85" s="336"/>
      <c r="E85" s="336"/>
      <c r="F85" s="336"/>
      <c r="G85" s="336"/>
      <c r="H85" s="312"/>
      <c r="I85" s="8"/>
    </row>
    <row r="86" spans="2:9" x14ac:dyDescent="0.3">
      <c r="B86" s="6"/>
      <c r="C86" s="7"/>
      <c r="D86" s="336" t="s">
        <v>223</v>
      </c>
      <c r="E86" s="336"/>
      <c r="F86" s="336"/>
      <c r="G86" s="336"/>
      <c r="H86" s="7"/>
      <c r="I86" s="8"/>
    </row>
    <row r="87" spans="2:9" x14ac:dyDescent="0.3">
      <c r="B87" s="6"/>
      <c r="C87" s="7"/>
      <c r="D87" s="336"/>
      <c r="E87" s="336"/>
      <c r="F87" s="336"/>
      <c r="G87" s="336"/>
      <c r="H87" s="310" t="str">
        <f>IF($H$10&lt;&gt;0,H85*100000/$H$10,"Not Calculated")</f>
        <v>Not Calculated</v>
      </c>
      <c r="I87" s="8"/>
    </row>
    <row r="88" spans="2:9" x14ac:dyDescent="0.3">
      <c r="B88" s="6"/>
      <c r="C88" s="7"/>
      <c r="D88" s="14"/>
      <c r="E88" s="14"/>
      <c r="F88" s="14"/>
      <c r="G88" s="14"/>
      <c r="H88" s="7"/>
      <c r="I88" s="8"/>
    </row>
    <row r="89" spans="2:9" x14ac:dyDescent="0.3">
      <c r="B89" s="6"/>
      <c r="C89" s="7"/>
      <c r="D89" s="336" t="s">
        <v>224</v>
      </c>
      <c r="E89" s="336"/>
      <c r="F89" s="336"/>
      <c r="G89" s="336"/>
      <c r="H89" s="7"/>
      <c r="I89" s="8"/>
    </row>
    <row r="90" spans="2:9" x14ac:dyDescent="0.3">
      <c r="B90" s="6"/>
      <c r="C90" s="7"/>
      <c r="D90" s="336"/>
      <c r="E90" s="336"/>
      <c r="F90" s="336"/>
      <c r="G90" s="336"/>
      <c r="H90" s="312"/>
      <c r="I90" s="8"/>
    </row>
    <row r="91" spans="2:9" x14ac:dyDescent="0.3">
      <c r="B91" s="6"/>
      <c r="C91" s="7"/>
      <c r="D91" s="336" t="s">
        <v>225</v>
      </c>
      <c r="E91" s="336"/>
      <c r="F91" s="336"/>
      <c r="G91" s="336"/>
      <c r="H91" s="7"/>
      <c r="I91" s="8"/>
    </row>
    <row r="92" spans="2:9" x14ac:dyDescent="0.3">
      <c r="B92" s="6"/>
      <c r="C92" s="7"/>
      <c r="D92" s="336"/>
      <c r="E92" s="336"/>
      <c r="F92" s="336"/>
      <c r="G92" s="336"/>
      <c r="H92" s="310" t="str">
        <f>IF($H$10&lt;&gt;0,H90*100000/$H$10,"Not Calculated")</f>
        <v>Not Calculated</v>
      </c>
      <c r="I92" s="8"/>
    </row>
    <row r="93" spans="2:9" x14ac:dyDescent="0.3">
      <c r="B93" s="6"/>
      <c r="C93" s="7"/>
      <c r="D93" s="14"/>
      <c r="E93" s="14"/>
      <c r="F93" s="14"/>
      <c r="G93" s="14"/>
      <c r="H93" s="7"/>
      <c r="I93" s="8"/>
    </row>
    <row r="94" spans="2:9" x14ac:dyDescent="0.3">
      <c r="B94" s="6"/>
      <c r="C94" s="7"/>
      <c r="D94" s="336" t="s">
        <v>226</v>
      </c>
      <c r="E94" s="336"/>
      <c r="F94" s="336"/>
      <c r="G94" s="336"/>
      <c r="H94" s="7"/>
      <c r="I94" s="8"/>
    </row>
    <row r="95" spans="2:9" x14ac:dyDescent="0.3">
      <c r="B95" s="6"/>
      <c r="C95" s="7"/>
      <c r="D95" s="336"/>
      <c r="E95" s="336"/>
      <c r="F95" s="336"/>
      <c r="G95" s="336"/>
      <c r="H95" s="312"/>
      <c r="I95" s="8"/>
    </row>
    <row r="96" spans="2:9" x14ac:dyDescent="0.3">
      <c r="B96" s="6"/>
      <c r="C96" s="7"/>
      <c r="D96" s="336" t="s">
        <v>227</v>
      </c>
      <c r="E96" s="336"/>
      <c r="F96" s="336"/>
      <c r="G96" s="336"/>
      <c r="H96" s="7"/>
      <c r="I96" s="8"/>
    </row>
    <row r="97" spans="2:9" x14ac:dyDescent="0.3">
      <c r="B97" s="6"/>
      <c r="C97" s="7"/>
      <c r="D97" s="336"/>
      <c r="E97" s="336"/>
      <c r="F97" s="336"/>
      <c r="G97" s="336"/>
      <c r="H97" s="310" t="str">
        <f>IF($H$10&lt;&gt;0,H95*100000/$H$10,"Not Calculated")</f>
        <v>Not Calculated</v>
      </c>
      <c r="I97" s="8"/>
    </row>
    <row r="98" spans="2:9" x14ac:dyDescent="0.3">
      <c r="B98" s="6"/>
      <c r="C98" s="7"/>
      <c r="D98" s="14"/>
      <c r="E98" s="14"/>
      <c r="F98" s="14"/>
      <c r="G98" s="14"/>
      <c r="H98" s="7"/>
      <c r="I98" s="8"/>
    </row>
    <row r="99" spans="2:9" x14ac:dyDescent="0.3">
      <c r="B99" s="6"/>
      <c r="C99" s="7"/>
      <c r="D99" s="336" t="s">
        <v>228</v>
      </c>
      <c r="E99" s="336"/>
      <c r="F99" s="336"/>
      <c r="G99" s="336"/>
      <c r="H99" s="7"/>
      <c r="I99" s="8"/>
    </row>
    <row r="100" spans="2:9" x14ac:dyDescent="0.3">
      <c r="B100" s="6"/>
      <c r="C100" s="7"/>
      <c r="D100" s="336"/>
      <c r="E100" s="336"/>
      <c r="F100" s="336"/>
      <c r="G100" s="336"/>
      <c r="H100" s="312"/>
      <c r="I100" s="8"/>
    </row>
    <row r="101" spans="2:9" x14ac:dyDescent="0.3">
      <c r="B101" s="6"/>
      <c r="C101" s="7"/>
      <c r="D101" s="14"/>
      <c r="E101" s="14"/>
      <c r="F101" s="14"/>
      <c r="G101" s="14"/>
      <c r="H101" s="7"/>
      <c r="I101" s="8"/>
    </row>
    <row r="102" spans="2:9" x14ac:dyDescent="0.3">
      <c r="B102" s="6"/>
      <c r="C102" s="7" t="s">
        <v>229</v>
      </c>
      <c r="D102" s="14"/>
      <c r="E102" s="14"/>
      <c r="F102" s="14"/>
      <c r="G102" s="14"/>
      <c r="H102" s="316"/>
      <c r="I102" s="8"/>
    </row>
    <row r="103" spans="2:9" x14ac:dyDescent="0.3">
      <c r="B103" s="6"/>
      <c r="C103" s="7"/>
      <c r="D103" s="14"/>
      <c r="E103" s="14"/>
      <c r="F103" s="14"/>
      <c r="G103" s="14"/>
      <c r="H103" s="7"/>
      <c r="I103" s="8"/>
    </row>
    <row r="104" spans="2:9" x14ac:dyDescent="0.3">
      <c r="B104" s="6"/>
      <c r="C104" s="7"/>
      <c r="D104" s="336" t="s">
        <v>230</v>
      </c>
      <c r="E104" s="336"/>
      <c r="F104" s="336"/>
      <c r="G104" s="336"/>
      <c r="H104" s="7"/>
      <c r="I104" s="8"/>
    </row>
    <row r="105" spans="2:9" x14ac:dyDescent="0.3">
      <c r="B105" s="6"/>
      <c r="C105" s="7"/>
      <c r="D105" s="336"/>
      <c r="E105" s="336"/>
      <c r="F105" s="336"/>
      <c r="G105" s="336"/>
      <c r="H105" s="312"/>
      <c r="I105" s="8"/>
    </row>
    <row r="106" spans="2:9" x14ac:dyDescent="0.3">
      <c r="B106" s="6"/>
      <c r="C106" s="7"/>
      <c r="D106" s="14"/>
      <c r="E106" s="14"/>
      <c r="F106" s="14"/>
      <c r="G106" s="14"/>
      <c r="H106" s="7"/>
      <c r="I106" s="8"/>
    </row>
    <row r="107" spans="2:9" x14ac:dyDescent="0.3">
      <c r="B107" s="6"/>
      <c r="C107" s="334" t="s">
        <v>1164</v>
      </c>
      <c r="D107" s="334"/>
      <c r="E107" s="334"/>
      <c r="F107" s="334"/>
      <c r="G107" s="334"/>
      <c r="H107" s="7"/>
      <c r="I107" s="8"/>
    </row>
    <row r="108" spans="2:9" ht="30" customHeight="1" x14ac:dyDescent="0.3">
      <c r="B108" s="6"/>
      <c r="C108" s="334"/>
      <c r="D108" s="334"/>
      <c r="E108" s="334"/>
      <c r="F108" s="334"/>
      <c r="G108" s="334"/>
      <c r="H108" s="312"/>
      <c r="I108" s="8"/>
    </row>
    <row r="109" spans="2:9" x14ac:dyDescent="0.3">
      <c r="B109" s="6"/>
      <c r="C109" s="313"/>
      <c r="D109" s="313"/>
      <c r="E109" s="313"/>
      <c r="F109" s="313"/>
      <c r="G109" s="313"/>
      <c r="H109" s="7"/>
      <c r="I109" s="8"/>
    </row>
    <row r="110" spans="2:9" x14ac:dyDescent="0.3">
      <c r="B110" s="6"/>
      <c r="C110" s="313"/>
      <c r="D110" s="335" t="s">
        <v>1165</v>
      </c>
      <c r="E110" s="335"/>
      <c r="F110" s="335"/>
      <c r="G110" s="335"/>
      <c r="H110" s="7"/>
      <c r="I110" s="8"/>
    </row>
    <row r="111" spans="2:9" x14ac:dyDescent="0.3">
      <c r="B111" s="6"/>
      <c r="C111" s="313"/>
      <c r="D111" s="335"/>
      <c r="E111" s="335"/>
      <c r="F111" s="335"/>
      <c r="G111" s="335"/>
      <c r="H111" s="314"/>
      <c r="I111" s="8"/>
    </row>
    <row r="112" spans="2:9" x14ac:dyDescent="0.3">
      <c r="B112" s="6"/>
      <c r="C112" s="7"/>
      <c r="D112" s="14"/>
      <c r="E112" s="14"/>
      <c r="F112" s="14"/>
      <c r="G112" s="14"/>
      <c r="H112" s="7"/>
      <c r="I112" s="8"/>
    </row>
    <row r="113" spans="1:9" ht="15" customHeight="1" x14ac:dyDescent="0.3">
      <c r="B113" s="6"/>
      <c r="C113" s="7"/>
      <c r="D113" s="335" t="s">
        <v>1166</v>
      </c>
      <c r="E113" s="335"/>
      <c r="F113" s="335"/>
      <c r="G113" s="335"/>
      <c r="H113" s="7"/>
      <c r="I113" s="8"/>
    </row>
    <row r="114" spans="1:9" x14ac:dyDescent="0.3">
      <c r="B114" s="6"/>
      <c r="C114" s="7"/>
      <c r="D114" s="335"/>
      <c r="E114" s="335"/>
      <c r="F114" s="335"/>
      <c r="G114" s="335"/>
      <c r="H114" s="314"/>
      <c r="I114" s="8"/>
    </row>
    <row r="115" spans="1:9" x14ac:dyDescent="0.3">
      <c r="B115" s="6"/>
      <c r="C115" s="7"/>
      <c r="D115" s="315"/>
      <c r="E115" s="315"/>
      <c r="F115" s="315"/>
      <c r="G115" s="315"/>
      <c r="H115" s="315"/>
      <c r="I115" s="8"/>
    </row>
    <row r="116" spans="1:9" ht="15" customHeight="1" x14ac:dyDescent="0.3">
      <c r="B116" s="6"/>
      <c r="C116" s="7"/>
      <c r="D116" s="335" t="s">
        <v>1167</v>
      </c>
      <c r="E116" s="335"/>
      <c r="F116" s="335"/>
      <c r="G116" s="335"/>
      <c r="H116" s="7"/>
      <c r="I116" s="8"/>
    </row>
    <row r="117" spans="1:9" x14ac:dyDescent="0.3">
      <c r="B117" s="6"/>
      <c r="C117" s="7"/>
      <c r="D117" s="335"/>
      <c r="E117" s="335"/>
      <c r="F117" s="335"/>
      <c r="G117" s="335"/>
      <c r="H117" s="314"/>
      <c r="I117" s="8"/>
    </row>
    <row r="118" spans="1:9" ht="15" thickBot="1" x14ac:dyDescent="0.35">
      <c r="B118" s="9"/>
      <c r="C118" s="10"/>
      <c r="D118" s="10"/>
      <c r="E118" s="10"/>
      <c r="F118" s="10"/>
      <c r="G118" s="10"/>
      <c r="H118" s="10"/>
      <c r="I118" s="11"/>
    </row>
    <row r="120" spans="1:9" hidden="1" x14ac:dyDescent="0.3">
      <c r="A120" s="12" t="s">
        <v>198</v>
      </c>
    </row>
    <row r="121" spans="1:9" hidden="1" x14ac:dyDescent="0.3">
      <c r="A121" s="12" t="s">
        <v>215</v>
      </c>
    </row>
  </sheetData>
  <mergeCells count="29">
    <mergeCell ref="D84:G85"/>
    <mergeCell ref="D81:G82"/>
    <mergeCell ref="D104:G105"/>
    <mergeCell ref="D86:G87"/>
    <mergeCell ref="D89:G90"/>
    <mergeCell ref="D91:G92"/>
    <mergeCell ref="D94:G95"/>
    <mergeCell ref="D96:G97"/>
    <mergeCell ref="D20:G21"/>
    <mergeCell ref="D23:G24"/>
    <mergeCell ref="D32:G33"/>
    <mergeCell ref="D47:G49"/>
    <mergeCell ref="D51:G53"/>
    <mergeCell ref="C107:G108"/>
    <mergeCell ref="D110:G111"/>
    <mergeCell ref="D113:G114"/>
    <mergeCell ref="D116:G117"/>
    <mergeCell ref="D41:G42"/>
    <mergeCell ref="C44:G45"/>
    <mergeCell ref="D55:G56"/>
    <mergeCell ref="D58:G59"/>
    <mergeCell ref="D74:G76"/>
    <mergeCell ref="D63:G64"/>
    <mergeCell ref="D68:G69"/>
    <mergeCell ref="D61:G62"/>
    <mergeCell ref="D66:G67"/>
    <mergeCell ref="D71:G72"/>
    <mergeCell ref="D78:G79"/>
    <mergeCell ref="D99:G100"/>
  </mergeCells>
  <dataValidations count="1">
    <dataValidation type="list" allowBlank="1" showInputMessage="1" showErrorMessage="1" sqref="H45 H49" xr:uid="{00000000-0002-0000-0900-000000000000}">
      <formula1>$A$120:$A$121</formula1>
    </dataValidation>
  </dataValidations>
  <pageMargins left="0.7" right="0.7" top="0.75" bottom="0.75" header="0.3" footer="0.3"/>
  <pageSetup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16</v>
      </c>
      <c r="I3" s="30"/>
      <c r="L3" s="160"/>
      <c r="M3" s="160"/>
    </row>
    <row r="4" spans="2:13" x14ac:dyDescent="0.3">
      <c r="G4" s="99"/>
      <c r="I4" s="30"/>
      <c r="L4" s="161"/>
      <c r="M4" s="160"/>
    </row>
    <row r="5" spans="2:13" ht="90" customHeight="1" x14ac:dyDescent="0.3">
      <c r="B5" s="370" t="s">
        <v>771</v>
      </c>
      <c r="C5" s="371"/>
      <c r="D5" s="371"/>
      <c r="E5" s="371"/>
      <c r="F5" s="371"/>
      <c r="G5" s="371"/>
      <c r="H5" s="371"/>
      <c r="I5" s="371"/>
      <c r="J5" s="371"/>
      <c r="K5" s="371"/>
    </row>
    <row r="6" spans="2:13" x14ac:dyDescent="0.3">
      <c r="B6" s="370"/>
      <c r="C6" s="370"/>
      <c r="D6" s="370"/>
      <c r="E6" s="370"/>
      <c r="F6" s="370"/>
      <c r="G6" s="370"/>
      <c r="H6" s="370"/>
      <c r="I6" s="370"/>
      <c r="J6" s="370"/>
      <c r="K6" s="370"/>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0" t="s">
        <v>774</v>
      </c>
      <c r="C9" s="371"/>
      <c r="D9" s="371"/>
      <c r="E9" s="371"/>
      <c r="F9" s="371"/>
      <c r="G9" s="371"/>
      <c r="H9" s="371"/>
      <c r="I9" s="371"/>
      <c r="J9" s="371"/>
      <c r="K9" s="371"/>
    </row>
    <row r="10" spans="2:13" ht="45" customHeight="1" x14ac:dyDescent="0.3">
      <c r="B10" s="372" t="s">
        <v>773</v>
      </c>
      <c r="C10" s="373"/>
      <c r="D10" s="373"/>
      <c r="E10" s="373"/>
      <c r="F10" s="373"/>
      <c r="G10" s="373"/>
      <c r="H10" s="373"/>
      <c r="I10" s="373"/>
      <c r="J10" s="373"/>
      <c r="K10" s="374"/>
    </row>
    <row r="11" spans="2:13" ht="15" thickBot="1" x14ac:dyDescent="0.35">
      <c r="G11" s="99"/>
    </row>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33</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M32" s="15"/>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1024</v>
      </c>
      <c r="K35" s="42"/>
      <c r="N35" s="12" t="s">
        <v>1043</v>
      </c>
    </row>
    <row r="36" spans="2:14" x14ac:dyDescent="0.3">
      <c r="B36" s="39"/>
      <c r="C36" s="41" t="s">
        <v>280</v>
      </c>
      <c r="D36" s="41"/>
      <c r="E36" s="41"/>
      <c r="F36" s="41"/>
      <c r="G36" s="41"/>
      <c r="H36" s="41"/>
      <c r="I36" s="41"/>
      <c r="J36" s="259">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736</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t="str">
        <f>IF(J34="N/A",IF(OR(J27="Not Calculated",J36="Not Calculated")=TRUE,"Not Calculated",AVERAGE(J27,J36)),AVERAGE(J34,J36))</f>
        <v>Not Calculated</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17</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M51" s="15"/>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1024</v>
      </c>
      <c r="K54" s="42"/>
      <c r="N54" s="12" t="s">
        <v>1043</v>
      </c>
    </row>
    <row r="55" spans="2:14" x14ac:dyDescent="0.3">
      <c r="B55" s="39"/>
      <c r="C55" s="41" t="s">
        <v>280</v>
      </c>
      <c r="D55" s="41"/>
      <c r="E55" s="41"/>
      <c r="F55" s="41"/>
      <c r="G55" s="41"/>
      <c r="H55" s="41"/>
      <c r="I55" s="41"/>
      <c r="J55" s="259">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368</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27</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M70" s="15"/>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1024</v>
      </c>
      <c r="K73" s="42"/>
      <c r="N73" s="12" t="s">
        <v>1043</v>
      </c>
    </row>
    <row r="74" spans="2:14" x14ac:dyDescent="0.3">
      <c r="B74" s="39"/>
      <c r="C74" s="41" t="s">
        <v>280</v>
      </c>
      <c r="D74" s="41"/>
      <c r="E74" s="41"/>
      <c r="F74" s="41"/>
      <c r="G74" s="41"/>
      <c r="H74" s="41"/>
      <c r="I74" s="41"/>
      <c r="J74" s="259">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369</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M89" s="15"/>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9">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12</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M108" s="15"/>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1024</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1</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370</v>
      </c>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1</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248</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x14ac:dyDescent="0.3">
      <c r="B125" s="39"/>
      <c r="C125" s="41" t="s">
        <v>279</v>
      </c>
      <c r="D125" s="41"/>
      <c r="E125" s="41"/>
      <c r="F125" s="41"/>
      <c r="G125" s="41"/>
      <c r="H125" s="41"/>
      <c r="I125" s="41"/>
      <c r="J125" s="257">
        <f>IF(C123=B987,A987,IF(C123=B988,A988,IF(C123=B989,A989,IF(C123=B990,A990,IF(C123=B991,A991,"Not Calculated")))))</f>
        <v>3</v>
      </c>
      <c r="K125" s="42"/>
    </row>
    <row r="126" spans="2:14"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x14ac:dyDescent="0.3">
      <c r="B128" s="39"/>
      <c r="C128" s="41" t="s">
        <v>1038</v>
      </c>
      <c r="D128" s="41"/>
      <c r="E128" s="41"/>
      <c r="F128" s="41"/>
      <c r="G128" s="41"/>
      <c r="H128" s="41"/>
      <c r="I128" s="41"/>
      <c r="J128" s="177"/>
      <c r="K128" s="42"/>
    </row>
    <row r="129" spans="2:11" s="180" customFormat="1" ht="60" customHeight="1" x14ac:dyDescent="0.3">
      <c r="B129" s="178"/>
      <c r="C129" s="359" t="s">
        <v>372</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t="str">
        <f>IF(OR(J40="Not Calculated",J59="Not Calculated",J78="Not Calculated",J97="Not Calculated",J116="Not Calculated",J131="Not Calculated",)=TRUE,"Not Calculated",AVERAGE(J40,J59,J78,J97,J116,J131))</f>
        <v>Not Calculated</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6</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1024</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27</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1018</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3</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369</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12</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1024</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1</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'Community Characteristics'!H105*40/250</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60" customHeight="1" x14ac:dyDescent="0.3">
      <c r="B257" s="39"/>
      <c r="C257" s="343" t="s">
        <v>379</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27</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291"/>
      <c r="F276" s="41"/>
      <c r="G276" s="41"/>
      <c r="H276" s="41"/>
      <c r="I276" s="41"/>
      <c r="J276" s="269"/>
      <c r="K276" s="42"/>
    </row>
    <row r="277" spans="2:14" ht="9.75" customHeight="1" x14ac:dyDescent="0.3">
      <c r="B277" s="39"/>
      <c r="C277" s="293" t="str">
        <f>"1:"</f>
        <v>1:</v>
      </c>
      <c r="D277" s="291" t="s">
        <v>1077</v>
      </c>
      <c r="E277" s="291"/>
      <c r="F277" s="41"/>
      <c r="G277" s="41"/>
      <c r="H277" s="41"/>
      <c r="I277" s="41"/>
      <c r="J277" s="269"/>
      <c r="K277" s="42"/>
    </row>
    <row r="278" spans="2:14" ht="9.75" customHeight="1" x14ac:dyDescent="0.3">
      <c r="B278" s="39"/>
      <c r="C278" s="293" t="str">
        <f>"2:"</f>
        <v>2:</v>
      </c>
      <c r="D278" s="291" t="s">
        <v>1078</v>
      </c>
      <c r="E278" s="291"/>
      <c r="F278" s="41"/>
      <c r="G278" s="41"/>
      <c r="H278" s="41"/>
      <c r="I278" s="41"/>
      <c r="J278" s="269"/>
      <c r="K278" s="42"/>
    </row>
    <row r="279" spans="2:14" ht="9.75" customHeight="1" x14ac:dyDescent="0.3">
      <c r="B279" s="39"/>
      <c r="C279" s="293" t="str">
        <f>"3:"</f>
        <v>3:</v>
      </c>
      <c r="D279" s="291" t="s">
        <v>1079</v>
      </c>
      <c r="E279" s="291"/>
      <c r="F279" s="41"/>
      <c r="G279" s="41"/>
      <c r="H279" s="41"/>
      <c r="I279" s="41"/>
      <c r="J279" s="269"/>
      <c r="K279" s="42"/>
    </row>
    <row r="280" spans="2:14" ht="9.75" customHeight="1" x14ac:dyDescent="0.3">
      <c r="B280" s="39"/>
      <c r="C280" s="293" t="str">
        <f>"4:"</f>
        <v>4:</v>
      </c>
      <c r="D280" s="291" t="s">
        <v>1080</v>
      </c>
      <c r="E280" s="29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1018</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3</v>
      </c>
      <c r="K284" s="42"/>
      <c r="N284" s="12" t="s">
        <v>1053</v>
      </c>
    </row>
    <row r="285" spans="2:14" x14ac:dyDescent="0.3">
      <c r="B285" s="39"/>
      <c r="C285" s="41" t="s">
        <v>1038</v>
      </c>
      <c r="D285" s="41"/>
      <c r="E285" s="41"/>
      <c r="F285" s="41"/>
      <c r="G285" s="41"/>
      <c r="H285" s="41"/>
      <c r="I285" s="41"/>
      <c r="J285" s="41"/>
      <c r="K285" s="42"/>
      <c r="N285" s="12" t="s">
        <v>1054</v>
      </c>
    </row>
    <row r="286" spans="2:14" ht="30" customHeight="1" x14ac:dyDescent="0.3">
      <c r="B286" s="39"/>
      <c r="C286" s="343" t="s">
        <v>369</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1.5</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9">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9">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x14ac:dyDescent="0.3">
      <c r="B330" s="39"/>
      <c r="C330" s="324" t="s">
        <v>987</v>
      </c>
      <c r="D330" s="324"/>
      <c r="E330" s="324"/>
      <c r="F330" s="324"/>
      <c r="G330" s="324"/>
      <c r="H330" s="324"/>
      <c r="I330" s="324"/>
      <c r="J330" s="41"/>
      <c r="K330" s="42"/>
    </row>
    <row r="331" spans="2:11" ht="15" customHeight="1" x14ac:dyDescent="0.3">
      <c r="B331" s="39"/>
      <c r="C331" s="324"/>
      <c r="D331" s="324"/>
      <c r="E331" s="324"/>
      <c r="F331" s="324"/>
      <c r="G331" s="324"/>
      <c r="H331" s="324"/>
      <c r="I331" s="324"/>
      <c r="J331" s="275">
        <v>0</v>
      </c>
      <c r="K331" s="42"/>
    </row>
    <row r="332" spans="2:11" ht="15" customHeight="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ht="15" customHeight="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6"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9">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x14ac:dyDescent="0.3">
      <c r="B394" s="39"/>
      <c r="C394" s="41" t="s">
        <v>993</v>
      </c>
      <c r="D394" s="305"/>
      <c r="E394" s="305"/>
      <c r="F394" s="305"/>
      <c r="G394" s="305"/>
      <c r="H394" s="305"/>
      <c r="I394" s="305"/>
      <c r="J394" s="255" t="str">
        <f>IF('Baseline Health'!$G$102=0,"Not Calculated",100*J392/'Baseline Health'!$G$102)</f>
        <v>Not Calculated</v>
      </c>
      <c r="K394" s="42"/>
    </row>
    <row r="395" spans="2:1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1.4375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9">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x14ac:dyDescent="0.3">
      <c r="B469" s="39"/>
      <c r="C469" s="41" t="s">
        <v>280</v>
      </c>
      <c r="D469" s="41"/>
      <c r="E469" s="41"/>
      <c r="F469" s="41"/>
      <c r="G469" s="41"/>
      <c r="H469" s="41"/>
      <c r="I469" s="41"/>
      <c r="J469" s="259">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9">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9">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43"/>
      <c r="D502" s="344"/>
      <c r="E502" s="344"/>
      <c r="F502" s="344"/>
      <c r="G502" s="344"/>
      <c r="H502" s="344"/>
      <c r="I502" s="344"/>
      <c r="J502" s="345"/>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f>'Community Characteristics'!H105</f>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1024</v>
      </c>
      <c r="K515" s="42"/>
    </row>
    <row r="516" spans="2:11" x14ac:dyDescent="0.3">
      <c r="B516" s="39"/>
      <c r="C516" s="41" t="s">
        <v>280</v>
      </c>
      <c r="D516" s="41"/>
      <c r="E516" s="41"/>
      <c r="F516" s="41"/>
      <c r="G516" s="41"/>
      <c r="H516" s="41"/>
      <c r="I516" s="41"/>
      <c r="J516" s="259">
        <f>IF(J515=$B$973,$A$973,IF(J515=$B$974,$A$974,IF(J515=$B$975,$A$975,IF(J515=$B$976,$A$976,IF(J515=$B$977,$A$977,"Not Calculated")))))</f>
        <v>1</v>
      </c>
      <c r="K516" s="42"/>
    </row>
    <row r="517" spans="2:11" x14ac:dyDescent="0.3">
      <c r="B517" s="39"/>
      <c r="C517" s="41" t="s">
        <v>1038</v>
      </c>
      <c r="D517" s="41"/>
      <c r="E517" s="41"/>
      <c r="F517" s="41"/>
      <c r="G517" s="41"/>
      <c r="H517" s="41"/>
      <c r="I517" s="41"/>
      <c r="J517" s="41"/>
      <c r="K517" s="42"/>
    </row>
    <row r="518" spans="2:11" ht="60" customHeight="1" x14ac:dyDescent="0.3">
      <c r="B518" s="39"/>
      <c r="C518" s="343" t="s">
        <v>381</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0.5</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9">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5" customHeight="1" x14ac:dyDescent="0.3">
      <c r="B535" s="39"/>
      <c r="C535" s="343"/>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7.1428571428571425E-2</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7"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x14ac:dyDescent="0.3">
      <c r="B578" s="39"/>
      <c r="C578" s="176" t="s">
        <v>770</v>
      </c>
      <c r="D578" s="41"/>
      <c r="E578" s="41"/>
      <c r="F578" s="41"/>
      <c r="G578" s="41"/>
      <c r="H578" s="41"/>
      <c r="I578" s="41"/>
      <c r="J578" s="276" t="s">
        <v>769</v>
      </c>
      <c r="K578" s="42"/>
      <c r="N578" s="12" t="s">
        <v>1041</v>
      </c>
    </row>
    <row r="579" spans="2:14" x14ac:dyDescent="0.3">
      <c r="B579" s="39"/>
      <c r="C579" s="176" t="s">
        <v>768</v>
      </c>
      <c r="D579" s="41"/>
      <c r="E579" s="41"/>
      <c r="F579" s="41"/>
      <c r="G579" s="41"/>
      <c r="H579" s="41"/>
      <c r="I579" s="41"/>
      <c r="J579" s="257"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1015</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0</v>
      </c>
      <c r="K581" s="42"/>
      <c r="N581" s="12" t="s">
        <v>1044</v>
      </c>
    </row>
    <row r="582" spans="2:14" x14ac:dyDescent="0.3">
      <c r="B582" s="39"/>
      <c r="C582" s="41" t="s">
        <v>1038</v>
      </c>
      <c r="D582" s="41"/>
      <c r="E582" s="41"/>
      <c r="F582" s="41"/>
      <c r="G582" s="41"/>
      <c r="H582" s="41"/>
      <c r="I582" s="41"/>
      <c r="J582" s="41"/>
      <c r="K582" s="42"/>
      <c r="N582" s="12" t="s">
        <v>1045</v>
      </c>
    </row>
    <row r="583" spans="2:14" ht="15" customHeight="1" x14ac:dyDescent="0.3">
      <c r="B583" s="39"/>
      <c r="C583" s="343"/>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x14ac:dyDescent="0.3">
      <c r="B596" s="39"/>
      <c r="C596" s="41" t="s">
        <v>276</v>
      </c>
      <c r="D596" s="41"/>
      <c r="E596" s="41"/>
      <c r="F596" s="41"/>
      <c r="G596" s="41"/>
      <c r="H596" s="41"/>
      <c r="I596" s="41"/>
      <c r="J596" s="277" t="s">
        <v>1015</v>
      </c>
      <c r="K596" s="42"/>
    </row>
    <row r="597" spans="2:11" x14ac:dyDescent="0.3">
      <c r="B597" s="39"/>
      <c r="C597" s="41" t="s">
        <v>280</v>
      </c>
      <c r="D597" s="41"/>
      <c r="E597" s="41"/>
      <c r="F597" s="41"/>
      <c r="G597" s="41"/>
      <c r="H597" s="41"/>
      <c r="I597" s="41"/>
      <c r="J597" s="259">
        <f>IF(J596=$B$973,$A$973,IF(J596=$B$974,$A$974,IF(J596=$B$975,$A$975,IF(J596=$B$976,$A$976,IF(J596=$B$977,$A$977,"Not Calculated")))))</f>
        <v>0</v>
      </c>
      <c r="K597" s="42"/>
    </row>
    <row r="598" spans="2:11" x14ac:dyDescent="0.3">
      <c r="B598" s="39"/>
      <c r="C598" s="41" t="s">
        <v>1037</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7"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8</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7" t="str">
        <f>IF(J650=N649,"N/A",IF(J650=N650,0,IF(J650=N651,1,IF(J650=N652,2,IF(J650=N653,3,IF(J650=N654,4,"N/A"))))))</f>
        <v>N/A</v>
      </c>
      <c r="K651" s="42"/>
      <c r="N651" s="12" t="s">
        <v>1042</v>
      </c>
    </row>
    <row r="652" spans="2:14"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15" customHeight="1" x14ac:dyDescent="0.3">
      <c r="B655" s="39"/>
      <c r="C655" s="343" t="s">
        <v>382</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33</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x14ac:dyDescent="0.3">
      <c r="B672" s="39"/>
      <c r="C672" s="176" t="s">
        <v>770</v>
      </c>
      <c r="D672" s="41"/>
      <c r="E672" s="41"/>
      <c r="F672" s="41"/>
      <c r="G672" s="41"/>
      <c r="H672" s="41"/>
      <c r="I672" s="41"/>
      <c r="J672" s="276" t="s">
        <v>769</v>
      </c>
      <c r="K672" s="42"/>
      <c r="N672" s="12" t="s">
        <v>1041</v>
      </c>
    </row>
    <row r="673" spans="2:14"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x14ac:dyDescent="0.3">
      <c r="B674" s="39"/>
      <c r="C674" s="41" t="s">
        <v>276</v>
      </c>
      <c r="D674" s="41"/>
      <c r="E674" s="41"/>
      <c r="F674" s="41"/>
      <c r="G674" s="41"/>
      <c r="H674" s="41"/>
      <c r="I674" s="41"/>
      <c r="J674" s="277" t="s">
        <v>1024</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1</v>
      </c>
      <c r="K675" s="42"/>
      <c r="N675" s="12" t="s">
        <v>1048</v>
      </c>
    </row>
    <row r="676" spans="2:14"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215</v>
      </c>
      <c r="H732" s="353"/>
      <c r="I732" s="60"/>
      <c r="J732" s="271">
        <f>IF(G732=$B$994,$A$994,IF(G732=$B$995,$A$995,"Not Calculated"))</f>
        <v>0</v>
      </c>
      <c r="K732" s="62"/>
    </row>
    <row r="733" spans="2:11" x14ac:dyDescent="0.3">
      <c r="B733" s="58"/>
      <c r="C733" s="198" t="s">
        <v>32</v>
      </c>
      <c r="D733" s="60"/>
      <c r="E733" s="60"/>
      <c r="F733" s="60"/>
      <c r="G733" s="352" t="s">
        <v>215</v>
      </c>
      <c r="H733" s="353"/>
      <c r="I733" s="60"/>
      <c r="J733" s="271">
        <f t="shared" ref="J733:J740" si="1">IF(G733=$B$994,$A$994,IF(G733=$B$995,$A$995,"Not Calculated"))</f>
        <v>0</v>
      </c>
      <c r="K733" s="62"/>
    </row>
    <row r="734" spans="2:11" x14ac:dyDescent="0.3">
      <c r="B734" s="58"/>
      <c r="C734" s="198" t="s">
        <v>33</v>
      </c>
      <c r="D734" s="60"/>
      <c r="E734" s="60"/>
      <c r="F734" s="60"/>
      <c r="G734" s="352" t="s">
        <v>215</v>
      </c>
      <c r="H734" s="353"/>
      <c r="I734" s="60"/>
      <c r="J734" s="271">
        <f t="shared" si="1"/>
        <v>0</v>
      </c>
      <c r="K734" s="62"/>
    </row>
    <row r="735" spans="2:11" x14ac:dyDescent="0.3">
      <c r="B735" s="58"/>
      <c r="C735" s="198" t="s">
        <v>34</v>
      </c>
      <c r="D735" s="60"/>
      <c r="E735" s="60"/>
      <c r="F735" s="60"/>
      <c r="G735" s="352" t="s">
        <v>215</v>
      </c>
      <c r="H735" s="353"/>
      <c r="I735" s="60"/>
      <c r="J735" s="271">
        <f t="shared" si="1"/>
        <v>0</v>
      </c>
      <c r="K735" s="62"/>
    </row>
    <row r="736" spans="2:11" x14ac:dyDescent="0.3">
      <c r="B736" s="58"/>
      <c r="C736" s="198" t="s">
        <v>35</v>
      </c>
      <c r="D736" s="60"/>
      <c r="E736" s="60"/>
      <c r="F736" s="60"/>
      <c r="G736" s="352" t="s">
        <v>215</v>
      </c>
      <c r="H736" s="353"/>
      <c r="I736" s="60"/>
      <c r="J736" s="271">
        <f t="shared" si="1"/>
        <v>0</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215</v>
      </c>
      <c r="H738" s="353"/>
      <c r="I738" s="60"/>
      <c r="J738" s="271">
        <f t="shared" si="1"/>
        <v>0</v>
      </c>
      <c r="K738" s="62"/>
    </row>
    <row r="739" spans="2:11" x14ac:dyDescent="0.3">
      <c r="B739" s="58"/>
      <c r="C739" s="198" t="s">
        <v>38</v>
      </c>
      <c r="D739" s="60"/>
      <c r="E739" s="60"/>
      <c r="F739" s="60"/>
      <c r="G739" s="352" t="s">
        <v>215</v>
      </c>
      <c r="H739" s="353"/>
      <c r="I739" s="60"/>
      <c r="J739" s="271">
        <f t="shared" si="1"/>
        <v>0</v>
      </c>
      <c r="K739" s="62"/>
    </row>
    <row r="740" spans="2:11" x14ac:dyDescent="0.3">
      <c r="B740" s="58"/>
      <c r="C740" s="198" t="s">
        <v>39</v>
      </c>
      <c r="D740" s="60"/>
      <c r="E740" s="60"/>
      <c r="F740" s="60"/>
      <c r="G740" s="352" t="s">
        <v>215</v>
      </c>
      <c r="H740" s="353"/>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215</v>
      </c>
      <c r="H748" s="353"/>
      <c r="I748" s="60"/>
      <c r="J748" s="271">
        <f t="shared" ref="J748:J755" si="2">IF(G748=$B$994,$A$994,IF(G748=$B$995,$A$995,"Not Calculated"))</f>
        <v>0</v>
      </c>
      <c r="K748" s="62"/>
    </row>
    <row r="749" spans="2:11" x14ac:dyDescent="0.3">
      <c r="B749" s="58"/>
      <c r="C749" s="198" t="s">
        <v>33</v>
      </c>
      <c r="D749" s="60"/>
      <c r="E749" s="60"/>
      <c r="F749" s="60"/>
      <c r="G749" s="352" t="s">
        <v>215</v>
      </c>
      <c r="H749" s="353"/>
      <c r="I749" s="60"/>
      <c r="J749" s="271">
        <f t="shared" si="2"/>
        <v>0</v>
      </c>
      <c r="K749" s="62"/>
    </row>
    <row r="750" spans="2:11" x14ac:dyDescent="0.3">
      <c r="B750" s="58"/>
      <c r="C750" s="198" t="s">
        <v>34</v>
      </c>
      <c r="D750" s="60"/>
      <c r="E750" s="60"/>
      <c r="F750" s="60"/>
      <c r="G750" s="352" t="s">
        <v>215</v>
      </c>
      <c r="H750" s="353"/>
      <c r="I750" s="60"/>
      <c r="J750" s="271">
        <f t="shared" si="2"/>
        <v>0</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215</v>
      </c>
      <c r="H752" s="353"/>
      <c r="I752" s="60"/>
      <c r="J752" s="271">
        <f t="shared" si="2"/>
        <v>0</v>
      </c>
      <c r="K752" s="62"/>
    </row>
    <row r="753" spans="2:11" x14ac:dyDescent="0.3">
      <c r="B753" s="58"/>
      <c r="C753" s="198" t="s">
        <v>37</v>
      </c>
      <c r="D753" s="60"/>
      <c r="E753" s="60"/>
      <c r="F753" s="60"/>
      <c r="G753" s="352" t="s">
        <v>215</v>
      </c>
      <c r="H753" s="353"/>
      <c r="I753" s="60"/>
      <c r="J753" s="271">
        <f t="shared" si="2"/>
        <v>0</v>
      </c>
      <c r="K753" s="62"/>
    </row>
    <row r="754" spans="2:11" x14ac:dyDescent="0.3">
      <c r="B754" s="58"/>
      <c r="C754" s="198" t="s">
        <v>38</v>
      </c>
      <c r="D754" s="60"/>
      <c r="E754" s="60"/>
      <c r="F754" s="60"/>
      <c r="G754" s="352" t="s">
        <v>215</v>
      </c>
      <c r="H754" s="353"/>
      <c r="I754" s="60"/>
      <c r="J754" s="271">
        <f t="shared" si="2"/>
        <v>0</v>
      </c>
      <c r="K754" s="62"/>
    </row>
    <row r="755" spans="2:11" x14ac:dyDescent="0.3">
      <c r="B755" s="58"/>
      <c r="C755" s="198" t="s">
        <v>39</v>
      </c>
      <c r="D755" s="60"/>
      <c r="E755" s="60"/>
      <c r="F755" s="60"/>
      <c r="G755" s="352" t="s">
        <v>215</v>
      </c>
      <c r="H755" s="353"/>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1</v>
      </c>
      <c r="K799" s="62"/>
    </row>
    <row r="800" spans="2:11" x14ac:dyDescent="0.3">
      <c r="B800" s="58"/>
      <c r="C800" s="60"/>
      <c r="D800" s="198" t="s">
        <v>392</v>
      </c>
      <c r="E800" s="60"/>
      <c r="F800" s="60"/>
      <c r="G800" s="60"/>
      <c r="H800" s="60"/>
      <c r="I800" s="60"/>
      <c r="J800" s="61">
        <f>AVERAGE(J798,J799)</f>
        <v>0.5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1</v>
      </c>
      <c r="K807" s="62"/>
    </row>
    <row r="808" spans="2:11" x14ac:dyDescent="0.3">
      <c r="B808" s="58"/>
      <c r="C808" s="60"/>
      <c r="D808" s="198" t="s">
        <v>392</v>
      </c>
      <c r="E808" s="60"/>
      <c r="F808" s="60"/>
      <c r="G808" s="60"/>
      <c r="H808" s="60"/>
      <c r="I808" s="60"/>
      <c r="J808" s="61">
        <f>AVERAGE(J806,J807)</f>
        <v>0.5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0.83333333333333337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257</v>
      </c>
      <c r="H838" s="351"/>
      <c r="I838" s="86"/>
      <c r="J838" s="84">
        <f>IF(G838=$B$998,$A$998,IF(G838=$B$999,$A$999,IF(G838=$B$1000,$A$1000,IF(G838=$B$1001,$A$1001,IF(G838=$B$1002,$A$1002,"Not Calculated")))))</f>
        <v>3</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254</v>
      </c>
      <c r="H842" s="351"/>
      <c r="I842" s="86"/>
      <c r="J842" s="84">
        <f>IF(G842=$B$998,$A$998,IF(G842=$B$999,$A$999,IF(G842=$B$1000,$A$1000,IF(G842=$B$1001,$A$1001,IF(G842=$B$1002,$A$1002,"Not Calculated")))))</f>
        <v>2</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256</v>
      </c>
      <c r="H882" s="351"/>
      <c r="I882" s="86"/>
      <c r="J882" s="84">
        <f>IF(G882=$B$998,$A$998,IF(G882=$B$999,$A$999,IF(G882=$B$1000,$A$1000,IF(G882=$B$1001,$A$1001,IF(G882=$B$1002,$A$1002,"Not Calculated")))))</f>
        <v>1</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257</v>
      </c>
      <c r="H886" s="351"/>
      <c r="I886" s="86"/>
      <c r="J886" s="84">
        <f>IF(G886=$B$998,$A$998,IF(G886=$B$999,$A$999,IF(G886=$B$1000,$A$1000,IF(G886=$B$1001,$A$1001,IF(G886=$B$1002,$A$1002,"Not Calculated")))))</f>
        <v>3</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256</v>
      </c>
      <c r="H890" s="351"/>
      <c r="I890" s="86"/>
      <c r="J890" s="84">
        <f>IF(G890=$B$998,$A$998,IF(G890=$B$999,$A$999,IF(G890=$B$1000,$A$1000,IF(G890=$B$1001,$A$1001,IF(G890=$B$1002,$A$1002,"Not Calculated")))))</f>
        <v>1</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c r="B896" s="103"/>
      <c r="C896" s="103"/>
      <c r="D896" s="103"/>
      <c r="E896" s="103"/>
      <c r="F896" s="103"/>
      <c r="G896" s="103"/>
      <c r="H896" s="103"/>
      <c r="I896" s="103"/>
      <c r="J896" s="103"/>
      <c r="K896" s="103"/>
    </row>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257</v>
      </c>
      <c r="H908" s="351"/>
      <c r="I908" s="86"/>
      <c r="J908" s="84">
        <f>IF(G908=$B$998,$A$998,IF(G908=$B$999,$A$999,IF(G908=$B$1000,$A$1000,IF(G908=$B$1001,$A$1001,IF(G908=$B$1002,$A$1002,"Not Calculated")))))</f>
        <v>3</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254</v>
      </c>
      <c r="H912" s="351"/>
      <c r="I912" s="86"/>
      <c r="J912" s="84">
        <f>IF(G912=$B$998,$A$998,IF(G912=$B$999,$A$999,IF(G912=$B$1000,$A$1000,IF(G912=$B$1001,$A$1001,IF(G912=$B$1002,$A$1002,"Not Calculated")))))</f>
        <v>2</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257</v>
      </c>
      <c r="H928" s="351"/>
      <c r="I928" s="86"/>
      <c r="J928" s="84">
        <f>IF(G928=$B$998,$A$998,IF(G928=$B$999,$A$999,IF(G928=$B$1000,$A$1000,IF(G928=$B$1001,$A$1001,IF(G928=$B$1002,$A$1002,"Not Calculated")))))</f>
        <v>3</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256</v>
      </c>
      <c r="H932" s="351"/>
      <c r="I932" s="86"/>
      <c r="J932" s="84">
        <f>IF(G932=$B$998,$A$998,IF(G932=$B$999,$A$999,IF(G932=$B$1000,$A$1000,IF(G932=$B$1001,$A$1001,IF(G932=$B$1002,$A$1002,"Not Calculated")))))</f>
        <v>1</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1016</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x14ac:dyDescent="0.3">
      <c r="B1003" s="12" t="s">
        <v>803</v>
      </c>
    </row>
    <row r="1004" spans="1:11" ht="30" customHeight="1" x14ac:dyDescent="0.3">
      <c r="B1004" s="346" t="s">
        <v>804</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809</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15" customHeight="1" x14ac:dyDescent="0.3">
      <c r="B1010" s="340" t="s">
        <v>808</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45" customHeight="1" x14ac:dyDescent="0.3">
      <c r="B1012" s="340" t="s">
        <v>806</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30" customHeight="1" x14ac:dyDescent="0.3">
      <c r="B1014" s="340" t="s">
        <v>807</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t="s">
        <v>805</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B7:K7"/>
    <mergeCell ref="C155:J155"/>
    <mergeCell ref="C196:J196"/>
    <mergeCell ref="B5:K5"/>
    <mergeCell ref="B6:K6"/>
    <mergeCell ref="B9:K9"/>
    <mergeCell ref="B8:K8"/>
    <mergeCell ref="B10:K10"/>
    <mergeCell ref="C129:J129"/>
    <mergeCell ref="G890:H890"/>
    <mergeCell ref="G878:H878"/>
    <mergeCell ref="G882:H882"/>
    <mergeCell ref="G886:H886"/>
    <mergeCell ref="C900:J901"/>
    <mergeCell ref="G904:H904"/>
    <mergeCell ref="G908:H908"/>
    <mergeCell ref="G912:H912"/>
    <mergeCell ref="G866:H866"/>
    <mergeCell ref="G870:H870"/>
    <mergeCell ref="G874:H874"/>
    <mergeCell ref="G854:H854"/>
    <mergeCell ref="G858:H858"/>
    <mergeCell ref="G862:H862"/>
    <mergeCell ref="G842:H842"/>
    <mergeCell ref="G846:H846"/>
    <mergeCell ref="G850:H850"/>
    <mergeCell ref="C830:J831"/>
    <mergeCell ref="G834:H834"/>
    <mergeCell ref="G838:H838"/>
    <mergeCell ref="G766:H766"/>
    <mergeCell ref="G767:H767"/>
    <mergeCell ref="G768:H768"/>
    <mergeCell ref="G769:H769"/>
    <mergeCell ref="G770:H770"/>
    <mergeCell ref="C759:J761"/>
    <mergeCell ref="G762:H762"/>
    <mergeCell ref="G763:H763"/>
    <mergeCell ref="G764:H764"/>
    <mergeCell ref="G765:H765"/>
    <mergeCell ref="G751:H751"/>
    <mergeCell ref="G752:H752"/>
    <mergeCell ref="G753:H753"/>
    <mergeCell ref="G754:H754"/>
    <mergeCell ref="G755:H755"/>
    <mergeCell ref="C744:J746"/>
    <mergeCell ref="G747:H747"/>
    <mergeCell ref="G748:H748"/>
    <mergeCell ref="G749:H749"/>
    <mergeCell ref="G750:H750"/>
    <mergeCell ref="G720:H720"/>
    <mergeCell ref="G721:H721"/>
    <mergeCell ref="D664:I665"/>
    <mergeCell ref="G736:H736"/>
    <mergeCell ref="G737:H737"/>
    <mergeCell ref="G738:H738"/>
    <mergeCell ref="G739:H739"/>
    <mergeCell ref="G740:H740"/>
    <mergeCell ref="C729:J731"/>
    <mergeCell ref="G732:H732"/>
    <mergeCell ref="G733:H733"/>
    <mergeCell ref="G734:H734"/>
    <mergeCell ref="G735:H735"/>
    <mergeCell ref="C305:J305"/>
    <mergeCell ref="C714:J716"/>
    <mergeCell ref="G717:H717"/>
    <mergeCell ref="C286:J286"/>
    <mergeCell ref="C216:J216"/>
    <mergeCell ref="C237:J237"/>
    <mergeCell ref="C257:J257"/>
    <mergeCell ref="E15:J15"/>
    <mergeCell ref="C38:J38"/>
    <mergeCell ref="C76:J76"/>
    <mergeCell ref="C57:J57"/>
    <mergeCell ref="C176:J176"/>
    <mergeCell ref="C95:J95"/>
    <mergeCell ref="C123:J124"/>
    <mergeCell ref="C114:J114"/>
    <mergeCell ref="C120:J122"/>
    <mergeCell ref="C365:J365"/>
    <mergeCell ref="C292:I293"/>
    <mergeCell ref="C324:J324"/>
    <mergeCell ref="C311:I312"/>
    <mergeCell ref="C371:I372"/>
    <mergeCell ref="C391:I392"/>
    <mergeCell ref="D343:I344"/>
    <mergeCell ref="C340:I341"/>
    <mergeCell ref="C347:J347"/>
    <mergeCell ref="C330:I331"/>
    <mergeCell ref="C416:J416"/>
    <mergeCell ref="C402:J402"/>
    <mergeCell ref="C385:J385"/>
    <mergeCell ref="C420:I421"/>
    <mergeCell ref="C455:J455"/>
    <mergeCell ref="C438:J438"/>
    <mergeCell ref="C471:J471"/>
    <mergeCell ref="C444:I445"/>
    <mergeCell ref="C477:I478"/>
    <mergeCell ref="C524:I525"/>
    <mergeCell ref="C535:J535"/>
    <mergeCell ref="C518:J518"/>
    <mergeCell ref="C502:J502"/>
    <mergeCell ref="C486:J486"/>
    <mergeCell ref="C560:J560"/>
    <mergeCell ref="C583:J583"/>
    <mergeCell ref="C599:J599"/>
    <mergeCell ref="C613:J613"/>
    <mergeCell ref="B1004:K1004"/>
    <mergeCell ref="B1008:K1008"/>
    <mergeCell ref="B1007:K1007"/>
    <mergeCell ref="F959:H960"/>
    <mergeCell ref="C566:I568"/>
    <mergeCell ref="C569:I571"/>
    <mergeCell ref="C620:I621"/>
    <mergeCell ref="C633:J633"/>
    <mergeCell ref="C639:I640"/>
    <mergeCell ref="C655:J655"/>
    <mergeCell ref="C641:I643"/>
    <mergeCell ref="C677:J677"/>
    <mergeCell ref="G924:H924"/>
    <mergeCell ref="G916:H916"/>
    <mergeCell ref="G920:H920"/>
    <mergeCell ref="G928:H928"/>
    <mergeCell ref="G932:H932"/>
    <mergeCell ref="G722:H722"/>
    <mergeCell ref="G723:H723"/>
    <mergeCell ref="G724:H724"/>
    <mergeCell ref="G725:H725"/>
    <mergeCell ref="G718:H718"/>
    <mergeCell ref="G719:H719"/>
    <mergeCell ref="B1029:K1029"/>
    <mergeCell ref="B1006:K1006"/>
    <mergeCell ref="B1016:K1016"/>
    <mergeCell ref="B1013:K1013"/>
    <mergeCell ref="B1011:K1011"/>
    <mergeCell ref="B1009:K1009"/>
    <mergeCell ref="B1005:K1005"/>
    <mergeCell ref="B1010:K1010"/>
    <mergeCell ref="B1014:K1014"/>
    <mergeCell ref="B1012:K1012"/>
    <mergeCell ref="B1017:K1017"/>
    <mergeCell ref="B1018:K1018"/>
    <mergeCell ref="B1019:K1019"/>
    <mergeCell ref="B1020:K1020"/>
    <mergeCell ref="B1015:K1015"/>
    <mergeCell ref="B1022:K1022"/>
    <mergeCell ref="B1023:K1023"/>
    <mergeCell ref="B1021:K1021"/>
    <mergeCell ref="B1024:K1024"/>
    <mergeCell ref="B1025:K1025"/>
    <mergeCell ref="B1026:K1026"/>
    <mergeCell ref="B1027:K1027"/>
    <mergeCell ref="B1028:K1028"/>
  </mergeCells>
  <dataValidations count="23">
    <dataValidation type="list" allowBlank="1" showInputMessage="1" showErrorMessage="1" sqref="J35 J213 J283 J652 J54 J193 J173 J152 J126 J111 J92 J73 J254 J435 J452 J468 J499 J515 J532 J557 J580 J596 J674 J630 J234" xr:uid="{00000000-0002-0000-0A00-000000000000}">
      <formula1>$B$973:$B$977</formula1>
    </dataValidation>
    <dataValidation type="list" allowBlank="1" showInputMessage="1" showErrorMessage="1" sqref="C123:J124" xr:uid="{00000000-0002-0000-0A00-000001000000}">
      <formula1>$B$987:$B$991</formula1>
    </dataValidation>
    <dataValidation type="list" allowBlank="1" showInputMessage="1" showErrorMessage="1" sqref="J302 J362" xr:uid="{00000000-0002-0000-0A00-000002000000}">
      <formula1>$B$980:$B$984</formula1>
    </dataValidation>
    <dataValidation type="list" allowBlank="1" showInputMessage="1" showErrorMessage="1" sqref="G717:H725 G762:H770 G732:H740 G747:H755" xr:uid="{00000000-0002-0000-0A00-000003000000}">
      <formula1>$B$994:$B$995</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0A00-000004000000}">
      <formula1>$B$998:$B$1002</formula1>
    </dataValidation>
    <dataValidation type="list" allowBlank="1" showInputMessage="1" showErrorMessage="1" sqref="E15:J15" xr:uid="{00000000-0002-0000-0A00-000005000000}">
      <formula1>$C$966:$C$970</formula1>
    </dataValidation>
    <dataValidation type="list" allowBlank="1" showInputMessage="1" showErrorMessage="1" sqref="J33" xr:uid="{00000000-0002-0000-0A00-000006000000}">
      <formula1>$N$32:$N$37</formula1>
    </dataValidation>
    <dataValidation type="list" allowBlank="1" showInputMessage="1" showErrorMessage="1" sqref="J52" xr:uid="{00000000-0002-0000-0A00-000007000000}">
      <formula1>$N$51:$N$56</formula1>
    </dataValidation>
    <dataValidation type="list" allowBlank="1" showInputMessage="1" showErrorMessage="1" sqref="J71" xr:uid="{00000000-0002-0000-0A00-000008000000}">
      <formula1>$N$70:$N$75</formula1>
    </dataValidation>
    <dataValidation type="list" allowBlank="1" showInputMessage="1" showErrorMessage="1" sqref="J90" xr:uid="{00000000-0002-0000-0A00-000009000000}">
      <formula1>$N$89:$N$94</formula1>
    </dataValidation>
    <dataValidation type="list" allowBlank="1" showInputMessage="1" showErrorMessage="1" sqref="J109" xr:uid="{00000000-0002-0000-0A00-00000A000000}">
      <formula1>$N$108:$N$113</formula1>
    </dataValidation>
    <dataValidation type="list" allowBlank="1" showInputMessage="1" showErrorMessage="1" sqref="J150" xr:uid="{00000000-0002-0000-0A00-00000B000000}">
      <formula1>$N$149:$N$154</formula1>
    </dataValidation>
    <dataValidation type="list" allowBlank="1" showInputMessage="1" showErrorMessage="1" sqref="J171" xr:uid="{00000000-0002-0000-0A00-00000C000000}">
      <formula1>$N$170:$N$175</formula1>
    </dataValidation>
    <dataValidation type="list" allowBlank="1" showInputMessage="1" showErrorMessage="1" sqref="J191" xr:uid="{00000000-0002-0000-0A00-00000D000000}">
      <formula1>$N$190:$N$195</formula1>
    </dataValidation>
    <dataValidation type="list" allowBlank="1" showInputMessage="1" showErrorMessage="1" sqref="J211" xr:uid="{00000000-0002-0000-0A00-00000E000000}">
      <formula1>$N$210:$N$215</formula1>
    </dataValidation>
    <dataValidation type="list" allowBlank="1" showInputMessage="1" showErrorMessage="1" sqref="J232" xr:uid="{00000000-0002-0000-0A00-00000F000000}">
      <formula1>$N$231:$N$236</formula1>
    </dataValidation>
    <dataValidation type="list" allowBlank="1" showInputMessage="1" showErrorMessage="1" sqref="J252" xr:uid="{00000000-0002-0000-0A00-000010000000}">
      <formula1>$N$251:$N$256</formula1>
    </dataValidation>
    <dataValidation type="list" allowBlank="1" showInputMessage="1" showErrorMessage="1" sqref="J281" xr:uid="{00000000-0002-0000-0A00-000011000000}">
      <formula1>$N$280:$N$285</formula1>
    </dataValidation>
    <dataValidation type="list" allowBlank="1" showInputMessage="1" showErrorMessage="1" sqref="J672" xr:uid="{00000000-0002-0000-0A00-000012000000}">
      <formula1>$N$671:$N$676</formula1>
    </dataValidation>
    <dataValidation type="list" allowBlank="1" showInputMessage="1" showErrorMessage="1" sqref="J650" xr:uid="{00000000-0002-0000-0A00-000013000000}">
      <formula1>$N$649:$N$654</formula1>
    </dataValidation>
    <dataValidation type="list" allowBlank="1" showInputMessage="1" showErrorMessage="1" sqref="J628" xr:uid="{00000000-0002-0000-0A00-000014000000}">
      <formula1>$N$627:$N$632</formula1>
    </dataValidation>
    <dataValidation type="list" allowBlank="1" showInputMessage="1" showErrorMessage="1" sqref="J578" xr:uid="{00000000-0002-0000-0A00-000015000000}">
      <formula1>$N$577:$N$582</formula1>
    </dataValidation>
    <dataValidation type="list" allowBlank="1" showInputMessage="1" showErrorMessage="1" sqref="J555" xr:uid="{00000000-0002-0000-0A00-000016000000}">
      <formula1>$N$554:$N$559</formula1>
    </dataValidation>
  </dataValidations>
  <pageMargins left="0.7" right="0.7" top="0.75" bottom="0.75" header="0.3" footer="0.3"/>
  <pageSetup scale="70" orientation="portrait" r:id="rId1"/>
  <ignoredErrors>
    <ignoredError sqref="J131 J245 J307 J326 J349 J367 J387 J440 J457 J473 J488 J504 J508 J520 J537 J601"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N1029"/>
  <sheetViews>
    <sheetView showGridLines="0" showRowColHeaders="0" topLeftCell="A22" zoomScale="85" zoomScaleNormal="85" workbookViewId="0"/>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17</v>
      </c>
      <c r="I3" s="30"/>
      <c r="L3" s="160"/>
      <c r="M3" s="160"/>
    </row>
    <row r="4" spans="2:13" x14ac:dyDescent="0.3">
      <c r="G4" s="99"/>
      <c r="I4" s="30"/>
      <c r="L4" s="161"/>
      <c r="M4" s="160"/>
    </row>
    <row r="5" spans="2:13" ht="45" customHeight="1" x14ac:dyDescent="0.3">
      <c r="B5" s="370" t="s">
        <v>812</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c r="L7" s="161"/>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90" customHeight="1" x14ac:dyDescent="0.3">
      <c r="B10" s="378" t="s">
        <v>788</v>
      </c>
      <c r="C10" s="379"/>
      <c r="D10" s="379"/>
      <c r="E10" s="379"/>
      <c r="F10" s="379"/>
      <c r="G10" s="379"/>
      <c r="H10" s="379"/>
      <c r="I10" s="379"/>
      <c r="J10" s="379"/>
      <c r="K10" s="380"/>
    </row>
    <row r="11" spans="2:13" ht="15" thickBot="1" x14ac:dyDescent="0.35">
      <c r="G11" s="99"/>
    </row>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260</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1</v>
      </c>
      <c r="F17" s="166"/>
      <c r="G17" s="166"/>
      <c r="H17" s="166"/>
      <c r="I17" s="166"/>
      <c r="J17" s="166"/>
      <c r="K17" s="168"/>
    </row>
    <row r="18" spans="2:14" x14ac:dyDescent="0.3">
      <c r="B18" s="165"/>
      <c r="C18" s="166"/>
      <c r="D18" s="166"/>
      <c r="E18" s="170" t="str">
        <f>IF(E15=$C$966,$B$966,IF(E15=$C$967,$B$967,IF(E15=$C$968,$B$968,IF(E15=$C$969,$B$969,IF(E15=$C$970,$B$970,"Not Calculated")))))</f>
        <v>Remote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13208/30</f>
        <v>440.26666666666665</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M32" s="15"/>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1019</v>
      </c>
      <c r="K35" s="42"/>
      <c r="N35" s="12" t="s">
        <v>1043</v>
      </c>
    </row>
    <row r="36" spans="2:14" x14ac:dyDescent="0.3">
      <c r="B36" s="39"/>
      <c r="C36" s="41" t="s">
        <v>280</v>
      </c>
      <c r="D36" s="41"/>
      <c r="E36" s="41"/>
      <c r="F36" s="41"/>
      <c r="G36" s="41"/>
      <c r="H36" s="41"/>
      <c r="I36" s="41"/>
      <c r="J36" s="256">
        <f>IF(J35=$B$973,$A$973,IF(J35=$B$974,$A$974,IF(J35=$B$975,$A$975,IF(J35=$B$976,$A$976,IF(J35=$B$977,$A$977,"Not Calculated")))))</f>
        <v>4</v>
      </c>
      <c r="K36" s="42"/>
      <c r="N36" s="12" t="s">
        <v>1044</v>
      </c>
    </row>
    <row r="37" spans="2:14" x14ac:dyDescent="0.3">
      <c r="B37" s="39"/>
      <c r="C37" s="41" t="s">
        <v>1038</v>
      </c>
      <c r="D37" s="41"/>
      <c r="E37" s="41"/>
      <c r="F37" s="41"/>
      <c r="G37" s="41"/>
      <c r="H37" s="41"/>
      <c r="I37" s="41"/>
      <c r="J37" s="177"/>
      <c r="K37" s="42"/>
      <c r="N37" s="12" t="s">
        <v>1045</v>
      </c>
    </row>
    <row r="38" spans="2:14" s="180" customFormat="1" ht="45" customHeight="1" x14ac:dyDescent="0.3">
      <c r="B38" s="178"/>
      <c r="C38" s="359" t="s">
        <v>443</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4</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3000*0.3/30</f>
        <v>30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M51" s="15"/>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1019</v>
      </c>
      <c r="K54" s="42"/>
      <c r="N54" s="12" t="s">
        <v>1043</v>
      </c>
    </row>
    <row r="55" spans="2:14" x14ac:dyDescent="0.3">
      <c r="B55" s="39"/>
      <c r="C55" s="41" t="s">
        <v>280</v>
      </c>
      <c r="D55" s="41"/>
      <c r="E55" s="41"/>
      <c r="F55" s="41"/>
      <c r="G55" s="41"/>
      <c r="H55" s="41"/>
      <c r="I55" s="41"/>
      <c r="J55" s="256">
        <f>IF(J54=$B$973,$A$973,IF(J54=$B$974,$A$974,IF(J54=$B$975,$A$975,IF(J54=$B$976,$A$976,IF(J54=$B$977,$A$977,"Not Calculated")))))</f>
        <v>4</v>
      </c>
      <c r="K55" s="42"/>
      <c r="N55" s="12" t="s">
        <v>1044</v>
      </c>
    </row>
    <row r="56" spans="2:14" x14ac:dyDescent="0.3">
      <c r="B56" s="39"/>
      <c r="C56" s="41" t="s">
        <v>1038</v>
      </c>
      <c r="D56" s="41"/>
      <c r="E56" s="41"/>
      <c r="F56" s="41"/>
      <c r="G56" s="41"/>
      <c r="H56" s="41"/>
      <c r="I56" s="41"/>
      <c r="J56" s="177"/>
      <c r="K56" s="42"/>
      <c r="N56" s="12" t="s">
        <v>1045</v>
      </c>
    </row>
    <row r="57" spans="2:14" s="180" customFormat="1" ht="75" customHeight="1" x14ac:dyDescent="0.3">
      <c r="B57" s="178"/>
      <c r="C57" s="359" t="s">
        <v>444</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4</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3000/30</f>
        <v>100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M70" s="15"/>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1019</v>
      </c>
      <c r="K73" s="42"/>
      <c r="N73" s="12" t="s">
        <v>1043</v>
      </c>
    </row>
    <row r="74" spans="2:14" x14ac:dyDescent="0.3">
      <c r="B74" s="39"/>
      <c r="C74" s="41" t="s">
        <v>280</v>
      </c>
      <c r="D74" s="41"/>
      <c r="E74" s="41"/>
      <c r="F74" s="41"/>
      <c r="G74" s="41"/>
      <c r="H74" s="41"/>
      <c r="I74" s="41"/>
      <c r="J74" s="256">
        <f>IF(J73=$B$973,$A$973,IF(J73=$B$974,$A$974,IF(J73=$B$975,$A$975,IF(J73=$B$976,$A$976,IF(J73=$B$977,$A$977,"Not Calculated")))))</f>
        <v>4</v>
      </c>
      <c r="K74" s="42"/>
      <c r="N74" s="12" t="s">
        <v>1044</v>
      </c>
    </row>
    <row r="75" spans="2:14" x14ac:dyDescent="0.3">
      <c r="B75" s="39"/>
      <c r="C75" s="41" t="s">
        <v>1038</v>
      </c>
      <c r="D75" s="41"/>
      <c r="E75" s="41"/>
      <c r="F75" s="41"/>
      <c r="G75" s="41"/>
      <c r="H75" s="41"/>
      <c r="I75" s="41"/>
      <c r="J75" s="177"/>
      <c r="K75" s="42"/>
      <c r="N75" s="12" t="s">
        <v>1045</v>
      </c>
    </row>
    <row r="76" spans="2:14" s="180" customFormat="1" ht="60" customHeight="1" x14ac:dyDescent="0.3">
      <c r="B76" s="178"/>
      <c r="C76" s="359" t="s">
        <v>445</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4</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328484*2/30</f>
        <v>21898.933333333334</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M89" s="15"/>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6">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60" customHeight="1" x14ac:dyDescent="0.3">
      <c r="B95" s="178"/>
      <c r="C95" s="359" t="s">
        <v>446</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M108" s="15"/>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267</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x14ac:dyDescent="0.3">
      <c r="B125" s="39"/>
      <c r="C125" s="41" t="s">
        <v>279</v>
      </c>
      <c r="D125" s="41"/>
      <c r="E125" s="41"/>
      <c r="F125" s="41"/>
      <c r="G125" s="41"/>
      <c r="H125" s="41"/>
      <c r="I125" s="41"/>
      <c r="J125" s="258">
        <f>IF(C123=B987,A987,IF(C123=B988,A988,IF(C123=B989,A989,IF(C123=B990,A990,IF(C123=B991,A991,"Not Calculated")))))</f>
        <v>4</v>
      </c>
      <c r="K125" s="42"/>
    </row>
    <row r="126" spans="2:14"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x14ac:dyDescent="0.3">
      <c r="B128" s="39"/>
      <c r="C128" s="41" t="s">
        <v>1038</v>
      </c>
      <c r="D128" s="41"/>
      <c r="E128" s="41"/>
      <c r="F128" s="41"/>
      <c r="G128" s="41"/>
      <c r="H128" s="41"/>
      <c r="I128" s="41"/>
      <c r="J128" s="177"/>
      <c r="K128" s="42"/>
    </row>
    <row r="129" spans="2:11" s="180" customFormat="1" ht="60" customHeight="1" x14ac:dyDescent="0.3">
      <c r="B129" s="178"/>
      <c r="C129" s="359" t="s">
        <v>502</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4</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3.3333333333333335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J140*0.02</f>
        <v>0</v>
      </c>
      <c r="K141" s="42"/>
    </row>
    <row r="142" spans="2:11" x14ac:dyDescent="0.3">
      <c r="B142" s="39"/>
      <c r="C142" s="41" t="s">
        <v>490</v>
      </c>
      <c r="D142" s="41"/>
      <c r="E142" s="41"/>
      <c r="F142" s="41"/>
      <c r="G142" s="41"/>
      <c r="H142" s="41"/>
      <c r="I142" s="41"/>
      <c r="J142" s="262">
        <f>J83/20</f>
        <v>1094.9466666666667</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45" customHeight="1" x14ac:dyDescent="0.3">
      <c r="B155" s="39"/>
      <c r="C155" s="343" t="s">
        <v>447</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J161*0.02</f>
        <v>0</v>
      </c>
      <c r="K162" s="42"/>
    </row>
    <row r="163" spans="2:14" x14ac:dyDescent="0.3">
      <c r="B163" s="39"/>
      <c r="C163" s="41" t="s">
        <v>493</v>
      </c>
      <c r="D163" s="41"/>
      <c r="E163" s="41"/>
      <c r="F163" s="41"/>
      <c r="G163" s="41"/>
      <c r="H163" s="41"/>
      <c r="I163" s="41"/>
      <c r="J163" s="262">
        <f>(J64)/4.5</f>
        <v>22.222222222222221</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45" customHeight="1" x14ac:dyDescent="0.3">
      <c r="B176" s="39"/>
      <c r="C176" s="343" t="s">
        <v>449</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J182*0.02</f>
        <v>0</v>
      </c>
      <c r="K183" s="42"/>
    </row>
    <row r="184" spans="2:14" x14ac:dyDescent="0.3">
      <c r="B184" s="39"/>
      <c r="C184" s="41" t="s">
        <v>374</v>
      </c>
      <c r="D184" s="41"/>
      <c r="E184" s="41"/>
      <c r="F184" s="41"/>
      <c r="G184" s="41"/>
      <c r="H184" s="41"/>
      <c r="I184" s="41"/>
      <c r="J184" s="275">
        <f>13208+2201</f>
        <v>15409</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165" customHeight="1" x14ac:dyDescent="0.3">
      <c r="B196" s="39"/>
      <c r="C196" s="343" t="s">
        <v>448</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J202*0.02</f>
        <v>0</v>
      </c>
      <c r="K203" s="42"/>
    </row>
    <row r="204" spans="2:14" x14ac:dyDescent="0.3">
      <c r="B204" s="39"/>
      <c r="C204" s="41" t="s">
        <v>375</v>
      </c>
      <c r="D204" s="41"/>
      <c r="E204" s="41"/>
      <c r="F204" s="41"/>
      <c r="G204" s="41"/>
      <c r="H204" s="41"/>
      <c r="I204" s="41"/>
      <c r="J204" s="275">
        <f>328484/480/30</f>
        <v>22.811388888888889</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105" customHeight="1" x14ac:dyDescent="0.3">
      <c r="B216" s="39"/>
      <c r="C216" s="343" t="s">
        <v>450</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J243*0.02</f>
        <v>0</v>
      </c>
      <c r="K244" s="42"/>
    </row>
    <row r="245" spans="2:14" x14ac:dyDescent="0.3">
      <c r="B245" s="39"/>
      <c r="C245" s="41" t="s">
        <v>380</v>
      </c>
      <c r="D245" s="305"/>
      <c r="E245" s="305"/>
      <c r="F245" s="305"/>
      <c r="G245" s="305"/>
      <c r="H245" s="305"/>
      <c r="I245" s="305"/>
      <c r="J245" s="275">
        <f>328484*40/250</f>
        <v>52557.440000000002</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75" customHeight="1" x14ac:dyDescent="0.3">
      <c r="B257" s="39"/>
      <c r="C257" s="343" t="s">
        <v>451</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J268*0.02</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15409</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150" customHeight="1" x14ac:dyDescent="0.3">
      <c r="B286" s="39"/>
      <c r="C286" s="343" t="s">
        <v>452</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9">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9">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6"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9">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4"/>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x14ac:dyDescent="0.3">
      <c r="B394" s="39"/>
      <c r="C394" s="41" t="s">
        <v>993</v>
      </c>
      <c r="D394" s="305"/>
      <c r="E394" s="305"/>
      <c r="F394" s="305"/>
      <c r="G394" s="305"/>
      <c r="H394" s="305"/>
      <c r="I394" s="305"/>
      <c r="J394" s="255" t="str">
        <f>IF('Baseline Health'!$G$102=0,"Not Calculated",100*J392/'Baseline Health'!$G$102)</f>
        <v>Not Calculated</v>
      </c>
      <c r="K394" s="42"/>
    </row>
    <row r="395" spans="2:1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f>0.7*3000</f>
        <v>2100</v>
      </c>
      <c r="K408" s="42"/>
    </row>
    <row r="409" spans="2:11" x14ac:dyDescent="0.3">
      <c r="B409" s="39"/>
      <c r="C409" s="41" t="s">
        <v>279</v>
      </c>
      <c r="D409" s="41"/>
      <c r="E409" s="41"/>
      <c r="F409" s="41"/>
      <c r="G409" s="41"/>
      <c r="H409" s="41"/>
      <c r="I409" s="41"/>
      <c r="J409" s="264">
        <f>IF(J408&lt;=0,0,IF(J408&lt;=(J161*0.01),1,IF(J408&lt;=(J161*0.05),2,IF(J408&lt;=(J161*0.1),3,4))))</f>
        <v>4</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60" customHeight="1" x14ac:dyDescent="0.3">
      <c r="B416" s="39"/>
      <c r="C416" s="343" t="s">
        <v>453</v>
      </c>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4</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2</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6">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4"/>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21</v>
      </c>
      <c r="K478" s="42"/>
    </row>
    <row r="479" spans="2:11" x14ac:dyDescent="0.3">
      <c r="B479" s="39"/>
      <c r="C479" s="41" t="s">
        <v>280</v>
      </c>
      <c r="D479" s="41"/>
      <c r="E479" s="41"/>
      <c r="F479" s="41"/>
      <c r="G479" s="41"/>
      <c r="H479" s="41"/>
      <c r="I479" s="41"/>
      <c r="J479" s="256">
        <f>IF(J478&lt;=0,0,IF(J478&lt;=1,1,IF(J478&lt;=7,2,IF(J478&lt;=14,3,4))))</f>
        <v>4</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t="s">
        <v>454</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4</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21</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1019</v>
      </c>
      <c r="K499" s="42"/>
    </row>
    <row r="500" spans="2:11" x14ac:dyDescent="0.3">
      <c r="B500" s="39"/>
      <c r="C500" s="41" t="s">
        <v>280</v>
      </c>
      <c r="D500" s="41"/>
      <c r="E500" s="41"/>
      <c r="F500" s="41"/>
      <c r="G500" s="41"/>
      <c r="H500" s="41"/>
      <c r="I500" s="41"/>
      <c r="J500" s="256">
        <f>IF(J499=$B$973,$A$973,IF(J499=$B$974,$A$974,IF(J499=$B$975,$A$975,IF(J499=$B$976,$A$976,IF(J499=$B$977,$A$977,"Not Calculated")))))</f>
        <v>4</v>
      </c>
      <c r="K500" s="42"/>
    </row>
    <row r="501" spans="2:11" x14ac:dyDescent="0.3">
      <c r="B501" s="39"/>
      <c r="C501" s="41" t="s">
        <v>1038</v>
      </c>
      <c r="D501" s="41"/>
      <c r="E501" s="41"/>
      <c r="F501" s="41"/>
      <c r="G501" s="41"/>
      <c r="H501" s="41"/>
      <c r="I501" s="41"/>
      <c r="J501" s="41"/>
      <c r="K501" s="42"/>
    </row>
    <row r="502" spans="2:11" ht="30" customHeight="1" x14ac:dyDescent="0.3">
      <c r="B502" s="39"/>
      <c r="C502" s="343" t="s">
        <v>503</v>
      </c>
      <c r="D502" s="344"/>
      <c r="E502" s="344"/>
      <c r="F502" s="344"/>
      <c r="G502" s="344"/>
      <c r="H502" s="344"/>
      <c r="I502" s="344"/>
      <c r="J502" s="345"/>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4</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100000</v>
      </c>
      <c r="K508" s="42"/>
    </row>
    <row r="509" spans="2:11" x14ac:dyDescent="0.3">
      <c r="B509" s="39"/>
      <c r="C509" s="41" t="s">
        <v>279</v>
      </c>
      <c r="D509" s="41"/>
      <c r="E509" s="41"/>
      <c r="F509" s="41"/>
      <c r="G509" s="41"/>
      <c r="H509" s="41"/>
      <c r="I509" s="41"/>
      <c r="J509" s="259">
        <f>IF(J508&lt;=0,0,IF(J508&lt;=1000,1,IF(J508&lt;=5000,2,IF(J508&lt;=25000,3,4))))</f>
        <v>4</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1019</v>
      </c>
      <c r="K515" s="42"/>
    </row>
    <row r="516" spans="2:11" x14ac:dyDescent="0.3">
      <c r="B516" s="39"/>
      <c r="C516" s="41" t="s">
        <v>280</v>
      </c>
      <c r="D516" s="41"/>
      <c r="E516" s="41"/>
      <c r="F516" s="41"/>
      <c r="G516" s="41"/>
      <c r="H516" s="41"/>
      <c r="I516" s="41"/>
      <c r="J516" s="256">
        <f>IF(J515=$B$973,$A$973,IF(J515=$B$974,$A$974,IF(J515=$B$975,$A$975,IF(J515=$B$976,$A$976,IF(J515=$B$977,$A$977,"Not Calculated")))))</f>
        <v>4</v>
      </c>
      <c r="K516" s="42"/>
    </row>
    <row r="517" spans="2:11" x14ac:dyDescent="0.3">
      <c r="B517" s="39"/>
      <c r="C517" s="41" t="s">
        <v>1038</v>
      </c>
      <c r="D517" s="41"/>
      <c r="E517" s="41"/>
      <c r="F517" s="41"/>
      <c r="G517" s="41"/>
      <c r="H517" s="41"/>
      <c r="I517" s="41"/>
      <c r="J517" s="41"/>
      <c r="K517" s="42"/>
    </row>
    <row r="518" spans="2:11" ht="45" customHeight="1" x14ac:dyDescent="0.3">
      <c r="B518" s="39"/>
      <c r="C518" s="343" t="s">
        <v>504</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4</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1.17</v>
      </c>
      <c r="K525" s="42"/>
    </row>
    <row r="526" spans="2:11" x14ac:dyDescent="0.3">
      <c r="B526" s="39"/>
      <c r="C526" s="41" t="s">
        <v>279</v>
      </c>
      <c r="D526" s="41"/>
      <c r="E526" s="41"/>
      <c r="F526" s="41"/>
      <c r="G526" s="41"/>
      <c r="H526" s="41"/>
      <c r="I526" s="41"/>
      <c r="J526" s="259">
        <f>IF(J525&lt;=0,0,IF(J525&lt;=1,1,IF(J525&lt;=5,2,IF(J525&lt;=10,3,4))))</f>
        <v>2</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6">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105" customHeight="1" x14ac:dyDescent="0.3">
      <c r="B535" s="39"/>
      <c r="C535" s="343" t="s">
        <v>455</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2.1428571428571428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f>0.02*J546</f>
        <v>0</v>
      </c>
      <c r="K547" s="42"/>
    </row>
    <row r="548" spans="2:14" x14ac:dyDescent="0.3">
      <c r="B548" s="39"/>
      <c r="C548" s="41" t="s">
        <v>467</v>
      </c>
      <c r="D548" s="41"/>
      <c r="E548" s="41"/>
      <c r="F548" s="41"/>
      <c r="G548" s="41"/>
      <c r="H548" s="41"/>
      <c r="I548" s="41"/>
      <c r="J548" s="275">
        <f>J546</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90" customHeight="1" x14ac:dyDescent="0.3">
      <c r="B560" s="39"/>
      <c r="C560" s="343" t="s">
        <v>468</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328484/34</f>
        <v>9661.2941176470595</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x14ac:dyDescent="0.3">
      <c r="B578" s="39"/>
      <c r="C578" s="176" t="s">
        <v>770</v>
      </c>
      <c r="D578" s="41"/>
      <c r="E578" s="41"/>
      <c r="F578" s="41"/>
      <c r="G578" s="41"/>
      <c r="H578" s="41"/>
      <c r="I578" s="41"/>
      <c r="J578" s="276" t="s">
        <v>769</v>
      </c>
      <c r="K578" s="42"/>
      <c r="N578" s="12" t="s">
        <v>1041</v>
      </c>
    </row>
    <row r="579" spans="2:14"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75" customHeight="1" x14ac:dyDescent="0.3">
      <c r="B583" s="39"/>
      <c r="C583" s="343" t="s">
        <v>456</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1000</v>
      </c>
      <c r="K589" s="42"/>
    </row>
    <row r="590" spans="2:14" x14ac:dyDescent="0.3">
      <c r="B590" s="39"/>
      <c r="C590" s="41" t="s">
        <v>279</v>
      </c>
      <c r="D590" s="41"/>
      <c r="E590" s="41"/>
      <c r="F590" s="41"/>
      <c r="G590" s="41"/>
      <c r="H590" s="41"/>
      <c r="I590" s="41"/>
      <c r="J590" s="266">
        <f>IF(J589&lt;=0,0,IF(J589&lt;=1000,1,IF(J589&lt;=5000,2,IF(J589&lt;=25000,3,4))))</f>
        <v>1</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x14ac:dyDescent="0.3">
      <c r="B596" s="39"/>
      <c r="C596" s="41" t="s">
        <v>276</v>
      </c>
      <c r="D596" s="41"/>
      <c r="E596" s="41"/>
      <c r="F596" s="41"/>
      <c r="G596" s="41"/>
      <c r="H596" s="41"/>
      <c r="I596" s="41"/>
      <c r="J596" s="277" t="s">
        <v>1019</v>
      </c>
      <c r="K596" s="42"/>
    </row>
    <row r="597" spans="2:11" x14ac:dyDescent="0.3">
      <c r="B597" s="39"/>
      <c r="C597" s="41" t="s">
        <v>280</v>
      </c>
      <c r="D597" s="41"/>
      <c r="E597" s="41"/>
      <c r="F597" s="41"/>
      <c r="G597" s="41"/>
      <c r="H597" s="41"/>
      <c r="I597" s="41"/>
      <c r="J597" s="256">
        <f>IF(J596=$B$973,$A$973,IF(J596=$B$974,$A$974,IF(J596=$B$975,$A$975,IF(J596=$B$976,$A$976,IF(J596=$B$977,$A$977,"Not Calculated")))))</f>
        <v>4</v>
      </c>
      <c r="K597" s="42"/>
    </row>
    <row r="598" spans="2:11" x14ac:dyDescent="0.3">
      <c r="B598" s="39"/>
      <c r="C598" s="41" t="s">
        <v>1038</v>
      </c>
      <c r="D598" s="41"/>
      <c r="E598" s="41"/>
      <c r="F598" s="41"/>
      <c r="G598" s="41"/>
      <c r="H598" s="41"/>
      <c r="I598" s="41"/>
      <c r="J598" s="41"/>
      <c r="K598" s="42"/>
    </row>
    <row r="599" spans="2:11" ht="30" customHeight="1" x14ac:dyDescent="0.3">
      <c r="B599" s="39"/>
      <c r="C599" s="343" t="s">
        <v>458</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2.5</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100</v>
      </c>
      <c r="K605" s="42"/>
    </row>
    <row r="606" spans="2:11" x14ac:dyDescent="0.3">
      <c r="B606" s="39"/>
      <c r="C606" s="41" t="s">
        <v>279</v>
      </c>
      <c r="D606" s="41"/>
      <c r="E606" s="41"/>
      <c r="F606" s="41"/>
      <c r="G606" s="41"/>
      <c r="H606" s="41"/>
      <c r="I606" s="41"/>
      <c r="J606" s="259">
        <f>IF(J605&lt;=0,0,IF(J605&lt;=10,1,IF(J605&lt;=25,2,IF(J605&lt;=50,3,4))))</f>
        <v>4</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30" customHeight="1" x14ac:dyDescent="0.3">
      <c r="B613" s="39"/>
      <c r="C613" s="343" t="s">
        <v>459</v>
      </c>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4</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J571</f>
        <v>9661.2941176470595</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1019</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4</v>
      </c>
      <c r="K631" s="42"/>
      <c r="N631" s="12" t="s">
        <v>1044</v>
      </c>
    </row>
    <row r="632" spans="2:14" x14ac:dyDescent="0.3">
      <c r="B632" s="39"/>
      <c r="C632" s="41" t="s">
        <v>1038</v>
      </c>
      <c r="D632" s="41"/>
      <c r="E632" s="41"/>
      <c r="F632" s="41"/>
      <c r="G632" s="41"/>
      <c r="H632" s="41"/>
      <c r="I632" s="41"/>
      <c r="J632" s="41"/>
      <c r="K632" s="42"/>
      <c r="N632" s="12" t="s">
        <v>1045</v>
      </c>
    </row>
    <row r="633" spans="2:14" ht="45" customHeight="1" x14ac:dyDescent="0.3">
      <c r="B633" s="39"/>
      <c r="C633" s="343" t="s">
        <v>457</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90" customHeight="1" x14ac:dyDescent="0.3">
      <c r="B655" s="39"/>
      <c r="C655" s="343" t="s">
        <v>460</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440.26666666666665</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x14ac:dyDescent="0.3">
      <c r="B672" s="39"/>
      <c r="C672" s="176" t="s">
        <v>770</v>
      </c>
      <c r="D672" s="41"/>
      <c r="E672" s="41"/>
      <c r="F672" s="41"/>
      <c r="G672" s="41"/>
      <c r="H672" s="41"/>
      <c r="I672" s="41"/>
      <c r="J672" s="276" t="s">
        <v>769</v>
      </c>
      <c r="K672" s="42"/>
      <c r="N672" s="12" t="s">
        <v>1041</v>
      </c>
    </row>
    <row r="673" spans="2:14"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x14ac:dyDescent="0.3">
      <c r="B674" s="39"/>
      <c r="C674" s="41" t="s">
        <v>276</v>
      </c>
      <c r="D674" s="41"/>
      <c r="E674" s="41"/>
      <c r="F674" s="41"/>
      <c r="G674" s="41"/>
      <c r="H674" s="41"/>
      <c r="I674" s="41"/>
      <c r="J674" s="277" t="s">
        <v>1019</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4</v>
      </c>
      <c r="K675" s="42"/>
      <c r="N675" s="12" t="s">
        <v>1048</v>
      </c>
    </row>
    <row r="676" spans="2:14"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198</v>
      </c>
      <c r="H723" s="375"/>
      <c r="I723" s="60"/>
      <c r="J723" s="271">
        <f t="shared" si="0"/>
        <v>1</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198</v>
      </c>
      <c r="H725" s="375"/>
      <c r="I725" s="60"/>
      <c r="J725" s="271">
        <f t="shared" si="0"/>
        <v>1</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215</v>
      </c>
      <c r="H738" s="375"/>
      <c r="I738" s="60"/>
      <c r="J738" s="271">
        <f t="shared" si="1"/>
        <v>0</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215</v>
      </c>
      <c r="H740" s="375"/>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x14ac:dyDescent="0.3">
      <c r="B779" s="58"/>
      <c r="C779" s="60"/>
      <c r="D779" s="60" t="s">
        <v>391</v>
      </c>
      <c r="E779" s="60"/>
      <c r="F779" s="60"/>
      <c r="G779" s="60"/>
      <c r="H779" s="60"/>
      <c r="I779" s="60"/>
      <c r="J779" s="61">
        <f>SUM(J718,J733,J748,J763)</f>
        <v>3</v>
      </c>
      <c r="K779" s="62"/>
    </row>
    <row r="780" spans="2:11" x14ac:dyDescent="0.3">
      <c r="B780" s="58"/>
      <c r="C780" s="60"/>
      <c r="D780" s="198" t="s">
        <v>392</v>
      </c>
      <c r="E780" s="60"/>
      <c r="F780" s="60"/>
      <c r="G780" s="60"/>
      <c r="H780" s="60"/>
      <c r="I780" s="60"/>
      <c r="J780" s="61">
        <f>AVERAGE(J778,J779)</f>
        <v>1.5</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2</v>
      </c>
      <c r="K783" s="62"/>
    </row>
    <row r="784" spans="2:11" x14ac:dyDescent="0.3">
      <c r="B784" s="58"/>
      <c r="C784" s="60"/>
      <c r="D784" s="198" t="s">
        <v>392</v>
      </c>
      <c r="E784" s="60"/>
      <c r="F784" s="60"/>
      <c r="G784" s="60"/>
      <c r="H784" s="60"/>
      <c r="I784" s="60"/>
      <c r="J784" s="61">
        <f>AVERAGE(J782,J783)</f>
        <v>1</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3</v>
      </c>
      <c r="K787" s="62"/>
    </row>
    <row r="788" spans="2:11" x14ac:dyDescent="0.3">
      <c r="B788" s="58"/>
      <c r="C788" s="60"/>
      <c r="D788" s="198" t="s">
        <v>392</v>
      </c>
      <c r="E788" s="60"/>
      <c r="F788" s="60"/>
      <c r="G788" s="60"/>
      <c r="H788" s="60"/>
      <c r="I788" s="60"/>
      <c r="J788" s="61">
        <f>AVERAGE(J786,J787)</f>
        <v>1.5</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3</v>
      </c>
      <c r="K803" s="62"/>
    </row>
    <row r="804" spans="2:11" x14ac:dyDescent="0.3">
      <c r="B804" s="58"/>
      <c r="C804" s="60"/>
      <c r="D804" s="198" t="s">
        <v>392</v>
      </c>
      <c r="E804" s="60"/>
      <c r="F804" s="60"/>
      <c r="G804" s="60"/>
      <c r="H804" s="60"/>
      <c r="I804" s="60"/>
      <c r="J804" s="61">
        <f>AVERAGE(J802,J803)</f>
        <v>1.5</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1.3333333333333333</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256</v>
      </c>
      <c r="H858" s="351"/>
      <c r="I858" s="86"/>
      <c r="J858" s="84">
        <f>IF(G858=$B$998,$A$998,IF(G858=$B$999,$A$999,IF(G858=$B$1000,$A$1000,IF(G858=$B$1001,$A$1001,IF(G858=$B$1002,$A$1002,"Not Calculated")))))</f>
        <v>1</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253</v>
      </c>
      <c r="H874" s="351"/>
      <c r="I874" s="86"/>
      <c r="J874" s="84">
        <f>IF(G874=$B$998,$A$998,IF(G874=$B$999,$A$999,IF(G874=$B$1000,$A$1000,IF(G874=$B$1001,$A$1001,IF(G874=$B$1002,$A$1002,"Not Calculated")))))</f>
        <v>4</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253</v>
      </c>
      <c r="H890" s="351"/>
      <c r="I890" s="86"/>
      <c r="J890" s="84">
        <f>IF(G890=$B$998,$A$998,IF(G890=$B$999,$A$999,IF(G890=$B$1000,$A$1000,IF(G890=$B$1001,$A$1001,IF(G890=$B$1002,$A$1002,"Not Calculated")))))</f>
        <v>4</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c r="C896" s="103"/>
      <c r="D896" s="103"/>
      <c r="E896" s="103"/>
      <c r="F896" s="103"/>
      <c r="G896" s="103"/>
      <c r="H896" s="103"/>
      <c r="I896" s="103"/>
      <c r="J896" s="103"/>
    </row>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253</v>
      </c>
      <c r="H932" s="351"/>
      <c r="I932" s="86"/>
      <c r="J932" s="84">
        <f>IF(G932=$B$998,$A$998,IF(G932=$B$999,$A$999,IF(G932=$B$1000,$A$1000,IF(G932=$B$1001,$A$1001,IF(G932=$B$1002,$A$1002,"Not Calculated")))))</f>
        <v>4</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x14ac:dyDescent="0.3">
      <c r="B1003" s="12" t="s">
        <v>803</v>
      </c>
    </row>
    <row r="1004" spans="1:11" ht="30" customHeight="1" x14ac:dyDescent="0.3">
      <c r="B1004" s="346" t="s">
        <v>811</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813</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807</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814</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815</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391:I392"/>
    <mergeCell ref="C292:I293"/>
    <mergeCell ref="C311:I312"/>
    <mergeCell ref="C340:I341"/>
    <mergeCell ref="C305:J305"/>
    <mergeCell ref="C385:J385"/>
    <mergeCell ref="C324:J324"/>
    <mergeCell ref="B5:K5"/>
    <mergeCell ref="B6:K6"/>
    <mergeCell ref="B7:K7"/>
    <mergeCell ref="B8:K8"/>
    <mergeCell ref="B9:K9"/>
    <mergeCell ref="B10:K10"/>
    <mergeCell ref="C76:J76"/>
    <mergeCell ref="E15:J15"/>
    <mergeCell ref="C38:J38"/>
    <mergeCell ref="C57:J57"/>
    <mergeCell ref="C120:J122"/>
    <mergeCell ref="C123:J124"/>
    <mergeCell ref="C129:J129"/>
    <mergeCell ref="C95:J95"/>
    <mergeCell ref="C114:J114"/>
    <mergeCell ref="C155:J155"/>
    <mergeCell ref="C176:J176"/>
    <mergeCell ref="C196:J196"/>
    <mergeCell ref="C216:J216"/>
    <mergeCell ref="C237:J237"/>
    <mergeCell ref="C257:J257"/>
    <mergeCell ref="C330:I331"/>
    <mergeCell ref="C347:J347"/>
    <mergeCell ref="D343:I344"/>
    <mergeCell ref="C365:J365"/>
    <mergeCell ref="C371:I372"/>
    <mergeCell ref="C286:J286"/>
    <mergeCell ref="C402:J402"/>
    <mergeCell ref="C416:J416"/>
    <mergeCell ref="C438:J438"/>
    <mergeCell ref="C444:I445"/>
    <mergeCell ref="C420:I421"/>
    <mergeCell ref="C518:J518"/>
    <mergeCell ref="C471:J471"/>
    <mergeCell ref="C477:I478"/>
    <mergeCell ref="C486:J486"/>
    <mergeCell ref="C502:J502"/>
    <mergeCell ref="C455:J455"/>
    <mergeCell ref="G752:H752"/>
    <mergeCell ref="G753:H753"/>
    <mergeCell ref="C759:J761"/>
    <mergeCell ref="G762:H762"/>
    <mergeCell ref="G763:H763"/>
    <mergeCell ref="G764:H764"/>
    <mergeCell ref="G765:H765"/>
    <mergeCell ref="C639:I640"/>
    <mergeCell ref="C641:I643"/>
    <mergeCell ref="G734:H734"/>
    <mergeCell ref="G735:H735"/>
    <mergeCell ref="G724:H724"/>
    <mergeCell ref="G725:H725"/>
    <mergeCell ref="G719:H719"/>
    <mergeCell ref="G720:H720"/>
    <mergeCell ref="G721:H721"/>
    <mergeCell ref="G717:H717"/>
    <mergeCell ref="G718:H718"/>
    <mergeCell ref="C729:J731"/>
    <mergeCell ref="G732:H732"/>
    <mergeCell ref="G733:H733"/>
    <mergeCell ref="C714:J716"/>
    <mergeCell ref="C655:J655"/>
    <mergeCell ref="D664:I665"/>
    <mergeCell ref="C677:J677"/>
    <mergeCell ref="C599:J599"/>
    <mergeCell ref="G750:H750"/>
    <mergeCell ref="G751:H751"/>
    <mergeCell ref="G739:H739"/>
    <mergeCell ref="G740:H740"/>
    <mergeCell ref="G737:H737"/>
    <mergeCell ref="G738:H738"/>
    <mergeCell ref="G748:H748"/>
    <mergeCell ref="G749:H749"/>
    <mergeCell ref="C524:I525"/>
    <mergeCell ref="C535:J535"/>
    <mergeCell ref="C613:J613"/>
    <mergeCell ref="C560:J560"/>
    <mergeCell ref="C566:I568"/>
    <mergeCell ref="C569:I571"/>
    <mergeCell ref="C583:J583"/>
    <mergeCell ref="C620:I621"/>
    <mergeCell ref="C633:J633"/>
    <mergeCell ref="G870:H870"/>
    <mergeCell ref="G874:H874"/>
    <mergeCell ref="G846:H846"/>
    <mergeCell ref="G722:H722"/>
    <mergeCell ref="G723:H723"/>
    <mergeCell ref="G850:H850"/>
    <mergeCell ref="G862:H862"/>
    <mergeCell ref="G866:H866"/>
    <mergeCell ref="G854:H854"/>
    <mergeCell ref="G858:H858"/>
    <mergeCell ref="G736:H736"/>
    <mergeCell ref="C744:J746"/>
    <mergeCell ref="G747:H747"/>
    <mergeCell ref="G769:H769"/>
    <mergeCell ref="G770:H770"/>
    <mergeCell ref="G767:H767"/>
    <mergeCell ref="G768:H768"/>
    <mergeCell ref="C830:J831"/>
    <mergeCell ref="G834:H834"/>
    <mergeCell ref="G838:H838"/>
    <mergeCell ref="G842:H842"/>
    <mergeCell ref="G766:H766"/>
    <mergeCell ref="G754:H754"/>
    <mergeCell ref="G755:H755"/>
    <mergeCell ref="G878:H878"/>
    <mergeCell ref="F959:H960"/>
    <mergeCell ref="G886:H886"/>
    <mergeCell ref="G890:H890"/>
    <mergeCell ref="G882:H882"/>
    <mergeCell ref="C900:J901"/>
    <mergeCell ref="G904:H904"/>
    <mergeCell ref="G908:H908"/>
    <mergeCell ref="G912:H912"/>
    <mergeCell ref="B1026:K1026"/>
    <mergeCell ref="B1027:K1027"/>
    <mergeCell ref="B1028:K1028"/>
    <mergeCell ref="B1029:K1029"/>
    <mergeCell ref="B1005:K1005"/>
    <mergeCell ref="B1006:K1006"/>
    <mergeCell ref="B1007:K1007"/>
    <mergeCell ref="B1008:K1008"/>
    <mergeCell ref="B1017:K1017"/>
    <mergeCell ref="B1018:K1018"/>
    <mergeCell ref="B1015:K1015"/>
    <mergeCell ref="B1016:K1016"/>
    <mergeCell ref="B1019:K1019"/>
    <mergeCell ref="B1020:K1020"/>
    <mergeCell ref="B1021:K1021"/>
    <mergeCell ref="B1009:K1009"/>
    <mergeCell ref="B1010:K1010"/>
    <mergeCell ref="B1011:K1011"/>
    <mergeCell ref="B1012:K1012"/>
    <mergeCell ref="B1013:K1013"/>
    <mergeCell ref="B1014:K1014"/>
    <mergeCell ref="B1022:K1022"/>
    <mergeCell ref="B1004:K1004"/>
    <mergeCell ref="G924:H924"/>
    <mergeCell ref="G916:H916"/>
    <mergeCell ref="G920:H920"/>
    <mergeCell ref="G928:H928"/>
    <mergeCell ref="G932:H932"/>
    <mergeCell ref="B1023:K1023"/>
    <mergeCell ref="B1024:K1024"/>
    <mergeCell ref="B1025:K1025"/>
  </mergeCells>
  <dataValidations count="23">
    <dataValidation type="list" allowBlank="1" showInputMessage="1" showErrorMessage="1" sqref="E15" xr:uid="{00000000-0002-0000-0B00-000000000000}">
      <formula1>$C$966:$C$970</formula1>
    </dataValidation>
    <dataValidation type="list" allowBlank="1" showInputMessage="1" showErrorMessage="1" sqref="G834:H834 G886:H886 G882:H882 G878:H878 G874:H874 G838:H838 G870:H870 G866:H866 G862:H862 G858:H858 G854:H854 G850:H850 G846:H846 G842:H842 G890:H890 G904:H904 G928:H928 G908:H908 G924:H924 G920:H920 G916:H916 G912:H912 G932:H932" xr:uid="{00000000-0002-0000-0B00-000001000000}">
      <formula1>$B$998:$B$1002</formula1>
    </dataValidation>
    <dataValidation type="list" allowBlank="1" showInputMessage="1" showErrorMessage="1" sqref="G717:H725 G762:H770 G732:H740 G747:H755" xr:uid="{00000000-0002-0000-0B00-000002000000}">
      <formula1>$B$994:$B$995</formula1>
    </dataValidation>
    <dataValidation type="list" allowBlank="1" showInputMessage="1" showErrorMessage="1" sqref="J302 J362" xr:uid="{00000000-0002-0000-0B00-000003000000}">
      <formula1>$B$980:$B$984</formula1>
    </dataValidation>
    <dataValidation type="list" allowBlank="1" showInputMessage="1" showErrorMessage="1" sqref="C123:J124" xr:uid="{00000000-0002-0000-0B00-000004000000}">
      <formula1>$B$987:$B$991</formula1>
    </dataValidation>
    <dataValidation type="list" allowBlank="1" showInputMessage="1" showErrorMessage="1" sqref="J515 J630 J499 J254 J234 J213 J193 J173 J152 J126 J111 J92 J73 J54 J35 J283 J532 J580 J596 J674 J652 J435 J452 J468 J557" xr:uid="{00000000-0002-0000-0B00-000005000000}">
      <formula1>$B$973:$B$977</formula1>
    </dataValidation>
    <dataValidation type="list" allowBlank="1" showInputMessage="1" showErrorMessage="1" sqref="J33" xr:uid="{00000000-0002-0000-0B00-000006000000}">
      <formula1>$N$32:$N$37</formula1>
    </dataValidation>
    <dataValidation type="list" allowBlank="1" showInputMessage="1" showErrorMessage="1" sqref="J52" xr:uid="{00000000-0002-0000-0B00-000007000000}">
      <formula1>$N$51:$N$56</formula1>
    </dataValidation>
    <dataValidation type="list" allowBlank="1" showInputMessage="1" showErrorMessage="1" sqref="J71" xr:uid="{00000000-0002-0000-0B00-000008000000}">
      <formula1>$N$70:$N$75</formula1>
    </dataValidation>
    <dataValidation type="list" allowBlank="1" showInputMessage="1" showErrorMessage="1" sqref="J90" xr:uid="{00000000-0002-0000-0B00-000009000000}">
      <formula1>$N$89:$N$94</formula1>
    </dataValidation>
    <dataValidation type="list" allowBlank="1" showInputMessage="1" showErrorMessage="1" sqref="J109" xr:uid="{00000000-0002-0000-0B00-00000A000000}">
      <formula1>$N$108:$N$113</formula1>
    </dataValidation>
    <dataValidation type="list" allowBlank="1" showInputMessage="1" showErrorMessage="1" sqref="J150" xr:uid="{00000000-0002-0000-0B00-00000B000000}">
      <formula1>$N$149:$N$154</formula1>
    </dataValidation>
    <dataValidation type="list" allowBlank="1" showInputMessage="1" showErrorMessage="1" sqref="J171" xr:uid="{00000000-0002-0000-0B00-00000C000000}">
      <formula1>$N$170:$N$175</formula1>
    </dataValidation>
    <dataValidation type="list" allowBlank="1" showInputMessage="1" showErrorMessage="1" sqref="J191" xr:uid="{00000000-0002-0000-0B00-00000D000000}">
      <formula1>$N$190:$N$195</formula1>
    </dataValidation>
    <dataValidation type="list" allowBlank="1" showInputMessage="1" showErrorMessage="1" sqref="J211" xr:uid="{00000000-0002-0000-0B00-00000E000000}">
      <formula1>$N$210:$N$215</formula1>
    </dataValidation>
    <dataValidation type="list" allowBlank="1" showInputMessage="1" showErrorMessage="1" sqref="J232" xr:uid="{00000000-0002-0000-0B00-00000F000000}">
      <formula1>$N$231:$N$236</formula1>
    </dataValidation>
    <dataValidation type="list" allowBlank="1" showInputMessage="1" showErrorMessage="1" sqref="J252" xr:uid="{00000000-0002-0000-0B00-000010000000}">
      <formula1>$N$251:$N$256</formula1>
    </dataValidation>
    <dataValidation type="list" allowBlank="1" showInputMessage="1" showErrorMessage="1" sqref="J281" xr:uid="{00000000-0002-0000-0B00-000011000000}">
      <formula1>$N$280:$N$285</formula1>
    </dataValidation>
    <dataValidation type="list" allowBlank="1" showInputMessage="1" showErrorMessage="1" sqref="J555" xr:uid="{00000000-0002-0000-0B00-000012000000}">
      <formula1>$N$554:$N$559</formula1>
    </dataValidation>
    <dataValidation type="list" allowBlank="1" showInputMessage="1" showErrorMessage="1" sqref="J578" xr:uid="{00000000-0002-0000-0B00-000013000000}">
      <formula1>$N$577:$N$582</formula1>
    </dataValidation>
    <dataValidation type="list" allowBlank="1" showInputMessage="1" showErrorMessage="1" sqref="J628" xr:uid="{00000000-0002-0000-0B00-000014000000}">
      <formula1>$N$627:$N$632</formula1>
    </dataValidation>
    <dataValidation type="list" allowBlank="1" showInputMessage="1" showErrorMessage="1" sqref="J650" xr:uid="{00000000-0002-0000-0B00-000015000000}">
      <formula1>$N$649:$N$654</formula1>
    </dataValidation>
    <dataValidation type="list" allowBlank="1" showInputMessage="1" showErrorMessage="1" sqref="J672" xr:uid="{00000000-0002-0000-0B00-000016000000}">
      <formula1>$N$671:$N$676</formula1>
    </dataValidation>
  </dataValidations>
  <pageMargins left="0.7" right="0.7" top="0.75" bottom="0.75" header="0.3" footer="0.3"/>
  <pageSetup scale="7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18</v>
      </c>
      <c r="I3" s="30"/>
      <c r="L3" s="160"/>
      <c r="M3" s="160"/>
    </row>
    <row r="4" spans="2:13" x14ac:dyDescent="0.3">
      <c r="G4" s="99"/>
      <c r="I4" s="30"/>
      <c r="L4" s="161"/>
      <c r="M4" s="160"/>
    </row>
    <row r="5" spans="2:13" ht="105" customHeight="1" x14ac:dyDescent="0.3">
      <c r="B5" s="369" t="s">
        <v>775</v>
      </c>
      <c r="C5" s="319"/>
      <c r="D5" s="319"/>
      <c r="E5" s="319"/>
      <c r="F5" s="319"/>
      <c r="G5" s="319"/>
      <c r="H5" s="319"/>
      <c r="I5" s="319"/>
      <c r="J5" s="319"/>
      <c r="K5" s="319"/>
      <c r="L5" s="161"/>
      <c r="M5" s="160"/>
    </row>
    <row r="6" spans="2:13" ht="15" customHeight="1" x14ac:dyDescent="0.3">
      <c r="B6" s="370"/>
      <c r="C6" s="371"/>
      <c r="D6" s="371"/>
      <c r="E6" s="371"/>
      <c r="F6" s="371"/>
      <c r="G6" s="371"/>
      <c r="H6" s="371"/>
      <c r="I6" s="371"/>
      <c r="J6" s="371"/>
      <c r="K6" s="371"/>
      <c r="L6" s="161"/>
    </row>
    <row r="7" spans="2:13" ht="60" customHeight="1" x14ac:dyDescent="0.3">
      <c r="B7" s="369" t="s">
        <v>772</v>
      </c>
      <c r="C7" s="319"/>
      <c r="D7" s="319"/>
      <c r="E7" s="319"/>
      <c r="F7" s="319"/>
      <c r="G7" s="319"/>
      <c r="H7" s="319"/>
      <c r="I7" s="319"/>
      <c r="J7" s="319"/>
      <c r="K7" s="319"/>
      <c r="L7" s="161"/>
    </row>
    <row r="8" spans="2:13" x14ac:dyDescent="0.3">
      <c r="B8" s="370"/>
      <c r="C8" s="370"/>
      <c r="D8" s="370"/>
      <c r="E8" s="370"/>
      <c r="F8" s="370"/>
      <c r="G8" s="370"/>
      <c r="H8" s="370"/>
      <c r="I8" s="370"/>
      <c r="J8" s="370"/>
      <c r="K8" s="370"/>
      <c r="L8" s="161"/>
    </row>
    <row r="9" spans="2:13" ht="30" customHeight="1" x14ac:dyDescent="0.3">
      <c r="B9" s="376" t="s">
        <v>774</v>
      </c>
      <c r="C9" s="377"/>
      <c r="D9" s="377"/>
      <c r="E9" s="377"/>
      <c r="F9" s="377"/>
      <c r="G9" s="377"/>
      <c r="H9" s="377"/>
      <c r="I9" s="377"/>
      <c r="J9" s="377"/>
      <c r="K9" s="377"/>
      <c r="L9" s="161"/>
    </row>
    <row r="10" spans="2:13" ht="120.75" customHeight="1" x14ac:dyDescent="0.3">
      <c r="B10" s="383" t="s">
        <v>1168</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260</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1</v>
      </c>
      <c r="F17" s="166"/>
      <c r="G17" s="166"/>
      <c r="H17" s="166"/>
      <c r="I17" s="166"/>
      <c r="J17" s="166"/>
      <c r="K17" s="168"/>
    </row>
    <row r="18" spans="2:14" x14ac:dyDescent="0.3">
      <c r="B18" s="165"/>
      <c r="C18" s="166"/>
      <c r="D18" s="166"/>
      <c r="E18" s="170" t="str">
        <f>IF(E15=$C$966,$B$966,IF(E15=$C$967,$B$967,IF(E15=$C$968,$B$968,IF(E15=$C$969,$B$969,IF(E15=$C$970,$B$970,"Not Calculated")))))</f>
        <v>Remote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'Community Characteristics'!H111*0.95</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9">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1169</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'Community Characteristics'!H111*0.05</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9">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45" customHeight="1" x14ac:dyDescent="0.3">
      <c r="B57" s="178"/>
      <c r="C57" s="359" t="s">
        <v>1170</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J45</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9">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45" customHeight="1" x14ac:dyDescent="0.3">
      <c r="B76" s="178"/>
      <c r="C76" s="359" t="s">
        <v>1170</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J82*0.5</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9">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30" customHeight="1" x14ac:dyDescent="0.3">
      <c r="B95" s="178"/>
      <c r="C95" s="359" t="s">
        <v>461</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2</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1027</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1</v>
      </c>
      <c r="K112" s="42"/>
      <c r="N112" s="12" t="s">
        <v>1044</v>
      </c>
    </row>
    <row r="113" spans="2:14" x14ac:dyDescent="0.3">
      <c r="B113" s="39"/>
      <c r="C113" s="41" t="s">
        <v>1038</v>
      </c>
      <c r="D113" s="41"/>
      <c r="E113" s="41"/>
      <c r="F113" s="41"/>
      <c r="G113" s="41"/>
      <c r="H113" s="41"/>
      <c r="I113" s="41"/>
      <c r="J113" s="177"/>
      <c r="K113" s="42"/>
      <c r="N113" s="12" t="s">
        <v>1045</v>
      </c>
    </row>
    <row r="114" spans="2:14" s="180" customFormat="1" ht="60" customHeight="1" x14ac:dyDescent="0.3">
      <c r="B114" s="178"/>
      <c r="C114" s="359" t="s">
        <v>1171</v>
      </c>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1</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267</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4</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30" customHeight="1" x14ac:dyDescent="0.3">
      <c r="B129" s="178"/>
      <c r="C129" s="359" t="s">
        <v>505</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4</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2</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J64</f>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1172</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f>J202*0.5</f>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462</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2</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1019</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4</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('Baseline Health'!G6*0.6)*40/250</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463</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45" customHeight="1" x14ac:dyDescent="0.3">
      <c r="B286" s="39"/>
      <c r="C286" s="343" t="s">
        <v>1170</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62">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1029</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30" customHeight="1" x14ac:dyDescent="0.3">
      <c r="B416" s="39"/>
      <c r="C416" s="343" t="s">
        <v>464</v>
      </c>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9">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7</v>
      </c>
      <c r="K478" s="42"/>
    </row>
    <row r="479" spans="2:11" x14ac:dyDescent="0.3">
      <c r="B479" s="39"/>
      <c r="C479" s="41" t="s">
        <v>280</v>
      </c>
      <c r="D479" s="41"/>
      <c r="E479" s="41"/>
      <c r="F479" s="41"/>
      <c r="G479" s="41"/>
      <c r="H479" s="41"/>
      <c r="I479" s="41"/>
      <c r="J479" s="259">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t="s">
        <v>465</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9">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f>'Community Characteristics'!H114*0.25</f>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1017</v>
      </c>
      <c r="K515" s="42"/>
    </row>
    <row r="516" spans="2:11" x14ac:dyDescent="0.3">
      <c r="B516" s="39"/>
      <c r="C516" s="41" t="s">
        <v>280</v>
      </c>
      <c r="D516" s="41"/>
      <c r="E516" s="41"/>
      <c r="F516" s="41"/>
      <c r="G516" s="41"/>
      <c r="H516" s="41"/>
      <c r="I516" s="41"/>
      <c r="J516" s="259">
        <f>IF(J515=$B$973,$A$973,IF(J515=$B$974,$A$974,IF(J515=$B$975,$A$975,IF(J515=$B$976,$A$976,IF(J515=$B$977,$A$977,"Not Calculated")))))</f>
        <v>2</v>
      </c>
      <c r="K516" s="42"/>
    </row>
    <row r="517" spans="2:11" x14ac:dyDescent="0.3">
      <c r="B517" s="39"/>
      <c r="C517" s="41" t="s">
        <v>1038</v>
      </c>
      <c r="D517" s="41"/>
      <c r="E517" s="41"/>
      <c r="F517" s="41"/>
      <c r="G517" s="41"/>
      <c r="H517" s="41"/>
      <c r="I517" s="41"/>
      <c r="J517" s="41"/>
      <c r="K517" s="42"/>
    </row>
    <row r="518" spans="2:11" ht="30" customHeight="1" x14ac:dyDescent="0.3">
      <c r="B518" s="39"/>
      <c r="C518" s="343" t="s">
        <v>1173</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1</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0.5</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9">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30" customHeight="1" x14ac:dyDescent="0.3">
      <c r="B535" s="39"/>
      <c r="C535" s="343" t="s">
        <v>1174</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0.7857142857142857</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70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466</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ht="15" customHeight="1" x14ac:dyDescent="0.3">
      <c r="B571" s="39"/>
      <c r="C571" s="324"/>
      <c r="D571" s="324"/>
      <c r="E571" s="324"/>
      <c r="F571" s="324"/>
      <c r="G571" s="324"/>
      <c r="H571" s="324"/>
      <c r="I571" s="324"/>
      <c r="J571" s="275">
        <f>'Community Characteristics'!H111*0.05</f>
        <v>0</v>
      </c>
      <c r="K571" s="42"/>
    </row>
    <row r="572" spans="2:11" ht="15" customHeight="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1175</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f>'Community Characteristics'!H114/4</f>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1017</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2</v>
      </c>
      <c r="K597" s="42"/>
    </row>
    <row r="598" spans="2:11" x14ac:dyDescent="0.3">
      <c r="B598" s="39"/>
      <c r="C598" s="41" t="s">
        <v>1038</v>
      </c>
      <c r="D598" s="41"/>
      <c r="E598" s="41"/>
      <c r="F598" s="41"/>
      <c r="G598" s="41"/>
      <c r="H598" s="41"/>
      <c r="I598" s="41"/>
      <c r="J598" s="41"/>
      <c r="K598" s="42"/>
    </row>
    <row r="599" spans="2:11" ht="45" customHeight="1" x14ac:dyDescent="0.3">
      <c r="B599" s="39"/>
      <c r="C599" s="343" t="s">
        <v>1176</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1</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t="str">
        <f>IF('Baseline Health'!G6=0,"Not Calculated",(('Community Characteristics'!H111*0.05)/'Baseline Health'!G6)*100)</f>
        <v>Not Calculated</v>
      </c>
      <c r="K605" s="42"/>
    </row>
    <row r="606" spans="2:11" x14ac:dyDescent="0.3">
      <c r="B606" s="39"/>
      <c r="C606" s="41" t="s">
        <v>279</v>
      </c>
      <c r="D606" s="41"/>
      <c r="E606" s="41"/>
      <c r="F606" s="41"/>
      <c r="G606" s="41"/>
      <c r="H606" s="41"/>
      <c r="I606" s="41"/>
      <c r="J606" s="259">
        <f>IF(J605&lt;=0,0,IF(J605&lt;=10,1,IF(J605&lt;=25,2,IF(J605&lt;=50,3,4))))</f>
        <v>4</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45" customHeight="1" x14ac:dyDescent="0.3">
      <c r="B613" s="39"/>
      <c r="C613" s="343" t="s">
        <v>1177</v>
      </c>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4</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200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1017</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2</v>
      </c>
      <c r="K631" s="42"/>
      <c r="N631" s="12" t="s">
        <v>1044</v>
      </c>
    </row>
    <row r="632" spans="2:14" x14ac:dyDescent="0.3">
      <c r="B632" s="39"/>
      <c r="C632" s="41" t="s">
        <v>1038</v>
      </c>
      <c r="D632" s="41"/>
      <c r="E632" s="41"/>
      <c r="F632" s="41"/>
      <c r="G632" s="41"/>
      <c r="H632" s="41"/>
      <c r="I632" s="41"/>
      <c r="J632" s="41"/>
      <c r="K632" s="42"/>
      <c r="N632" s="12" t="s">
        <v>1045</v>
      </c>
    </row>
    <row r="633" spans="2:14" ht="45" customHeight="1" x14ac:dyDescent="0.3">
      <c r="B633" s="39"/>
      <c r="C633" s="343" t="s">
        <v>469</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30" customHeight="1" x14ac:dyDescent="0.3">
      <c r="B655" s="39"/>
      <c r="C655" s="343" t="s">
        <v>470</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198</v>
      </c>
      <c r="H732" s="353"/>
      <c r="I732" s="60"/>
      <c r="J732" s="271">
        <f>IF(G732=$B$994,$A$994,IF(G732=$B$995,$A$995,"Not Calculated"))</f>
        <v>1</v>
      </c>
      <c r="K732" s="62"/>
    </row>
    <row r="733" spans="2:11" x14ac:dyDescent="0.3">
      <c r="B733" s="58"/>
      <c r="C733" s="198" t="s">
        <v>32</v>
      </c>
      <c r="D733" s="60"/>
      <c r="E733" s="60"/>
      <c r="F733" s="60"/>
      <c r="G733" s="352" t="s">
        <v>198</v>
      </c>
      <c r="H733" s="353"/>
      <c r="I733" s="60"/>
      <c r="J733" s="271">
        <f t="shared" ref="J733:J740" si="1">IF(G733=$B$994,$A$994,IF(G733=$B$995,$A$995,"Not Calculated"))</f>
        <v>1</v>
      </c>
      <c r="K733" s="62"/>
    </row>
    <row r="734" spans="2:11" ht="15" customHeight="1" x14ac:dyDescent="0.3">
      <c r="B734" s="58"/>
      <c r="C734" s="198" t="s">
        <v>33</v>
      </c>
      <c r="D734" s="60"/>
      <c r="E734" s="60"/>
      <c r="F734" s="60"/>
      <c r="G734" s="352" t="s">
        <v>198</v>
      </c>
      <c r="H734" s="353"/>
      <c r="I734" s="60"/>
      <c r="J734" s="271">
        <f t="shared" si="1"/>
        <v>1</v>
      </c>
      <c r="K734" s="62"/>
    </row>
    <row r="735" spans="2:11" x14ac:dyDescent="0.3">
      <c r="B735" s="58"/>
      <c r="C735" s="198" t="s">
        <v>34</v>
      </c>
      <c r="D735" s="60"/>
      <c r="E735" s="60"/>
      <c r="F735" s="60"/>
      <c r="G735" s="352" t="s">
        <v>198</v>
      </c>
      <c r="H735" s="353"/>
      <c r="I735" s="60"/>
      <c r="J735" s="271">
        <f t="shared" si="1"/>
        <v>1</v>
      </c>
      <c r="K735" s="62"/>
    </row>
    <row r="736" spans="2:11" x14ac:dyDescent="0.3">
      <c r="B736" s="58"/>
      <c r="C736" s="198" t="s">
        <v>35</v>
      </c>
      <c r="D736" s="60"/>
      <c r="E736" s="60"/>
      <c r="F736" s="60"/>
      <c r="G736" s="352" t="s">
        <v>198</v>
      </c>
      <c r="H736" s="353"/>
      <c r="I736" s="60"/>
      <c r="J736" s="271">
        <f t="shared" si="1"/>
        <v>1</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198</v>
      </c>
      <c r="H738" s="353"/>
      <c r="I738" s="60"/>
      <c r="J738" s="271">
        <f t="shared" si="1"/>
        <v>1</v>
      </c>
      <c r="K738" s="62"/>
    </row>
    <row r="739" spans="2:11" x14ac:dyDescent="0.3">
      <c r="B739" s="58"/>
      <c r="C739" s="198" t="s">
        <v>38</v>
      </c>
      <c r="D739" s="60"/>
      <c r="E739" s="60"/>
      <c r="F739" s="60"/>
      <c r="G739" s="352" t="s">
        <v>198</v>
      </c>
      <c r="H739" s="353"/>
      <c r="I739" s="60"/>
      <c r="J739" s="271">
        <f t="shared" si="1"/>
        <v>1</v>
      </c>
      <c r="K739" s="62"/>
    </row>
    <row r="740" spans="2:11" x14ac:dyDescent="0.3">
      <c r="B740" s="58"/>
      <c r="C740" s="198" t="s">
        <v>39</v>
      </c>
      <c r="D740" s="60"/>
      <c r="E740" s="60"/>
      <c r="F740" s="60"/>
      <c r="G740" s="352" t="s">
        <v>198</v>
      </c>
      <c r="H740" s="353"/>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198</v>
      </c>
      <c r="H748" s="353"/>
      <c r="I748" s="60"/>
      <c r="J748" s="271">
        <f t="shared" ref="J748:J755" si="2">IF(G748=$B$994,$A$994,IF(G748=$B$995,$A$995,"Not Calculated"))</f>
        <v>1</v>
      </c>
      <c r="K748" s="62"/>
    </row>
    <row r="749" spans="2:11" ht="15" customHeight="1" x14ac:dyDescent="0.3">
      <c r="B749" s="58"/>
      <c r="C749" s="198" t="s">
        <v>33</v>
      </c>
      <c r="D749" s="60"/>
      <c r="E749" s="60"/>
      <c r="F749" s="60"/>
      <c r="G749" s="352" t="s">
        <v>198</v>
      </c>
      <c r="H749" s="353"/>
      <c r="I749" s="60"/>
      <c r="J749" s="271">
        <f t="shared" si="2"/>
        <v>1</v>
      </c>
      <c r="K749" s="62"/>
    </row>
    <row r="750" spans="2:11" x14ac:dyDescent="0.3">
      <c r="B750" s="58"/>
      <c r="C750" s="198" t="s">
        <v>34</v>
      </c>
      <c r="D750" s="60"/>
      <c r="E750" s="60"/>
      <c r="F750" s="60"/>
      <c r="G750" s="352" t="s">
        <v>198</v>
      </c>
      <c r="H750" s="353"/>
      <c r="I750" s="60"/>
      <c r="J750" s="271">
        <f t="shared" si="2"/>
        <v>1</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198</v>
      </c>
      <c r="H752" s="353"/>
      <c r="I752" s="60"/>
      <c r="J752" s="271">
        <f t="shared" si="2"/>
        <v>1</v>
      </c>
      <c r="K752" s="62"/>
    </row>
    <row r="753" spans="2:11" x14ac:dyDescent="0.3">
      <c r="B753" s="58"/>
      <c r="C753" s="198" t="s">
        <v>37</v>
      </c>
      <c r="D753" s="60"/>
      <c r="E753" s="60"/>
      <c r="F753" s="60"/>
      <c r="G753" s="352" t="s">
        <v>198</v>
      </c>
      <c r="H753" s="353"/>
      <c r="I753" s="60"/>
      <c r="J753" s="271">
        <f t="shared" si="2"/>
        <v>1</v>
      </c>
      <c r="K753" s="62"/>
    </row>
    <row r="754" spans="2:11" x14ac:dyDescent="0.3">
      <c r="B754" s="58"/>
      <c r="C754" s="198" t="s">
        <v>38</v>
      </c>
      <c r="D754" s="60"/>
      <c r="E754" s="60"/>
      <c r="F754" s="60"/>
      <c r="G754" s="352" t="s">
        <v>198</v>
      </c>
      <c r="H754" s="353"/>
      <c r="I754" s="60"/>
      <c r="J754" s="271">
        <f t="shared" si="2"/>
        <v>1</v>
      </c>
      <c r="K754" s="62"/>
    </row>
    <row r="755" spans="2:11" x14ac:dyDescent="0.3">
      <c r="B755" s="58"/>
      <c r="C755" s="198" t="s">
        <v>39</v>
      </c>
      <c r="D755" s="60"/>
      <c r="E755" s="60"/>
      <c r="F755" s="60"/>
      <c r="G755" s="352" t="s">
        <v>198</v>
      </c>
      <c r="H755" s="353"/>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ht="15" customHeight="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257</v>
      </c>
      <c r="H874" s="351"/>
      <c r="I874" s="86"/>
      <c r="J874" s="84">
        <f>IF(G874=$B$998,$A$998,IF(G874=$B$999,$A$999,IF(G874=$B$1000,$A$1000,IF(G874=$B$1001,$A$1001,IF(G874=$B$1002,$A$1002,"Not Calculated")))))</f>
        <v>3</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257</v>
      </c>
      <c r="H882" s="351"/>
      <c r="I882" s="86"/>
      <c r="J882" s="84">
        <f>IF(G882=$B$998,$A$998,IF(G882=$B$999,$A$999,IF(G882=$B$1000,$A$1000,IF(G882=$B$1001,$A$1001,IF(G882=$B$1002,$A$1002,"Not Calculated")))))</f>
        <v>3</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818</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813</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816</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807</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817</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900:J901"/>
    <mergeCell ref="G904:H904"/>
    <mergeCell ref="G908:H908"/>
    <mergeCell ref="G912:H912"/>
    <mergeCell ref="C641:I643"/>
    <mergeCell ref="C655:J655"/>
    <mergeCell ref="D664:I665"/>
    <mergeCell ref="C677:J677"/>
    <mergeCell ref="C729:J731"/>
    <mergeCell ref="G732:H732"/>
    <mergeCell ref="C744:J746"/>
    <mergeCell ref="G747:H747"/>
    <mergeCell ref="C759:J761"/>
    <mergeCell ref="G751:H751"/>
    <mergeCell ref="G752:H752"/>
    <mergeCell ref="G740:H740"/>
    <mergeCell ref="G738:H738"/>
    <mergeCell ref="G739:H739"/>
    <mergeCell ref="G733:H733"/>
    <mergeCell ref="G734:H734"/>
    <mergeCell ref="G735:H735"/>
    <mergeCell ref="G725:H725"/>
    <mergeCell ref="G720:H720"/>
    <mergeCell ref="G721:H721"/>
    <mergeCell ref="G722:H722"/>
    <mergeCell ref="G723:H723"/>
    <mergeCell ref="G724:H724"/>
    <mergeCell ref="G718:H718"/>
    <mergeCell ref="C560:J560"/>
    <mergeCell ref="C566:I568"/>
    <mergeCell ref="C569:I571"/>
    <mergeCell ref="C583:J583"/>
    <mergeCell ref="C599:J599"/>
    <mergeCell ref="C613:J613"/>
    <mergeCell ref="C620:I621"/>
    <mergeCell ref="C633:J633"/>
    <mergeCell ref="C639:I640"/>
    <mergeCell ref="G719:H719"/>
    <mergeCell ref="C714:J716"/>
    <mergeCell ref="G717:H717"/>
    <mergeCell ref="C340:I341"/>
    <mergeCell ref="C385:J385"/>
    <mergeCell ref="C330:I331"/>
    <mergeCell ref="C420:I421"/>
    <mergeCell ref="C438:J438"/>
    <mergeCell ref="C444:I445"/>
    <mergeCell ref="C455:J455"/>
    <mergeCell ref="C486:J486"/>
    <mergeCell ref="C502:J502"/>
    <mergeCell ref="C120:J122"/>
    <mergeCell ref="C123:J124"/>
    <mergeCell ref="C129:J129"/>
    <mergeCell ref="C95:J95"/>
    <mergeCell ref="C114:J114"/>
    <mergeCell ref="C76:J76"/>
    <mergeCell ref="C57:J57"/>
    <mergeCell ref="B5:K5"/>
    <mergeCell ref="B6:K6"/>
    <mergeCell ref="B7:K7"/>
    <mergeCell ref="B8:K8"/>
    <mergeCell ref="B9:K9"/>
    <mergeCell ref="B10:K10"/>
    <mergeCell ref="E15:J15"/>
    <mergeCell ref="C38:J38"/>
    <mergeCell ref="C286:J286"/>
    <mergeCell ref="C305:J305"/>
    <mergeCell ref="C324:J324"/>
    <mergeCell ref="C257:J257"/>
    <mergeCell ref="C216:J216"/>
    <mergeCell ref="C237:J237"/>
    <mergeCell ref="C176:J176"/>
    <mergeCell ref="C196:J196"/>
    <mergeCell ref="C155:J155"/>
    <mergeCell ref="C292:I293"/>
    <mergeCell ref="C311:I312"/>
    <mergeCell ref="C535:J535"/>
    <mergeCell ref="C471:J471"/>
    <mergeCell ref="C477:I478"/>
    <mergeCell ref="D343:I344"/>
    <mergeCell ref="C402:J402"/>
    <mergeCell ref="C416:J416"/>
    <mergeCell ref="C347:J347"/>
    <mergeCell ref="C365:J365"/>
    <mergeCell ref="C371:I372"/>
    <mergeCell ref="C391:I392"/>
    <mergeCell ref="C518:J518"/>
    <mergeCell ref="C524:I525"/>
    <mergeCell ref="G736:H736"/>
    <mergeCell ref="G767:H767"/>
    <mergeCell ref="G755:H755"/>
    <mergeCell ref="G753:H753"/>
    <mergeCell ref="G754:H754"/>
    <mergeCell ref="G763:H763"/>
    <mergeCell ref="G764:H764"/>
    <mergeCell ref="G765:H765"/>
    <mergeCell ref="G766:H766"/>
    <mergeCell ref="G737:H737"/>
    <mergeCell ref="G748:H748"/>
    <mergeCell ref="G749:H749"/>
    <mergeCell ref="G762:H762"/>
    <mergeCell ref="G750:H750"/>
    <mergeCell ref="G770:H770"/>
    <mergeCell ref="G768:H768"/>
    <mergeCell ref="G769:H769"/>
    <mergeCell ref="C830:J831"/>
    <mergeCell ref="G834:H834"/>
    <mergeCell ref="G838:H838"/>
    <mergeCell ref="G842:H842"/>
    <mergeCell ref="G846:H846"/>
    <mergeCell ref="G850:H850"/>
    <mergeCell ref="G854:H854"/>
    <mergeCell ref="G858:H858"/>
    <mergeCell ref="G862:H862"/>
    <mergeCell ref="G870:H870"/>
    <mergeCell ref="G874:H874"/>
    <mergeCell ref="B1008:K1008"/>
    <mergeCell ref="B1009:K1009"/>
    <mergeCell ref="B1010:K1010"/>
    <mergeCell ref="B1011:K1011"/>
    <mergeCell ref="B1005:K1005"/>
    <mergeCell ref="B1006:K1006"/>
    <mergeCell ref="B1007:K1007"/>
    <mergeCell ref="G916:H916"/>
    <mergeCell ref="G920:H920"/>
    <mergeCell ref="G924:H924"/>
    <mergeCell ref="G928:H928"/>
    <mergeCell ref="G932:H932"/>
    <mergeCell ref="G866:H866"/>
    <mergeCell ref="G878:H878"/>
    <mergeCell ref="G882:H882"/>
    <mergeCell ref="G886:H886"/>
    <mergeCell ref="F959:H960"/>
    <mergeCell ref="B1004:K1004"/>
    <mergeCell ref="G890:H890"/>
    <mergeCell ref="B1012:K1012"/>
    <mergeCell ref="B1013:K1013"/>
    <mergeCell ref="B1023:K1023"/>
    <mergeCell ref="B1024:K1024"/>
    <mergeCell ref="B1025:K1025"/>
    <mergeCell ref="B1026:K1026"/>
    <mergeCell ref="B1027:K1027"/>
    <mergeCell ref="B1028:K1028"/>
    <mergeCell ref="B1029:K1029"/>
    <mergeCell ref="B1014:K1014"/>
    <mergeCell ref="B1015:K1015"/>
    <mergeCell ref="B1016:K1016"/>
    <mergeCell ref="B1017:K1017"/>
    <mergeCell ref="B1018:K1018"/>
    <mergeCell ref="B1019:K1019"/>
    <mergeCell ref="B1020:K1020"/>
    <mergeCell ref="B1021:K1021"/>
    <mergeCell ref="B1022:K1022"/>
  </mergeCells>
  <dataValidations count="23">
    <dataValidation type="list" allowBlank="1" showInputMessage="1" showErrorMessage="1" sqref="J672" xr:uid="{00000000-0002-0000-0C00-000000000000}">
      <formula1>$N$671:$N$676</formula1>
    </dataValidation>
    <dataValidation type="list" allowBlank="1" showInputMessage="1" showErrorMessage="1" sqref="J650" xr:uid="{00000000-0002-0000-0C00-000001000000}">
      <formula1>$N$649:$N$654</formula1>
    </dataValidation>
    <dataValidation type="list" allowBlank="1" showInputMessage="1" showErrorMessage="1" sqref="J628" xr:uid="{00000000-0002-0000-0C00-000002000000}">
      <formula1>$N$627:$N$632</formula1>
    </dataValidation>
    <dataValidation type="list" allowBlank="1" showInputMessage="1" showErrorMessage="1" sqref="J578" xr:uid="{00000000-0002-0000-0C00-000003000000}">
      <formula1>$N$577:$N$582</formula1>
    </dataValidation>
    <dataValidation type="list" allowBlank="1" showInputMessage="1" showErrorMessage="1" sqref="J555" xr:uid="{00000000-0002-0000-0C00-000004000000}">
      <formula1>$N$554:$N$559</formula1>
    </dataValidation>
    <dataValidation type="list" allowBlank="1" showInputMessage="1" showErrorMessage="1" sqref="J281" xr:uid="{00000000-0002-0000-0C00-000005000000}">
      <formula1>$N$280:$N$285</formula1>
    </dataValidation>
    <dataValidation type="list" allowBlank="1" showInputMessage="1" showErrorMessage="1" sqref="J252" xr:uid="{00000000-0002-0000-0C00-000006000000}">
      <formula1>$N$251:$N$256</formula1>
    </dataValidation>
    <dataValidation type="list" allowBlank="1" showInputMessage="1" showErrorMessage="1" sqref="J232" xr:uid="{00000000-0002-0000-0C00-000007000000}">
      <formula1>$N$231:$N$236</formula1>
    </dataValidation>
    <dataValidation type="list" allowBlank="1" showInputMessage="1" showErrorMessage="1" sqref="J211" xr:uid="{00000000-0002-0000-0C00-000008000000}">
      <formula1>$N$210:$N$215</formula1>
    </dataValidation>
    <dataValidation type="list" allowBlank="1" showInputMessage="1" showErrorMessage="1" sqref="J191" xr:uid="{00000000-0002-0000-0C00-000009000000}">
      <formula1>$N$190:$N$195</formula1>
    </dataValidation>
    <dataValidation type="list" allowBlank="1" showInputMessage="1" showErrorMessage="1" sqref="J171" xr:uid="{00000000-0002-0000-0C00-00000A000000}">
      <formula1>$N$170:$N$175</formula1>
    </dataValidation>
    <dataValidation type="list" allowBlank="1" showInputMessage="1" showErrorMessage="1" sqref="J150" xr:uid="{00000000-0002-0000-0C00-00000B000000}">
      <formula1>$N$149:$N$154</formula1>
    </dataValidation>
    <dataValidation type="list" allowBlank="1" showInputMessage="1" showErrorMessage="1" sqref="J109" xr:uid="{00000000-0002-0000-0C00-00000C000000}">
      <formula1>$N$108:$N$113</formula1>
    </dataValidation>
    <dataValidation type="list" allowBlank="1" showInputMessage="1" showErrorMessage="1" sqref="J90" xr:uid="{00000000-0002-0000-0C00-00000D000000}">
      <formula1>$N$89:$N$94</formula1>
    </dataValidation>
    <dataValidation type="list" allowBlank="1" showInputMessage="1" showErrorMessage="1" sqref="J71" xr:uid="{00000000-0002-0000-0C00-00000E000000}">
      <formula1>$N$70:$N$75</formula1>
    </dataValidation>
    <dataValidation type="list" allowBlank="1" showInputMessage="1" showErrorMessage="1" sqref="J52" xr:uid="{00000000-0002-0000-0C00-00000F000000}">
      <formula1>$N$51:$N$56</formula1>
    </dataValidation>
    <dataValidation type="list" allowBlank="1" showInputMessage="1" showErrorMessage="1" sqref="J33" xr:uid="{00000000-0002-0000-0C00-000010000000}">
      <formula1>$N$32:$N$37</formula1>
    </dataValidation>
    <dataValidation type="list" allowBlank="1" showInputMessage="1" showErrorMessage="1" sqref="J35 J213 J283 J652 J234 J54 J193 J173 J152 J126 J111 J92 J73 J254 J435 J452 J468 J499 J515 J532 J557 J580 J596 J674 J630" xr:uid="{00000000-0002-0000-0C00-000011000000}">
      <formula1>$B$973:$B$977</formula1>
    </dataValidation>
    <dataValidation type="list" allowBlank="1" showInputMessage="1" showErrorMessage="1" sqref="C123:J124" xr:uid="{00000000-0002-0000-0C00-000012000000}">
      <formula1>$B$987:$B$991</formula1>
    </dataValidation>
    <dataValidation type="list" allowBlank="1" showInputMessage="1" showErrorMessage="1" sqref="J302 J362" xr:uid="{00000000-0002-0000-0C00-000013000000}">
      <formula1>$B$980:$B$984</formula1>
    </dataValidation>
    <dataValidation type="list" allowBlank="1" showInputMessage="1" showErrorMessage="1" sqref="G717:H725 G762:H770 G732:H740 G747:H755" xr:uid="{00000000-0002-0000-0C00-000014000000}">
      <formula1>$B$994:$B$995</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0C00-000015000000}">
      <formula1>$B$998:$B$1002</formula1>
    </dataValidation>
    <dataValidation type="list" allowBlank="1" showInputMessage="1" showErrorMessage="1" sqref="E15:J15" xr:uid="{00000000-0002-0000-0C00-000016000000}">
      <formula1>$C$966:$C$970</formula1>
    </dataValidation>
  </dataValidations>
  <pageMargins left="0.7" right="0.7" top="0.75" bottom="0.75" header="0.3" footer="0.3"/>
  <pageSetup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15</v>
      </c>
      <c r="I3" s="30"/>
      <c r="L3" s="160"/>
      <c r="M3" s="160"/>
    </row>
    <row r="4" spans="2:13" x14ac:dyDescent="0.3">
      <c r="G4" s="99"/>
      <c r="I4" s="30"/>
      <c r="L4" s="161"/>
      <c r="M4" s="160"/>
    </row>
    <row r="5" spans="2:13" ht="45" customHeight="1" x14ac:dyDescent="0.3">
      <c r="B5" s="370" t="s">
        <v>776</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c r="L7" s="161"/>
    </row>
    <row r="8" spans="2:13" x14ac:dyDescent="0.3">
      <c r="B8" s="370"/>
      <c r="C8" s="370"/>
      <c r="D8" s="370"/>
      <c r="E8" s="370"/>
      <c r="F8" s="370"/>
      <c r="G8" s="370"/>
      <c r="H8" s="370"/>
      <c r="I8" s="370"/>
      <c r="J8" s="370"/>
      <c r="K8" s="370"/>
      <c r="L8" s="161"/>
    </row>
    <row r="9" spans="2:13" ht="30" customHeight="1" x14ac:dyDescent="0.3">
      <c r="B9" s="376" t="s">
        <v>774</v>
      </c>
      <c r="C9" s="377"/>
      <c r="D9" s="377"/>
      <c r="E9" s="377"/>
      <c r="F9" s="377"/>
      <c r="G9" s="377"/>
      <c r="H9" s="377"/>
      <c r="I9" s="377"/>
      <c r="J9" s="377"/>
      <c r="K9" s="377"/>
      <c r="L9" s="161"/>
    </row>
    <row r="10" spans="2:13" ht="62.25" customHeight="1" x14ac:dyDescent="0.3">
      <c r="B10" s="383" t="s">
        <v>1039</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261</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2</v>
      </c>
      <c r="F17" s="166"/>
      <c r="G17" s="166"/>
      <c r="H17" s="166"/>
      <c r="I17" s="166"/>
      <c r="J17" s="166"/>
      <c r="K17" s="168"/>
    </row>
    <row r="18" spans="2:14" x14ac:dyDescent="0.3">
      <c r="B18" s="165"/>
      <c r="C18" s="166"/>
      <c r="D18" s="166"/>
      <c r="E18" s="170" t="str">
        <f>IF(E15=$C$966,$B$966,IF(E15=$C$967,$B$967,IF(E15=$C$968,$B$968,IF(E15=$C$969,$B$969,IF(E15=$C$970,$B$970,"Not Calculated")))))</f>
        <v>Occasional</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('Baseline Health'!G6*0.0000059)/6</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1017</v>
      </c>
      <c r="K35" s="42"/>
      <c r="N35" s="12" t="s">
        <v>1043</v>
      </c>
    </row>
    <row r="36" spans="2:14" x14ac:dyDescent="0.3">
      <c r="B36" s="39"/>
      <c r="C36" s="41" t="s">
        <v>280</v>
      </c>
      <c r="D36" s="41"/>
      <c r="E36" s="41"/>
      <c r="F36" s="41"/>
      <c r="G36" s="41"/>
      <c r="H36" s="41"/>
      <c r="I36" s="41"/>
      <c r="J36" s="259">
        <f>IF(J35=$B$973,$A$973,IF(J35=$B$974,$A$974,IF(J35=$B$975,$A$975,IF(J35=$B$976,$A$976,IF(J35=$B$977,$A$977,"Not Calculated")))))</f>
        <v>2</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567</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2</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('Baseline Health'!G6*0.0000146)</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1017</v>
      </c>
      <c r="K54" s="42"/>
      <c r="N54" s="12" t="s">
        <v>1043</v>
      </c>
    </row>
    <row r="55" spans="2:14" x14ac:dyDescent="0.3">
      <c r="B55" s="39"/>
      <c r="C55" s="41" t="s">
        <v>280</v>
      </c>
      <c r="D55" s="41"/>
      <c r="E55" s="41"/>
      <c r="F55" s="41"/>
      <c r="G55" s="41"/>
      <c r="H55" s="41"/>
      <c r="I55" s="41"/>
      <c r="J55" s="259">
        <f>IF(J54=$B$973,$A$973,IF(J54=$B$974,$A$974,IF(J54=$B$975,$A$975,IF(J54=$B$976,$A$976,IF(J54=$B$977,$A$977,"Not Calculated")))))</f>
        <v>2</v>
      </c>
      <c r="K55" s="42"/>
      <c r="N55" s="12" t="s">
        <v>1044</v>
      </c>
    </row>
    <row r="56" spans="2:14" x14ac:dyDescent="0.3">
      <c r="B56" s="39"/>
      <c r="C56" s="41" t="s">
        <v>1038</v>
      </c>
      <c r="D56" s="41"/>
      <c r="E56" s="41"/>
      <c r="F56" s="41"/>
      <c r="G56" s="41"/>
      <c r="H56" s="41"/>
      <c r="I56" s="41"/>
      <c r="J56" s="177"/>
      <c r="K56" s="42"/>
      <c r="N56" s="12" t="s">
        <v>1045</v>
      </c>
    </row>
    <row r="57" spans="2:14" s="180" customFormat="1" ht="75" customHeight="1" x14ac:dyDescent="0.3">
      <c r="B57" s="178"/>
      <c r="C57" s="359" t="s">
        <v>568</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2</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('Baseline Health'!G6*0.000043)</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9">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45" customHeight="1" x14ac:dyDescent="0.3">
      <c r="B76" s="178"/>
      <c r="C76" s="359" t="s">
        <v>569</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9">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f>('Baseline Health'!G6*0.00000311)</f>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1017</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2</v>
      </c>
      <c r="K112" s="42"/>
      <c r="N112" s="12" t="s">
        <v>1044</v>
      </c>
    </row>
    <row r="113" spans="2:14" x14ac:dyDescent="0.3">
      <c r="B113" s="39"/>
      <c r="C113" s="41" t="s">
        <v>1038</v>
      </c>
      <c r="D113" s="41"/>
      <c r="E113" s="41"/>
      <c r="F113" s="41"/>
      <c r="G113" s="41"/>
      <c r="H113" s="41"/>
      <c r="I113" s="41"/>
      <c r="J113" s="177"/>
      <c r="K113" s="42"/>
      <c r="N113" s="12" t="s">
        <v>1045</v>
      </c>
    </row>
    <row r="114" spans="2:14" s="180" customFormat="1" ht="60" customHeight="1" x14ac:dyDescent="0.3">
      <c r="B114" s="178"/>
      <c r="C114" s="359" t="s">
        <v>570</v>
      </c>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2</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266</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2</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45" customHeight="1" x14ac:dyDescent="0.3">
      <c r="B129" s="178"/>
      <c r="C129" s="359" t="s">
        <v>471</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1.8333333333333333</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'Baseline Health'!G45*0.044</f>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60" customHeight="1" x14ac:dyDescent="0.3">
      <c r="B155" s="39"/>
      <c r="C155" s="343" t="s">
        <v>472</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1017</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2</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('Baseline Health'!G6*0.0000276)</f>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1018</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3</v>
      </c>
      <c r="K194" s="42"/>
      <c r="N194" s="12" t="s">
        <v>1048</v>
      </c>
    </row>
    <row r="195" spans="2:14" x14ac:dyDescent="0.3">
      <c r="B195" s="39"/>
      <c r="C195" s="41" t="s">
        <v>1038</v>
      </c>
      <c r="D195" s="41"/>
      <c r="E195" s="41"/>
      <c r="F195" s="41"/>
      <c r="G195" s="41"/>
      <c r="H195" s="41"/>
      <c r="I195" s="41"/>
      <c r="J195" s="41"/>
      <c r="K195" s="42"/>
      <c r="N195" s="12" t="s">
        <v>1049</v>
      </c>
    </row>
    <row r="196" spans="2:14" ht="45" customHeight="1" x14ac:dyDescent="0.3">
      <c r="B196" s="39"/>
      <c r="C196" s="343" t="s">
        <v>571</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'Baseline Health'!G65*0.09</f>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473</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1017</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2</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t="s">
        <v>474</v>
      </c>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J243*0.1</f>
        <v>0</v>
      </c>
      <c r="K244" s="42"/>
    </row>
    <row r="245" spans="2:14" x14ac:dyDescent="0.3">
      <c r="B245" s="39"/>
      <c r="C245" s="41" t="s">
        <v>380</v>
      </c>
      <c r="D245" s="305"/>
      <c r="E245" s="305"/>
      <c r="F245" s="305"/>
      <c r="G245" s="305"/>
      <c r="H245" s="305"/>
      <c r="I245" s="305"/>
      <c r="J245" s="275">
        <f>('Baseline Health'!G6*0.000043)*40/250</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75" customHeight="1" x14ac:dyDescent="0.3">
      <c r="B257" s="39"/>
      <c r="C257" s="343" t="s">
        <v>475</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1017</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2</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t="s">
        <v>477</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ht="15" customHeight="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ht="15" customHeight="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ht="15" customHeight="1" x14ac:dyDescent="0.3">
      <c r="B331" s="39"/>
      <c r="C331" s="324"/>
      <c r="D331" s="324"/>
      <c r="E331" s="324"/>
      <c r="F331" s="324"/>
      <c r="G331" s="324"/>
      <c r="H331" s="324"/>
      <c r="I331" s="324"/>
      <c r="J331" s="275">
        <v>0</v>
      </c>
      <c r="K331" s="42"/>
    </row>
    <row r="332" spans="2:11" ht="15" customHeight="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ht="15" customHeight="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ht="15" customHeight="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ht="15" customHeight="1" x14ac:dyDescent="0.3">
      <c r="B372" s="39"/>
      <c r="C372" s="324"/>
      <c r="D372" s="324"/>
      <c r="E372" s="324"/>
      <c r="F372" s="324"/>
      <c r="G372" s="324"/>
      <c r="H372" s="324"/>
      <c r="I372" s="324"/>
      <c r="J372" s="275">
        <v>0</v>
      </c>
      <c r="K372" s="42"/>
    </row>
    <row r="373" spans="2:11" ht="15" customHeight="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181"/>
      <c r="D419" s="41"/>
      <c r="E419" s="41"/>
      <c r="F419" s="41"/>
      <c r="G419" s="41"/>
      <c r="H419" s="41"/>
      <c r="I419" s="41"/>
      <c r="J419" s="256"/>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9">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0.5</v>
      </c>
      <c r="K461" s="42"/>
    </row>
    <row r="462" spans="2:11" x14ac:dyDescent="0.3">
      <c r="B462" s="39"/>
      <c r="C462" s="41" t="s">
        <v>279</v>
      </c>
      <c r="D462" s="41"/>
      <c r="E462" s="41"/>
      <c r="F462" s="41"/>
      <c r="G462" s="41"/>
      <c r="H462" s="41"/>
      <c r="I462" s="41"/>
      <c r="J462" s="259">
        <f>IF(J461&lt;=0,0,IF(J461&lt;=1,1,IF(J461&lt;=5,2,IF(J461&lt;=10,3,4))))</f>
        <v>1</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1027</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1</v>
      </c>
      <c r="K469" s="42"/>
    </row>
    <row r="470" spans="2:11" x14ac:dyDescent="0.3">
      <c r="B470" s="39"/>
      <c r="C470" s="41" t="s">
        <v>1038</v>
      </c>
      <c r="D470" s="41"/>
      <c r="E470" s="41"/>
      <c r="F470" s="41"/>
      <c r="G470" s="41"/>
      <c r="H470" s="41"/>
      <c r="I470" s="41"/>
      <c r="J470" s="41"/>
      <c r="K470" s="42"/>
    </row>
    <row r="471" spans="2:11" ht="45" customHeight="1" x14ac:dyDescent="0.3">
      <c r="B471" s="39"/>
      <c r="C471" s="343" t="s">
        <v>479</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1</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6</v>
      </c>
      <c r="K478" s="42"/>
    </row>
    <row r="479" spans="2:11" x14ac:dyDescent="0.3">
      <c r="B479" s="39"/>
      <c r="C479" s="41" t="s">
        <v>280</v>
      </c>
      <c r="D479" s="41"/>
      <c r="E479" s="41"/>
      <c r="F479" s="41"/>
      <c r="G479" s="41"/>
      <c r="H479" s="41"/>
      <c r="I479" s="41"/>
      <c r="J479" s="259">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45" customHeight="1" x14ac:dyDescent="0.3">
      <c r="B486" s="39"/>
      <c r="C486" s="343" t="s">
        <v>478</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0.246</v>
      </c>
      <c r="K492" s="42"/>
    </row>
    <row r="493" spans="2:11" x14ac:dyDescent="0.3">
      <c r="B493" s="39"/>
      <c r="C493" s="41" t="s">
        <v>279</v>
      </c>
      <c r="D493" s="41"/>
      <c r="E493" s="41"/>
      <c r="F493" s="41"/>
      <c r="G493" s="41"/>
      <c r="H493" s="41"/>
      <c r="I493" s="41"/>
      <c r="J493" s="259">
        <f>IF(J492&lt;=0,0,IF(J492&lt;=1,1,IF(J492&lt;=5,2,IF(J492&lt;=10,3,4))))</f>
        <v>1</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1019</v>
      </c>
      <c r="K499" s="42"/>
    </row>
    <row r="500" spans="2:11" x14ac:dyDescent="0.3">
      <c r="B500" s="39"/>
      <c r="C500" s="41" t="s">
        <v>280</v>
      </c>
      <c r="D500" s="41"/>
      <c r="E500" s="41"/>
      <c r="F500" s="41"/>
      <c r="G500" s="41"/>
      <c r="H500" s="41"/>
      <c r="I500" s="41"/>
      <c r="J500" s="259">
        <f>IF(J499=$B$973,$A$973,IF(J499=$B$974,$A$974,IF(J499=$B$975,$A$975,IF(J499=$B$976,$A$976,IF(J499=$B$977,$A$977,"Not Calculated")))))</f>
        <v>4</v>
      </c>
      <c r="K500" s="42"/>
    </row>
    <row r="501" spans="2:11" x14ac:dyDescent="0.3">
      <c r="B501" s="39"/>
      <c r="C501" s="41" t="s">
        <v>1038</v>
      </c>
      <c r="D501" s="41"/>
      <c r="E501" s="41"/>
      <c r="F501" s="41"/>
      <c r="G501" s="41"/>
      <c r="H501" s="41"/>
      <c r="I501" s="41"/>
      <c r="J501" s="41"/>
      <c r="K501" s="42"/>
    </row>
    <row r="502" spans="2:11" ht="30" customHeight="1" x14ac:dyDescent="0.3">
      <c r="B502" s="39"/>
      <c r="C502" s="386" t="s">
        <v>480</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2.5</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9">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9">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90" customHeight="1" x14ac:dyDescent="0.3">
      <c r="B535" s="39"/>
      <c r="C535" s="343" t="s">
        <v>481</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1.1428571428571428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f>J546*0.1</f>
        <v>0</v>
      </c>
      <c r="K547" s="42"/>
    </row>
    <row r="548" spans="2:14" x14ac:dyDescent="0.3">
      <c r="B548" s="39"/>
      <c r="C548" s="41" t="s">
        <v>467</v>
      </c>
      <c r="D548" s="41"/>
      <c r="E548" s="41"/>
      <c r="F548" s="41"/>
      <c r="G548" s="41"/>
      <c r="H548" s="41"/>
      <c r="I548" s="41"/>
      <c r="J548" s="275">
        <f>'Baseline Health'!G123*0.5</f>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1017</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2</v>
      </c>
      <c r="K558" s="42"/>
      <c r="N558" s="12" t="s">
        <v>1048</v>
      </c>
    </row>
    <row r="559" spans="2:14" x14ac:dyDescent="0.3">
      <c r="B559" s="39"/>
      <c r="C559" s="41" t="s">
        <v>1038</v>
      </c>
      <c r="D559" s="41"/>
      <c r="E559" s="41"/>
      <c r="F559" s="41"/>
      <c r="G559" s="41"/>
      <c r="H559" s="41"/>
      <c r="I559" s="41"/>
      <c r="J559" s="41"/>
      <c r="K559" s="42"/>
      <c r="N559" s="12" t="s">
        <v>1049</v>
      </c>
    </row>
    <row r="560" spans="2:14" ht="75" customHeight="1" x14ac:dyDescent="0.3">
      <c r="B560" s="39"/>
      <c r="C560" s="343" t="s">
        <v>482</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J568*0.5</f>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483</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9">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8"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86"/>
      <c r="D599" s="387"/>
      <c r="E599" s="387"/>
      <c r="F599" s="387"/>
      <c r="G599" s="387"/>
      <c r="H599" s="387"/>
      <c r="I599" s="387"/>
      <c r="J599" s="388"/>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6">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8</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484</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1017</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2</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215</v>
      </c>
      <c r="H732" s="353"/>
      <c r="I732" s="60"/>
      <c r="J732" s="271">
        <f>IF(G732=$B$994,$A$994,IF(G732=$B$995,$A$995,"Not Calculated"))</f>
        <v>0</v>
      </c>
      <c r="K732" s="62"/>
    </row>
    <row r="733" spans="2:11" x14ac:dyDescent="0.3">
      <c r="B733" s="58"/>
      <c r="C733" s="198" t="s">
        <v>32</v>
      </c>
      <c r="D733" s="60"/>
      <c r="E733" s="60"/>
      <c r="F733" s="60"/>
      <c r="G733" s="352" t="s">
        <v>215</v>
      </c>
      <c r="H733" s="353"/>
      <c r="I733" s="60"/>
      <c r="J733" s="271">
        <f t="shared" ref="J733:J740" si="1">IF(G733=$B$994,$A$994,IF(G733=$B$995,$A$995,"Not Calculated"))</f>
        <v>0</v>
      </c>
      <c r="K733" s="62"/>
    </row>
    <row r="734" spans="2:11" ht="15" customHeight="1" x14ac:dyDescent="0.3">
      <c r="B734" s="58"/>
      <c r="C734" s="198" t="s">
        <v>33</v>
      </c>
      <c r="D734" s="60"/>
      <c r="E734" s="60"/>
      <c r="F734" s="60"/>
      <c r="G734" s="352" t="s">
        <v>215</v>
      </c>
      <c r="H734" s="353"/>
      <c r="I734" s="60"/>
      <c r="J734" s="271">
        <f t="shared" si="1"/>
        <v>0</v>
      </c>
      <c r="K734" s="62"/>
    </row>
    <row r="735" spans="2:11" x14ac:dyDescent="0.3">
      <c r="B735" s="58"/>
      <c r="C735" s="198" t="s">
        <v>34</v>
      </c>
      <c r="D735" s="60"/>
      <c r="E735" s="60"/>
      <c r="F735" s="60"/>
      <c r="G735" s="352" t="s">
        <v>215</v>
      </c>
      <c r="H735" s="353"/>
      <c r="I735" s="60"/>
      <c r="J735" s="271">
        <f t="shared" si="1"/>
        <v>0</v>
      </c>
      <c r="K735" s="62"/>
    </row>
    <row r="736" spans="2:11" x14ac:dyDescent="0.3">
      <c r="B736" s="58"/>
      <c r="C736" s="198" t="s">
        <v>35</v>
      </c>
      <c r="D736" s="60"/>
      <c r="E736" s="60"/>
      <c r="F736" s="60"/>
      <c r="G736" s="352" t="s">
        <v>215</v>
      </c>
      <c r="H736" s="353"/>
      <c r="I736" s="60"/>
      <c r="J736" s="271">
        <f t="shared" si="1"/>
        <v>0</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215</v>
      </c>
      <c r="H738" s="353"/>
      <c r="I738" s="60"/>
      <c r="J738" s="271">
        <f t="shared" si="1"/>
        <v>0</v>
      </c>
      <c r="K738" s="62"/>
    </row>
    <row r="739" spans="2:11" x14ac:dyDescent="0.3">
      <c r="B739" s="58"/>
      <c r="C739" s="198" t="s">
        <v>38</v>
      </c>
      <c r="D739" s="60"/>
      <c r="E739" s="60"/>
      <c r="F739" s="60"/>
      <c r="G739" s="352" t="s">
        <v>215</v>
      </c>
      <c r="H739" s="353"/>
      <c r="I739" s="60"/>
      <c r="J739" s="271">
        <f t="shared" si="1"/>
        <v>0</v>
      </c>
      <c r="K739" s="62"/>
    </row>
    <row r="740" spans="2:11" x14ac:dyDescent="0.3">
      <c r="B740" s="58"/>
      <c r="C740" s="198" t="s">
        <v>39</v>
      </c>
      <c r="D740" s="60"/>
      <c r="E740" s="60"/>
      <c r="F740" s="60"/>
      <c r="G740" s="352" t="s">
        <v>215</v>
      </c>
      <c r="H740" s="353"/>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215</v>
      </c>
      <c r="H748" s="353"/>
      <c r="I748" s="60"/>
      <c r="J748" s="271">
        <f t="shared" ref="J748:J755" si="2">IF(G748=$B$994,$A$994,IF(G748=$B$995,$A$995,"Not Calculated"))</f>
        <v>0</v>
      </c>
      <c r="K748" s="62"/>
    </row>
    <row r="749" spans="2:11" ht="15" customHeight="1" x14ac:dyDescent="0.3">
      <c r="B749" s="58"/>
      <c r="C749" s="198" t="s">
        <v>33</v>
      </c>
      <c r="D749" s="60"/>
      <c r="E749" s="60"/>
      <c r="F749" s="60"/>
      <c r="G749" s="352" t="s">
        <v>215</v>
      </c>
      <c r="H749" s="353"/>
      <c r="I749" s="60"/>
      <c r="J749" s="271">
        <f t="shared" si="2"/>
        <v>0</v>
      </c>
      <c r="K749" s="62"/>
    </row>
    <row r="750" spans="2:11" x14ac:dyDescent="0.3">
      <c r="B750" s="58"/>
      <c r="C750" s="198" t="s">
        <v>34</v>
      </c>
      <c r="D750" s="60"/>
      <c r="E750" s="60"/>
      <c r="F750" s="60"/>
      <c r="G750" s="352" t="s">
        <v>215</v>
      </c>
      <c r="H750" s="353"/>
      <c r="I750" s="60"/>
      <c r="J750" s="271">
        <f t="shared" si="2"/>
        <v>0</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215</v>
      </c>
      <c r="H752" s="353"/>
      <c r="I752" s="60"/>
      <c r="J752" s="271">
        <f t="shared" si="2"/>
        <v>0</v>
      </c>
      <c r="K752" s="62"/>
    </row>
    <row r="753" spans="2:11" x14ac:dyDescent="0.3">
      <c r="B753" s="58"/>
      <c r="C753" s="198" t="s">
        <v>37</v>
      </c>
      <c r="D753" s="60"/>
      <c r="E753" s="60"/>
      <c r="F753" s="60"/>
      <c r="G753" s="352" t="s">
        <v>215</v>
      </c>
      <c r="H753" s="353"/>
      <c r="I753" s="60"/>
      <c r="J753" s="271">
        <f t="shared" si="2"/>
        <v>0</v>
      </c>
      <c r="K753" s="62"/>
    </row>
    <row r="754" spans="2:11" x14ac:dyDescent="0.3">
      <c r="B754" s="58"/>
      <c r="C754" s="198" t="s">
        <v>38</v>
      </c>
      <c r="D754" s="60"/>
      <c r="E754" s="60"/>
      <c r="F754" s="60"/>
      <c r="G754" s="352" t="s">
        <v>215</v>
      </c>
      <c r="H754" s="353"/>
      <c r="I754" s="60"/>
      <c r="J754" s="271">
        <f t="shared" si="2"/>
        <v>0</v>
      </c>
      <c r="K754" s="62"/>
    </row>
    <row r="755" spans="2:11" x14ac:dyDescent="0.3">
      <c r="B755" s="58"/>
      <c r="C755" s="198" t="s">
        <v>39</v>
      </c>
      <c r="D755" s="60"/>
      <c r="E755" s="60"/>
      <c r="F755" s="60"/>
      <c r="G755" s="352" t="s">
        <v>215</v>
      </c>
      <c r="H755" s="353"/>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ht="15" customHeight="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1</v>
      </c>
      <c r="K799" s="62"/>
    </row>
    <row r="800" spans="2:11" x14ac:dyDescent="0.3">
      <c r="B800" s="58"/>
      <c r="C800" s="60"/>
      <c r="D800" s="198" t="s">
        <v>392</v>
      </c>
      <c r="E800" s="60"/>
      <c r="F800" s="60"/>
      <c r="G800" s="60"/>
      <c r="H800" s="60"/>
      <c r="I800" s="60"/>
      <c r="J800" s="61">
        <f>AVERAGE(J798,J799)</f>
        <v>0.5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1</v>
      </c>
      <c r="K807" s="62"/>
    </row>
    <row r="808" spans="2:11" x14ac:dyDescent="0.3">
      <c r="B808" s="58"/>
      <c r="C808" s="60"/>
      <c r="D808" s="198" t="s">
        <v>392</v>
      </c>
      <c r="E808" s="60"/>
      <c r="F808" s="60"/>
      <c r="G808" s="60"/>
      <c r="H808" s="60"/>
      <c r="I808" s="60"/>
      <c r="J808" s="61">
        <f>AVERAGE(J806,J807)</f>
        <v>0.5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0.83333333333333337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254</v>
      </c>
      <c r="H834" s="351"/>
      <c r="I834" s="86"/>
      <c r="J834" s="84">
        <f>IF(G834=$B$998,$A$998,IF(G834=$B$999,$A$999,IF(G834=$B$1000,$A$1000,IF(G834=$B$1001,$A$1001,IF(G834=$B$1002,$A$1002,"Not Calculated")))))</f>
        <v>2</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254</v>
      </c>
      <c r="H838" s="351"/>
      <c r="I838" s="86"/>
      <c r="J838" s="84">
        <f>IF(G838=$B$998,$A$998,IF(G838=$B$999,$A$999,IF(G838=$B$1000,$A$1000,IF(G838=$B$1001,$A$1001,IF(G838=$B$1002,$A$1002,"Not Calculated")))))</f>
        <v>2</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254</v>
      </c>
      <c r="H842" s="351"/>
      <c r="I842" s="86"/>
      <c r="J842" s="84">
        <f>IF(G842=$B$998,$A$998,IF(G842=$B$999,$A$999,IF(G842=$B$1000,$A$1000,IF(G842=$B$1001,$A$1001,IF(G842=$B$1002,$A$1002,"Not Calculated")))))</f>
        <v>2</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256</v>
      </c>
      <c r="H850" s="351"/>
      <c r="I850" s="86"/>
      <c r="J850" s="84">
        <f>IF(G850=$B$998,$A$998,IF(G850=$B$999,$A$999,IF(G850=$B$1000,$A$1000,IF(G850=$B$1001,$A$1001,IF(G850=$B$1002,$A$1002,"Not Calculated")))))</f>
        <v>1</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255</v>
      </c>
      <c r="H866" s="351"/>
      <c r="I866" s="86"/>
      <c r="J866" s="84">
        <f>IF(G866=$B$998,$A$998,IF(G866=$B$999,$A$999,IF(G866=$B$1000,$A$1000,IF(G866=$B$1001,$A$1001,IF(G866=$B$1002,$A$1002,"Not Calculated")))))</f>
        <v>0</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255</v>
      </c>
      <c r="H882" s="351"/>
      <c r="I882" s="86"/>
      <c r="J882" s="84">
        <f>IF(G882=$B$998,$A$998,IF(G882=$B$999,$A$999,IF(G882=$B$1000,$A$1000,IF(G882=$B$1001,$A$1001,IF(G882=$B$1002,$A$1002,"Not Calculated")))))</f>
        <v>0</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256</v>
      </c>
      <c r="H886" s="351"/>
      <c r="I886" s="86"/>
      <c r="J886" s="84">
        <f>IF(G886=$B$998,$A$998,IF(G886=$B$999,$A$999,IF(G886=$B$1000,$A$1000,IF(G886=$B$1001,$A$1001,IF(G886=$B$1002,$A$1002,"Not Calculated")))))</f>
        <v>1</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255</v>
      </c>
      <c r="H890" s="351"/>
      <c r="I890" s="86"/>
      <c r="J890" s="84">
        <f>IF(G890=$B$998,$A$998,IF(G890=$B$999,$A$999,IF(G890=$B$1000,$A$1000,IF(G890=$B$1001,$A$1001,IF(G890=$B$1002,$A$1002,"Not Calculated")))))</f>
        <v>0</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254</v>
      </c>
      <c r="H904" s="351"/>
      <c r="I904" s="86"/>
      <c r="J904" s="84">
        <f>IF(G904=$B$998,$A$998,IF(G904=$B$999,$A$999,IF(G904=$B$1000,$A$1000,IF(G904=$B$1001,$A$1001,IF(G904=$B$1002,$A$1002,"Not Calculated")))))</f>
        <v>2</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254</v>
      </c>
      <c r="H908" s="351"/>
      <c r="I908" s="86"/>
      <c r="J908" s="84">
        <f>IF(G908=$B$998,$A$998,IF(G908=$B$999,$A$999,IF(G908=$B$1000,$A$1000,IF(G908=$B$1001,$A$1001,IF(G908=$B$1002,$A$1002,"Not Calculated")))))</f>
        <v>2</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254</v>
      </c>
      <c r="H912" s="351"/>
      <c r="I912" s="86"/>
      <c r="J912" s="84">
        <f>IF(G912=$B$998,$A$998,IF(G912=$B$999,$A$999,IF(G912=$B$1000,$A$1000,IF(G912=$B$1001,$A$1001,IF(G912=$B$1002,$A$1002,"Not Calculated")))))</f>
        <v>2</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256</v>
      </c>
      <c r="H916" s="351"/>
      <c r="I916" s="86"/>
      <c r="J916" s="84">
        <f>IF(G916=$B$998,$A$998,IF(G916=$B$999,$A$999,IF(G916=$B$1000,$A$1000,IF(G916=$B$1001,$A$1001,IF(G916=$B$1002,$A$1002,"Not Calculated")))))</f>
        <v>1</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256</v>
      </c>
      <c r="H928" s="351"/>
      <c r="I928" s="86"/>
      <c r="J928" s="84">
        <f>IF(G928=$B$998,$A$998,IF(G928=$B$999,$A$999,IF(G928=$B$1000,$A$1000,IF(G928=$B$1001,$A$1001,IF(G928=$B$1002,$A$1002,"Not Calculated")))))</f>
        <v>1</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255</v>
      </c>
      <c r="H932" s="351"/>
      <c r="I932" s="86"/>
      <c r="J932" s="84">
        <f>IF(G932=$B$998,$A$998,IF(G932=$B$999,$A$999,IF(G932=$B$1000,$A$1000,IF(G932=$B$1001,$A$1001,IF(G932=$B$1002,$A$1002,"Not Calculated")))))</f>
        <v>0</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45" customHeight="1" x14ac:dyDescent="0.3">
      <c r="B1004" s="346" t="s">
        <v>823</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820</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819</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824</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30" customHeight="1" x14ac:dyDescent="0.3">
      <c r="B1014" s="340" t="s">
        <v>807</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30" customHeight="1" x14ac:dyDescent="0.3">
      <c r="B1016" s="340" t="s">
        <v>821</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45" customHeight="1" x14ac:dyDescent="0.3">
      <c r="B1018" s="340" t="s">
        <v>822</v>
      </c>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16:J416"/>
    <mergeCell ref="C438:J438"/>
    <mergeCell ref="C444:I445"/>
    <mergeCell ref="C391:I392"/>
    <mergeCell ref="C402:J402"/>
    <mergeCell ref="C257:J257"/>
    <mergeCell ref="C237:J237"/>
    <mergeCell ref="C216:J216"/>
    <mergeCell ref="C292:I293"/>
    <mergeCell ref="C311:I312"/>
    <mergeCell ref="C330:I331"/>
    <mergeCell ref="C305:J305"/>
    <mergeCell ref="C324:J324"/>
    <mergeCell ref="C340:I341"/>
    <mergeCell ref="C420:I421"/>
    <mergeCell ref="C385:J385"/>
    <mergeCell ref="D343:I344"/>
    <mergeCell ref="C347:J347"/>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C620:I621"/>
    <mergeCell ref="C633:J633"/>
    <mergeCell ref="C639:I640"/>
    <mergeCell ref="C641:I643"/>
    <mergeCell ref="C714:J716"/>
    <mergeCell ref="C655:J655"/>
    <mergeCell ref="D664:I665"/>
    <mergeCell ref="C677:J677"/>
    <mergeCell ref="G719:H719"/>
    <mergeCell ref="G748:H748"/>
    <mergeCell ref="G749:H749"/>
    <mergeCell ref="G750:H750"/>
    <mergeCell ref="G751:H751"/>
    <mergeCell ref="G739:H739"/>
    <mergeCell ref="G740:H740"/>
    <mergeCell ref="G737:H737"/>
    <mergeCell ref="G738:H738"/>
    <mergeCell ref="G717:H717"/>
    <mergeCell ref="G718:H718"/>
    <mergeCell ref="C729:J731"/>
    <mergeCell ref="G732:H732"/>
    <mergeCell ref="G733:H733"/>
    <mergeCell ref="G720:H720"/>
    <mergeCell ref="G721:H721"/>
    <mergeCell ref="G722:H722"/>
    <mergeCell ref="G723:H723"/>
    <mergeCell ref="G734:H734"/>
    <mergeCell ref="G735:H735"/>
    <mergeCell ref="G724:H724"/>
    <mergeCell ref="G725:H725"/>
    <mergeCell ref="G736:H736"/>
    <mergeCell ref="C744:J746"/>
    <mergeCell ref="G747:H747"/>
    <mergeCell ref="G846:H846"/>
    <mergeCell ref="G850:H850"/>
    <mergeCell ref="G854:H854"/>
    <mergeCell ref="G858:H858"/>
    <mergeCell ref="G862:H862"/>
    <mergeCell ref="G766:H766"/>
    <mergeCell ref="G754:H754"/>
    <mergeCell ref="G755:H755"/>
    <mergeCell ref="G752:H752"/>
    <mergeCell ref="C830:J831"/>
    <mergeCell ref="G834:H834"/>
    <mergeCell ref="G838:H838"/>
    <mergeCell ref="G769:H769"/>
    <mergeCell ref="G770:H770"/>
    <mergeCell ref="G767:H767"/>
    <mergeCell ref="G768:H768"/>
    <mergeCell ref="G764:H764"/>
    <mergeCell ref="G765:H765"/>
    <mergeCell ref="G842:H842"/>
    <mergeCell ref="G753:H753"/>
    <mergeCell ref="C759:J761"/>
    <mergeCell ref="G762:H762"/>
    <mergeCell ref="G763:H763"/>
    <mergeCell ref="B1028:K1028"/>
    <mergeCell ref="B1029:K1029"/>
    <mergeCell ref="B1021:K1021"/>
    <mergeCell ref="B1012:K1012"/>
    <mergeCell ref="B1013:K1013"/>
    <mergeCell ref="B1014:K1014"/>
    <mergeCell ref="B1015:K1015"/>
    <mergeCell ref="B1016:K1016"/>
    <mergeCell ref="B1017:K1017"/>
    <mergeCell ref="B1018:K1018"/>
    <mergeCell ref="B1019:K1019"/>
    <mergeCell ref="B1020:K1020"/>
    <mergeCell ref="B1022:K1022"/>
    <mergeCell ref="B1023:K1023"/>
    <mergeCell ref="B1024:K1024"/>
    <mergeCell ref="B1025:K1025"/>
    <mergeCell ref="B1026:K1026"/>
    <mergeCell ref="B1027:K1027"/>
    <mergeCell ref="B1004:K1004"/>
    <mergeCell ref="B1005:K1005"/>
    <mergeCell ref="B1006:K1006"/>
    <mergeCell ref="B1007:K1007"/>
    <mergeCell ref="B1008:K1008"/>
    <mergeCell ref="B1009:K1009"/>
    <mergeCell ref="B1010:K1010"/>
    <mergeCell ref="B1011:K1011"/>
    <mergeCell ref="F959:H960"/>
    <mergeCell ref="G928:H928"/>
    <mergeCell ref="G924:H924"/>
    <mergeCell ref="G890:H890"/>
    <mergeCell ref="G932:H932"/>
    <mergeCell ref="G878:H878"/>
    <mergeCell ref="G882:H882"/>
    <mergeCell ref="G886:H886"/>
    <mergeCell ref="G866:H866"/>
    <mergeCell ref="G870:H870"/>
    <mergeCell ref="G874:H874"/>
    <mergeCell ref="G916:H916"/>
    <mergeCell ref="G920:H920"/>
    <mergeCell ref="C900:J901"/>
    <mergeCell ref="G904:H904"/>
    <mergeCell ref="G908:H908"/>
    <mergeCell ref="G912:H912"/>
  </mergeCells>
  <dataValidations count="23">
    <dataValidation type="list" allowBlank="1" showInputMessage="1" showErrorMessage="1" sqref="E15:J15" xr:uid="{00000000-0002-0000-0D00-000000000000}">
      <formula1>$C$966:$C$970</formula1>
    </dataValidation>
    <dataValidation type="list" allowBlank="1" showInputMessage="1" showErrorMessage="1" sqref="G904:H904 G842:H842 G838:H838 G846:H846 G850:H850 G854:H854 G858:H858 G862:H862 G866:H866 G870:H870 G874:H874 G878:H878 G882:H882 G886:H886 G890:H890 G834:H834 G912:H912 G908:H908 G916:H916 G920:H920 G924:H924 G928:H928 G932:H932" xr:uid="{00000000-0002-0000-0D00-000001000000}">
      <formula1>$B$998:$B$1002</formula1>
    </dataValidation>
    <dataValidation type="list" allowBlank="1" showInputMessage="1" showErrorMessage="1" sqref="G717:H725 G747:H755 G732:H740 G762:H770" xr:uid="{00000000-0002-0000-0D00-000002000000}">
      <formula1>$B$994:$B$995</formula1>
    </dataValidation>
    <dataValidation type="list" allowBlank="1" showInputMessage="1" showErrorMessage="1" sqref="J302 J362" xr:uid="{00000000-0002-0000-0D00-000003000000}">
      <formula1>$B$980:$B$984</formula1>
    </dataValidation>
    <dataValidation type="list" allowBlank="1" showInputMessage="1" showErrorMessage="1" sqref="C123:J124" xr:uid="{00000000-0002-0000-0D00-000004000000}">
      <formula1>$B$987:$B$991</formula1>
    </dataValidation>
    <dataValidation type="list" allowBlank="1" showInputMessage="1" showErrorMessage="1" sqref="J35 J234 J630 J674 J596 J580 J557 J532 J515 J499 J468 J452 J435 J254 J73 J92 J111 J126 J152 J173 J193 J54 J213 J652 J283" xr:uid="{00000000-0002-0000-0D00-000005000000}">
      <formula1>$B$973:$B$977</formula1>
    </dataValidation>
    <dataValidation type="list" allowBlank="1" showInputMessage="1" showErrorMessage="1" sqref="J33" xr:uid="{00000000-0002-0000-0D00-000006000000}">
      <formula1>$N$32:$N$37</formula1>
    </dataValidation>
    <dataValidation type="list" allowBlank="1" showInputMessage="1" showErrorMessage="1" sqref="J52" xr:uid="{00000000-0002-0000-0D00-000007000000}">
      <formula1>$N$51:$N$56</formula1>
    </dataValidation>
    <dataValidation type="list" allowBlank="1" showInputMessage="1" showErrorMessage="1" sqref="J71" xr:uid="{00000000-0002-0000-0D00-000008000000}">
      <formula1>$N$70:$N$75</formula1>
    </dataValidation>
    <dataValidation type="list" allowBlank="1" showInputMessage="1" showErrorMessage="1" sqref="J90" xr:uid="{00000000-0002-0000-0D00-000009000000}">
      <formula1>$N$89:$N$94</formula1>
    </dataValidation>
    <dataValidation type="list" allowBlank="1" showInputMessage="1" showErrorMessage="1" sqref="J109" xr:uid="{00000000-0002-0000-0D00-00000A000000}">
      <formula1>$N$108:$N$113</formula1>
    </dataValidation>
    <dataValidation type="list" allowBlank="1" showInputMessage="1" showErrorMessage="1" sqref="J150" xr:uid="{00000000-0002-0000-0D00-00000B000000}">
      <formula1>$N$149:$N$154</formula1>
    </dataValidation>
    <dataValidation type="list" allowBlank="1" showInputMessage="1" showErrorMessage="1" sqref="J171" xr:uid="{00000000-0002-0000-0D00-00000C000000}">
      <formula1>$N$170:$N$175</formula1>
    </dataValidation>
    <dataValidation type="list" allowBlank="1" showInputMessage="1" showErrorMessage="1" sqref="J191" xr:uid="{00000000-0002-0000-0D00-00000D000000}">
      <formula1>$N$190:$N$195</formula1>
    </dataValidation>
    <dataValidation type="list" allowBlank="1" showInputMessage="1" showErrorMessage="1" sqref="J211" xr:uid="{00000000-0002-0000-0D00-00000E000000}">
      <formula1>$N$210:$N$215</formula1>
    </dataValidation>
    <dataValidation type="list" allowBlank="1" showInputMessage="1" showErrorMessage="1" sqref="J232" xr:uid="{00000000-0002-0000-0D00-00000F000000}">
      <formula1>$N$231:$N$236</formula1>
    </dataValidation>
    <dataValidation type="list" allowBlank="1" showInputMessage="1" showErrorMessage="1" sqref="J252" xr:uid="{00000000-0002-0000-0D00-000010000000}">
      <formula1>$N$251:$N$256</formula1>
    </dataValidation>
    <dataValidation type="list" allowBlank="1" showInputMessage="1" showErrorMessage="1" sqref="J281" xr:uid="{00000000-0002-0000-0D00-000011000000}">
      <formula1>$N$280:$N$285</formula1>
    </dataValidation>
    <dataValidation type="list" allowBlank="1" showInputMessage="1" showErrorMessage="1" sqref="J555" xr:uid="{00000000-0002-0000-0D00-000012000000}">
      <formula1>$N$554:$N$559</formula1>
    </dataValidation>
    <dataValidation type="list" allowBlank="1" showInputMessage="1" showErrorMessage="1" sqref="J578" xr:uid="{00000000-0002-0000-0D00-000013000000}">
      <formula1>$N$577:$N$582</formula1>
    </dataValidation>
    <dataValidation type="list" allowBlank="1" showInputMessage="1" showErrorMessage="1" sqref="J628" xr:uid="{00000000-0002-0000-0D00-000014000000}">
      <formula1>$N$627:$N$632</formula1>
    </dataValidation>
    <dataValidation type="list" allowBlank="1" showInputMessage="1" showErrorMessage="1" sqref="J650" xr:uid="{00000000-0002-0000-0D00-000015000000}">
      <formula1>$N$649:$N$654</formula1>
    </dataValidation>
    <dataValidation type="list" allowBlank="1" showInputMessage="1" showErrorMessage="1" sqref="J672" xr:uid="{00000000-0002-0000-0D00-000016000000}">
      <formula1>$N$671:$N$676</formula1>
    </dataValidation>
  </dataValidations>
  <pageMargins left="0.7" right="0.7" top="0.75" bottom="0.75" header="0.3" footer="0.3"/>
  <pageSetup scale="7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3</v>
      </c>
      <c r="I3" s="30"/>
      <c r="L3" s="160"/>
      <c r="M3" s="160"/>
    </row>
    <row r="4" spans="2:13" x14ac:dyDescent="0.3">
      <c r="G4" s="99"/>
      <c r="I4" s="30"/>
      <c r="L4" s="161"/>
      <c r="M4" s="160"/>
    </row>
    <row r="5" spans="2:13" ht="210" customHeight="1" x14ac:dyDescent="0.3">
      <c r="B5" s="370" t="s">
        <v>777</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45" customHeight="1" x14ac:dyDescent="0.3">
      <c r="B10" s="383" t="s">
        <v>952</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262</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4</v>
      </c>
      <c r="F17" s="166"/>
      <c r="G17" s="166"/>
      <c r="H17" s="166"/>
      <c r="I17" s="166"/>
      <c r="J17" s="166"/>
      <c r="K17" s="168"/>
    </row>
    <row r="18" spans="2:14" x14ac:dyDescent="0.3">
      <c r="B18" s="165"/>
      <c r="C18" s="166"/>
      <c r="D18" s="166"/>
      <c r="E18" s="170" t="str">
        <f>IF(E15=$C$966,$B$966,IF(E15=$C$967,$B$967,IF(E15=$C$968,$B$968,IF(E15=$C$969,$B$969,IF(E15=$C$970,$B$970,"Not Calculated")))))</f>
        <v>Frequent</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3</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9">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75" customHeight="1" x14ac:dyDescent="0.3">
      <c r="B38" s="178"/>
      <c r="C38" s="359" t="s">
        <v>958</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J44*1.52</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9">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506</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J63*0.33</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9">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60" customHeight="1" x14ac:dyDescent="0.3">
      <c r="B76" s="178"/>
      <c r="C76" s="359" t="s">
        <v>954</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9">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f>J101*0.1</f>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1017</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2</v>
      </c>
      <c r="K112" s="42"/>
      <c r="N112" s="12" t="s">
        <v>1044</v>
      </c>
    </row>
    <row r="113" spans="2:14" x14ac:dyDescent="0.3">
      <c r="B113" s="39"/>
      <c r="C113" s="41" t="s">
        <v>1038</v>
      </c>
      <c r="D113" s="41"/>
      <c r="E113" s="41"/>
      <c r="F113" s="41"/>
      <c r="G113" s="41"/>
      <c r="H113" s="41"/>
      <c r="I113" s="41"/>
      <c r="J113" s="177"/>
      <c r="K113" s="42"/>
      <c r="N113" s="12" t="s">
        <v>1045</v>
      </c>
    </row>
    <row r="114" spans="2:14" s="180" customFormat="1" ht="45" customHeight="1" x14ac:dyDescent="0.3">
      <c r="B114" s="178"/>
      <c r="C114" s="359" t="s">
        <v>508</v>
      </c>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2</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265</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1</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2.5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1.4166666666666667</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f>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45" customHeight="1" x14ac:dyDescent="0.3">
      <c r="B155" s="39"/>
      <c r="C155" s="343" t="s">
        <v>956</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1017</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2</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1015</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0</v>
      </c>
      <c r="K194" s="42"/>
      <c r="N194" s="12" t="s">
        <v>1048</v>
      </c>
    </row>
    <row r="195" spans="2:14" x14ac:dyDescent="0.3">
      <c r="B195" s="39"/>
      <c r="C195" s="41" t="s">
        <v>1038</v>
      </c>
      <c r="D195" s="41"/>
      <c r="E195" s="41"/>
      <c r="F195" s="41"/>
      <c r="G195" s="41"/>
      <c r="H195" s="41"/>
      <c r="I195" s="41"/>
      <c r="J195" s="41"/>
      <c r="K195" s="42"/>
      <c r="N195" s="12" t="s">
        <v>1049</v>
      </c>
    </row>
    <row r="196" spans="2:14" ht="60" customHeight="1" x14ac:dyDescent="0.3">
      <c r="B196" s="39"/>
      <c r="C196" s="343" t="s">
        <v>510</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J202/2</f>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1017</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2</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511</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1017</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2</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J243/2</f>
        <v>0</v>
      </c>
      <c r="K244" s="42"/>
    </row>
    <row r="245" spans="2:14" x14ac:dyDescent="0.3">
      <c r="B245" s="39"/>
      <c r="C245" s="41" t="s">
        <v>380</v>
      </c>
      <c r="D245" s="305"/>
      <c r="E245" s="305"/>
      <c r="F245" s="305"/>
      <c r="G245" s="305"/>
      <c r="H245" s="305"/>
      <c r="I245" s="305"/>
      <c r="J245" s="275">
        <f>-(J243/2)</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512</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1015</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0</v>
      </c>
      <c r="K284" s="42"/>
      <c r="N284" s="12" t="s">
        <v>1053</v>
      </c>
    </row>
    <row r="285" spans="2:14" x14ac:dyDescent="0.3">
      <c r="B285" s="39"/>
      <c r="C285" s="41" t="s">
        <v>1038</v>
      </c>
      <c r="D285" s="41"/>
      <c r="E285" s="41"/>
      <c r="F285" s="41"/>
      <c r="G285" s="41"/>
      <c r="H285" s="41"/>
      <c r="I285" s="41"/>
      <c r="J285" s="41"/>
      <c r="K285" s="42"/>
      <c r="N285" s="12" t="s">
        <v>1054</v>
      </c>
    </row>
    <row r="286" spans="2:14" ht="30" customHeight="1" x14ac:dyDescent="0.3">
      <c r="B286" s="39"/>
      <c r="C286" s="343" t="s">
        <v>981</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ht="15" customHeight="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f>127+202+400</f>
        <v>729</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70</v>
      </c>
      <c r="K321" s="42"/>
    </row>
    <row r="322" spans="2:11" x14ac:dyDescent="0.3">
      <c r="B322" s="39"/>
      <c r="C322" s="41" t="s">
        <v>280</v>
      </c>
      <c r="D322" s="41"/>
      <c r="E322" s="41"/>
      <c r="F322" s="41"/>
      <c r="G322" s="41"/>
      <c r="H322" s="41"/>
      <c r="I322" s="41"/>
      <c r="J322" s="256">
        <f>IF(J321&lt;=0,0,IF(J321&lt;=2,1,IF(J321&lt;=6,2,IF(J321&lt;=12,3,4))))</f>
        <v>4</v>
      </c>
      <c r="K322" s="42"/>
    </row>
    <row r="323" spans="2:11" x14ac:dyDescent="0.3">
      <c r="B323" s="39"/>
      <c r="C323" s="41" t="s">
        <v>1038</v>
      </c>
      <c r="D323" s="41"/>
      <c r="E323" s="41"/>
      <c r="F323" s="41"/>
      <c r="G323" s="41"/>
      <c r="H323" s="41"/>
      <c r="I323" s="41"/>
      <c r="J323" s="41"/>
      <c r="K323" s="42"/>
    </row>
    <row r="324" spans="2:11" ht="90" customHeight="1" x14ac:dyDescent="0.3">
      <c r="B324" s="39"/>
      <c r="C324" s="343" t="s">
        <v>996</v>
      </c>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4</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f>J312</f>
        <v>729</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70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4</v>
      </c>
      <c r="K345" s="42"/>
    </row>
    <row r="346" spans="2:11" x14ac:dyDescent="0.3">
      <c r="B346" s="39"/>
      <c r="C346" s="41" t="s">
        <v>1038</v>
      </c>
      <c r="D346" s="41"/>
      <c r="E346" s="41"/>
      <c r="F346" s="41"/>
      <c r="G346" s="41"/>
      <c r="H346" s="41"/>
      <c r="I346" s="41"/>
      <c r="J346" s="41"/>
      <c r="K346" s="42"/>
    </row>
    <row r="347" spans="2:11" ht="90" customHeight="1" x14ac:dyDescent="0.3">
      <c r="B347" s="39"/>
      <c r="C347" s="343" t="s">
        <v>996</v>
      </c>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4</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498</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t="str">
        <f>IF(J353=0,0,IF('Baseline Health'!G$59=0,"Not Calculated",100*J353/'Baseline Health'!$G$59))</f>
        <v>Not Calculated</v>
      </c>
      <c r="K355" s="42"/>
    </row>
    <row r="356" spans="2:11" x14ac:dyDescent="0.3">
      <c r="B356" s="39"/>
      <c r="C356" s="41" t="s">
        <v>279</v>
      </c>
      <c r="D356" s="41"/>
      <c r="E356" s="41"/>
      <c r="F356" s="41"/>
      <c r="G356" s="41"/>
      <c r="H356" s="41"/>
      <c r="I356" s="41"/>
      <c r="J356" s="256">
        <f>IF(J355&lt;=0,0,IF(J355&lt;=5,1,IF(J355&lt;=10,2,IF(J355&lt;=25,3,4))))</f>
        <v>4</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1022</v>
      </c>
      <c r="K362" s="42"/>
    </row>
    <row r="363" spans="2:11" x14ac:dyDescent="0.3">
      <c r="B363" s="39"/>
      <c r="C363" s="41" t="s">
        <v>280</v>
      </c>
      <c r="D363" s="41"/>
      <c r="E363" s="41"/>
      <c r="F363" s="41"/>
      <c r="G363" s="41"/>
      <c r="H363" s="41"/>
      <c r="I363" s="41"/>
      <c r="J363" s="256">
        <f>IF(J362=$B$980,$A$980,IF(J362=$B$981,$A$981,IF(J362=$B$982,$A$982,IF(J362=$B$983,$A$983,IF(J362=$B$984,$A$984,"Not Calculated")))))</f>
        <v>3</v>
      </c>
      <c r="K363" s="42"/>
    </row>
    <row r="364" spans="2:11" x14ac:dyDescent="0.3">
      <c r="B364" s="39"/>
      <c r="C364" s="41" t="s">
        <v>1038</v>
      </c>
      <c r="D364" s="41"/>
      <c r="E364" s="41"/>
      <c r="F364" s="41"/>
      <c r="G364" s="41"/>
      <c r="H364" s="41"/>
      <c r="I364" s="41"/>
      <c r="J364" s="41"/>
      <c r="K364" s="42"/>
    </row>
    <row r="365" spans="2:11" ht="75" customHeight="1" x14ac:dyDescent="0.3">
      <c r="B365" s="39"/>
      <c r="C365" s="343" t="s">
        <v>997</v>
      </c>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3.5</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f>'Baseline Health'!$G$102</f>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t="s">
        <v>516</v>
      </c>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200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t="s">
        <v>982</v>
      </c>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2.1875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9">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45" customHeight="1" x14ac:dyDescent="0.3">
      <c r="B438" s="39"/>
      <c r="C438" s="343" t="s">
        <v>514</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f>100*14/61</f>
        <v>22.950819672131146</v>
      </c>
      <c r="K445" s="42"/>
    </row>
    <row r="446" spans="2:11" x14ac:dyDescent="0.3">
      <c r="B446" s="39"/>
      <c r="C446" s="41" t="s">
        <v>279</v>
      </c>
      <c r="D446" s="41"/>
      <c r="E446" s="41"/>
      <c r="F446" s="41"/>
      <c r="G446" s="41"/>
      <c r="H446" s="41"/>
      <c r="I446" s="41"/>
      <c r="J446" s="259">
        <f>IF(J445&lt;=0,0,IF(J445&lt;=1,1,IF(J445&lt;=5,2,IF(J445&lt;=10,3,4))))</f>
        <v>4</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1017</v>
      </c>
      <c r="K452" s="42"/>
    </row>
    <row r="453" spans="2:11" x14ac:dyDescent="0.3">
      <c r="B453" s="39"/>
      <c r="C453" s="41" t="s">
        <v>280</v>
      </c>
      <c r="D453" s="41"/>
      <c r="E453" s="41"/>
      <c r="F453" s="41"/>
      <c r="G453" s="41"/>
      <c r="H453" s="41"/>
      <c r="I453" s="41"/>
      <c r="J453" s="259">
        <f>IF(J452=$B$973,$A$973,IF(J452=$B$974,$A$974,IF(J452=$B$975,$A$975,IF(J452=$B$976,$A$976,IF(J452=$B$977,$A$977,"Not Calculated")))))</f>
        <v>2</v>
      </c>
      <c r="K453" s="42"/>
    </row>
    <row r="454" spans="2:11" x14ac:dyDescent="0.3">
      <c r="B454" s="39"/>
      <c r="C454" s="41" t="s">
        <v>1038</v>
      </c>
      <c r="D454" s="41"/>
      <c r="E454" s="41"/>
      <c r="F454" s="41"/>
      <c r="G454" s="41"/>
      <c r="H454" s="41"/>
      <c r="I454" s="41"/>
      <c r="J454" s="41"/>
      <c r="K454" s="42"/>
    </row>
    <row r="455" spans="2:11" ht="45" customHeight="1" x14ac:dyDescent="0.3">
      <c r="B455" s="39"/>
      <c r="C455" s="343" t="s">
        <v>517</v>
      </c>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3</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t="str">
        <f>IF('Community Characteristics'!H12=0,"Not Calculated",100*(850000)/'Community Characteristics'!H12)</f>
        <v>Not Calculated</v>
      </c>
      <c r="K461" s="42"/>
    </row>
    <row r="462" spans="2:11" x14ac:dyDescent="0.3">
      <c r="B462" s="39"/>
      <c r="C462" s="41" t="s">
        <v>279</v>
      </c>
      <c r="D462" s="41"/>
      <c r="E462" s="41"/>
      <c r="F462" s="41"/>
      <c r="G462" s="41"/>
      <c r="H462" s="41"/>
      <c r="I462" s="41"/>
      <c r="J462" s="259">
        <f>IF(J461&lt;=0,0,IF(J461&lt;=1,1,IF(J461&lt;=5,2,IF(J461&lt;=10,3,4))))</f>
        <v>4</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1017</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2</v>
      </c>
      <c r="K469" s="42"/>
    </row>
    <row r="470" spans="2:11" x14ac:dyDescent="0.3">
      <c r="B470" s="39"/>
      <c r="C470" s="41" t="s">
        <v>1038</v>
      </c>
      <c r="D470" s="41"/>
      <c r="E470" s="41"/>
      <c r="F470" s="41"/>
      <c r="G470" s="41"/>
      <c r="H470" s="41"/>
      <c r="I470" s="41"/>
      <c r="J470" s="41"/>
      <c r="K470" s="42"/>
    </row>
    <row r="471" spans="2:11" ht="30.75" customHeight="1" x14ac:dyDescent="0.3">
      <c r="B471" s="39"/>
      <c r="C471" s="343" t="s">
        <v>960</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3</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2</v>
      </c>
      <c r="K478" s="42"/>
    </row>
    <row r="479" spans="2:11" x14ac:dyDescent="0.3">
      <c r="B479" s="39"/>
      <c r="C479" s="41" t="s">
        <v>280</v>
      </c>
      <c r="D479" s="41"/>
      <c r="E479" s="41"/>
      <c r="F479" s="41"/>
      <c r="G479" s="41"/>
      <c r="H479" s="41"/>
      <c r="I479" s="41"/>
      <c r="J479" s="259">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60" customHeight="1" x14ac:dyDescent="0.3">
      <c r="B486" s="39"/>
      <c r="C486" s="343" t="s">
        <v>964</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f>72</f>
        <v>72</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9">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60" customHeight="1" x14ac:dyDescent="0.3">
      <c r="B502" s="39"/>
      <c r="C502" s="386" t="s">
        <v>966</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3</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1200</v>
      </c>
      <c r="K508" s="42"/>
    </row>
    <row r="509" spans="2:11" x14ac:dyDescent="0.3">
      <c r="B509" s="39"/>
      <c r="C509" s="41" t="s">
        <v>279</v>
      </c>
      <c r="D509" s="41"/>
      <c r="E509" s="41"/>
      <c r="F509" s="41"/>
      <c r="G509" s="41"/>
      <c r="H509" s="41"/>
      <c r="I509" s="41"/>
      <c r="J509" s="259">
        <f>IF(J508&lt;=0,0,IF(J508&lt;=1000,1,IF(J508&lt;=5000,2,IF(J508&lt;=25000,3,4))))</f>
        <v>2</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1017</v>
      </c>
      <c r="K515" s="42"/>
    </row>
    <row r="516" spans="2:11" x14ac:dyDescent="0.3">
      <c r="B516" s="39"/>
      <c r="C516" s="41" t="s">
        <v>280</v>
      </c>
      <c r="D516" s="41"/>
      <c r="E516" s="41"/>
      <c r="F516" s="41"/>
      <c r="G516" s="41"/>
      <c r="H516" s="41"/>
      <c r="I516" s="41"/>
      <c r="J516" s="259">
        <f>IF(J515=$B$973,$A$973,IF(J515=$B$974,$A$974,IF(J515=$B$975,$A$975,IF(J515=$B$976,$A$976,IF(J515=$B$977,$A$977,"Not Calculated")))))</f>
        <v>2</v>
      </c>
      <c r="K516" s="42"/>
    </row>
    <row r="517" spans="2:11" x14ac:dyDescent="0.3">
      <c r="B517" s="39"/>
      <c r="C517" s="41" t="s">
        <v>1038</v>
      </c>
      <c r="D517" s="41"/>
      <c r="E517" s="41"/>
      <c r="F517" s="41"/>
      <c r="G517" s="41"/>
      <c r="H517" s="41"/>
      <c r="I517" s="41"/>
      <c r="J517" s="41"/>
      <c r="K517" s="42"/>
    </row>
    <row r="518" spans="2:11" ht="45.75" customHeight="1" x14ac:dyDescent="0.3">
      <c r="B518" s="39"/>
      <c r="C518" s="343" t="s">
        <v>968</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2</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20</v>
      </c>
      <c r="K525" s="42"/>
    </row>
    <row r="526" spans="2:11" x14ac:dyDescent="0.3">
      <c r="B526" s="39"/>
      <c r="C526" s="41" t="s">
        <v>279</v>
      </c>
      <c r="D526" s="41"/>
      <c r="E526" s="41"/>
      <c r="F526" s="41"/>
      <c r="G526" s="41"/>
      <c r="H526" s="41"/>
      <c r="I526" s="41"/>
      <c r="J526" s="259">
        <f>IF(J525&lt;=0,0,IF(J525&lt;=1,1,IF(J525&lt;=5,2,IF(J525&lt;=10,3,4))))</f>
        <v>4</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1018</v>
      </c>
      <c r="K532" s="42"/>
    </row>
    <row r="533" spans="2:11" x14ac:dyDescent="0.3">
      <c r="B533" s="39"/>
      <c r="C533" s="41" t="s">
        <v>280</v>
      </c>
      <c r="D533" s="41"/>
      <c r="E533" s="41"/>
      <c r="F533" s="41"/>
      <c r="G533" s="41"/>
      <c r="H533" s="41"/>
      <c r="I533" s="41"/>
      <c r="J533" s="259">
        <f>IF(J532=$B$973,$A$973,IF(J532=$B$974,$A$974,IF(J532=$B$975,$A$975,IF(J532=$B$976,$A$976,IF(J532=$B$977,$A$977,"Not Calculated")))))</f>
        <v>3</v>
      </c>
      <c r="K533" s="42"/>
    </row>
    <row r="534" spans="2:11" x14ac:dyDescent="0.3">
      <c r="B534" s="39"/>
      <c r="C534" s="41" t="s">
        <v>1038</v>
      </c>
      <c r="D534" s="41"/>
      <c r="E534" s="41"/>
      <c r="F534" s="41"/>
      <c r="G534" s="41"/>
      <c r="H534" s="41"/>
      <c r="I534" s="41"/>
      <c r="J534" s="41"/>
      <c r="K534" s="42"/>
    </row>
    <row r="535" spans="2:11" ht="15" customHeight="1" x14ac:dyDescent="0.3">
      <c r="B535" s="39"/>
      <c r="C535" s="343" t="s">
        <v>519</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2.5</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f>J546*0.5</f>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1018</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3</v>
      </c>
      <c r="K558" s="42"/>
      <c r="N558" s="12" t="s">
        <v>1048</v>
      </c>
    </row>
    <row r="559" spans="2:14" x14ac:dyDescent="0.3">
      <c r="B559" s="39"/>
      <c r="C559" s="41" t="s">
        <v>1038</v>
      </c>
      <c r="D559" s="41"/>
      <c r="E559" s="41"/>
      <c r="F559" s="41"/>
      <c r="G559" s="41"/>
      <c r="H559" s="41"/>
      <c r="I559" s="41"/>
      <c r="J559" s="41"/>
      <c r="K559" s="42"/>
      <c r="N559" s="12" t="s">
        <v>1049</v>
      </c>
    </row>
    <row r="560" spans="2:14" ht="30" customHeight="1" x14ac:dyDescent="0.3">
      <c r="B560" s="39"/>
      <c r="C560" s="343" t="s">
        <v>520</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J568*0.5</f>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521</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274</v>
      </c>
      <c r="K589" s="42"/>
    </row>
    <row r="590" spans="2:14" x14ac:dyDescent="0.3">
      <c r="B590" s="39"/>
      <c r="C590" s="41" t="s">
        <v>279</v>
      </c>
      <c r="D590" s="41"/>
      <c r="E590" s="41"/>
      <c r="F590" s="41"/>
      <c r="G590" s="41"/>
      <c r="H590" s="41"/>
      <c r="I590" s="41"/>
      <c r="J590" s="266">
        <f>IF(J589&lt;=0,0,IF(J589&lt;=1000,1,IF(J589&lt;=5000,2,IF(J589&lt;=25000,3,4))))</f>
        <v>1</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1018</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3</v>
      </c>
      <c r="K597" s="42"/>
    </row>
    <row r="598" spans="2:11" x14ac:dyDescent="0.3">
      <c r="B598" s="39"/>
      <c r="C598" s="41" t="s">
        <v>1038</v>
      </c>
      <c r="D598" s="41"/>
      <c r="E598" s="41"/>
      <c r="F598" s="41"/>
      <c r="G598" s="41"/>
      <c r="H598" s="41"/>
      <c r="I598" s="41"/>
      <c r="J598" s="41"/>
      <c r="K598" s="42"/>
    </row>
    <row r="599" spans="2:11" ht="46.5" customHeight="1" x14ac:dyDescent="0.3">
      <c r="B599" s="39"/>
      <c r="C599" s="343" t="s">
        <v>962</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J619</f>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1018</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3</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t="s">
        <v>522</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60.75" customHeight="1" x14ac:dyDescent="0.3">
      <c r="B655" s="39"/>
      <c r="C655" s="343" t="s">
        <v>963</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3</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198</v>
      </c>
      <c r="H732" s="353"/>
      <c r="I732" s="60"/>
      <c r="J732" s="271">
        <f>IF(G732=$B$994,$A$994,IF(G732=$B$995,$A$995,"Not Calculated"))</f>
        <v>1</v>
      </c>
      <c r="K732" s="62"/>
    </row>
    <row r="733" spans="2:11" x14ac:dyDescent="0.3">
      <c r="B733" s="58"/>
      <c r="C733" s="198" t="s">
        <v>32</v>
      </c>
      <c r="D733" s="60"/>
      <c r="E733" s="60"/>
      <c r="F733" s="60"/>
      <c r="G733" s="352" t="s">
        <v>198</v>
      </c>
      <c r="H733" s="353"/>
      <c r="I733" s="60"/>
      <c r="J733" s="271">
        <f t="shared" ref="J733:J740" si="1">IF(G733=$B$994,$A$994,IF(G733=$B$995,$A$995,"Not Calculated"))</f>
        <v>1</v>
      </c>
      <c r="K733" s="62"/>
    </row>
    <row r="734" spans="2:11" ht="15" customHeight="1" x14ac:dyDescent="0.3">
      <c r="B734" s="58"/>
      <c r="C734" s="198" t="s">
        <v>33</v>
      </c>
      <c r="D734" s="60"/>
      <c r="E734" s="60"/>
      <c r="F734" s="60"/>
      <c r="G734" s="352" t="s">
        <v>198</v>
      </c>
      <c r="H734" s="353"/>
      <c r="I734" s="60"/>
      <c r="J734" s="271">
        <f t="shared" si="1"/>
        <v>1</v>
      </c>
      <c r="K734" s="62"/>
    </row>
    <row r="735" spans="2:11" x14ac:dyDescent="0.3">
      <c r="B735" s="58"/>
      <c r="C735" s="198" t="s">
        <v>34</v>
      </c>
      <c r="D735" s="60"/>
      <c r="E735" s="60"/>
      <c r="F735" s="60"/>
      <c r="G735" s="352" t="s">
        <v>198</v>
      </c>
      <c r="H735" s="353"/>
      <c r="I735" s="60"/>
      <c r="J735" s="271">
        <f t="shared" si="1"/>
        <v>1</v>
      </c>
      <c r="K735" s="62"/>
    </row>
    <row r="736" spans="2:11" x14ac:dyDescent="0.3">
      <c r="B736" s="58"/>
      <c r="C736" s="198" t="s">
        <v>35</v>
      </c>
      <c r="D736" s="60"/>
      <c r="E736" s="60"/>
      <c r="F736" s="60"/>
      <c r="G736" s="352" t="s">
        <v>198</v>
      </c>
      <c r="H736" s="353"/>
      <c r="I736" s="60"/>
      <c r="J736" s="271">
        <f t="shared" si="1"/>
        <v>1</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198</v>
      </c>
      <c r="H738" s="353"/>
      <c r="I738" s="60"/>
      <c r="J738" s="271">
        <f t="shared" si="1"/>
        <v>1</v>
      </c>
      <c r="K738" s="62"/>
    </row>
    <row r="739" spans="2:11" x14ac:dyDescent="0.3">
      <c r="B739" s="58"/>
      <c r="C739" s="198" t="s">
        <v>38</v>
      </c>
      <c r="D739" s="60"/>
      <c r="E739" s="60"/>
      <c r="F739" s="60"/>
      <c r="G739" s="352" t="s">
        <v>198</v>
      </c>
      <c r="H739" s="353"/>
      <c r="I739" s="60"/>
      <c r="J739" s="271">
        <f t="shared" si="1"/>
        <v>1</v>
      </c>
      <c r="K739" s="62"/>
    </row>
    <row r="740" spans="2:11" x14ac:dyDescent="0.3">
      <c r="B740" s="58"/>
      <c r="C740" s="198" t="s">
        <v>39</v>
      </c>
      <c r="D740" s="60"/>
      <c r="E740" s="60"/>
      <c r="F740" s="60"/>
      <c r="G740" s="352" t="s">
        <v>198</v>
      </c>
      <c r="H740" s="353"/>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198</v>
      </c>
      <c r="H748" s="353"/>
      <c r="I748" s="60"/>
      <c r="J748" s="271">
        <f t="shared" ref="J748:J755" si="2">IF(G748=$B$994,$A$994,IF(G748=$B$995,$A$995,"Not Calculated"))</f>
        <v>1</v>
      </c>
      <c r="K748" s="62"/>
    </row>
    <row r="749" spans="2:11" ht="15" customHeight="1" x14ac:dyDescent="0.3">
      <c r="B749" s="58"/>
      <c r="C749" s="198" t="s">
        <v>33</v>
      </c>
      <c r="D749" s="60"/>
      <c r="E749" s="60"/>
      <c r="F749" s="60"/>
      <c r="G749" s="352" t="s">
        <v>198</v>
      </c>
      <c r="H749" s="353"/>
      <c r="I749" s="60"/>
      <c r="J749" s="271">
        <f t="shared" si="2"/>
        <v>1</v>
      </c>
      <c r="K749" s="62"/>
    </row>
    <row r="750" spans="2:11" x14ac:dyDescent="0.3">
      <c r="B750" s="58"/>
      <c r="C750" s="198" t="s">
        <v>34</v>
      </c>
      <c r="D750" s="60"/>
      <c r="E750" s="60"/>
      <c r="F750" s="60"/>
      <c r="G750" s="352" t="s">
        <v>198</v>
      </c>
      <c r="H750" s="353"/>
      <c r="I750" s="60"/>
      <c r="J750" s="271">
        <f t="shared" si="2"/>
        <v>1</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198</v>
      </c>
      <c r="H752" s="353"/>
      <c r="I752" s="60"/>
      <c r="J752" s="271">
        <f t="shared" si="2"/>
        <v>1</v>
      </c>
      <c r="K752" s="62"/>
    </row>
    <row r="753" spans="2:11" x14ac:dyDescent="0.3">
      <c r="B753" s="58"/>
      <c r="C753" s="198" t="s">
        <v>37</v>
      </c>
      <c r="D753" s="60"/>
      <c r="E753" s="60"/>
      <c r="F753" s="60"/>
      <c r="G753" s="352" t="s">
        <v>198</v>
      </c>
      <c r="H753" s="353"/>
      <c r="I753" s="60"/>
      <c r="J753" s="271">
        <f t="shared" si="2"/>
        <v>1</v>
      </c>
      <c r="K753" s="62"/>
    </row>
    <row r="754" spans="2:11" x14ac:dyDescent="0.3">
      <c r="B754" s="58"/>
      <c r="C754" s="198" t="s">
        <v>38</v>
      </c>
      <c r="D754" s="60"/>
      <c r="E754" s="60"/>
      <c r="F754" s="60"/>
      <c r="G754" s="352" t="s">
        <v>198</v>
      </c>
      <c r="H754" s="353"/>
      <c r="I754" s="60"/>
      <c r="J754" s="271">
        <f t="shared" si="2"/>
        <v>1</v>
      </c>
      <c r="K754" s="62"/>
    </row>
    <row r="755" spans="2:11" x14ac:dyDescent="0.3">
      <c r="B755" s="58"/>
      <c r="C755" s="198" t="s">
        <v>39</v>
      </c>
      <c r="D755" s="60"/>
      <c r="E755" s="60"/>
      <c r="F755" s="60"/>
      <c r="G755" s="352" t="s">
        <v>198</v>
      </c>
      <c r="H755" s="353"/>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ht="15" customHeight="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256</v>
      </c>
      <c r="H850" s="351"/>
      <c r="I850" s="86"/>
      <c r="J850" s="84">
        <f>IF(G850=$B$998,$A$998,IF(G850=$B$999,$A$999,IF(G850=$B$1000,$A$1000,IF(G850=$B$1001,$A$1001,IF(G850=$B$1002,$A$1002,"Not Calculated")))))</f>
        <v>1</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256</v>
      </c>
      <c r="H878" s="351"/>
      <c r="I878" s="86"/>
      <c r="J878" s="84">
        <f>IF(G878=$B$998,$A$998,IF(G878=$B$999,$A$999,IF(G878=$B$1000,$A$1000,IF(G878=$B$1001,$A$1001,IF(G878=$B$1002,$A$1002,"Not Calculated")))))</f>
        <v>1</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254</v>
      </c>
      <c r="H886" s="351"/>
      <c r="I886" s="86"/>
      <c r="J886" s="84">
        <f>IF(G886=$B$998,$A$998,IF(G886=$B$999,$A$999,IF(G886=$B$1000,$A$1000,IF(G886=$B$1001,$A$1001,IF(G886=$B$1002,$A$1002,"Not Calculated")))))</f>
        <v>2</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256</v>
      </c>
      <c r="H916" s="351"/>
      <c r="I916" s="86"/>
      <c r="J916" s="84">
        <f>IF(G916=$B$998,$A$998,IF(G916=$B$999,$A$999,IF(G916=$B$1000,$A$1000,IF(G916=$B$1001,$A$1001,IF(G916=$B$1002,$A$1002,"Not Calculated")))))</f>
        <v>1</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254</v>
      </c>
      <c r="H928" s="351"/>
      <c r="I928" s="86"/>
      <c r="J928" s="84">
        <f>IF(G928=$B$998,$A$998,IF(G928=$B$999,$A$999,IF(G928=$B$1000,$A$1000,IF(G928=$B$1001,$A$1001,IF(G928=$B$1002,$A$1002,"Not Calculated")))))</f>
        <v>2</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4.25" customHeight="1" x14ac:dyDescent="0.3">
      <c r="B1004" s="392" t="s">
        <v>965</v>
      </c>
      <c r="C1004" s="393"/>
      <c r="D1004" s="393"/>
      <c r="E1004" s="393"/>
      <c r="F1004" s="393"/>
      <c r="G1004" s="393"/>
      <c r="H1004" s="393"/>
      <c r="I1004" s="393"/>
      <c r="J1004" s="393"/>
      <c r="K1004" s="394"/>
    </row>
    <row r="1005" spans="1:11" ht="15" customHeight="1" x14ac:dyDescent="0.3">
      <c r="B1005" s="389"/>
      <c r="C1005" s="390"/>
      <c r="D1005" s="390"/>
      <c r="E1005" s="390"/>
      <c r="F1005" s="390"/>
      <c r="G1005" s="390"/>
      <c r="H1005" s="390"/>
      <c r="I1005" s="390"/>
      <c r="J1005" s="390"/>
      <c r="K1005" s="391"/>
    </row>
    <row r="1006" spans="1:11" ht="45" customHeight="1" x14ac:dyDescent="0.3">
      <c r="B1006" s="389" t="s">
        <v>955</v>
      </c>
      <c r="C1006" s="390"/>
      <c r="D1006" s="390"/>
      <c r="E1006" s="390"/>
      <c r="F1006" s="390"/>
      <c r="G1006" s="390"/>
      <c r="H1006" s="390"/>
      <c r="I1006" s="390"/>
      <c r="J1006" s="390"/>
      <c r="K1006" s="391"/>
    </row>
    <row r="1007" spans="1:11" ht="15" customHeight="1" x14ac:dyDescent="0.3">
      <c r="B1007" s="389"/>
      <c r="C1007" s="390"/>
      <c r="D1007" s="390"/>
      <c r="E1007" s="390"/>
      <c r="F1007" s="390"/>
      <c r="G1007" s="390"/>
      <c r="H1007" s="390"/>
      <c r="I1007" s="390"/>
      <c r="J1007" s="390"/>
      <c r="K1007" s="391"/>
    </row>
    <row r="1008" spans="1:11" ht="30" customHeight="1" x14ac:dyDescent="0.3">
      <c r="B1008" s="389" t="s">
        <v>975</v>
      </c>
      <c r="C1008" s="390"/>
      <c r="D1008" s="390"/>
      <c r="E1008" s="390"/>
      <c r="F1008" s="390"/>
      <c r="G1008" s="390"/>
      <c r="H1008" s="390"/>
      <c r="I1008" s="390"/>
      <c r="J1008" s="390"/>
      <c r="K1008" s="391"/>
    </row>
    <row r="1009" spans="2:11" ht="15" customHeight="1" x14ac:dyDescent="0.3">
      <c r="B1009" s="389"/>
      <c r="C1009" s="390"/>
      <c r="D1009" s="390"/>
      <c r="E1009" s="390"/>
      <c r="F1009" s="390"/>
      <c r="G1009" s="390"/>
      <c r="H1009" s="390"/>
      <c r="I1009" s="390"/>
      <c r="J1009" s="390"/>
      <c r="K1009" s="391"/>
    </row>
    <row r="1010" spans="2:11" ht="44.25" customHeight="1" x14ac:dyDescent="0.3">
      <c r="B1010" s="389" t="s">
        <v>961</v>
      </c>
      <c r="C1010" s="390"/>
      <c r="D1010" s="390"/>
      <c r="E1010" s="390"/>
      <c r="F1010" s="390"/>
      <c r="G1010" s="390"/>
      <c r="H1010" s="390"/>
      <c r="I1010" s="390"/>
      <c r="J1010" s="390"/>
      <c r="K1010" s="391"/>
    </row>
    <row r="1011" spans="2:11" ht="15" customHeight="1" x14ac:dyDescent="0.3">
      <c r="B1011" s="389"/>
      <c r="C1011" s="390"/>
      <c r="D1011" s="390"/>
      <c r="E1011" s="390"/>
      <c r="F1011" s="390"/>
      <c r="G1011" s="390"/>
      <c r="H1011" s="390"/>
      <c r="I1011" s="390"/>
      <c r="J1011" s="390"/>
      <c r="K1011" s="391"/>
    </row>
    <row r="1012" spans="2:11" ht="30" customHeight="1" x14ac:dyDescent="0.3">
      <c r="B1012" s="389" t="s">
        <v>957</v>
      </c>
      <c r="C1012" s="390"/>
      <c r="D1012" s="390"/>
      <c r="E1012" s="390"/>
      <c r="F1012" s="390"/>
      <c r="G1012" s="390"/>
      <c r="H1012" s="390"/>
      <c r="I1012" s="390"/>
      <c r="J1012" s="390"/>
      <c r="K1012" s="391"/>
    </row>
    <row r="1013" spans="2:11" ht="15" customHeight="1" x14ac:dyDescent="0.3">
      <c r="B1013" s="389"/>
      <c r="C1013" s="390"/>
      <c r="D1013" s="390"/>
      <c r="E1013" s="390"/>
      <c r="F1013" s="390"/>
      <c r="G1013" s="390"/>
      <c r="H1013" s="390"/>
      <c r="I1013" s="390"/>
      <c r="J1013" s="390"/>
      <c r="K1013" s="391"/>
    </row>
    <row r="1014" spans="2:11" ht="30" customHeight="1" x14ac:dyDescent="0.3">
      <c r="B1014" s="389" t="s">
        <v>969</v>
      </c>
      <c r="C1014" s="390"/>
      <c r="D1014" s="390"/>
      <c r="E1014" s="390"/>
      <c r="F1014" s="390"/>
      <c r="G1014" s="390"/>
      <c r="H1014" s="390"/>
      <c r="I1014" s="390"/>
      <c r="J1014" s="390"/>
      <c r="K1014" s="391"/>
    </row>
    <row r="1015" spans="2:11" ht="15" customHeight="1" x14ac:dyDescent="0.3">
      <c r="B1015" s="389"/>
      <c r="C1015" s="390"/>
      <c r="D1015" s="390"/>
      <c r="E1015" s="390"/>
      <c r="F1015" s="390"/>
      <c r="G1015" s="390"/>
      <c r="H1015" s="390"/>
      <c r="I1015" s="390"/>
      <c r="J1015" s="390"/>
      <c r="K1015" s="391"/>
    </row>
    <row r="1016" spans="2:11" ht="30" customHeight="1" x14ac:dyDescent="0.3">
      <c r="B1016" s="389" t="s">
        <v>953</v>
      </c>
      <c r="C1016" s="390"/>
      <c r="D1016" s="390"/>
      <c r="E1016" s="390"/>
      <c r="F1016" s="390"/>
      <c r="G1016" s="390"/>
      <c r="H1016" s="390"/>
      <c r="I1016" s="390"/>
      <c r="J1016" s="390"/>
      <c r="K1016" s="391"/>
    </row>
    <row r="1017" spans="2:11" ht="15" customHeight="1" x14ac:dyDescent="0.3">
      <c r="B1017" s="389"/>
      <c r="C1017" s="390"/>
      <c r="D1017" s="390"/>
      <c r="E1017" s="390"/>
      <c r="F1017" s="390"/>
      <c r="G1017" s="390"/>
      <c r="H1017" s="390"/>
      <c r="I1017" s="390"/>
      <c r="J1017" s="390"/>
      <c r="K1017" s="391"/>
    </row>
    <row r="1018" spans="2:11" ht="30" customHeight="1" x14ac:dyDescent="0.3">
      <c r="B1018" s="389" t="s">
        <v>959</v>
      </c>
      <c r="C1018" s="390"/>
      <c r="D1018" s="390"/>
      <c r="E1018" s="390"/>
      <c r="F1018" s="390"/>
      <c r="G1018" s="390"/>
      <c r="H1018" s="390"/>
      <c r="I1018" s="390"/>
      <c r="J1018" s="390"/>
      <c r="K1018" s="391"/>
    </row>
    <row r="1019" spans="2:11" ht="15" customHeight="1" x14ac:dyDescent="0.3">
      <c r="B1019" s="389"/>
      <c r="C1019" s="390"/>
      <c r="D1019" s="390"/>
      <c r="E1019" s="390"/>
      <c r="F1019" s="390"/>
      <c r="G1019" s="390"/>
      <c r="H1019" s="390"/>
      <c r="I1019" s="390"/>
      <c r="J1019" s="390"/>
      <c r="K1019" s="391"/>
    </row>
    <row r="1020" spans="2:11" ht="30" customHeight="1" x14ac:dyDescent="0.3">
      <c r="B1020" s="389" t="s">
        <v>972</v>
      </c>
      <c r="C1020" s="390"/>
      <c r="D1020" s="390"/>
      <c r="E1020" s="390"/>
      <c r="F1020" s="390"/>
      <c r="G1020" s="390"/>
      <c r="H1020" s="390"/>
      <c r="I1020" s="390"/>
      <c r="J1020" s="390"/>
      <c r="K1020" s="391"/>
    </row>
    <row r="1021" spans="2:11" ht="15" customHeight="1" x14ac:dyDescent="0.3">
      <c r="B1021" s="389"/>
      <c r="C1021" s="390"/>
      <c r="D1021" s="390"/>
      <c r="E1021" s="390"/>
      <c r="F1021" s="390"/>
      <c r="G1021" s="390"/>
      <c r="H1021" s="390"/>
      <c r="I1021" s="390"/>
      <c r="J1021" s="390"/>
      <c r="K1021" s="391"/>
    </row>
    <row r="1022" spans="2:11" ht="30" customHeight="1" x14ac:dyDescent="0.3">
      <c r="B1022" s="389" t="s">
        <v>970</v>
      </c>
      <c r="C1022" s="390"/>
      <c r="D1022" s="390"/>
      <c r="E1022" s="390"/>
      <c r="F1022" s="390"/>
      <c r="G1022" s="390"/>
      <c r="H1022" s="390"/>
      <c r="I1022" s="390"/>
      <c r="J1022" s="390"/>
      <c r="K1022" s="391"/>
    </row>
    <row r="1023" spans="2:11" ht="15" customHeight="1" x14ac:dyDescent="0.3">
      <c r="B1023" s="389"/>
      <c r="C1023" s="390"/>
      <c r="D1023" s="390"/>
      <c r="E1023" s="390"/>
      <c r="F1023" s="390"/>
      <c r="G1023" s="390"/>
      <c r="H1023" s="390"/>
      <c r="I1023" s="390"/>
      <c r="J1023" s="390"/>
      <c r="K1023" s="391"/>
    </row>
    <row r="1024" spans="2:11" ht="44.25" customHeight="1" x14ac:dyDescent="0.3">
      <c r="B1024" s="389" t="s">
        <v>967</v>
      </c>
      <c r="C1024" s="390"/>
      <c r="D1024" s="390"/>
      <c r="E1024" s="390"/>
      <c r="F1024" s="390"/>
      <c r="G1024" s="390"/>
      <c r="H1024" s="390"/>
      <c r="I1024" s="390"/>
      <c r="J1024" s="390"/>
      <c r="K1024" s="391"/>
    </row>
    <row r="1025" spans="2:11" ht="15" customHeight="1" x14ac:dyDescent="0.3">
      <c r="B1025" s="389"/>
      <c r="C1025" s="390"/>
      <c r="D1025" s="390"/>
      <c r="E1025" s="390"/>
      <c r="F1025" s="390"/>
      <c r="G1025" s="390"/>
      <c r="H1025" s="390"/>
      <c r="I1025" s="390"/>
      <c r="J1025" s="390"/>
      <c r="K1025" s="391"/>
    </row>
    <row r="1026" spans="2:11" ht="62.25" customHeight="1" x14ac:dyDescent="0.3">
      <c r="B1026" s="389" t="s">
        <v>971</v>
      </c>
      <c r="C1026" s="390"/>
      <c r="D1026" s="390"/>
      <c r="E1026" s="390"/>
      <c r="F1026" s="390"/>
      <c r="G1026" s="390"/>
      <c r="H1026" s="390"/>
      <c r="I1026" s="390"/>
      <c r="J1026" s="390"/>
      <c r="K1026" s="391"/>
    </row>
    <row r="1027" spans="2:11" ht="15" customHeight="1" x14ac:dyDescent="0.3">
      <c r="B1027" s="389"/>
      <c r="C1027" s="390"/>
      <c r="D1027" s="390"/>
      <c r="E1027" s="390"/>
      <c r="F1027" s="390"/>
      <c r="G1027" s="390"/>
      <c r="H1027" s="390"/>
      <c r="I1027" s="390"/>
      <c r="J1027" s="390"/>
      <c r="K1027" s="391"/>
    </row>
    <row r="1028" spans="2:11" ht="15" customHeight="1" x14ac:dyDescent="0.3">
      <c r="B1028" s="389"/>
      <c r="C1028" s="390"/>
      <c r="D1028" s="390"/>
      <c r="E1028" s="390"/>
      <c r="F1028" s="390"/>
      <c r="G1028" s="390"/>
      <c r="H1028" s="390"/>
      <c r="I1028" s="390"/>
      <c r="J1028" s="390"/>
      <c r="K1028" s="391"/>
    </row>
    <row r="1029" spans="2:11" ht="15" customHeight="1" x14ac:dyDescent="0.3">
      <c r="B1029" s="395"/>
      <c r="C1029" s="396"/>
      <c r="D1029" s="396"/>
      <c r="E1029" s="396"/>
      <c r="F1029" s="396"/>
      <c r="G1029" s="396"/>
      <c r="H1029" s="396"/>
      <c r="I1029" s="396"/>
      <c r="J1029" s="396"/>
      <c r="K1029" s="397"/>
    </row>
  </sheetData>
  <mergeCells count="152">
    <mergeCell ref="C120:J122"/>
    <mergeCell ref="C123:J124"/>
    <mergeCell ref="C129:J129"/>
    <mergeCell ref="C95:J95"/>
    <mergeCell ref="C114:J114"/>
    <mergeCell ref="C176:J176"/>
    <mergeCell ref="C155:J155"/>
    <mergeCell ref="B5:K5"/>
    <mergeCell ref="B6:K6"/>
    <mergeCell ref="B7:K7"/>
    <mergeCell ref="B8:K8"/>
    <mergeCell ref="B9:K9"/>
    <mergeCell ref="B10:K10"/>
    <mergeCell ref="C76:J76"/>
    <mergeCell ref="E15:J15"/>
    <mergeCell ref="C38:J38"/>
    <mergeCell ref="C57:J57"/>
    <mergeCell ref="C216:J216"/>
    <mergeCell ref="C196:J196"/>
    <mergeCell ref="C237:J237"/>
    <mergeCell ref="C257:J257"/>
    <mergeCell ref="C324:J324"/>
    <mergeCell ref="C330:I331"/>
    <mergeCell ref="C347:J347"/>
    <mergeCell ref="D343:I344"/>
    <mergeCell ref="C365:J365"/>
    <mergeCell ref="C286:J286"/>
    <mergeCell ref="C292:I293"/>
    <mergeCell ref="C311:I312"/>
    <mergeCell ref="C340:I341"/>
    <mergeCell ref="C305:J305"/>
    <mergeCell ref="C371:I372"/>
    <mergeCell ref="C455:J455"/>
    <mergeCell ref="C402:J402"/>
    <mergeCell ref="C416:J416"/>
    <mergeCell ref="C438:J438"/>
    <mergeCell ref="C444:I445"/>
    <mergeCell ref="C518:J518"/>
    <mergeCell ref="C471:J471"/>
    <mergeCell ref="C477:I478"/>
    <mergeCell ref="C486:J486"/>
    <mergeCell ref="C502:J502"/>
    <mergeCell ref="C420:I421"/>
    <mergeCell ref="C391:I392"/>
    <mergeCell ref="C385:J385"/>
    <mergeCell ref="C524:I525"/>
    <mergeCell ref="C535:J535"/>
    <mergeCell ref="C613:J613"/>
    <mergeCell ref="C560:J560"/>
    <mergeCell ref="C566:I568"/>
    <mergeCell ref="C569:I571"/>
    <mergeCell ref="C583:J583"/>
    <mergeCell ref="C620:I621"/>
    <mergeCell ref="C633:J633"/>
    <mergeCell ref="C599:J599"/>
    <mergeCell ref="C639:I640"/>
    <mergeCell ref="C641:I643"/>
    <mergeCell ref="G734:H734"/>
    <mergeCell ref="G735:H735"/>
    <mergeCell ref="G724:H724"/>
    <mergeCell ref="G725:H725"/>
    <mergeCell ref="G719:H719"/>
    <mergeCell ref="G720:H720"/>
    <mergeCell ref="G721:H721"/>
    <mergeCell ref="G717:H717"/>
    <mergeCell ref="G718:H718"/>
    <mergeCell ref="C729:J731"/>
    <mergeCell ref="G732:H732"/>
    <mergeCell ref="G733:H733"/>
    <mergeCell ref="C714:J716"/>
    <mergeCell ref="C655:J655"/>
    <mergeCell ref="D664:I665"/>
    <mergeCell ref="C677:J677"/>
    <mergeCell ref="G722:H722"/>
    <mergeCell ref="G723:H723"/>
    <mergeCell ref="G766:H766"/>
    <mergeCell ref="G754:H754"/>
    <mergeCell ref="G755:H755"/>
    <mergeCell ref="G752:H752"/>
    <mergeCell ref="G753:H753"/>
    <mergeCell ref="C759:J761"/>
    <mergeCell ref="G762:H762"/>
    <mergeCell ref="G763:H763"/>
    <mergeCell ref="G764:H764"/>
    <mergeCell ref="G765:H765"/>
    <mergeCell ref="C900:J901"/>
    <mergeCell ref="G904:H904"/>
    <mergeCell ref="G908:H908"/>
    <mergeCell ref="G912:H912"/>
    <mergeCell ref="G924:H924"/>
    <mergeCell ref="G916:H916"/>
    <mergeCell ref="G920:H920"/>
    <mergeCell ref="G769:H769"/>
    <mergeCell ref="G770:H770"/>
    <mergeCell ref="G846:H846"/>
    <mergeCell ref="C830:J831"/>
    <mergeCell ref="G834:H834"/>
    <mergeCell ref="G838:H838"/>
    <mergeCell ref="G842:H842"/>
    <mergeCell ref="G736:H736"/>
    <mergeCell ref="C744:J746"/>
    <mergeCell ref="G747:H747"/>
    <mergeCell ref="G748:H748"/>
    <mergeCell ref="G749:H749"/>
    <mergeCell ref="G886:H886"/>
    <mergeCell ref="G890:H890"/>
    <mergeCell ref="G882:H882"/>
    <mergeCell ref="G870:H870"/>
    <mergeCell ref="G874:H874"/>
    <mergeCell ref="G878:H878"/>
    <mergeCell ref="G850:H850"/>
    <mergeCell ref="G862:H862"/>
    <mergeCell ref="G866:H866"/>
    <mergeCell ref="G854:H854"/>
    <mergeCell ref="G858:H858"/>
    <mergeCell ref="G767:H767"/>
    <mergeCell ref="G768:H768"/>
    <mergeCell ref="G750:H750"/>
    <mergeCell ref="G751:H751"/>
    <mergeCell ref="G739:H739"/>
    <mergeCell ref="G740:H740"/>
    <mergeCell ref="G737:H737"/>
    <mergeCell ref="G738:H73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B1022:K1022"/>
    <mergeCell ref="B1023:K1023"/>
    <mergeCell ref="B1024:K1024"/>
    <mergeCell ref="B1025:K1025"/>
    <mergeCell ref="B1026:K1026"/>
    <mergeCell ref="B1027:K1027"/>
    <mergeCell ref="B1028:K1028"/>
    <mergeCell ref="B1004:K1004"/>
    <mergeCell ref="B1005:K1005"/>
    <mergeCell ref="B1006:K1006"/>
    <mergeCell ref="B1007:K1007"/>
    <mergeCell ref="B1008:K1008"/>
    <mergeCell ref="B1009:K1009"/>
    <mergeCell ref="B1010:K1010"/>
    <mergeCell ref="B1011:K1011"/>
    <mergeCell ref="B1012:K1012"/>
    <mergeCell ref="F959:H960"/>
  </mergeCells>
  <dataValidations count="23">
    <dataValidation type="list" allowBlank="1" showInputMessage="1" showErrorMessage="1" sqref="E15:J15" xr:uid="{00000000-0002-0000-0E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0E00-000001000000}">
      <formula1>$B$998:$B$1002</formula1>
    </dataValidation>
    <dataValidation type="list" allowBlank="1" showInputMessage="1" showErrorMessage="1" sqref="G717:H725 G762:H770 G732:H740 G747:H755" xr:uid="{00000000-0002-0000-0E00-000002000000}">
      <formula1>$B$994:$B$995</formula1>
    </dataValidation>
    <dataValidation type="list" allowBlank="1" showInputMessage="1" showErrorMessage="1" sqref="J302 J362" xr:uid="{00000000-0002-0000-0E00-000003000000}">
      <formula1>$B$980:$B$984</formula1>
    </dataValidation>
    <dataValidation type="list" allowBlank="1" showInputMessage="1" showErrorMessage="1" sqref="C123:J124" xr:uid="{00000000-0002-0000-0E00-000004000000}">
      <formula1>$B$987:$B$991</formula1>
    </dataValidation>
    <dataValidation type="list" allowBlank="1" showInputMessage="1" showErrorMessage="1" sqref="J35 J213 J283 J652 J452 J54 J193 J173 J152 J126 J111 J92 J73 J254 J630 J234 J468 J499 J515 J532 J557 J580 J596 J674 J435" xr:uid="{00000000-0002-0000-0E00-000005000000}">
      <formula1>$B$973:$B$977</formula1>
    </dataValidation>
    <dataValidation type="list" allowBlank="1" showInputMessage="1" showErrorMessage="1" sqref="J33" xr:uid="{00000000-0002-0000-0E00-000006000000}">
      <formula1>$N$32:$N$37</formula1>
    </dataValidation>
    <dataValidation type="list" allowBlank="1" showInputMessage="1" showErrorMessage="1" sqref="J52" xr:uid="{00000000-0002-0000-0E00-000007000000}">
      <formula1>$N$51:$N$56</formula1>
    </dataValidation>
    <dataValidation type="list" allowBlank="1" showInputMessage="1" showErrorMessage="1" sqref="J71" xr:uid="{00000000-0002-0000-0E00-000008000000}">
      <formula1>$N$70:$N$75</formula1>
    </dataValidation>
    <dataValidation type="list" allowBlank="1" showInputMessage="1" showErrorMessage="1" sqref="J90" xr:uid="{00000000-0002-0000-0E00-000009000000}">
      <formula1>$N$89:$N$94</formula1>
    </dataValidation>
    <dataValidation type="list" allowBlank="1" showInputMessage="1" showErrorMessage="1" sqref="J109" xr:uid="{00000000-0002-0000-0E00-00000A000000}">
      <formula1>$N$108:$N$113</formula1>
    </dataValidation>
    <dataValidation type="list" allowBlank="1" showInputMessage="1" showErrorMessage="1" sqref="J150" xr:uid="{00000000-0002-0000-0E00-00000B000000}">
      <formula1>$N$149:$N$154</formula1>
    </dataValidation>
    <dataValidation type="list" allowBlank="1" showInputMessage="1" showErrorMessage="1" sqref="J171" xr:uid="{00000000-0002-0000-0E00-00000C000000}">
      <formula1>$N$170:$N$175</formula1>
    </dataValidation>
    <dataValidation type="list" allowBlank="1" showInputMessage="1" showErrorMessage="1" sqref="J191" xr:uid="{00000000-0002-0000-0E00-00000D000000}">
      <formula1>$N$190:$N$195</formula1>
    </dataValidation>
    <dataValidation type="list" allowBlank="1" showInputMessage="1" showErrorMessage="1" sqref="J211" xr:uid="{00000000-0002-0000-0E00-00000E000000}">
      <formula1>$N$210:$N$215</formula1>
    </dataValidation>
    <dataValidation type="list" allowBlank="1" showInputMessage="1" showErrorMessage="1" sqref="J232" xr:uid="{00000000-0002-0000-0E00-00000F000000}">
      <formula1>$N$231:$N$236</formula1>
    </dataValidation>
    <dataValidation type="list" allowBlank="1" showInputMessage="1" showErrorMessage="1" sqref="J252" xr:uid="{00000000-0002-0000-0E00-000010000000}">
      <formula1>$N$251:$N$256</formula1>
    </dataValidation>
    <dataValidation type="list" allowBlank="1" showInputMessage="1" showErrorMessage="1" sqref="J281" xr:uid="{00000000-0002-0000-0E00-000011000000}">
      <formula1>$N$280:$N$285</formula1>
    </dataValidation>
    <dataValidation type="list" allowBlank="1" showInputMessage="1" showErrorMessage="1" sqref="J555" xr:uid="{00000000-0002-0000-0E00-000012000000}">
      <formula1>$N$554:$N$559</formula1>
    </dataValidation>
    <dataValidation type="list" allowBlank="1" showInputMessage="1" showErrorMessage="1" sqref="J578" xr:uid="{00000000-0002-0000-0E00-000013000000}">
      <formula1>$N$577:$N$582</formula1>
    </dataValidation>
    <dataValidation type="list" allowBlank="1" showInputMessage="1" showErrorMessage="1" sqref="J628" xr:uid="{00000000-0002-0000-0E00-000014000000}">
      <formula1>$N$627:$N$632</formula1>
    </dataValidation>
    <dataValidation type="list" allowBlank="1" showInputMessage="1" showErrorMessage="1" sqref="J650" xr:uid="{00000000-0002-0000-0E00-000015000000}">
      <formula1>$N$649:$N$654</formula1>
    </dataValidation>
    <dataValidation type="list" allowBlank="1" showInputMessage="1" showErrorMessage="1" sqref="J672" xr:uid="{00000000-0002-0000-0E00-000016000000}">
      <formula1>$N$671:$N$676</formula1>
    </dataValidation>
  </dataValidations>
  <pageMargins left="0.7" right="0.7" top="0.75" bottom="0.75" header="0.3" footer="0.3"/>
  <pageSetup scale="70" orientation="portrait" r:id="rId1"/>
  <ignoredErrors>
    <ignoredError sqref="J461" unlockedFormula="1"/>
  </ignoredError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19</v>
      </c>
      <c r="I3" s="30"/>
      <c r="L3" s="160"/>
      <c r="M3" s="160"/>
    </row>
    <row r="4" spans="2:13" x14ac:dyDescent="0.3">
      <c r="G4" s="99"/>
      <c r="I4" s="30"/>
      <c r="L4" s="161"/>
      <c r="M4" s="160"/>
    </row>
    <row r="5" spans="2:13" ht="105" customHeight="1" x14ac:dyDescent="0.3">
      <c r="B5" s="370" t="s">
        <v>778</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120" customHeight="1" x14ac:dyDescent="0.3">
      <c r="B10" s="383" t="s">
        <v>1178</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261</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2</v>
      </c>
      <c r="F17" s="166"/>
      <c r="G17" s="166"/>
      <c r="H17" s="166"/>
      <c r="I17" s="166"/>
      <c r="J17" s="166"/>
      <c r="K17" s="168"/>
    </row>
    <row r="18" spans="2:14" x14ac:dyDescent="0.3">
      <c r="B18" s="165"/>
      <c r="C18" s="166"/>
      <c r="D18" s="166"/>
      <c r="E18" s="170" t="str">
        <f>IF(E15=$C$966,$B$966,IF(E15=$C$967,$B$967,IF(E15=$C$968,$B$968,IF(E15=$C$969,$B$969,IF(E15=$C$970,$B$970,"Not Calculated")))))</f>
        <v>Occasional</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'Community Characteristics'!$H$111*0.46</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9">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t="s">
        <v>1179</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'Community Characteristics'!$H$111*0.38</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9">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60" customHeight="1" x14ac:dyDescent="0.3">
      <c r="B57" s="178"/>
      <c r="C57" s="359" t="s">
        <v>1180</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'Community Characteristics'!$H$111*1.51</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9">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1181</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'Community Characteristics'!$H$111*0.64</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1027</v>
      </c>
      <c r="K92" s="42"/>
      <c r="N92" s="12" t="s">
        <v>1043</v>
      </c>
    </row>
    <row r="93" spans="2:14" x14ac:dyDescent="0.3">
      <c r="B93" s="39"/>
      <c r="C93" s="41" t="s">
        <v>280</v>
      </c>
      <c r="D93" s="41"/>
      <c r="E93" s="41"/>
      <c r="F93" s="41"/>
      <c r="G93" s="41"/>
      <c r="H93" s="41"/>
      <c r="I93" s="41"/>
      <c r="J93" s="259">
        <f>IF(J92=$B$973,$A$973,IF(J92=$B$974,$A$974,IF(J92=$B$975,$A$975,IF(J92=$B$976,$A$976,IF(J92=$B$977,$A$977,"Not Calculated")))))</f>
        <v>1</v>
      </c>
      <c r="K93" s="42"/>
      <c r="N93" s="12" t="s">
        <v>1044</v>
      </c>
    </row>
    <row r="94" spans="2:14" x14ac:dyDescent="0.3">
      <c r="B94" s="39"/>
      <c r="C94" s="41" t="s">
        <v>1038</v>
      </c>
      <c r="D94" s="41"/>
      <c r="E94" s="41"/>
      <c r="F94" s="41"/>
      <c r="G94" s="41"/>
      <c r="H94" s="41"/>
      <c r="I94" s="41"/>
      <c r="J94" s="177"/>
      <c r="K94" s="42"/>
      <c r="N94" s="12" t="s">
        <v>1045</v>
      </c>
    </row>
    <row r="95" spans="2:14" s="180" customFormat="1" ht="30" customHeight="1" x14ac:dyDescent="0.3">
      <c r="B95" s="178"/>
      <c r="C95" s="359" t="s">
        <v>1182</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1</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f>'Community Characteristics'!$H$111*0.23</f>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1027</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1</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1183</v>
      </c>
      <c r="D114" s="344"/>
      <c r="E114" s="344"/>
      <c r="F114" s="344"/>
      <c r="G114" s="344"/>
      <c r="H114" s="344"/>
      <c r="I114" s="344"/>
      <c r="J114" s="345"/>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1</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248</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3</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45" customHeight="1" x14ac:dyDescent="0.3">
      <c r="B129" s="178"/>
      <c r="C129" s="359" t="s">
        <v>1184</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1.4166666666666667</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'Community Characteristics'!$H$111*0.25</f>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45" customHeight="1" x14ac:dyDescent="0.3">
      <c r="B196" s="39"/>
      <c r="C196" s="343" t="s">
        <v>1185</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1027</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1</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('Community Characteristics'!$H$111*500)*40/250</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60" customHeight="1" x14ac:dyDescent="0.3">
      <c r="B257" s="39"/>
      <c r="C257" s="343" t="s">
        <v>1186</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1018</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3</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1.5</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ht="15" customHeight="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1.4375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9">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7</v>
      </c>
      <c r="K478" s="42"/>
    </row>
    <row r="479" spans="2:11" x14ac:dyDescent="0.3">
      <c r="B479" s="39"/>
      <c r="C479" s="41" t="s">
        <v>280</v>
      </c>
      <c r="D479" s="41"/>
      <c r="E479" s="41"/>
      <c r="F479" s="41"/>
      <c r="G479" s="41"/>
      <c r="H479" s="41"/>
      <c r="I479" s="41"/>
      <c r="J479" s="259">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1187</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5</v>
      </c>
      <c r="K492" s="42"/>
    </row>
    <row r="493" spans="2:11" x14ac:dyDescent="0.3">
      <c r="B493" s="39"/>
      <c r="C493" s="41" t="s">
        <v>279</v>
      </c>
      <c r="D493" s="41"/>
      <c r="E493" s="41"/>
      <c r="F493" s="41"/>
      <c r="G493" s="41"/>
      <c r="H493" s="41"/>
      <c r="I493" s="41"/>
      <c r="J493" s="259">
        <f>IF(J492&lt;=0,0,IF(J492&lt;=1,1,IF(J492&lt;=5,2,IF(J492&lt;=10,3,4))))</f>
        <v>2</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9">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45" customHeight="1" x14ac:dyDescent="0.3">
      <c r="B502" s="39"/>
      <c r="C502" s="343" t="s">
        <v>1188</v>
      </c>
      <c r="D502" s="344"/>
      <c r="E502" s="344"/>
      <c r="F502" s="344"/>
      <c r="G502" s="344"/>
      <c r="H502" s="344"/>
      <c r="I502" s="344"/>
      <c r="J502" s="345"/>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2</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9">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1017</v>
      </c>
      <c r="K532" s="42"/>
    </row>
    <row r="533" spans="2:11" x14ac:dyDescent="0.3">
      <c r="B533" s="39"/>
      <c r="C533" s="41" t="s">
        <v>280</v>
      </c>
      <c r="D533" s="41"/>
      <c r="E533" s="41"/>
      <c r="F533" s="41"/>
      <c r="G533" s="41"/>
      <c r="H533" s="41"/>
      <c r="I533" s="41"/>
      <c r="J533" s="259">
        <f>IF(J532=$B$973,$A$973,IF(J532=$B$974,$A$974,IF(J532=$B$975,$A$975,IF(J532=$B$976,$A$976,IF(J532=$B$977,$A$977,"Not Calculated")))))</f>
        <v>2</v>
      </c>
      <c r="K533" s="42"/>
    </row>
    <row r="534" spans="2:11" x14ac:dyDescent="0.3">
      <c r="B534" s="39"/>
      <c r="C534" s="41" t="s">
        <v>1038</v>
      </c>
      <c r="D534" s="41"/>
      <c r="E534" s="41"/>
      <c r="F534" s="41"/>
      <c r="G534" s="41"/>
      <c r="H534" s="41"/>
      <c r="I534" s="41"/>
      <c r="J534" s="41"/>
      <c r="K534" s="42"/>
    </row>
    <row r="535" spans="2:11" ht="30" customHeight="1" x14ac:dyDescent="0.3">
      <c r="B535" s="39"/>
      <c r="C535" s="343" t="s">
        <v>1189</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1.5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0.7857142857142857</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f>J546*0.1</f>
        <v>0</v>
      </c>
      <c r="K547" s="42"/>
    </row>
    <row r="548" spans="2:14" x14ac:dyDescent="0.3">
      <c r="B548" s="39"/>
      <c r="C548" s="41" t="s">
        <v>467</v>
      </c>
      <c r="D548" s="41"/>
      <c r="E548" s="41"/>
      <c r="F548" s="41"/>
      <c r="G548" s="41"/>
      <c r="H548" s="41"/>
      <c r="I548" s="41"/>
      <c r="J548" s="275">
        <f>J546*0.1</f>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1017</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2</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525</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J64</f>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30" customHeight="1" x14ac:dyDescent="0.3">
      <c r="B583" s="39"/>
      <c r="C583" s="343" t="s">
        <v>526</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12</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527</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198</v>
      </c>
      <c r="H719" s="353"/>
      <c r="I719" s="60"/>
      <c r="J719" s="271">
        <f t="shared" si="0"/>
        <v>1</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198</v>
      </c>
      <c r="H732" s="353"/>
      <c r="I732" s="60"/>
      <c r="J732" s="271">
        <f>IF(G732=$B$994,$A$994,IF(G732=$B$995,$A$995,"Not Calculated"))</f>
        <v>1</v>
      </c>
      <c r="K732" s="62"/>
    </row>
    <row r="733" spans="2:11" x14ac:dyDescent="0.3">
      <c r="B733" s="58"/>
      <c r="C733" s="198" t="s">
        <v>32</v>
      </c>
      <c r="D733" s="60"/>
      <c r="E733" s="60"/>
      <c r="F733" s="60"/>
      <c r="G733" s="352" t="s">
        <v>198</v>
      </c>
      <c r="H733" s="353"/>
      <c r="I733" s="60"/>
      <c r="J733" s="271">
        <f t="shared" ref="J733:J740" si="1">IF(G733=$B$994,$A$994,IF(G733=$B$995,$A$995,"Not Calculated"))</f>
        <v>1</v>
      </c>
      <c r="K733" s="62"/>
    </row>
    <row r="734" spans="2:11" ht="15" customHeight="1" x14ac:dyDescent="0.3">
      <c r="B734" s="58"/>
      <c r="C734" s="198" t="s">
        <v>33</v>
      </c>
      <c r="D734" s="60"/>
      <c r="E734" s="60"/>
      <c r="F734" s="60"/>
      <c r="G734" s="352" t="s">
        <v>198</v>
      </c>
      <c r="H734" s="353"/>
      <c r="I734" s="60"/>
      <c r="J734" s="271">
        <f t="shared" si="1"/>
        <v>1</v>
      </c>
      <c r="K734" s="62"/>
    </row>
    <row r="735" spans="2:11" x14ac:dyDescent="0.3">
      <c r="B735" s="58"/>
      <c r="C735" s="198" t="s">
        <v>34</v>
      </c>
      <c r="D735" s="60"/>
      <c r="E735" s="60"/>
      <c r="F735" s="60"/>
      <c r="G735" s="352" t="s">
        <v>198</v>
      </c>
      <c r="H735" s="353"/>
      <c r="I735" s="60"/>
      <c r="J735" s="271">
        <f t="shared" si="1"/>
        <v>1</v>
      </c>
      <c r="K735" s="62"/>
    </row>
    <row r="736" spans="2:11" x14ac:dyDescent="0.3">
      <c r="B736" s="58"/>
      <c r="C736" s="198" t="s">
        <v>35</v>
      </c>
      <c r="D736" s="60"/>
      <c r="E736" s="60"/>
      <c r="F736" s="60"/>
      <c r="G736" s="352" t="s">
        <v>198</v>
      </c>
      <c r="H736" s="353"/>
      <c r="I736" s="60"/>
      <c r="J736" s="271">
        <f t="shared" si="1"/>
        <v>1</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198</v>
      </c>
      <c r="H738" s="353"/>
      <c r="I738" s="60"/>
      <c r="J738" s="271">
        <f t="shared" si="1"/>
        <v>1</v>
      </c>
      <c r="K738" s="62"/>
    </row>
    <row r="739" spans="2:11" x14ac:dyDescent="0.3">
      <c r="B739" s="58"/>
      <c r="C739" s="198" t="s">
        <v>38</v>
      </c>
      <c r="D739" s="60"/>
      <c r="E739" s="60"/>
      <c r="F739" s="60"/>
      <c r="G739" s="352" t="s">
        <v>198</v>
      </c>
      <c r="H739" s="353"/>
      <c r="I739" s="60"/>
      <c r="J739" s="271">
        <f t="shared" si="1"/>
        <v>1</v>
      </c>
      <c r="K739" s="62"/>
    </row>
    <row r="740" spans="2:11" x14ac:dyDescent="0.3">
      <c r="B740" s="58"/>
      <c r="C740" s="198" t="s">
        <v>39</v>
      </c>
      <c r="D740" s="60"/>
      <c r="E740" s="60"/>
      <c r="F740" s="60"/>
      <c r="G740" s="352" t="s">
        <v>198</v>
      </c>
      <c r="H740" s="353"/>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198</v>
      </c>
      <c r="H748" s="353"/>
      <c r="I748" s="60"/>
      <c r="J748" s="271">
        <f t="shared" ref="J748:J755" si="2">IF(G748=$B$994,$A$994,IF(G748=$B$995,$A$995,"Not Calculated"))</f>
        <v>1</v>
      </c>
      <c r="K748" s="62"/>
    </row>
    <row r="749" spans="2:11" ht="15" customHeight="1" x14ac:dyDescent="0.3">
      <c r="B749" s="58"/>
      <c r="C749" s="198" t="s">
        <v>33</v>
      </c>
      <c r="D749" s="60"/>
      <c r="E749" s="60"/>
      <c r="F749" s="60"/>
      <c r="G749" s="352" t="s">
        <v>198</v>
      </c>
      <c r="H749" s="353"/>
      <c r="I749" s="60"/>
      <c r="J749" s="271">
        <f t="shared" si="2"/>
        <v>1</v>
      </c>
      <c r="K749" s="62"/>
    </row>
    <row r="750" spans="2:11" x14ac:dyDescent="0.3">
      <c r="B750" s="58"/>
      <c r="C750" s="198" t="s">
        <v>34</v>
      </c>
      <c r="D750" s="60"/>
      <c r="E750" s="60"/>
      <c r="F750" s="60"/>
      <c r="G750" s="352" t="s">
        <v>198</v>
      </c>
      <c r="H750" s="353"/>
      <c r="I750" s="60"/>
      <c r="J750" s="271">
        <f t="shared" si="2"/>
        <v>1</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198</v>
      </c>
      <c r="H752" s="353"/>
      <c r="I752" s="60"/>
      <c r="J752" s="271">
        <f t="shared" si="2"/>
        <v>1</v>
      </c>
      <c r="K752" s="62"/>
    </row>
    <row r="753" spans="2:11" x14ac:dyDescent="0.3">
      <c r="B753" s="58"/>
      <c r="C753" s="198" t="s">
        <v>37</v>
      </c>
      <c r="D753" s="60"/>
      <c r="E753" s="60"/>
      <c r="F753" s="60"/>
      <c r="G753" s="352" t="s">
        <v>198</v>
      </c>
      <c r="H753" s="353"/>
      <c r="I753" s="60"/>
      <c r="J753" s="271">
        <f t="shared" si="2"/>
        <v>1</v>
      </c>
      <c r="K753" s="62"/>
    </row>
    <row r="754" spans="2:11" x14ac:dyDescent="0.3">
      <c r="B754" s="58"/>
      <c r="C754" s="198" t="s">
        <v>38</v>
      </c>
      <c r="D754" s="60"/>
      <c r="E754" s="60"/>
      <c r="F754" s="60"/>
      <c r="G754" s="352" t="s">
        <v>198</v>
      </c>
      <c r="H754" s="353"/>
      <c r="I754" s="60"/>
      <c r="J754" s="271">
        <f t="shared" si="2"/>
        <v>1</v>
      </c>
      <c r="K754" s="62"/>
    </row>
    <row r="755" spans="2:11" x14ac:dyDescent="0.3">
      <c r="B755" s="58"/>
      <c r="C755" s="198" t="s">
        <v>39</v>
      </c>
      <c r="D755" s="60"/>
      <c r="E755" s="60"/>
      <c r="F755" s="60"/>
      <c r="G755" s="352" t="s">
        <v>198</v>
      </c>
      <c r="H755" s="353"/>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ht="15" customHeight="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4</v>
      </c>
      <c r="K783" s="62"/>
    </row>
    <row r="784" spans="2:11" x14ac:dyDescent="0.3">
      <c r="B784" s="58"/>
      <c r="C784" s="60"/>
      <c r="D784" s="198" t="s">
        <v>392</v>
      </c>
      <c r="E784" s="60"/>
      <c r="F784" s="60"/>
      <c r="G784" s="60"/>
      <c r="H784" s="60"/>
      <c r="I784" s="60"/>
      <c r="J784" s="61">
        <f>AVERAGE(J782,J783)</f>
        <v>2</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1.7222222222222223</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254</v>
      </c>
      <c r="H842" s="351"/>
      <c r="I842" s="86"/>
      <c r="J842" s="84">
        <f>IF(G842=$B$998,$A$998,IF(G842=$B$999,$A$999,IF(G842=$B$1000,$A$1000,IF(G842=$B$1001,$A$1001,IF(G842=$B$1002,$A$1002,"Not Calculated")))))</f>
        <v>2</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256</v>
      </c>
      <c r="H858" s="351"/>
      <c r="I858" s="86"/>
      <c r="J858" s="84">
        <f>IF(G858=$B$998,$A$998,IF(G858=$B$999,$A$999,IF(G858=$B$1000,$A$1000,IF(G858=$B$1001,$A$1001,IF(G858=$B$1002,$A$1002,"Not Calculated")))))</f>
        <v>1</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256</v>
      </c>
      <c r="H878" s="351"/>
      <c r="I878" s="86"/>
      <c r="J878" s="84">
        <f>IF(G878=$B$998,$A$998,IF(G878=$B$999,$A$999,IF(G878=$B$1000,$A$1000,IF(G878=$B$1001,$A$1001,IF(G878=$B$1002,$A$1002,"Not Calculated")))))</f>
        <v>1</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257</v>
      </c>
      <c r="H886" s="351"/>
      <c r="I886" s="86"/>
      <c r="J886" s="84">
        <f>IF(G886=$B$998,$A$998,IF(G886=$B$999,$A$999,IF(G886=$B$1000,$A$1000,IF(G886=$B$1001,$A$1001,IF(G886=$B$1002,$A$1002,"Not Calculated")))))</f>
        <v>3</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256</v>
      </c>
      <c r="H890" s="351"/>
      <c r="I890" s="86"/>
      <c r="J890" s="84">
        <f>IF(G890=$B$998,$A$998,IF(G890=$B$999,$A$999,IF(G890=$B$1000,$A$1000,IF(G890=$B$1001,$A$1001,IF(G890=$B$1002,$A$1002,"Not Calculated")))))</f>
        <v>1</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254</v>
      </c>
      <c r="H912" s="351"/>
      <c r="I912" s="86"/>
      <c r="J912" s="84">
        <f>IF(G912=$B$998,$A$998,IF(G912=$B$999,$A$999,IF(G912=$B$1000,$A$1000,IF(G912=$B$1001,$A$1001,IF(G912=$B$1002,$A$1002,"Not Calculated")))))</f>
        <v>2</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257</v>
      </c>
      <c r="H928" s="351"/>
      <c r="I928" s="86"/>
      <c r="J928" s="84">
        <f>IF(G928=$B$998,$A$998,IF(G928=$B$999,$A$999,IF(G928=$B$1000,$A$1000,IF(G928=$B$1001,$A$1001,IF(G928=$B$1002,$A$1002,"Not Calculated")))))</f>
        <v>3</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256</v>
      </c>
      <c r="H932" s="351"/>
      <c r="I932" s="86"/>
      <c r="J932" s="84">
        <f>IF(G932=$B$998,$A$998,IF(G932=$B$999,$A$999,IF(G932=$B$1000,$A$1000,IF(G932=$B$1001,$A$1001,IF(G932=$B$1002,$A$1002,"Not Calculated")))))</f>
        <v>1</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98" t="s">
        <v>1191</v>
      </c>
      <c r="C1004" s="399"/>
      <c r="D1004" s="399"/>
      <c r="E1004" s="399"/>
      <c r="F1004" s="399"/>
      <c r="G1004" s="399"/>
      <c r="H1004" s="399"/>
      <c r="I1004" s="399"/>
      <c r="J1004" s="399"/>
      <c r="K1004" s="400"/>
    </row>
    <row r="1005" spans="1:11" ht="15" customHeight="1" x14ac:dyDescent="0.3">
      <c r="B1005" s="401"/>
      <c r="C1005" s="402"/>
      <c r="D1005" s="402"/>
      <c r="E1005" s="402"/>
      <c r="F1005" s="402"/>
      <c r="G1005" s="402"/>
      <c r="H1005" s="402"/>
      <c r="I1005" s="402"/>
      <c r="J1005" s="402"/>
      <c r="K1005" s="403"/>
    </row>
    <row r="1006" spans="1:11" ht="15" customHeight="1" x14ac:dyDescent="0.3">
      <c r="B1006" s="401" t="s">
        <v>810</v>
      </c>
      <c r="C1006" s="402"/>
      <c r="D1006" s="402"/>
      <c r="E1006" s="402"/>
      <c r="F1006" s="402"/>
      <c r="G1006" s="402"/>
      <c r="H1006" s="402"/>
      <c r="I1006" s="402"/>
      <c r="J1006" s="402"/>
      <c r="K1006" s="403"/>
    </row>
    <row r="1007" spans="1:11" ht="15" customHeight="1" x14ac:dyDescent="0.3">
      <c r="B1007" s="401"/>
      <c r="C1007" s="402"/>
      <c r="D1007" s="402"/>
      <c r="E1007" s="402"/>
      <c r="F1007" s="402"/>
      <c r="G1007" s="402"/>
      <c r="H1007" s="402"/>
      <c r="I1007" s="402"/>
      <c r="J1007" s="402"/>
      <c r="K1007" s="403"/>
    </row>
    <row r="1008" spans="1:11" ht="30" customHeight="1" x14ac:dyDescent="0.3">
      <c r="B1008" s="401" t="s">
        <v>807</v>
      </c>
      <c r="C1008" s="402"/>
      <c r="D1008" s="402"/>
      <c r="E1008" s="402"/>
      <c r="F1008" s="402"/>
      <c r="G1008" s="402"/>
      <c r="H1008" s="402"/>
      <c r="I1008" s="402"/>
      <c r="J1008" s="402"/>
      <c r="K1008" s="403"/>
    </row>
    <row r="1009" spans="2:11" ht="15" customHeight="1" x14ac:dyDescent="0.3">
      <c r="B1009" s="401"/>
      <c r="C1009" s="402"/>
      <c r="D1009" s="402"/>
      <c r="E1009" s="402"/>
      <c r="F1009" s="402"/>
      <c r="G1009" s="402"/>
      <c r="H1009" s="402"/>
      <c r="I1009" s="402"/>
      <c r="J1009" s="402"/>
      <c r="K1009" s="403"/>
    </row>
    <row r="1010" spans="2:11" ht="30" customHeight="1" x14ac:dyDescent="0.3">
      <c r="B1010" s="401" t="s">
        <v>1192</v>
      </c>
      <c r="C1010" s="402"/>
      <c r="D1010" s="402"/>
      <c r="E1010" s="402"/>
      <c r="F1010" s="402"/>
      <c r="G1010" s="402"/>
      <c r="H1010" s="402"/>
      <c r="I1010" s="402"/>
      <c r="J1010" s="402"/>
      <c r="K1010" s="403"/>
    </row>
    <row r="1011" spans="2:11" ht="15" customHeight="1" x14ac:dyDescent="0.3">
      <c r="B1011" s="401"/>
      <c r="C1011" s="402"/>
      <c r="D1011" s="402"/>
      <c r="E1011" s="402"/>
      <c r="F1011" s="402"/>
      <c r="G1011" s="402"/>
      <c r="H1011" s="402"/>
      <c r="I1011" s="402"/>
      <c r="J1011" s="402"/>
      <c r="K1011" s="403"/>
    </row>
    <row r="1012" spans="2:11" ht="30" customHeight="1" x14ac:dyDescent="0.3">
      <c r="B1012" s="401" t="s">
        <v>1193</v>
      </c>
      <c r="C1012" s="402"/>
      <c r="D1012" s="402"/>
      <c r="E1012" s="402"/>
      <c r="F1012" s="402"/>
      <c r="G1012" s="402"/>
      <c r="H1012" s="402"/>
      <c r="I1012" s="402"/>
      <c r="J1012" s="402"/>
      <c r="K1012" s="403"/>
    </row>
    <row r="1013" spans="2:11" ht="15" customHeight="1" x14ac:dyDescent="0.3">
      <c r="B1013" s="401"/>
      <c r="C1013" s="402"/>
      <c r="D1013" s="402"/>
      <c r="E1013" s="402"/>
      <c r="F1013" s="402"/>
      <c r="G1013" s="402"/>
      <c r="H1013" s="402"/>
      <c r="I1013" s="402"/>
      <c r="J1013" s="402"/>
      <c r="K1013" s="403"/>
    </row>
    <row r="1014" spans="2:11" ht="45" customHeight="1" x14ac:dyDescent="0.3">
      <c r="B1014" s="401" t="s">
        <v>1194</v>
      </c>
      <c r="C1014" s="402"/>
      <c r="D1014" s="402"/>
      <c r="E1014" s="402"/>
      <c r="F1014" s="402"/>
      <c r="G1014" s="402"/>
      <c r="H1014" s="402"/>
      <c r="I1014" s="402"/>
      <c r="J1014" s="402"/>
      <c r="K1014" s="403"/>
    </row>
    <row r="1015" spans="2:11" ht="15" customHeight="1" x14ac:dyDescent="0.3">
      <c r="B1015" s="401"/>
      <c r="C1015" s="402"/>
      <c r="D1015" s="402"/>
      <c r="E1015" s="402"/>
      <c r="F1015" s="402"/>
      <c r="G1015" s="402"/>
      <c r="H1015" s="402"/>
      <c r="I1015" s="402"/>
      <c r="J1015" s="402"/>
      <c r="K1015" s="403"/>
    </row>
    <row r="1016" spans="2:11" ht="29.25" customHeight="1" x14ac:dyDescent="0.3">
      <c r="B1016" s="401" t="s">
        <v>1195</v>
      </c>
      <c r="C1016" s="402"/>
      <c r="D1016" s="402"/>
      <c r="E1016" s="402"/>
      <c r="F1016" s="402"/>
      <c r="G1016" s="402"/>
      <c r="H1016" s="402"/>
      <c r="I1016" s="402"/>
      <c r="J1016" s="402"/>
      <c r="K1016" s="403"/>
    </row>
    <row r="1017" spans="2:11" ht="15" customHeight="1" x14ac:dyDescent="0.3">
      <c r="B1017" s="401"/>
      <c r="C1017" s="402"/>
      <c r="D1017" s="402"/>
      <c r="E1017" s="402"/>
      <c r="F1017" s="402"/>
      <c r="G1017" s="402"/>
      <c r="H1017" s="402"/>
      <c r="I1017" s="402"/>
      <c r="J1017" s="402"/>
      <c r="K1017" s="403"/>
    </row>
    <row r="1018" spans="2:11" ht="15" customHeight="1" x14ac:dyDescent="0.3">
      <c r="B1018" s="401" t="s">
        <v>1196</v>
      </c>
      <c r="C1018" s="402"/>
      <c r="D1018" s="402"/>
      <c r="E1018" s="402"/>
      <c r="F1018" s="402"/>
      <c r="G1018" s="402"/>
      <c r="H1018" s="402"/>
      <c r="I1018" s="402"/>
      <c r="J1018" s="402"/>
      <c r="K1018" s="403"/>
    </row>
    <row r="1019" spans="2:11" ht="15" customHeight="1" x14ac:dyDescent="0.3">
      <c r="B1019" s="401"/>
      <c r="C1019" s="402"/>
      <c r="D1019" s="402"/>
      <c r="E1019" s="402"/>
      <c r="F1019" s="402"/>
      <c r="G1019" s="402"/>
      <c r="H1019" s="402"/>
      <c r="I1019" s="402"/>
      <c r="J1019" s="402"/>
      <c r="K1019" s="403"/>
    </row>
    <row r="1020" spans="2:11" ht="15" customHeight="1" x14ac:dyDescent="0.3">
      <c r="B1020" s="401"/>
      <c r="C1020" s="402"/>
      <c r="D1020" s="402"/>
      <c r="E1020" s="402"/>
      <c r="F1020" s="402"/>
      <c r="G1020" s="402"/>
      <c r="H1020" s="402"/>
      <c r="I1020" s="402"/>
      <c r="J1020" s="402"/>
      <c r="K1020" s="403"/>
    </row>
    <row r="1021" spans="2:11" ht="15" customHeight="1" x14ac:dyDescent="0.3">
      <c r="B1021" s="401"/>
      <c r="C1021" s="402"/>
      <c r="D1021" s="402"/>
      <c r="E1021" s="402"/>
      <c r="F1021" s="402"/>
      <c r="G1021" s="402"/>
      <c r="H1021" s="402"/>
      <c r="I1021" s="402"/>
      <c r="J1021" s="402"/>
      <c r="K1021" s="403"/>
    </row>
    <row r="1022" spans="2:11" ht="15" customHeight="1" x14ac:dyDescent="0.3">
      <c r="B1022" s="401"/>
      <c r="C1022" s="402"/>
      <c r="D1022" s="402"/>
      <c r="E1022" s="402"/>
      <c r="F1022" s="402"/>
      <c r="G1022" s="402"/>
      <c r="H1022" s="402"/>
      <c r="I1022" s="402"/>
      <c r="J1022" s="402"/>
      <c r="K1022" s="403"/>
    </row>
    <row r="1023" spans="2:11" ht="15" customHeight="1" x14ac:dyDescent="0.3">
      <c r="B1023" s="401"/>
      <c r="C1023" s="402"/>
      <c r="D1023" s="402"/>
      <c r="E1023" s="402"/>
      <c r="F1023" s="402"/>
      <c r="G1023" s="402"/>
      <c r="H1023" s="402"/>
      <c r="I1023" s="402"/>
      <c r="J1023" s="402"/>
      <c r="K1023" s="403"/>
    </row>
    <row r="1024" spans="2:11" ht="15" customHeight="1" x14ac:dyDescent="0.3">
      <c r="B1024" s="401"/>
      <c r="C1024" s="402"/>
      <c r="D1024" s="402"/>
      <c r="E1024" s="402"/>
      <c r="F1024" s="402"/>
      <c r="G1024" s="402"/>
      <c r="H1024" s="402"/>
      <c r="I1024" s="402"/>
      <c r="J1024" s="402"/>
      <c r="K1024" s="403"/>
    </row>
    <row r="1025" spans="2:11" ht="15" customHeight="1" x14ac:dyDescent="0.3">
      <c r="B1025" s="401"/>
      <c r="C1025" s="402"/>
      <c r="D1025" s="402"/>
      <c r="E1025" s="402"/>
      <c r="F1025" s="402"/>
      <c r="G1025" s="402"/>
      <c r="H1025" s="402"/>
      <c r="I1025" s="402"/>
      <c r="J1025" s="402"/>
      <c r="K1025" s="403"/>
    </row>
    <row r="1026" spans="2:11" ht="15" customHeight="1" x14ac:dyDescent="0.3">
      <c r="B1026" s="401"/>
      <c r="C1026" s="402"/>
      <c r="D1026" s="402"/>
      <c r="E1026" s="402"/>
      <c r="F1026" s="402"/>
      <c r="G1026" s="402"/>
      <c r="H1026" s="402"/>
      <c r="I1026" s="402"/>
      <c r="J1026" s="402"/>
      <c r="K1026" s="403"/>
    </row>
    <row r="1027" spans="2:11" ht="15" customHeight="1" x14ac:dyDescent="0.3">
      <c r="B1027" s="401"/>
      <c r="C1027" s="402"/>
      <c r="D1027" s="402"/>
      <c r="E1027" s="402"/>
      <c r="F1027" s="402"/>
      <c r="G1027" s="402"/>
      <c r="H1027" s="402"/>
      <c r="I1027" s="402"/>
      <c r="J1027" s="402"/>
      <c r="K1027" s="403"/>
    </row>
    <row r="1028" spans="2:11" ht="15" customHeight="1" x14ac:dyDescent="0.3">
      <c r="B1028" s="401"/>
      <c r="C1028" s="402"/>
      <c r="D1028" s="402"/>
      <c r="E1028" s="402"/>
      <c r="F1028" s="402"/>
      <c r="G1028" s="402"/>
      <c r="H1028" s="402"/>
      <c r="I1028" s="402"/>
      <c r="J1028" s="402"/>
      <c r="K1028" s="403"/>
    </row>
    <row r="1029" spans="2:11" ht="15" customHeight="1" x14ac:dyDescent="0.3">
      <c r="B1029" s="404"/>
      <c r="C1029" s="405"/>
      <c r="D1029" s="405"/>
      <c r="E1029" s="405"/>
      <c r="F1029" s="405"/>
      <c r="G1029" s="405"/>
      <c r="H1029" s="405"/>
      <c r="I1029" s="405"/>
      <c r="J1029" s="405"/>
      <c r="K1029" s="406"/>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02:J402"/>
    <mergeCell ref="C416:J416"/>
    <mergeCell ref="C438:J438"/>
    <mergeCell ref="C444:I445"/>
    <mergeCell ref="C391:I392"/>
    <mergeCell ref="C257:J257"/>
    <mergeCell ref="C237:J237"/>
    <mergeCell ref="C216:J216"/>
    <mergeCell ref="C292:I293"/>
    <mergeCell ref="C311:I312"/>
    <mergeCell ref="C340:I341"/>
    <mergeCell ref="C305:J305"/>
    <mergeCell ref="C324:J324"/>
    <mergeCell ref="C330:I331"/>
    <mergeCell ref="C420:I421"/>
    <mergeCell ref="C385:J385"/>
    <mergeCell ref="D343:I344"/>
    <mergeCell ref="C347:J347"/>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9:H719"/>
    <mergeCell ref="G720:H720"/>
    <mergeCell ref="G721:H721"/>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54:H754"/>
    <mergeCell ref="G755:H755"/>
    <mergeCell ref="G752:H752"/>
    <mergeCell ref="G753:H753"/>
    <mergeCell ref="C759:J761"/>
    <mergeCell ref="G762:H762"/>
    <mergeCell ref="G763:H763"/>
    <mergeCell ref="G764:H764"/>
    <mergeCell ref="G765:H765"/>
    <mergeCell ref="G750:H750"/>
    <mergeCell ref="G751:H751"/>
    <mergeCell ref="G739:H739"/>
    <mergeCell ref="G722:H722"/>
    <mergeCell ref="G723:H723"/>
    <mergeCell ref="G916:H916"/>
    <mergeCell ref="G920:H920"/>
    <mergeCell ref="C900:J901"/>
    <mergeCell ref="G904:H904"/>
    <mergeCell ref="G908:H908"/>
    <mergeCell ref="G912:H912"/>
    <mergeCell ref="G734:H734"/>
    <mergeCell ref="G735:H735"/>
    <mergeCell ref="G724:H724"/>
    <mergeCell ref="G725:H725"/>
    <mergeCell ref="G858:H858"/>
    <mergeCell ref="G862:H862"/>
    <mergeCell ref="G866:H866"/>
    <mergeCell ref="C830:J831"/>
    <mergeCell ref="G769:H769"/>
    <mergeCell ref="G770:H770"/>
    <mergeCell ref="G767:H767"/>
    <mergeCell ref="G768:H768"/>
    <mergeCell ref="G766:H766"/>
    <mergeCell ref="F959:H960"/>
    <mergeCell ref="G736:H736"/>
    <mergeCell ref="C744:J746"/>
    <mergeCell ref="G747:H747"/>
    <mergeCell ref="G748:H748"/>
    <mergeCell ref="G749:H749"/>
    <mergeCell ref="G928:H928"/>
    <mergeCell ref="G932:H932"/>
    <mergeCell ref="G924:H924"/>
    <mergeCell ref="G740:H740"/>
    <mergeCell ref="G737:H737"/>
    <mergeCell ref="G738:H738"/>
    <mergeCell ref="G846:H846"/>
    <mergeCell ref="G850:H850"/>
    <mergeCell ref="G854:H854"/>
    <mergeCell ref="G834:H834"/>
    <mergeCell ref="G838:H838"/>
    <mergeCell ref="G842:H842"/>
    <mergeCell ref="G882:H882"/>
    <mergeCell ref="G886:H886"/>
    <mergeCell ref="G890:H890"/>
    <mergeCell ref="G870:H870"/>
    <mergeCell ref="G874:H874"/>
    <mergeCell ref="G878:H878"/>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B1022:K1022"/>
    <mergeCell ref="B1023:K1023"/>
    <mergeCell ref="B1024:K1024"/>
    <mergeCell ref="B1004:K1004"/>
    <mergeCell ref="B1005:K1005"/>
    <mergeCell ref="B1006:K1006"/>
    <mergeCell ref="B1007:K1007"/>
    <mergeCell ref="B1008:K1008"/>
    <mergeCell ref="B1009:K1009"/>
    <mergeCell ref="B1010:K1010"/>
    <mergeCell ref="B1011:K1011"/>
    <mergeCell ref="B1012:K1012"/>
  </mergeCells>
  <dataValidations count="23">
    <dataValidation type="list" allowBlank="1" showInputMessage="1" showErrorMessage="1" sqref="E15:J15" xr:uid="{00000000-0002-0000-0F00-000000000000}">
      <formula1>$C$966:$C$970</formula1>
    </dataValidation>
    <dataValidation type="list" allowBlank="1" showInputMessage="1" showErrorMessage="1" sqref="G904:H904 G932:H932 G928:H928 G924:H924 G920:H920 G916:H916 G912:H912 G908:H908 G834:H834 G890:H890 G886:H886 G882:H882 G878:H878 G874:H874 G870:H870 G866:H866 G862:H862 G858:H858 G854:H854 G850:H850 G846:H846 G842:H842 G838:H838" xr:uid="{00000000-0002-0000-0F00-000001000000}">
      <formula1>$B$998:$B$1002</formula1>
    </dataValidation>
    <dataValidation type="list" allowBlank="1" showInputMessage="1" showErrorMessage="1" sqref="G717:H725 G762:H770 G732:H740 G747:H755" xr:uid="{00000000-0002-0000-0F00-000002000000}">
      <formula1>$B$994:$B$995</formula1>
    </dataValidation>
    <dataValidation type="list" allowBlank="1" showInputMessage="1" showErrorMessage="1" sqref="J302 J362" xr:uid="{00000000-0002-0000-0F00-000003000000}">
      <formula1>$B$980:$B$984</formula1>
    </dataValidation>
    <dataValidation type="list" allowBlank="1" showInputMessage="1" showErrorMessage="1" sqref="C123:J124" xr:uid="{00000000-0002-0000-0F00-000004000000}">
      <formula1>$B$987:$B$991</formula1>
    </dataValidation>
    <dataValidation type="list" allowBlank="1" showInputMessage="1" showErrorMessage="1" sqref="J35 J213 J283 J652 J234 J54 J193 J173 J152 J126 J111 J92 J73 J254 J435 J452 J468 J499 J515 J532 J557 J580 J596 J674 J630" xr:uid="{00000000-0002-0000-0F00-000005000000}">
      <formula1>$B$973:$B$977</formula1>
    </dataValidation>
    <dataValidation type="list" allowBlank="1" showInputMessage="1" showErrorMessage="1" sqref="J33" xr:uid="{00000000-0002-0000-0F00-000006000000}">
      <formula1>$N$32:$N$37</formula1>
    </dataValidation>
    <dataValidation type="list" allowBlank="1" showInputMessage="1" showErrorMessage="1" sqref="J52" xr:uid="{00000000-0002-0000-0F00-000007000000}">
      <formula1>$N$51:$N$56</formula1>
    </dataValidation>
    <dataValidation type="list" allowBlank="1" showInputMessage="1" showErrorMessage="1" sqref="J71" xr:uid="{00000000-0002-0000-0F00-000008000000}">
      <formula1>$N$70:$N$75</formula1>
    </dataValidation>
    <dataValidation type="list" allowBlank="1" showInputMessage="1" showErrorMessage="1" sqref="J90" xr:uid="{00000000-0002-0000-0F00-000009000000}">
      <formula1>$N$89:$N$94</formula1>
    </dataValidation>
    <dataValidation type="list" allowBlank="1" showInputMessage="1" showErrorMessage="1" sqref="J109" xr:uid="{00000000-0002-0000-0F00-00000A000000}">
      <formula1>$N$108:$N$113</formula1>
    </dataValidation>
    <dataValidation type="list" allowBlank="1" showInputMessage="1" showErrorMessage="1" sqref="J150" xr:uid="{00000000-0002-0000-0F00-00000B000000}">
      <formula1>$N$149:$N$154</formula1>
    </dataValidation>
    <dataValidation type="list" allowBlank="1" showInputMessage="1" showErrorMessage="1" sqref="J171" xr:uid="{00000000-0002-0000-0F00-00000C000000}">
      <formula1>$N$170:$N$175</formula1>
    </dataValidation>
    <dataValidation type="list" allowBlank="1" showInputMessage="1" showErrorMessage="1" sqref="J191" xr:uid="{00000000-0002-0000-0F00-00000D000000}">
      <formula1>$N$190:$N$195</formula1>
    </dataValidation>
    <dataValidation type="list" allowBlank="1" showInputMessage="1" showErrorMessage="1" sqref="J211" xr:uid="{00000000-0002-0000-0F00-00000E000000}">
      <formula1>$N$210:$N$215</formula1>
    </dataValidation>
    <dataValidation type="list" allowBlank="1" showInputMessage="1" showErrorMessage="1" sqref="J232" xr:uid="{00000000-0002-0000-0F00-00000F000000}">
      <formula1>$N$231:$N$236</formula1>
    </dataValidation>
    <dataValidation type="list" allowBlank="1" showInputMessage="1" showErrorMessage="1" sqref="J252" xr:uid="{00000000-0002-0000-0F00-000010000000}">
      <formula1>$N$251:$N$256</formula1>
    </dataValidation>
    <dataValidation type="list" allowBlank="1" showInputMessage="1" showErrorMessage="1" sqref="J281" xr:uid="{00000000-0002-0000-0F00-000011000000}">
      <formula1>$N$280:$N$285</formula1>
    </dataValidation>
    <dataValidation type="list" allowBlank="1" showInputMessage="1" showErrorMessage="1" sqref="J555" xr:uid="{00000000-0002-0000-0F00-000012000000}">
      <formula1>$N$554:$N$559</formula1>
    </dataValidation>
    <dataValidation type="list" allowBlank="1" showInputMessage="1" showErrorMessage="1" sqref="J578" xr:uid="{00000000-0002-0000-0F00-000013000000}">
      <formula1>$N$577:$N$582</formula1>
    </dataValidation>
    <dataValidation type="list" allowBlank="1" showInputMessage="1" showErrorMessage="1" sqref="J628" xr:uid="{00000000-0002-0000-0F00-000014000000}">
      <formula1>$N$627:$N$632</formula1>
    </dataValidation>
    <dataValidation type="list" allowBlank="1" showInputMessage="1" showErrorMessage="1" sqref="J650" xr:uid="{00000000-0002-0000-0F00-000015000000}">
      <formula1>$N$649:$N$654</formula1>
    </dataValidation>
    <dataValidation type="list" allowBlank="1" showInputMessage="1" showErrorMessage="1" sqref="J672" xr:uid="{00000000-0002-0000-0F00-000016000000}">
      <formula1>$N$671:$N$676</formula1>
    </dataValidation>
  </dataValidations>
  <pageMargins left="0.7" right="0.7" top="0.75" bottom="0.75" header="0.3" footer="0.3"/>
  <pageSetup scale="7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402</v>
      </c>
      <c r="I3" s="30"/>
      <c r="L3" s="160"/>
      <c r="M3" s="160"/>
    </row>
    <row r="4" spans="2:13" x14ac:dyDescent="0.3">
      <c r="G4" s="99"/>
      <c r="I4" s="30"/>
      <c r="L4" s="161"/>
      <c r="M4" s="160"/>
    </row>
    <row r="5" spans="2:13" ht="90" customHeight="1" x14ac:dyDescent="0.3">
      <c r="B5" s="370" t="s">
        <v>798</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75" customHeight="1" x14ac:dyDescent="0.3">
      <c r="B10" s="343" t="s">
        <v>831</v>
      </c>
      <c r="C10" s="344"/>
      <c r="D10" s="344"/>
      <c r="E10" s="344"/>
      <c r="F10" s="344"/>
      <c r="G10" s="344"/>
      <c r="H10" s="344"/>
      <c r="I10" s="344"/>
      <c r="J10" s="344"/>
      <c r="K10" s="34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260</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1</v>
      </c>
      <c r="F17" s="166"/>
      <c r="G17" s="166"/>
      <c r="H17" s="166"/>
      <c r="I17" s="166"/>
      <c r="J17" s="166"/>
      <c r="K17" s="168"/>
    </row>
    <row r="18" spans="2:14" x14ac:dyDescent="0.3">
      <c r="B18" s="165"/>
      <c r="C18" s="166"/>
      <c r="D18" s="166"/>
      <c r="E18" s="170" t="str">
        <f>IF(E15=$C$966,$B$966,IF(E15=$C$967,$B$967,IF(E15=$C$968,$B$968,IF(E15=$C$969,$B$969,IF(E15=$C$970,$B$970,"Not Calculated")))))</f>
        <v>Remote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1015</v>
      </c>
      <c r="K35" s="42"/>
      <c r="N35" s="12" t="s">
        <v>1043</v>
      </c>
    </row>
    <row r="36" spans="2:14" x14ac:dyDescent="0.3">
      <c r="B36" s="39"/>
      <c r="C36" s="41" t="s">
        <v>280</v>
      </c>
      <c r="D36" s="41"/>
      <c r="E36" s="41"/>
      <c r="F36" s="41"/>
      <c r="G36" s="41"/>
      <c r="H36" s="41"/>
      <c r="I36" s="41"/>
      <c r="J36" s="259">
        <f>IF(J35=$B$973,$A$973,IF(J35=$B$974,$A$974,IF(J35=$B$975,$A$975,IF(J35=$B$976,$A$976,IF(J35=$B$977,$A$977,"Not Calculated")))))</f>
        <v>0</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0</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1015</v>
      </c>
      <c r="K54" s="42"/>
      <c r="N54" s="12" t="s">
        <v>1043</v>
      </c>
    </row>
    <row r="55" spans="2:14" x14ac:dyDescent="0.3">
      <c r="B55" s="39"/>
      <c r="C55" s="41" t="s">
        <v>280</v>
      </c>
      <c r="D55" s="41"/>
      <c r="E55" s="41"/>
      <c r="F55" s="41"/>
      <c r="G55" s="41"/>
      <c r="H55" s="41"/>
      <c r="I55" s="41"/>
      <c r="J55" s="259">
        <f>IF(J54=$B$973,$A$973,IF(J54=$B$974,$A$974,IF(J54=$B$975,$A$975,IF(J54=$B$976,$A$976,IF(J54=$B$977,$A$977,"Not Calculated")))))</f>
        <v>0</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0</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1015</v>
      </c>
      <c r="K73" s="42"/>
      <c r="N73" s="12" t="s">
        <v>1043</v>
      </c>
    </row>
    <row r="74" spans="2:14" x14ac:dyDescent="0.3">
      <c r="B74" s="39"/>
      <c r="C74" s="41" t="s">
        <v>280</v>
      </c>
      <c r="D74" s="41"/>
      <c r="E74" s="41"/>
      <c r="F74" s="41"/>
      <c r="G74" s="41"/>
      <c r="H74" s="41"/>
      <c r="I74" s="41"/>
      <c r="J74" s="259">
        <f>IF(J73=$B$973,$A$973,IF(J73=$B$974,$A$974,IF(J73=$B$975,$A$975,IF(J73=$B$976,$A$976,IF(J73=$B$977,$A$977,"Not Calculated")))))</f>
        <v>0</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0</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9">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266</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2</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30" customHeight="1" x14ac:dyDescent="0.3">
      <c r="B129" s="178"/>
      <c r="C129" s="359" t="s">
        <v>528</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0.5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1015</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0</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J161*0.2</f>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75" customHeight="1" x14ac:dyDescent="0.3">
      <c r="B176" s="39"/>
      <c r="C176" s="343" t="s">
        <v>529</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J182*0.2</f>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75" customHeight="1" x14ac:dyDescent="0.3">
      <c r="B196" s="39"/>
      <c r="C196" s="343" t="s">
        <v>529</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f>J202*0.2</f>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75" customHeight="1" x14ac:dyDescent="0.3">
      <c r="B216" s="39"/>
      <c r="C216" s="343" t="s">
        <v>530</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J243*0.1</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531</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1015</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0</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2" x14ac:dyDescent="0.3">
      <c r="B353" s="39"/>
      <c r="C353" s="41" t="s">
        <v>989</v>
      </c>
      <c r="D353" s="41"/>
      <c r="E353" s="41"/>
      <c r="F353" s="41"/>
      <c r="G353" s="41"/>
      <c r="H353" s="41"/>
      <c r="I353" s="41"/>
      <c r="J353" s="275">
        <f>'Community Characteristics'!H30</f>
        <v>0</v>
      </c>
      <c r="K353" s="42"/>
      <c r="L353" s="250"/>
    </row>
    <row r="354" spans="2:12" x14ac:dyDescent="0.3">
      <c r="B354" s="39"/>
      <c r="C354" s="41" t="s">
        <v>999</v>
      </c>
      <c r="D354" s="41"/>
      <c r="E354" s="41"/>
      <c r="F354" s="41"/>
      <c r="G354" s="41"/>
      <c r="H354" s="41"/>
      <c r="I354" s="41"/>
      <c r="J354" s="266">
        <f>'Baseline Health'!$G$59</f>
        <v>0</v>
      </c>
      <c r="K354" s="42"/>
      <c r="L354" s="250"/>
    </row>
    <row r="355" spans="2:12" x14ac:dyDescent="0.3">
      <c r="B355" s="39"/>
      <c r="C355" s="41" t="s">
        <v>990</v>
      </c>
      <c r="D355" s="41"/>
      <c r="E355" s="41"/>
      <c r="F355" s="41"/>
      <c r="G355" s="41"/>
      <c r="H355" s="41"/>
      <c r="I355" s="41"/>
      <c r="J355" s="255">
        <f>IF(J353=0,0,IF('Baseline Health'!G$59=0,"Not Calculated",100*J353/'Baseline Health'!$G$59))</f>
        <v>0</v>
      </c>
      <c r="K355" s="42"/>
    </row>
    <row r="356" spans="2:12" x14ac:dyDescent="0.3">
      <c r="B356" s="39"/>
      <c r="C356" s="41" t="s">
        <v>279</v>
      </c>
      <c r="D356" s="41"/>
      <c r="E356" s="41"/>
      <c r="F356" s="41"/>
      <c r="G356" s="41"/>
      <c r="H356" s="41"/>
      <c r="I356" s="41"/>
      <c r="J356" s="256">
        <f>IF(J355&lt;=0,0,IF(J355&lt;=5,1,IF(J355&lt;=10,2,IF(J355&lt;=25,3,4))))</f>
        <v>0</v>
      </c>
      <c r="K356" s="42"/>
    </row>
    <row r="357" spans="2:12" ht="9.75" customHeight="1" x14ac:dyDescent="0.3">
      <c r="B357" s="39"/>
      <c r="C357" s="292" t="str">
        <f>"0:"</f>
        <v>0:</v>
      </c>
      <c r="D357" s="291" t="s">
        <v>1081</v>
      </c>
      <c r="E357" s="41"/>
      <c r="F357" s="41"/>
      <c r="G357" s="41"/>
      <c r="H357" s="41"/>
      <c r="I357" s="41"/>
      <c r="J357" s="255"/>
      <c r="K357" s="42"/>
    </row>
    <row r="358" spans="2:12" ht="9.75" customHeight="1" x14ac:dyDescent="0.3">
      <c r="B358" s="39"/>
      <c r="C358" s="293" t="str">
        <f>"1:"</f>
        <v>1:</v>
      </c>
      <c r="D358" s="291" t="s">
        <v>1082</v>
      </c>
      <c r="E358" s="41"/>
      <c r="F358" s="41"/>
      <c r="G358" s="41"/>
      <c r="H358" s="41"/>
      <c r="I358" s="41"/>
      <c r="J358" s="255"/>
      <c r="K358" s="42"/>
    </row>
    <row r="359" spans="2:12" ht="9.75" customHeight="1" x14ac:dyDescent="0.3">
      <c r="B359" s="39"/>
      <c r="C359" s="293" t="str">
        <f>"2:"</f>
        <v>2:</v>
      </c>
      <c r="D359" s="291" t="s">
        <v>1084</v>
      </c>
      <c r="E359" s="41"/>
      <c r="F359" s="41"/>
      <c r="G359" s="41"/>
      <c r="H359" s="41"/>
      <c r="I359" s="41"/>
      <c r="J359" s="255"/>
      <c r="K359" s="42"/>
    </row>
    <row r="360" spans="2:12" ht="9.75" customHeight="1" x14ac:dyDescent="0.3">
      <c r="B360" s="39"/>
      <c r="C360" s="293" t="str">
        <f>"3:"</f>
        <v>3:</v>
      </c>
      <c r="D360" s="291" t="s">
        <v>1086</v>
      </c>
      <c r="E360" s="41"/>
      <c r="F360" s="41"/>
      <c r="G360" s="41"/>
      <c r="H360" s="41"/>
      <c r="I360" s="41"/>
      <c r="J360" s="255"/>
      <c r="K360" s="42"/>
    </row>
    <row r="361" spans="2:12" ht="9.75" customHeight="1" x14ac:dyDescent="0.3">
      <c r="B361" s="39"/>
      <c r="C361" s="293" t="str">
        <f>"4:"</f>
        <v>4:</v>
      </c>
      <c r="D361" s="291" t="s">
        <v>1087</v>
      </c>
      <c r="E361" s="41"/>
      <c r="F361" s="41"/>
      <c r="G361" s="41"/>
      <c r="H361" s="41"/>
      <c r="I361" s="41"/>
      <c r="J361" s="41"/>
      <c r="K361" s="42"/>
    </row>
    <row r="362" spans="2:12" x14ac:dyDescent="0.3">
      <c r="B362" s="39"/>
      <c r="C362" s="41" t="s">
        <v>276</v>
      </c>
      <c r="D362" s="41"/>
      <c r="E362" s="41"/>
      <c r="F362" s="41"/>
      <c r="G362" s="41"/>
      <c r="H362" s="41"/>
      <c r="I362" s="41"/>
      <c r="J362" s="277" t="s">
        <v>1023</v>
      </c>
      <c r="K362" s="42"/>
    </row>
    <row r="363" spans="2:12" x14ac:dyDescent="0.3">
      <c r="B363" s="39"/>
      <c r="C363" s="41" t="s">
        <v>280</v>
      </c>
      <c r="D363" s="41"/>
      <c r="E363" s="41"/>
      <c r="F363" s="41"/>
      <c r="G363" s="41"/>
      <c r="H363" s="41"/>
      <c r="I363" s="41"/>
      <c r="J363" s="256">
        <f>IF(J362=$B$980,$A$980,IF(J362=$B$981,$A$981,IF(J362=$B$982,$A$982,IF(J362=$B$983,$A$983,IF(J362=$B$984,$A$984,"Not Calculated")))))</f>
        <v>4</v>
      </c>
      <c r="K363" s="42"/>
    </row>
    <row r="364" spans="2:12" x14ac:dyDescent="0.3">
      <c r="B364" s="39"/>
      <c r="C364" s="41" t="s">
        <v>1038</v>
      </c>
      <c r="D364" s="41"/>
      <c r="E364" s="41"/>
      <c r="F364" s="41"/>
      <c r="G364" s="41"/>
      <c r="H364" s="41"/>
      <c r="I364" s="41"/>
      <c r="J364" s="41"/>
      <c r="K364" s="42"/>
    </row>
    <row r="365" spans="2:12" ht="30" customHeight="1" x14ac:dyDescent="0.3">
      <c r="B365" s="39"/>
      <c r="C365" s="343" t="s">
        <v>532</v>
      </c>
      <c r="D365" s="344"/>
      <c r="E365" s="344"/>
      <c r="F365" s="344"/>
      <c r="G365" s="344"/>
      <c r="H365" s="344"/>
      <c r="I365" s="344"/>
      <c r="J365" s="345"/>
      <c r="K365" s="42"/>
    </row>
    <row r="366" spans="2:12" x14ac:dyDescent="0.3">
      <c r="B366" s="39"/>
      <c r="C366" s="41"/>
      <c r="D366" s="41"/>
      <c r="E366" s="41"/>
      <c r="F366" s="41"/>
      <c r="G366" s="41"/>
      <c r="H366" s="41"/>
      <c r="I366" s="41"/>
      <c r="J366" s="41"/>
      <c r="K366" s="42"/>
    </row>
    <row r="367" spans="2:12" x14ac:dyDescent="0.3">
      <c r="B367" s="39"/>
      <c r="C367" s="181" t="s">
        <v>1033</v>
      </c>
      <c r="D367" s="41"/>
      <c r="E367" s="41"/>
      <c r="F367" s="41"/>
      <c r="G367" s="41"/>
      <c r="H367" s="41"/>
      <c r="I367" s="41"/>
      <c r="J367" s="256">
        <f>IF(OR(J356="Not Calculated",J363="Not Calculated")=TRUE,"Not Calculated",AVERAGE(J356,J363))</f>
        <v>2</v>
      </c>
      <c r="K367" s="42"/>
    </row>
    <row r="368" spans="2:12"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9">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9">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9">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9">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9">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5" customHeight="1" x14ac:dyDescent="0.3">
      <c r="B535" s="39"/>
      <c r="C535" s="343"/>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1015</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0</v>
      </c>
      <c r="K581" s="42"/>
      <c r="N581" s="12" t="s">
        <v>1044</v>
      </c>
    </row>
    <row r="582" spans="2:14" x14ac:dyDescent="0.3">
      <c r="B582" s="39"/>
      <c r="C582" s="41" t="s">
        <v>1038</v>
      </c>
      <c r="D582" s="41"/>
      <c r="E582" s="41"/>
      <c r="F582" s="41"/>
      <c r="G582" s="41"/>
      <c r="H582" s="41"/>
      <c r="I582" s="41"/>
      <c r="J582" s="41"/>
      <c r="K582" s="42"/>
      <c r="N582" s="12" t="s">
        <v>1045</v>
      </c>
    </row>
    <row r="583" spans="2:14" ht="15" customHeight="1" x14ac:dyDescent="0.3">
      <c r="B583" s="39"/>
      <c r="C583" s="343"/>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30" customHeight="1" x14ac:dyDescent="0.3">
      <c r="B655" s="39"/>
      <c r="C655" s="343" t="s">
        <v>533</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1015</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0</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215</v>
      </c>
      <c r="H732" s="353"/>
      <c r="I732" s="60"/>
      <c r="J732" s="271">
        <f>IF(G732=$B$994,$A$994,IF(G732=$B$995,$A$995,"Not Calculated"))</f>
        <v>0</v>
      </c>
      <c r="K732" s="62"/>
    </row>
    <row r="733" spans="2:11" x14ac:dyDescent="0.3">
      <c r="B733" s="58"/>
      <c r="C733" s="198" t="s">
        <v>32</v>
      </c>
      <c r="D733" s="60"/>
      <c r="E733" s="60"/>
      <c r="F733" s="60"/>
      <c r="G733" s="352" t="s">
        <v>215</v>
      </c>
      <c r="H733" s="353"/>
      <c r="I733" s="60"/>
      <c r="J733" s="271">
        <f t="shared" ref="J733:J740" si="1">IF(G733=$B$994,$A$994,IF(G733=$B$995,$A$995,"Not Calculated"))</f>
        <v>0</v>
      </c>
      <c r="K733" s="62"/>
    </row>
    <row r="734" spans="2:11" ht="15" customHeight="1" x14ac:dyDescent="0.3">
      <c r="B734" s="58"/>
      <c r="C734" s="198" t="s">
        <v>33</v>
      </c>
      <c r="D734" s="60"/>
      <c r="E734" s="60"/>
      <c r="F734" s="60"/>
      <c r="G734" s="352" t="s">
        <v>215</v>
      </c>
      <c r="H734" s="353"/>
      <c r="I734" s="60"/>
      <c r="J734" s="271">
        <f t="shared" si="1"/>
        <v>0</v>
      </c>
      <c r="K734" s="62"/>
    </row>
    <row r="735" spans="2:11" x14ac:dyDescent="0.3">
      <c r="B735" s="58"/>
      <c r="C735" s="198" t="s">
        <v>34</v>
      </c>
      <c r="D735" s="60"/>
      <c r="E735" s="60"/>
      <c r="F735" s="60"/>
      <c r="G735" s="352" t="s">
        <v>215</v>
      </c>
      <c r="H735" s="353"/>
      <c r="I735" s="60"/>
      <c r="J735" s="271">
        <f t="shared" si="1"/>
        <v>0</v>
      </c>
      <c r="K735" s="62"/>
    </row>
    <row r="736" spans="2:11" x14ac:dyDescent="0.3">
      <c r="B736" s="58"/>
      <c r="C736" s="198" t="s">
        <v>35</v>
      </c>
      <c r="D736" s="60"/>
      <c r="E736" s="60"/>
      <c r="F736" s="60"/>
      <c r="G736" s="352" t="s">
        <v>215</v>
      </c>
      <c r="H736" s="353"/>
      <c r="I736" s="60"/>
      <c r="J736" s="271">
        <f t="shared" si="1"/>
        <v>0</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215</v>
      </c>
      <c r="H738" s="353"/>
      <c r="I738" s="60"/>
      <c r="J738" s="271">
        <f t="shared" si="1"/>
        <v>0</v>
      </c>
      <c r="K738" s="62"/>
    </row>
    <row r="739" spans="2:11" x14ac:dyDescent="0.3">
      <c r="B739" s="58"/>
      <c r="C739" s="198" t="s">
        <v>38</v>
      </c>
      <c r="D739" s="60"/>
      <c r="E739" s="60"/>
      <c r="F739" s="60"/>
      <c r="G739" s="352" t="s">
        <v>215</v>
      </c>
      <c r="H739" s="353"/>
      <c r="I739" s="60"/>
      <c r="J739" s="271">
        <f t="shared" si="1"/>
        <v>0</v>
      </c>
      <c r="K739" s="62"/>
    </row>
    <row r="740" spans="2:11" x14ac:dyDescent="0.3">
      <c r="B740" s="58"/>
      <c r="C740" s="198" t="s">
        <v>39</v>
      </c>
      <c r="D740" s="60"/>
      <c r="E740" s="60"/>
      <c r="F740" s="60"/>
      <c r="G740" s="352" t="s">
        <v>215</v>
      </c>
      <c r="H740" s="353"/>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215</v>
      </c>
      <c r="H748" s="353"/>
      <c r="I748" s="60"/>
      <c r="J748" s="271">
        <f t="shared" ref="J748:J755" si="2">IF(G748=$B$994,$A$994,IF(G748=$B$995,$A$995,"Not Calculated"))</f>
        <v>0</v>
      </c>
      <c r="K748" s="62"/>
    </row>
    <row r="749" spans="2:11" ht="15" customHeight="1" x14ac:dyDescent="0.3">
      <c r="B749" s="58"/>
      <c r="C749" s="198" t="s">
        <v>33</v>
      </c>
      <c r="D749" s="60"/>
      <c r="E749" s="60"/>
      <c r="F749" s="60"/>
      <c r="G749" s="352" t="s">
        <v>215</v>
      </c>
      <c r="H749" s="353"/>
      <c r="I749" s="60"/>
      <c r="J749" s="271">
        <f t="shared" si="2"/>
        <v>0</v>
      </c>
      <c r="K749" s="62"/>
    </row>
    <row r="750" spans="2:11" x14ac:dyDescent="0.3">
      <c r="B750" s="58"/>
      <c r="C750" s="198" t="s">
        <v>34</v>
      </c>
      <c r="D750" s="60"/>
      <c r="E750" s="60"/>
      <c r="F750" s="60"/>
      <c r="G750" s="352" t="s">
        <v>215</v>
      </c>
      <c r="H750" s="353"/>
      <c r="I750" s="60"/>
      <c r="J750" s="271">
        <f t="shared" si="2"/>
        <v>0</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215</v>
      </c>
      <c r="H752" s="353"/>
      <c r="I752" s="60"/>
      <c r="J752" s="271">
        <f t="shared" si="2"/>
        <v>0</v>
      </c>
      <c r="K752" s="62"/>
    </row>
    <row r="753" spans="2:11" x14ac:dyDescent="0.3">
      <c r="B753" s="58"/>
      <c r="C753" s="198" t="s">
        <v>37</v>
      </c>
      <c r="D753" s="60"/>
      <c r="E753" s="60"/>
      <c r="F753" s="60"/>
      <c r="G753" s="352" t="s">
        <v>215</v>
      </c>
      <c r="H753" s="353"/>
      <c r="I753" s="60"/>
      <c r="J753" s="271">
        <f t="shared" si="2"/>
        <v>0</v>
      </c>
      <c r="K753" s="62"/>
    </row>
    <row r="754" spans="2:11" x14ac:dyDescent="0.3">
      <c r="B754" s="58"/>
      <c r="C754" s="198" t="s">
        <v>38</v>
      </c>
      <c r="D754" s="60"/>
      <c r="E754" s="60"/>
      <c r="F754" s="60"/>
      <c r="G754" s="352" t="s">
        <v>215</v>
      </c>
      <c r="H754" s="353"/>
      <c r="I754" s="60"/>
      <c r="J754" s="271">
        <f t="shared" si="2"/>
        <v>0</v>
      </c>
      <c r="K754" s="62"/>
    </row>
    <row r="755" spans="2:11" x14ac:dyDescent="0.3">
      <c r="B755" s="58"/>
      <c r="C755" s="198" t="s">
        <v>39</v>
      </c>
      <c r="D755" s="60"/>
      <c r="E755" s="60"/>
      <c r="F755" s="60"/>
      <c r="G755" s="352" t="s">
        <v>215</v>
      </c>
      <c r="H755" s="353"/>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215</v>
      </c>
      <c r="H762" s="353"/>
      <c r="I762" s="60"/>
      <c r="J762" s="271">
        <f>IF(G762=$B$994,$A$994,IF(G762=$B$995,$A$995,"Not Calculated"))</f>
        <v>0</v>
      </c>
      <c r="K762" s="62"/>
    </row>
    <row r="763" spans="2:11" x14ac:dyDescent="0.3">
      <c r="B763" s="58"/>
      <c r="C763" s="198" t="s">
        <v>32</v>
      </c>
      <c r="D763" s="60"/>
      <c r="E763" s="60"/>
      <c r="F763" s="60"/>
      <c r="G763" s="352" t="s">
        <v>215</v>
      </c>
      <c r="H763" s="353"/>
      <c r="I763" s="60"/>
      <c r="J763" s="271">
        <f t="shared" ref="J763:J770" si="3">IF(G763=$B$994,$A$994,IF(G763=$B$995,$A$995,"Not Calculated"))</f>
        <v>0</v>
      </c>
      <c r="K763" s="62"/>
    </row>
    <row r="764" spans="2:11" ht="15" customHeight="1" x14ac:dyDescent="0.3">
      <c r="B764" s="58"/>
      <c r="C764" s="198" t="s">
        <v>33</v>
      </c>
      <c r="D764" s="60"/>
      <c r="E764" s="60"/>
      <c r="F764" s="60"/>
      <c r="G764" s="352" t="s">
        <v>215</v>
      </c>
      <c r="H764" s="353"/>
      <c r="I764" s="60"/>
      <c r="J764" s="271">
        <f t="shared" si="3"/>
        <v>0</v>
      </c>
      <c r="K764" s="62"/>
    </row>
    <row r="765" spans="2:11" x14ac:dyDescent="0.3">
      <c r="B765" s="58"/>
      <c r="C765" s="198" t="s">
        <v>34</v>
      </c>
      <c r="D765" s="60"/>
      <c r="E765" s="60"/>
      <c r="F765" s="60"/>
      <c r="G765" s="352" t="s">
        <v>215</v>
      </c>
      <c r="H765" s="353"/>
      <c r="I765" s="60"/>
      <c r="J765" s="271">
        <f t="shared" si="3"/>
        <v>0</v>
      </c>
      <c r="K765" s="62"/>
    </row>
    <row r="766" spans="2:11" x14ac:dyDescent="0.3">
      <c r="B766" s="58"/>
      <c r="C766" s="198" t="s">
        <v>35</v>
      </c>
      <c r="D766" s="60"/>
      <c r="E766" s="60"/>
      <c r="F766" s="60"/>
      <c r="G766" s="352" t="s">
        <v>215</v>
      </c>
      <c r="H766" s="353"/>
      <c r="I766" s="60"/>
      <c r="J766" s="271">
        <f t="shared" si="3"/>
        <v>0</v>
      </c>
      <c r="K766" s="62"/>
    </row>
    <row r="767" spans="2:11" x14ac:dyDescent="0.3">
      <c r="B767" s="58"/>
      <c r="C767" s="198" t="s">
        <v>36</v>
      </c>
      <c r="D767" s="60"/>
      <c r="E767" s="60"/>
      <c r="F767" s="60"/>
      <c r="G767" s="352" t="s">
        <v>215</v>
      </c>
      <c r="H767" s="353"/>
      <c r="I767" s="60"/>
      <c r="J767" s="271">
        <f t="shared" si="3"/>
        <v>0</v>
      </c>
      <c r="K767" s="62"/>
    </row>
    <row r="768" spans="2:11" x14ac:dyDescent="0.3">
      <c r="B768" s="58"/>
      <c r="C768" s="198" t="s">
        <v>37</v>
      </c>
      <c r="D768" s="60"/>
      <c r="E768" s="60"/>
      <c r="F768" s="60"/>
      <c r="G768" s="352" t="s">
        <v>215</v>
      </c>
      <c r="H768" s="353"/>
      <c r="I768" s="60"/>
      <c r="J768" s="271">
        <f t="shared" si="3"/>
        <v>0</v>
      </c>
      <c r="K768" s="62"/>
    </row>
    <row r="769" spans="2:11" x14ac:dyDescent="0.3">
      <c r="B769" s="58"/>
      <c r="C769" s="198" t="s">
        <v>38</v>
      </c>
      <c r="D769" s="60"/>
      <c r="E769" s="60"/>
      <c r="F769" s="60"/>
      <c r="G769" s="352" t="s">
        <v>215</v>
      </c>
      <c r="H769" s="353"/>
      <c r="I769" s="60"/>
      <c r="J769" s="271">
        <f t="shared" si="3"/>
        <v>0</v>
      </c>
      <c r="K769" s="62"/>
    </row>
    <row r="770" spans="2:11" x14ac:dyDescent="0.3">
      <c r="B770" s="58"/>
      <c r="C770" s="198" t="s">
        <v>39</v>
      </c>
      <c r="D770" s="60"/>
      <c r="E770" s="60"/>
      <c r="F770" s="60"/>
      <c r="G770" s="352" t="s">
        <v>215</v>
      </c>
      <c r="H770" s="353"/>
      <c r="I770" s="60"/>
      <c r="J770" s="271">
        <f t="shared" si="3"/>
        <v>0</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1</v>
      </c>
      <c r="K775" s="62"/>
    </row>
    <row r="776" spans="2:11" x14ac:dyDescent="0.3">
      <c r="B776" s="58"/>
      <c r="C776" s="60"/>
      <c r="D776" s="198" t="s">
        <v>392</v>
      </c>
      <c r="E776" s="60"/>
      <c r="F776" s="60"/>
      <c r="G776" s="60"/>
      <c r="H776" s="60"/>
      <c r="I776" s="60"/>
      <c r="J776" s="61">
        <f>AVERAGE(J774,J775)</f>
        <v>0.5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1</v>
      </c>
      <c r="K779" s="62"/>
    </row>
    <row r="780" spans="2:11" x14ac:dyDescent="0.3">
      <c r="B780" s="58"/>
      <c r="C780" s="60"/>
      <c r="D780" s="198" t="s">
        <v>392</v>
      </c>
      <c r="E780" s="60"/>
      <c r="F780" s="60"/>
      <c r="G780" s="60"/>
      <c r="H780" s="60"/>
      <c r="I780" s="60"/>
      <c r="J780" s="61">
        <f>AVERAGE(J778,J779)</f>
        <v>0.5</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0</v>
      </c>
      <c r="K783" s="62"/>
    </row>
    <row r="784" spans="2:11" x14ac:dyDescent="0.3">
      <c r="B784" s="58"/>
      <c r="C784" s="60"/>
      <c r="D784" s="198" t="s">
        <v>392</v>
      </c>
      <c r="E784" s="60"/>
      <c r="F784" s="60"/>
      <c r="G784" s="60"/>
      <c r="H784" s="60"/>
      <c r="I784" s="60"/>
      <c r="J784" s="61">
        <f>AVERAGE(J782,J783)</f>
        <v>0</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1</v>
      </c>
      <c r="K787" s="62"/>
    </row>
    <row r="788" spans="2:11" x14ac:dyDescent="0.3">
      <c r="B788" s="58"/>
      <c r="C788" s="60"/>
      <c r="D788" s="198" t="s">
        <v>392</v>
      </c>
      <c r="E788" s="60"/>
      <c r="F788" s="60"/>
      <c r="G788" s="60"/>
      <c r="H788" s="60"/>
      <c r="I788" s="60"/>
      <c r="J788" s="61">
        <f>AVERAGE(J786,J787)</f>
        <v>0.5</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1</v>
      </c>
      <c r="K791" s="62"/>
    </row>
    <row r="792" spans="2:11" x14ac:dyDescent="0.3">
      <c r="B792" s="58"/>
      <c r="C792" s="60"/>
      <c r="D792" s="198" t="s">
        <v>392</v>
      </c>
      <c r="E792" s="60"/>
      <c r="F792" s="60"/>
      <c r="G792" s="60"/>
      <c r="H792" s="60"/>
      <c r="I792" s="60"/>
      <c r="J792" s="61">
        <f>AVERAGE(J790,J791)</f>
        <v>0.5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1</v>
      </c>
      <c r="K795" s="62"/>
    </row>
    <row r="796" spans="2:11" x14ac:dyDescent="0.3">
      <c r="B796" s="58"/>
      <c r="C796" s="60"/>
      <c r="D796" s="198" t="s">
        <v>392</v>
      </c>
      <c r="E796" s="60"/>
      <c r="F796" s="60"/>
      <c r="G796" s="60"/>
      <c r="H796" s="60"/>
      <c r="I796" s="60"/>
      <c r="J796" s="61">
        <f>AVERAGE(J794,J795)</f>
        <v>0.5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0</v>
      </c>
      <c r="K799" s="62"/>
    </row>
    <row r="800" spans="2:11" x14ac:dyDescent="0.3">
      <c r="B800" s="58"/>
      <c r="C800" s="60"/>
      <c r="D800" s="198" t="s">
        <v>392</v>
      </c>
      <c r="E800" s="60"/>
      <c r="F800" s="60"/>
      <c r="G800" s="60"/>
      <c r="H800" s="60"/>
      <c r="I800" s="60"/>
      <c r="J800" s="61">
        <f>AVERAGE(J798,J799)</f>
        <v>0</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1</v>
      </c>
      <c r="K803" s="62"/>
    </row>
    <row r="804" spans="2:11" x14ac:dyDescent="0.3">
      <c r="B804" s="58"/>
      <c r="C804" s="60"/>
      <c r="D804" s="198" t="s">
        <v>392</v>
      </c>
      <c r="E804" s="60"/>
      <c r="F804" s="60"/>
      <c r="G804" s="60"/>
      <c r="H804" s="60"/>
      <c r="I804" s="60"/>
      <c r="J804" s="61">
        <f>AVERAGE(J802,J803)</f>
        <v>0.5</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0</v>
      </c>
      <c r="K807" s="62"/>
    </row>
    <row r="808" spans="2:11" x14ac:dyDescent="0.3">
      <c r="B808" s="58"/>
      <c r="C808" s="60"/>
      <c r="D808" s="198" t="s">
        <v>392</v>
      </c>
      <c r="E808" s="60"/>
      <c r="F808" s="60"/>
      <c r="G808" s="60"/>
      <c r="H808" s="60"/>
      <c r="I808" s="60"/>
      <c r="J808" s="61">
        <f>AVERAGE(J806,J807)</f>
        <v>0</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0.33333333333333331</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257</v>
      </c>
      <c r="H842" s="351"/>
      <c r="I842" s="86"/>
      <c r="J842" s="84">
        <f>IF(G842=$B$998,$A$998,IF(G842=$B$999,$A$999,IF(G842=$B$1000,$A$1000,IF(G842=$B$1001,$A$1001,IF(G842=$B$1002,$A$1002,"Not Calculated")))))</f>
        <v>3</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255</v>
      </c>
      <c r="H850" s="351"/>
      <c r="I850" s="86"/>
      <c r="J850" s="84">
        <f>IF(G850=$B$998,$A$998,IF(G850=$B$999,$A$999,IF(G850=$B$1000,$A$1000,IF(G850=$B$1001,$A$1001,IF(G850=$B$1002,$A$1002,"Not Calculated")))))</f>
        <v>0</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255</v>
      </c>
      <c r="H866" s="351"/>
      <c r="I866" s="86"/>
      <c r="J866" s="84">
        <f>IF(G866=$B$998,$A$998,IF(G866=$B$999,$A$999,IF(G866=$B$1000,$A$1000,IF(G866=$B$1001,$A$1001,IF(G866=$B$1002,$A$1002,"Not Calculated")))))</f>
        <v>0</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255</v>
      </c>
      <c r="H870" s="351"/>
      <c r="I870" s="86"/>
      <c r="J870" s="84">
        <f>IF(G870=$B$998,$A$998,IF(G870=$B$999,$A$999,IF(G870=$B$1000,$A$1000,IF(G870=$B$1001,$A$1001,IF(G870=$B$1002,$A$1002,"Not Calculated")))))</f>
        <v>0</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257</v>
      </c>
      <c r="H882" s="351"/>
      <c r="I882" s="86"/>
      <c r="J882" s="84">
        <f>IF(G882=$B$998,$A$998,IF(G882=$B$999,$A$999,IF(G882=$B$1000,$A$1000,IF(G882=$B$1001,$A$1001,IF(G882=$B$1002,$A$1002,"Not Calculated")))))</f>
        <v>3</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255</v>
      </c>
      <c r="H886" s="351"/>
      <c r="I886" s="86"/>
      <c r="J886" s="84">
        <f>IF(G886=$B$998,$A$998,IF(G886=$B$999,$A$999,IF(G886=$B$1000,$A$1000,IF(G886=$B$1001,$A$1001,IF(G886=$B$1002,$A$1002,"Not Calculated")))))</f>
        <v>0</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254</v>
      </c>
      <c r="H890" s="351"/>
      <c r="I890" s="86"/>
      <c r="J890" s="84">
        <f>IF(G890=$B$998,$A$998,IF(G890=$B$999,$A$999,IF(G890=$B$1000,$A$1000,IF(G890=$B$1001,$A$1001,IF(G890=$B$1002,$A$1002,"Not Calculated")))))</f>
        <v>2</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257</v>
      </c>
      <c r="H912" s="351"/>
      <c r="I912" s="86"/>
      <c r="J912" s="84">
        <f>IF(G912=$B$998,$A$998,IF(G912=$B$999,$A$999,IF(G912=$B$1000,$A$1000,IF(G912=$B$1001,$A$1001,IF(G912=$B$1002,$A$1002,"Not Calculated")))))</f>
        <v>3</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255</v>
      </c>
      <c r="H916" s="351"/>
      <c r="I916" s="86"/>
      <c r="J916" s="84">
        <f>IF(G916=$B$998,$A$998,IF(G916=$B$999,$A$999,IF(G916=$B$1000,$A$1000,IF(G916=$B$1001,$A$1001,IF(G916=$B$1002,$A$1002,"Not Calculated")))))</f>
        <v>0</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255</v>
      </c>
      <c r="H924" s="351"/>
      <c r="I924" s="86"/>
      <c r="J924" s="84">
        <f>IF(G924=$B$998,$A$998,IF(G924=$B$999,$A$999,IF(G924=$B$1000,$A$1000,IF(G924=$B$1001,$A$1001,IF(G924=$B$1002,$A$1002,"Not Calculated")))))</f>
        <v>0</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255</v>
      </c>
      <c r="H928" s="351"/>
      <c r="I928" s="86"/>
      <c r="J928" s="84">
        <f>IF(G928=$B$998,$A$998,IF(G928=$B$999,$A$999,IF(G928=$B$1000,$A$1000,IF(G928=$B$1001,$A$1001,IF(G928=$B$1002,$A$1002,"Not Calculated")))))</f>
        <v>0</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254</v>
      </c>
      <c r="H932" s="351"/>
      <c r="I932" s="86"/>
      <c r="J932" s="84">
        <f>IF(G932=$B$998,$A$998,IF(G932=$B$999,$A$999,IF(G932=$B$1000,$A$1000,IF(G932=$B$1001,$A$1001,IF(G932=$B$1002,$A$1002,"Not Calculated")))))</f>
        <v>2</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830</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15" customHeight="1" x14ac:dyDescent="0.3">
      <c r="B1010" s="340"/>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15" customHeight="1" x14ac:dyDescent="0.3">
      <c r="B1012" s="340"/>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292:I293"/>
    <mergeCell ref="C311:I312"/>
    <mergeCell ref="C340:I341"/>
    <mergeCell ref="C305:J305"/>
    <mergeCell ref="C385:J385"/>
    <mergeCell ref="C95:J95"/>
    <mergeCell ref="C114:J114"/>
    <mergeCell ref="C76:J76"/>
    <mergeCell ref="E15:J15"/>
    <mergeCell ref="C38:J38"/>
    <mergeCell ref="C57:J57"/>
    <mergeCell ref="C286:J286"/>
    <mergeCell ref="B5:K5"/>
    <mergeCell ref="B6:K6"/>
    <mergeCell ref="B7:K7"/>
    <mergeCell ref="B8:K8"/>
    <mergeCell ref="B9:K9"/>
    <mergeCell ref="B10:K10"/>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365:J365"/>
    <mergeCell ref="C371:I372"/>
    <mergeCell ref="C324:J324"/>
    <mergeCell ref="C330:I331"/>
    <mergeCell ref="C347:J347"/>
    <mergeCell ref="D343:I344"/>
    <mergeCell ref="C420:I421"/>
    <mergeCell ref="C391:I392"/>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000-000000000000}">
      <formula1>$C$966:$C$970</formula1>
    </dataValidation>
    <dataValidation type="list" allowBlank="1" showInputMessage="1" showErrorMessage="1" sqref="G834:H834 G932:H932 G928:H928 G924:H924 G920:H920 G916:H916 G912:H912 G908:H908 G904:H904 G890:H890 G886:H886 G882:H882 G878:H878 G874:H874 G870:H870 G866:H866 G862:H862 G858:H858 G854:H854 G850:H850 G846:H846 G842:H842 G838:H838" xr:uid="{00000000-0002-0000-1000-000001000000}">
      <formula1>$B$998:$B$1002</formula1>
    </dataValidation>
    <dataValidation type="list" allowBlank="1" showInputMessage="1" showErrorMessage="1" sqref="G717:H725 G747:H755 G732:H740 G762:H770" xr:uid="{00000000-0002-0000-1000-000002000000}">
      <formula1>$B$994:$B$995</formula1>
    </dataValidation>
    <dataValidation type="list" allowBlank="1" showInputMessage="1" showErrorMessage="1" sqref="J302 J362" xr:uid="{00000000-0002-0000-1000-000003000000}">
      <formula1>$B$980:$B$984</formula1>
    </dataValidation>
    <dataValidation type="list" allowBlank="1" showInputMessage="1" showErrorMessage="1" sqref="C123:J124" xr:uid="{00000000-0002-0000-1000-000004000000}">
      <formula1>$B$987:$B$991</formula1>
    </dataValidation>
    <dataValidation type="list" allowBlank="1" showInputMessage="1" showErrorMessage="1" sqref="J35 J213 J283 J652 J234 J54 J193 J173 J152 J126 J111 J92 J73 J254 J435 J452 J468 J499 J515 J532 J557 J580 J596 J674 J630" xr:uid="{00000000-0002-0000-1000-000005000000}">
      <formula1>$B$973:$B$977</formula1>
    </dataValidation>
    <dataValidation type="list" allowBlank="1" showInputMessage="1" showErrorMessage="1" sqref="J33" xr:uid="{00000000-0002-0000-1000-000006000000}">
      <formula1>$N$32:$N$37</formula1>
    </dataValidation>
    <dataValidation type="list" allowBlank="1" showInputMessage="1" showErrorMessage="1" sqref="J52" xr:uid="{00000000-0002-0000-1000-000007000000}">
      <formula1>$N$51:$N$56</formula1>
    </dataValidation>
    <dataValidation type="list" allowBlank="1" showInputMessage="1" showErrorMessage="1" sqref="J71" xr:uid="{00000000-0002-0000-1000-000008000000}">
      <formula1>$N$70:$N$75</formula1>
    </dataValidation>
    <dataValidation type="list" allowBlank="1" showInputMessage="1" showErrorMessage="1" sqref="J90" xr:uid="{00000000-0002-0000-1000-000009000000}">
      <formula1>$N$89:$N$94</formula1>
    </dataValidation>
    <dataValidation type="list" allowBlank="1" showInputMessage="1" showErrorMessage="1" sqref="J109" xr:uid="{00000000-0002-0000-1000-00000A000000}">
      <formula1>$N$108:$N$113</formula1>
    </dataValidation>
    <dataValidation type="list" allowBlank="1" showInputMessage="1" showErrorMessage="1" sqref="J150" xr:uid="{00000000-0002-0000-1000-00000B000000}">
      <formula1>$N$149:$N$154</formula1>
    </dataValidation>
    <dataValidation type="list" allowBlank="1" showInputMessage="1" showErrorMessage="1" sqref="J171" xr:uid="{00000000-0002-0000-1000-00000C000000}">
      <formula1>$N$170:$N$175</formula1>
    </dataValidation>
    <dataValidation type="list" allowBlank="1" showInputMessage="1" showErrorMessage="1" sqref="J191" xr:uid="{00000000-0002-0000-1000-00000D000000}">
      <formula1>$N$190:$N$195</formula1>
    </dataValidation>
    <dataValidation type="list" allowBlank="1" showInputMessage="1" showErrorMessage="1" sqref="J211" xr:uid="{00000000-0002-0000-1000-00000E000000}">
      <formula1>$N$210:$N$215</formula1>
    </dataValidation>
    <dataValidation type="list" allowBlank="1" showInputMessage="1" showErrorMessage="1" sqref="J232" xr:uid="{00000000-0002-0000-1000-00000F000000}">
      <formula1>$N$231:$N$236</formula1>
    </dataValidation>
    <dataValidation type="list" allowBlank="1" showInputMessage="1" showErrorMessage="1" sqref="J252" xr:uid="{00000000-0002-0000-1000-000010000000}">
      <formula1>$N$251:$N$256</formula1>
    </dataValidation>
    <dataValidation type="list" allowBlank="1" showInputMessage="1" showErrorMessage="1" sqref="J281" xr:uid="{00000000-0002-0000-1000-000011000000}">
      <formula1>$N$280:$N$285</formula1>
    </dataValidation>
    <dataValidation type="list" allowBlank="1" showInputMessage="1" showErrorMessage="1" sqref="J555" xr:uid="{00000000-0002-0000-1000-000012000000}">
      <formula1>$N$554:$N$559</formula1>
    </dataValidation>
    <dataValidation type="list" allowBlank="1" showInputMessage="1" showErrorMessage="1" sqref="J578" xr:uid="{00000000-0002-0000-1000-000013000000}">
      <formula1>$N$577:$N$582</formula1>
    </dataValidation>
    <dataValidation type="list" allowBlank="1" showInputMessage="1" showErrorMessage="1" sqref="J628" xr:uid="{00000000-0002-0000-1000-000014000000}">
      <formula1>$N$627:$N$632</formula1>
    </dataValidation>
    <dataValidation type="list" allowBlank="1" showInputMessage="1" showErrorMessage="1" sqref="J650" xr:uid="{00000000-0002-0000-1000-000015000000}">
      <formula1>$N$649:$N$654</formula1>
    </dataValidation>
    <dataValidation type="list" allowBlank="1" showInputMessage="1" showErrorMessage="1" sqref="J672" xr:uid="{00000000-0002-0000-1000-000016000000}">
      <formula1>$N$671:$N$676</formula1>
    </dataValidation>
  </dataValidations>
  <pageMargins left="0.7" right="0.7" top="0.75" bottom="0.75" header="0.3" footer="0.3"/>
  <pageSetup scale="7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N1029"/>
  <sheetViews>
    <sheetView showGridLines="0" showRowColHeaders="0" zoomScale="85" zoomScaleNormal="85" workbookViewId="0"/>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10</v>
      </c>
      <c r="I3" s="30"/>
      <c r="L3" s="160"/>
      <c r="M3" s="160"/>
    </row>
    <row r="4" spans="2:13" x14ac:dyDescent="0.3">
      <c r="G4" s="99"/>
      <c r="I4" s="30"/>
      <c r="L4" s="161"/>
      <c r="M4" s="160"/>
    </row>
    <row r="5" spans="2:13" ht="105" customHeight="1" x14ac:dyDescent="0.3">
      <c r="B5" s="370" t="s">
        <v>884</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75.75" customHeight="1" x14ac:dyDescent="0.3">
      <c r="B10" s="383" t="s">
        <v>885</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57"/>
      <c r="G15" s="357"/>
      <c r="H15" s="357"/>
      <c r="I15" s="357"/>
      <c r="J15" s="358"/>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1015</v>
      </c>
      <c r="K35" s="42"/>
      <c r="N35" s="12" t="s">
        <v>1043</v>
      </c>
    </row>
    <row r="36" spans="2:14" x14ac:dyDescent="0.3">
      <c r="B36" s="39"/>
      <c r="C36" s="41" t="s">
        <v>280</v>
      </c>
      <c r="D36" s="41"/>
      <c r="E36" s="41"/>
      <c r="F36" s="41"/>
      <c r="G36" s="41"/>
      <c r="H36" s="41"/>
      <c r="I36" s="41"/>
      <c r="J36" s="259">
        <f>IF(J35=$B$973,$A$973,IF(J35=$B$974,$A$974,IF(J35=$B$975,$A$975,IF(J35=$B$976,$A$976,IF(J35=$B$977,$A$977,"Not Calculated")))))</f>
        <v>0</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0</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1015</v>
      </c>
      <c r="K54" s="42"/>
      <c r="N54" s="12" t="s">
        <v>1043</v>
      </c>
    </row>
    <row r="55" spans="2:14" x14ac:dyDescent="0.3">
      <c r="B55" s="39"/>
      <c r="C55" s="41" t="s">
        <v>280</v>
      </c>
      <c r="D55" s="41"/>
      <c r="E55" s="41"/>
      <c r="F55" s="41"/>
      <c r="G55" s="41"/>
      <c r="H55" s="41"/>
      <c r="I55" s="41"/>
      <c r="J55" s="259">
        <f>IF(J54=$B$973,$A$973,IF(J54=$B$974,$A$974,IF(J54=$B$975,$A$975,IF(J54=$B$976,$A$976,IF(J54=$B$977,$A$977,"Not Calculated")))))</f>
        <v>0</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0</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1015</v>
      </c>
      <c r="K73" s="42"/>
      <c r="N73" s="12" t="s">
        <v>1043</v>
      </c>
    </row>
    <row r="74" spans="2:14" x14ac:dyDescent="0.3">
      <c r="B74" s="39"/>
      <c r="C74" s="41" t="s">
        <v>280</v>
      </c>
      <c r="D74" s="41"/>
      <c r="E74" s="41"/>
      <c r="F74" s="41"/>
      <c r="G74" s="41"/>
      <c r="H74" s="41"/>
      <c r="I74" s="41"/>
      <c r="J74" s="259">
        <f>IF(J73=$B$973,$A$973,IF(J73=$B$974,$A$974,IF(J73=$B$975,$A$975,IF(J73=$B$976,$A$976,IF(J73=$B$977,$A$977,"Not Calculated")))))</f>
        <v>0</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0</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J82*0.01</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9">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165" customHeight="1" x14ac:dyDescent="0.3">
      <c r="B95" s="178"/>
      <c r="C95" s="359" t="s">
        <v>534</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9">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266</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7">
        <f>IF(C123=B987,A987,IF(C123=B988,A988,IF(C123=B989,A989,IF(C123=B990,A990,IF(C123=B991,A991,"Not Calculated")))))</f>
        <v>2</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9">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150" customHeight="1" x14ac:dyDescent="0.3">
      <c r="B129" s="178"/>
      <c r="C129" s="359" t="s">
        <v>535</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1.1666666666666667</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6">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9">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6">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1015</v>
      </c>
      <c r="K173" s="42"/>
      <c r="N173" s="12" t="s">
        <v>1047</v>
      </c>
    </row>
    <row r="174" spans="2:14" x14ac:dyDescent="0.3">
      <c r="B174" s="39"/>
      <c r="C174" s="41" t="s">
        <v>280</v>
      </c>
      <c r="D174" s="41"/>
      <c r="E174" s="41"/>
      <c r="F174" s="41"/>
      <c r="G174" s="41"/>
      <c r="H174" s="41"/>
      <c r="I174" s="41"/>
      <c r="J174" s="259">
        <f>IF(J173=$B$973,$A$973,IF(J173=$B$974,$A$974,IF(J173=$B$975,$A$975,IF(J173=$B$976,$A$976,IF(J173=$B$977,$A$977,"Not Calculated")))))</f>
        <v>0</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9"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1015</v>
      </c>
      <c r="K193" s="42"/>
      <c r="N193" s="12" t="s">
        <v>1047</v>
      </c>
    </row>
    <row r="194" spans="2:14" x14ac:dyDescent="0.3">
      <c r="B194" s="39"/>
      <c r="C194" s="41" t="s">
        <v>280</v>
      </c>
      <c r="D194" s="41"/>
      <c r="E194" s="41"/>
      <c r="F194" s="41"/>
      <c r="G194" s="41"/>
      <c r="H194" s="41"/>
      <c r="I194" s="41"/>
      <c r="J194" s="259">
        <f>IF(J193=$B$973,$A$973,IF(J193=$B$974,$A$974,IF(J193=$B$975,$A$975,IF(J193=$B$976,$A$976,IF(J193=$B$977,$A$977,"Not Calculated")))))</f>
        <v>0</v>
      </c>
      <c r="K194" s="42"/>
      <c r="N194" s="12" t="s">
        <v>1048</v>
      </c>
    </row>
    <row r="195" spans="2:14" x14ac:dyDescent="0.3">
      <c r="B195" s="39"/>
      <c r="C195" s="41" t="s">
        <v>1038</v>
      </c>
      <c r="D195" s="41"/>
      <c r="E195" s="41"/>
      <c r="F195" s="41"/>
      <c r="G195" s="41"/>
      <c r="H195" s="41"/>
      <c r="I195" s="41"/>
      <c r="J195" s="41"/>
      <c r="K195" s="42"/>
      <c r="N195" s="12" t="s">
        <v>1049</v>
      </c>
    </row>
    <row r="196" spans="2:14" ht="15" customHeight="1" x14ac:dyDescent="0.3">
      <c r="B196" s="39"/>
      <c r="C196" s="343"/>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9"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9">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6">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9">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J243*0.01</f>
        <v>0</v>
      </c>
      <c r="K245" s="42"/>
    </row>
    <row r="246" spans="2:14" x14ac:dyDescent="0.3">
      <c r="B246" s="39"/>
      <c r="C246" s="41" t="s">
        <v>279</v>
      </c>
      <c r="D246" s="41"/>
      <c r="E246" s="41"/>
      <c r="F246" s="41"/>
      <c r="G246" s="41"/>
      <c r="H246" s="41"/>
      <c r="I246" s="41"/>
      <c r="J246" s="259"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9">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536</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5">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1015</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0</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1.25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5</v>
      </c>
      <c r="K428" s="42"/>
    </row>
    <row r="429" spans="2:11" x14ac:dyDescent="0.3">
      <c r="B429" s="39"/>
      <c r="C429" s="41" t="s">
        <v>279</v>
      </c>
      <c r="D429" s="41"/>
      <c r="E429" s="41"/>
      <c r="F429" s="41"/>
      <c r="G429" s="41"/>
      <c r="H429" s="41"/>
      <c r="I429" s="41"/>
      <c r="J429" s="259">
        <f>IF(J428&lt;=0,0,IF(J428&lt;=1,1,IF(J428&lt;=5,2,IF(J428&lt;=10,3,4))))</f>
        <v>2</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9">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120" customHeight="1" x14ac:dyDescent="0.3">
      <c r="B438" s="39"/>
      <c r="C438" s="343" t="s">
        <v>537</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2</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9">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5</v>
      </c>
      <c r="K461" s="42"/>
    </row>
    <row r="462" spans="2:11" x14ac:dyDescent="0.3">
      <c r="B462" s="39"/>
      <c r="C462" s="41" t="s">
        <v>279</v>
      </c>
      <c r="D462" s="41"/>
      <c r="E462" s="41"/>
      <c r="F462" s="41"/>
      <c r="G462" s="41"/>
      <c r="H462" s="41"/>
      <c r="I462" s="41"/>
      <c r="J462" s="259">
        <f>IF(J461&lt;=0,0,IF(J461&lt;=1,1,IF(J461&lt;=5,2,IF(J461&lt;=10,3,4))))</f>
        <v>2</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1027</v>
      </c>
      <c r="K468" s="42"/>
    </row>
    <row r="469" spans="2:11" ht="15" customHeight="1" x14ac:dyDescent="0.3">
      <c r="B469" s="39"/>
      <c r="C469" s="41" t="s">
        <v>280</v>
      </c>
      <c r="D469" s="41"/>
      <c r="E469" s="41"/>
      <c r="F469" s="41"/>
      <c r="G469" s="41"/>
      <c r="H469" s="41"/>
      <c r="I469" s="41"/>
      <c r="J469" s="259">
        <f>IF(J468=$B$973,$A$973,IF(J468=$B$974,$A$974,IF(J468=$B$975,$A$975,IF(J468=$B$976,$A$976,IF(J468=$B$977,$A$977,"Not Calculated")))))</f>
        <v>1</v>
      </c>
      <c r="K469" s="42"/>
    </row>
    <row r="470" spans="2:11" x14ac:dyDescent="0.3">
      <c r="B470" s="39"/>
      <c r="C470" s="41" t="s">
        <v>1038</v>
      </c>
      <c r="D470" s="41"/>
      <c r="E470" s="41"/>
      <c r="F470" s="41"/>
      <c r="G470" s="41"/>
      <c r="H470" s="41"/>
      <c r="I470" s="41"/>
      <c r="J470" s="41"/>
      <c r="K470" s="42"/>
    </row>
    <row r="471" spans="2:11" ht="60" customHeight="1" x14ac:dyDescent="0.3">
      <c r="B471" s="39"/>
      <c r="C471" s="343" t="s">
        <v>538</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1.5</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9">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9">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9">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10</v>
      </c>
      <c r="K525" s="42"/>
    </row>
    <row r="526" spans="2:11" x14ac:dyDescent="0.3">
      <c r="B526" s="39"/>
      <c r="C526" s="41" t="s">
        <v>279</v>
      </c>
      <c r="D526" s="41"/>
      <c r="E526" s="41"/>
      <c r="F526" s="41"/>
      <c r="G526" s="41"/>
      <c r="H526" s="41"/>
      <c r="I526" s="41"/>
      <c r="J526" s="259">
        <f>IF(J525&lt;=0,0,IF(J525&lt;=1,1,IF(J525&lt;=5,2,IF(J525&lt;=10,3,4))))</f>
        <v>3</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9">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60" customHeight="1" x14ac:dyDescent="0.3">
      <c r="B535" s="39"/>
      <c r="C535" s="343" t="s">
        <v>539</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3">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9"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9">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J568*0.1</f>
        <v>0</v>
      </c>
      <c r="K571" s="42"/>
    </row>
    <row r="572" spans="2:11" x14ac:dyDescent="0.3">
      <c r="B572" s="39"/>
      <c r="C572" s="41" t="s">
        <v>279</v>
      </c>
      <c r="D572" s="41"/>
      <c r="E572" s="41"/>
      <c r="F572" s="41"/>
      <c r="G572" s="41"/>
      <c r="H572" s="41"/>
      <c r="I572" s="41"/>
      <c r="J572" s="259"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9">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165" customHeight="1" x14ac:dyDescent="0.3">
      <c r="B583" s="39"/>
      <c r="C583" s="343" t="s">
        <v>534</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9"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9">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12</v>
      </c>
      <c r="K643" s="42"/>
    </row>
    <row r="644" spans="2:14" x14ac:dyDescent="0.3">
      <c r="B644" s="39"/>
      <c r="C644" s="41" t="s">
        <v>279</v>
      </c>
      <c r="D644" s="41"/>
      <c r="E644" s="41"/>
      <c r="F644" s="41"/>
      <c r="G644" s="41"/>
      <c r="H644" s="41"/>
      <c r="I644" s="41"/>
      <c r="J644" s="259"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9">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105" customHeight="1" x14ac:dyDescent="0.3">
      <c r="B655" s="39"/>
      <c r="C655" s="343" t="s">
        <v>540</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60">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5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1015</v>
      </c>
      <c r="K674" s="42"/>
      <c r="N674" s="12" t="s">
        <v>1047</v>
      </c>
    </row>
    <row r="675" spans="2:14" x14ac:dyDescent="0.3">
      <c r="B675" s="39"/>
      <c r="C675" s="41" t="s">
        <v>280</v>
      </c>
      <c r="D675" s="41"/>
      <c r="E675" s="41"/>
      <c r="F675" s="41"/>
      <c r="G675" s="41"/>
      <c r="H675" s="41"/>
      <c r="I675" s="41"/>
      <c r="J675" s="259">
        <f>IF(J674=$B$973,$A$973,IF(J674=$B$974,$A$974,IF(J674=$B$975,$A$975,IF(J674=$B$976,$A$976,IF(J674=$B$977,$A$977,"Not Calculated")))))</f>
        <v>0</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52" t="s">
        <v>198</v>
      </c>
      <c r="H717" s="353"/>
      <c r="I717" s="60"/>
      <c r="J717" s="271">
        <f>IF(G717=$B$994,$A$994,IF(G717=$B$995,$A$995,"Not Calculated"))</f>
        <v>1</v>
      </c>
      <c r="K717" s="62"/>
    </row>
    <row r="718" spans="2:11" x14ac:dyDescent="0.3">
      <c r="B718" s="58"/>
      <c r="C718" s="198" t="s">
        <v>32</v>
      </c>
      <c r="D718" s="60"/>
      <c r="E718" s="60"/>
      <c r="F718" s="60"/>
      <c r="G718" s="352" t="s">
        <v>198</v>
      </c>
      <c r="H718" s="353"/>
      <c r="I718" s="60"/>
      <c r="J718" s="271">
        <f t="shared" ref="J718:J725" si="0">IF(G718=$B$994,$A$994,IF(G718=$B$995,$A$995,"Not Calculated"))</f>
        <v>1</v>
      </c>
      <c r="K718" s="62"/>
    </row>
    <row r="719" spans="2:11" x14ac:dyDescent="0.3">
      <c r="B719" s="58"/>
      <c r="C719" s="198" t="s">
        <v>33</v>
      </c>
      <c r="D719" s="60"/>
      <c r="E719" s="60"/>
      <c r="F719" s="60"/>
      <c r="G719" s="352" t="s">
        <v>215</v>
      </c>
      <c r="H719" s="353"/>
      <c r="I719" s="60"/>
      <c r="J719" s="271">
        <f t="shared" si="0"/>
        <v>0</v>
      </c>
      <c r="K719" s="62"/>
    </row>
    <row r="720" spans="2:11" x14ac:dyDescent="0.3">
      <c r="B720" s="58"/>
      <c r="C720" s="198" t="s">
        <v>34</v>
      </c>
      <c r="D720" s="60"/>
      <c r="E720" s="60"/>
      <c r="F720" s="60"/>
      <c r="G720" s="352" t="s">
        <v>198</v>
      </c>
      <c r="H720" s="353"/>
      <c r="I720" s="60"/>
      <c r="J720" s="271">
        <f t="shared" si="0"/>
        <v>1</v>
      </c>
      <c r="K720" s="62"/>
    </row>
    <row r="721" spans="2:11" x14ac:dyDescent="0.3">
      <c r="B721" s="58"/>
      <c r="C721" s="198" t="s">
        <v>35</v>
      </c>
      <c r="D721" s="60"/>
      <c r="E721" s="60"/>
      <c r="F721" s="60"/>
      <c r="G721" s="352" t="s">
        <v>198</v>
      </c>
      <c r="H721" s="353"/>
      <c r="I721" s="60"/>
      <c r="J721" s="271">
        <f t="shared" si="0"/>
        <v>1</v>
      </c>
      <c r="K721" s="62"/>
    </row>
    <row r="722" spans="2:11" x14ac:dyDescent="0.3">
      <c r="B722" s="58"/>
      <c r="C722" s="198" t="s">
        <v>36</v>
      </c>
      <c r="D722" s="60"/>
      <c r="E722" s="60"/>
      <c r="F722" s="60"/>
      <c r="G722" s="352" t="s">
        <v>198</v>
      </c>
      <c r="H722" s="353"/>
      <c r="I722" s="60"/>
      <c r="J722" s="271">
        <f t="shared" si="0"/>
        <v>1</v>
      </c>
      <c r="K722" s="62"/>
    </row>
    <row r="723" spans="2:11" x14ac:dyDescent="0.3">
      <c r="B723" s="58"/>
      <c r="C723" s="198" t="s">
        <v>37</v>
      </c>
      <c r="D723" s="60"/>
      <c r="E723" s="60"/>
      <c r="F723" s="60"/>
      <c r="G723" s="352" t="s">
        <v>215</v>
      </c>
      <c r="H723" s="353"/>
      <c r="I723" s="60"/>
      <c r="J723" s="271">
        <f t="shared" si="0"/>
        <v>0</v>
      </c>
      <c r="K723" s="62"/>
    </row>
    <row r="724" spans="2:11" x14ac:dyDescent="0.3">
      <c r="B724" s="58"/>
      <c r="C724" s="198" t="s">
        <v>38</v>
      </c>
      <c r="D724" s="60"/>
      <c r="E724" s="60"/>
      <c r="F724" s="60"/>
      <c r="G724" s="352" t="s">
        <v>198</v>
      </c>
      <c r="H724" s="353"/>
      <c r="I724" s="60"/>
      <c r="J724" s="271">
        <f t="shared" si="0"/>
        <v>1</v>
      </c>
      <c r="K724" s="62"/>
    </row>
    <row r="725" spans="2:11" x14ac:dyDescent="0.3">
      <c r="B725" s="58"/>
      <c r="C725" s="198" t="s">
        <v>39</v>
      </c>
      <c r="D725" s="60"/>
      <c r="E725" s="60"/>
      <c r="F725" s="60"/>
      <c r="G725" s="352" t="s">
        <v>215</v>
      </c>
      <c r="H725" s="353"/>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52" t="s">
        <v>215</v>
      </c>
      <c r="H732" s="353"/>
      <c r="I732" s="60"/>
      <c r="J732" s="271">
        <f>IF(G732=$B$994,$A$994,IF(G732=$B$995,$A$995,"Not Calculated"))</f>
        <v>0</v>
      </c>
      <c r="K732" s="62"/>
    </row>
    <row r="733" spans="2:11" x14ac:dyDescent="0.3">
      <c r="B733" s="58"/>
      <c r="C733" s="198" t="s">
        <v>32</v>
      </c>
      <c r="D733" s="60"/>
      <c r="E733" s="60"/>
      <c r="F733" s="60"/>
      <c r="G733" s="352" t="s">
        <v>215</v>
      </c>
      <c r="H733" s="353"/>
      <c r="I733" s="60"/>
      <c r="J733" s="271">
        <f t="shared" ref="J733:J740" si="1">IF(G733=$B$994,$A$994,IF(G733=$B$995,$A$995,"Not Calculated"))</f>
        <v>0</v>
      </c>
      <c r="K733" s="62"/>
    </row>
    <row r="734" spans="2:11" ht="15" customHeight="1" x14ac:dyDescent="0.3">
      <c r="B734" s="58"/>
      <c r="C734" s="198" t="s">
        <v>33</v>
      </c>
      <c r="D734" s="60"/>
      <c r="E734" s="60"/>
      <c r="F734" s="60"/>
      <c r="G734" s="352" t="s">
        <v>215</v>
      </c>
      <c r="H734" s="353"/>
      <c r="I734" s="60"/>
      <c r="J734" s="271">
        <f t="shared" si="1"/>
        <v>0</v>
      </c>
      <c r="K734" s="62"/>
    </row>
    <row r="735" spans="2:11" x14ac:dyDescent="0.3">
      <c r="B735" s="58"/>
      <c r="C735" s="198" t="s">
        <v>34</v>
      </c>
      <c r="D735" s="60"/>
      <c r="E735" s="60"/>
      <c r="F735" s="60"/>
      <c r="G735" s="352" t="s">
        <v>215</v>
      </c>
      <c r="H735" s="353"/>
      <c r="I735" s="60"/>
      <c r="J735" s="271">
        <f t="shared" si="1"/>
        <v>0</v>
      </c>
      <c r="K735" s="62"/>
    </row>
    <row r="736" spans="2:11" x14ac:dyDescent="0.3">
      <c r="B736" s="58"/>
      <c r="C736" s="198" t="s">
        <v>35</v>
      </c>
      <c r="D736" s="60"/>
      <c r="E736" s="60"/>
      <c r="F736" s="60"/>
      <c r="G736" s="352" t="s">
        <v>215</v>
      </c>
      <c r="H736" s="353"/>
      <c r="I736" s="60"/>
      <c r="J736" s="271">
        <f t="shared" si="1"/>
        <v>0</v>
      </c>
      <c r="K736" s="62"/>
    </row>
    <row r="737" spans="2:11" x14ac:dyDescent="0.3">
      <c r="B737" s="58"/>
      <c r="C737" s="198" t="s">
        <v>36</v>
      </c>
      <c r="D737" s="60"/>
      <c r="E737" s="60"/>
      <c r="F737" s="60"/>
      <c r="G737" s="352" t="s">
        <v>215</v>
      </c>
      <c r="H737" s="353"/>
      <c r="I737" s="60"/>
      <c r="J737" s="271">
        <f t="shared" si="1"/>
        <v>0</v>
      </c>
      <c r="K737" s="62"/>
    </row>
    <row r="738" spans="2:11" x14ac:dyDescent="0.3">
      <c r="B738" s="58"/>
      <c r="C738" s="198" t="s">
        <v>37</v>
      </c>
      <c r="D738" s="60"/>
      <c r="E738" s="60"/>
      <c r="F738" s="60"/>
      <c r="G738" s="352" t="s">
        <v>215</v>
      </c>
      <c r="H738" s="353"/>
      <c r="I738" s="60"/>
      <c r="J738" s="271">
        <f t="shared" si="1"/>
        <v>0</v>
      </c>
      <c r="K738" s="62"/>
    </row>
    <row r="739" spans="2:11" x14ac:dyDescent="0.3">
      <c r="B739" s="58"/>
      <c r="C739" s="198" t="s">
        <v>38</v>
      </c>
      <c r="D739" s="60"/>
      <c r="E739" s="60"/>
      <c r="F739" s="60"/>
      <c r="G739" s="352" t="s">
        <v>215</v>
      </c>
      <c r="H739" s="353"/>
      <c r="I739" s="60"/>
      <c r="J739" s="271">
        <f t="shared" si="1"/>
        <v>0</v>
      </c>
      <c r="K739" s="62"/>
    </row>
    <row r="740" spans="2:11" x14ac:dyDescent="0.3">
      <c r="B740" s="58"/>
      <c r="C740" s="198" t="s">
        <v>39</v>
      </c>
      <c r="D740" s="60"/>
      <c r="E740" s="60"/>
      <c r="F740" s="60"/>
      <c r="G740" s="352" t="s">
        <v>215</v>
      </c>
      <c r="H740" s="353"/>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52" t="s">
        <v>215</v>
      </c>
      <c r="H747" s="353"/>
      <c r="I747" s="60"/>
      <c r="J747" s="271">
        <f>IF(G747=$B$994,$A$994,IF(G747=$B$995,$A$995,"Not Calculated"))</f>
        <v>0</v>
      </c>
      <c r="K747" s="62"/>
    </row>
    <row r="748" spans="2:11" x14ac:dyDescent="0.3">
      <c r="B748" s="58"/>
      <c r="C748" s="198" t="s">
        <v>32</v>
      </c>
      <c r="D748" s="60"/>
      <c r="E748" s="60"/>
      <c r="F748" s="60"/>
      <c r="G748" s="352" t="s">
        <v>215</v>
      </c>
      <c r="H748" s="353"/>
      <c r="I748" s="60"/>
      <c r="J748" s="271">
        <f t="shared" ref="J748:J755" si="2">IF(G748=$B$994,$A$994,IF(G748=$B$995,$A$995,"Not Calculated"))</f>
        <v>0</v>
      </c>
      <c r="K748" s="62"/>
    </row>
    <row r="749" spans="2:11" ht="15" customHeight="1" x14ac:dyDescent="0.3">
      <c r="B749" s="58"/>
      <c r="C749" s="198" t="s">
        <v>33</v>
      </c>
      <c r="D749" s="60"/>
      <c r="E749" s="60"/>
      <c r="F749" s="60"/>
      <c r="G749" s="352" t="s">
        <v>215</v>
      </c>
      <c r="H749" s="353"/>
      <c r="I749" s="60"/>
      <c r="J749" s="271">
        <f t="shared" si="2"/>
        <v>0</v>
      </c>
      <c r="K749" s="62"/>
    </row>
    <row r="750" spans="2:11" x14ac:dyDescent="0.3">
      <c r="B750" s="58"/>
      <c r="C750" s="198" t="s">
        <v>34</v>
      </c>
      <c r="D750" s="60"/>
      <c r="E750" s="60"/>
      <c r="F750" s="60"/>
      <c r="G750" s="352" t="s">
        <v>215</v>
      </c>
      <c r="H750" s="353"/>
      <c r="I750" s="60"/>
      <c r="J750" s="271">
        <f t="shared" si="2"/>
        <v>0</v>
      </c>
      <c r="K750" s="62"/>
    </row>
    <row r="751" spans="2:11" x14ac:dyDescent="0.3">
      <c r="B751" s="58"/>
      <c r="C751" s="198" t="s">
        <v>35</v>
      </c>
      <c r="D751" s="60"/>
      <c r="E751" s="60"/>
      <c r="F751" s="60"/>
      <c r="G751" s="352" t="s">
        <v>215</v>
      </c>
      <c r="H751" s="353"/>
      <c r="I751" s="60"/>
      <c r="J751" s="271">
        <f t="shared" si="2"/>
        <v>0</v>
      </c>
      <c r="K751" s="62"/>
    </row>
    <row r="752" spans="2:11" x14ac:dyDescent="0.3">
      <c r="B752" s="58"/>
      <c r="C752" s="198" t="s">
        <v>36</v>
      </c>
      <c r="D752" s="60"/>
      <c r="E752" s="60"/>
      <c r="F752" s="60"/>
      <c r="G752" s="352" t="s">
        <v>215</v>
      </c>
      <c r="H752" s="353"/>
      <c r="I752" s="60"/>
      <c r="J752" s="271">
        <f t="shared" si="2"/>
        <v>0</v>
      </c>
      <c r="K752" s="62"/>
    </row>
    <row r="753" spans="2:11" x14ac:dyDescent="0.3">
      <c r="B753" s="58"/>
      <c r="C753" s="198" t="s">
        <v>37</v>
      </c>
      <c r="D753" s="60"/>
      <c r="E753" s="60"/>
      <c r="F753" s="60"/>
      <c r="G753" s="352" t="s">
        <v>215</v>
      </c>
      <c r="H753" s="353"/>
      <c r="I753" s="60"/>
      <c r="J753" s="271">
        <f t="shared" si="2"/>
        <v>0</v>
      </c>
      <c r="K753" s="62"/>
    </row>
    <row r="754" spans="2:11" x14ac:dyDescent="0.3">
      <c r="B754" s="58"/>
      <c r="C754" s="198" t="s">
        <v>38</v>
      </c>
      <c r="D754" s="60"/>
      <c r="E754" s="60"/>
      <c r="F754" s="60"/>
      <c r="G754" s="352" t="s">
        <v>215</v>
      </c>
      <c r="H754" s="353"/>
      <c r="I754" s="60"/>
      <c r="J754" s="271">
        <f t="shared" si="2"/>
        <v>0</v>
      </c>
      <c r="K754" s="62"/>
    </row>
    <row r="755" spans="2:11" x14ac:dyDescent="0.3">
      <c r="B755" s="58"/>
      <c r="C755" s="198" t="s">
        <v>39</v>
      </c>
      <c r="D755" s="60"/>
      <c r="E755" s="60"/>
      <c r="F755" s="60"/>
      <c r="G755" s="352" t="s">
        <v>215</v>
      </c>
      <c r="H755" s="353"/>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52" t="s">
        <v>198</v>
      </c>
      <c r="H762" s="353"/>
      <c r="I762" s="60"/>
      <c r="J762" s="271">
        <f>IF(G762=$B$994,$A$994,IF(G762=$B$995,$A$995,"Not Calculated"))</f>
        <v>1</v>
      </c>
      <c r="K762" s="62"/>
    </row>
    <row r="763" spans="2:11" x14ac:dyDescent="0.3">
      <c r="B763" s="58"/>
      <c r="C763" s="198" t="s">
        <v>32</v>
      </c>
      <c r="D763" s="60"/>
      <c r="E763" s="60"/>
      <c r="F763" s="60"/>
      <c r="G763" s="352" t="s">
        <v>198</v>
      </c>
      <c r="H763" s="353"/>
      <c r="I763" s="60"/>
      <c r="J763" s="271">
        <f t="shared" ref="J763:J770" si="3">IF(G763=$B$994,$A$994,IF(G763=$B$995,$A$995,"Not Calculated"))</f>
        <v>1</v>
      </c>
      <c r="K763" s="62"/>
    </row>
    <row r="764" spans="2:11" ht="15" customHeight="1" x14ac:dyDescent="0.3">
      <c r="B764" s="58"/>
      <c r="C764" s="198" t="s">
        <v>33</v>
      </c>
      <c r="D764" s="60"/>
      <c r="E764" s="60"/>
      <c r="F764" s="60"/>
      <c r="G764" s="352" t="s">
        <v>198</v>
      </c>
      <c r="H764" s="353"/>
      <c r="I764" s="60"/>
      <c r="J764" s="271">
        <f t="shared" si="3"/>
        <v>1</v>
      </c>
      <c r="K764" s="62"/>
    </row>
    <row r="765" spans="2:11" x14ac:dyDescent="0.3">
      <c r="B765" s="58"/>
      <c r="C765" s="198" t="s">
        <v>34</v>
      </c>
      <c r="D765" s="60"/>
      <c r="E765" s="60"/>
      <c r="F765" s="60"/>
      <c r="G765" s="352" t="s">
        <v>198</v>
      </c>
      <c r="H765" s="353"/>
      <c r="I765" s="60"/>
      <c r="J765" s="271">
        <f t="shared" si="3"/>
        <v>1</v>
      </c>
      <c r="K765" s="62"/>
    </row>
    <row r="766" spans="2:11" x14ac:dyDescent="0.3">
      <c r="B766" s="58"/>
      <c r="C766" s="198" t="s">
        <v>35</v>
      </c>
      <c r="D766" s="60"/>
      <c r="E766" s="60"/>
      <c r="F766" s="60"/>
      <c r="G766" s="352" t="s">
        <v>198</v>
      </c>
      <c r="H766" s="353"/>
      <c r="I766" s="60"/>
      <c r="J766" s="271">
        <f t="shared" si="3"/>
        <v>1</v>
      </c>
      <c r="K766" s="62"/>
    </row>
    <row r="767" spans="2:11" x14ac:dyDescent="0.3">
      <c r="B767" s="58"/>
      <c r="C767" s="198" t="s">
        <v>36</v>
      </c>
      <c r="D767" s="60"/>
      <c r="E767" s="60"/>
      <c r="F767" s="60"/>
      <c r="G767" s="352" t="s">
        <v>198</v>
      </c>
      <c r="H767" s="353"/>
      <c r="I767" s="60"/>
      <c r="J767" s="271">
        <f t="shared" si="3"/>
        <v>1</v>
      </c>
      <c r="K767" s="62"/>
    </row>
    <row r="768" spans="2:11" x14ac:dyDescent="0.3">
      <c r="B768" s="58"/>
      <c r="C768" s="198" t="s">
        <v>37</v>
      </c>
      <c r="D768" s="60"/>
      <c r="E768" s="60"/>
      <c r="F768" s="60"/>
      <c r="G768" s="352" t="s">
        <v>198</v>
      </c>
      <c r="H768" s="353"/>
      <c r="I768" s="60"/>
      <c r="J768" s="271">
        <f t="shared" si="3"/>
        <v>1</v>
      </c>
      <c r="K768" s="62"/>
    </row>
    <row r="769" spans="2:11" x14ac:dyDescent="0.3">
      <c r="B769" s="58"/>
      <c r="C769" s="198" t="s">
        <v>38</v>
      </c>
      <c r="D769" s="60"/>
      <c r="E769" s="60"/>
      <c r="F769" s="60"/>
      <c r="G769" s="352" t="s">
        <v>198</v>
      </c>
      <c r="H769" s="353"/>
      <c r="I769" s="60"/>
      <c r="J769" s="271">
        <f t="shared" si="3"/>
        <v>1</v>
      </c>
      <c r="K769" s="62"/>
    </row>
    <row r="770" spans="2:11" x14ac:dyDescent="0.3">
      <c r="B770" s="58"/>
      <c r="C770" s="198" t="s">
        <v>39</v>
      </c>
      <c r="D770" s="60"/>
      <c r="E770" s="60"/>
      <c r="F770" s="60"/>
      <c r="G770" s="352" t="s">
        <v>198</v>
      </c>
      <c r="H770" s="353"/>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1</v>
      </c>
      <c r="K799" s="62"/>
    </row>
    <row r="800" spans="2:11" x14ac:dyDescent="0.3">
      <c r="B800" s="58"/>
      <c r="C800" s="60"/>
      <c r="D800" s="198" t="s">
        <v>392</v>
      </c>
      <c r="E800" s="60"/>
      <c r="F800" s="60"/>
      <c r="G800" s="60"/>
      <c r="H800" s="60"/>
      <c r="I800" s="60"/>
      <c r="J800" s="61">
        <f>AVERAGE(J798,J799)</f>
        <v>0.5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1</v>
      </c>
      <c r="K807" s="62"/>
    </row>
    <row r="808" spans="2:11" x14ac:dyDescent="0.3">
      <c r="B808" s="58"/>
      <c r="C808" s="60"/>
      <c r="D808" s="198" t="s">
        <v>392</v>
      </c>
      <c r="E808" s="60"/>
      <c r="F808" s="60"/>
      <c r="G808" s="60"/>
      <c r="H808" s="60"/>
      <c r="I808" s="60"/>
      <c r="J808" s="61">
        <f>AVERAGE(J806,J807)</f>
        <v>0.5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0.83333333333333337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255</v>
      </c>
      <c r="H842" s="351"/>
      <c r="I842" s="86"/>
      <c r="J842" s="84">
        <f>IF(G842=$B$998,$A$998,IF(G842=$B$999,$A$999,IF(G842=$B$1000,$A$1000,IF(G842=$B$1001,$A$1001,IF(G842=$B$1002,$A$1002,"Not Calculated")))))</f>
        <v>0</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257</v>
      </c>
      <c r="H846" s="351"/>
      <c r="I846" s="86"/>
      <c r="J846" s="84">
        <f>IF(G846=$B$998,$A$998,IF(G846=$B$999,$A$999,IF(G846=$B$1000,$A$1000,IF(G846=$B$1001,$A$1001,IF(G846=$B$1002,$A$1002,"Not Calculated")))))</f>
        <v>3</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255</v>
      </c>
      <c r="H850" s="351"/>
      <c r="I850" s="86"/>
      <c r="J850" s="84">
        <f>IF(G850=$B$998,$A$998,IF(G850=$B$999,$A$999,IF(G850=$B$1000,$A$1000,IF(G850=$B$1001,$A$1001,IF(G850=$B$1002,$A$1002,"Not Calculated")))))</f>
        <v>0</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257</v>
      </c>
      <c r="H854" s="351"/>
      <c r="I854" s="86"/>
      <c r="J854" s="84">
        <f>IF(G854=$B$998,$A$998,IF(G854=$B$999,$A$999,IF(G854=$B$1000,$A$1000,IF(G854=$B$1001,$A$1001,IF(G854=$B$1002,$A$1002,"Not Calculated")))))</f>
        <v>3</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255</v>
      </c>
      <c r="H866" s="351"/>
      <c r="I866" s="86"/>
      <c r="J866" s="84">
        <f>IF(G866=$B$998,$A$998,IF(G866=$B$999,$A$999,IF(G866=$B$1000,$A$1000,IF(G866=$B$1001,$A$1001,IF(G866=$B$1002,$A$1002,"Not Calculated")))))</f>
        <v>0</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255</v>
      </c>
      <c r="H870" s="351"/>
      <c r="I870" s="86"/>
      <c r="J870" s="84">
        <f>IF(G870=$B$998,$A$998,IF(G870=$B$999,$A$999,IF(G870=$B$1000,$A$1000,IF(G870=$B$1001,$A$1001,IF(G870=$B$1002,$A$1002,"Not Calculated")))))</f>
        <v>0</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257</v>
      </c>
      <c r="H882" s="351"/>
      <c r="I882" s="86"/>
      <c r="J882" s="84">
        <f>IF(G882=$B$998,$A$998,IF(G882=$B$999,$A$999,IF(G882=$B$1000,$A$1000,IF(G882=$B$1001,$A$1001,IF(G882=$B$1002,$A$1002,"Not Calculated")))))</f>
        <v>3</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255</v>
      </c>
      <c r="H886" s="351"/>
      <c r="I886" s="86"/>
      <c r="J886" s="84">
        <f>IF(G886=$B$998,$A$998,IF(G886=$B$999,$A$999,IF(G886=$B$1000,$A$1000,IF(G886=$B$1001,$A$1001,IF(G886=$B$1002,$A$1002,"Not Calculated")))))</f>
        <v>0</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255</v>
      </c>
      <c r="H890" s="351"/>
      <c r="I890" s="86"/>
      <c r="J890" s="84">
        <f>IF(G890=$B$998,$A$998,IF(G890=$B$999,$A$999,IF(G890=$B$1000,$A$1000,IF(G890=$B$1001,$A$1001,IF(G890=$B$1002,$A$1002,"Not Calculated")))))</f>
        <v>0</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255</v>
      </c>
      <c r="H912" s="351"/>
      <c r="I912" s="86"/>
      <c r="J912" s="84">
        <f>IF(G912=$B$998,$A$998,IF(G912=$B$999,$A$999,IF(G912=$B$1000,$A$1000,IF(G912=$B$1001,$A$1001,IF(G912=$B$1002,$A$1002,"Not Calculated")))))</f>
        <v>0</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255</v>
      </c>
      <c r="H916" s="351"/>
      <c r="I916" s="86"/>
      <c r="J916" s="84">
        <f>IF(G916=$B$998,$A$998,IF(G916=$B$999,$A$999,IF(G916=$B$1000,$A$1000,IF(G916=$B$1001,$A$1001,IF(G916=$B$1002,$A$1002,"Not Calculated")))))</f>
        <v>0</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257</v>
      </c>
      <c r="H920" s="351"/>
      <c r="I920" s="86"/>
      <c r="J920" s="84">
        <f>IF(G920=$B$998,$A$998,IF(G920=$B$999,$A$999,IF(G920=$B$1000,$A$1000,IF(G920=$B$1001,$A$1001,IF(G920=$B$1002,$A$1002,"Not Calculated")))))</f>
        <v>3</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255</v>
      </c>
      <c r="H924" s="351"/>
      <c r="I924" s="86"/>
      <c r="J924" s="84">
        <f>IF(G924=$B$998,$A$998,IF(G924=$B$999,$A$999,IF(G924=$B$1000,$A$1000,IF(G924=$B$1001,$A$1001,IF(G924=$B$1002,$A$1002,"Not Calculated")))))</f>
        <v>0</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255</v>
      </c>
      <c r="H928" s="351"/>
      <c r="I928" s="86"/>
      <c r="J928" s="84">
        <f>IF(G928=$B$998,$A$998,IF(G928=$B$999,$A$999,IF(G928=$B$1000,$A$1000,IF(G928=$B$1001,$A$1001,IF(G928=$B$1002,$A$1002,"Not Calculated")))))</f>
        <v>0</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255</v>
      </c>
      <c r="H932" s="351"/>
      <c r="I932" s="86"/>
      <c r="J932" s="84">
        <f>IF(G932=$B$998,$A$998,IF(G932=$B$999,$A$999,IF(G932=$B$1000,$A$1000,IF(G932=$B$1001,$A$1001,IF(G932=$B$1002,$A$1002,"Not Calculated")))))</f>
        <v>0</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886</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60" customHeight="1" x14ac:dyDescent="0.3">
      <c r="B1006" s="340" t="s">
        <v>887</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15" customHeight="1" x14ac:dyDescent="0.3">
      <c r="B1010" s="340"/>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15" customHeight="1" x14ac:dyDescent="0.3">
      <c r="B1012" s="340"/>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95:J95"/>
    <mergeCell ref="C114:J114"/>
    <mergeCell ref="E15:J15"/>
    <mergeCell ref="C38:J38"/>
    <mergeCell ref="C57:J57"/>
    <mergeCell ref="C76:J76"/>
    <mergeCell ref="C385:J385"/>
    <mergeCell ref="C324:J324"/>
    <mergeCell ref="B5:K5"/>
    <mergeCell ref="B6:K6"/>
    <mergeCell ref="B7:K7"/>
    <mergeCell ref="B8:K8"/>
    <mergeCell ref="B9:K9"/>
    <mergeCell ref="B10:K10"/>
    <mergeCell ref="C292:I293"/>
    <mergeCell ref="C311:I312"/>
    <mergeCell ref="C340:I341"/>
    <mergeCell ref="C305:J305"/>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420:I421"/>
    <mergeCell ref="C365:J365"/>
    <mergeCell ref="C371:I372"/>
    <mergeCell ref="C330:I331"/>
    <mergeCell ref="C347:J347"/>
    <mergeCell ref="D343:I344"/>
    <mergeCell ref="C391:I39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1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100-000001000000}">
      <formula1>$B$998:$B$1002</formula1>
    </dataValidation>
    <dataValidation type="list" allowBlank="1" showInputMessage="1" showErrorMessage="1" sqref="G717:H725 G762:H770 G732:H740 G747:H755" xr:uid="{00000000-0002-0000-1100-000002000000}">
      <formula1>$B$994:$B$995</formula1>
    </dataValidation>
    <dataValidation type="list" allowBlank="1" showInputMessage="1" showErrorMessage="1" sqref="J302 J362" xr:uid="{00000000-0002-0000-1100-000003000000}">
      <formula1>$B$980:$B$984</formula1>
    </dataValidation>
    <dataValidation type="list" allowBlank="1" showInputMessage="1" showErrorMessage="1" sqref="C123:J124" xr:uid="{00000000-0002-0000-1100-000004000000}">
      <formula1>$B$987:$B$991</formula1>
    </dataValidation>
    <dataValidation type="list" allowBlank="1" showInputMessage="1" showErrorMessage="1" sqref="J35 J213 J283 J652 J234 J54 J193 J173 J152 J126 J111 J92 J73 J254 J435 J452 J468 J499 J515 J532 J557 J580 J596 J674 J630" xr:uid="{00000000-0002-0000-1100-000005000000}">
      <formula1>$B$973:$B$977</formula1>
    </dataValidation>
    <dataValidation type="list" allowBlank="1" showInputMessage="1" showErrorMessage="1" sqref="J33" xr:uid="{00000000-0002-0000-1100-000006000000}">
      <formula1>$N$32:$N$37</formula1>
    </dataValidation>
    <dataValidation type="list" allowBlank="1" showInputMessage="1" showErrorMessage="1" sqref="J52" xr:uid="{00000000-0002-0000-1100-000007000000}">
      <formula1>$N$51:$N$56</formula1>
    </dataValidation>
    <dataValidation type="list" allowBlank="1" showInputMessage="1" showErrorMessage="1" sqref="J71" xr:uid="{00000000-0002-0000-1100-000008000000}">
      <formula1>$N$70:$N$75</formula1>
    </dataValidation>
    <dataValidation type="list" allowBlank="1" showInputMessage="1" showErrorMessage="1" sqref="J90" xr:uid="{00000000-0002-0000-1100-000009000000}">
      <formula1>$N$89:$N$94</formula1>
    </dataValidation>
    <dataValidation type="list" allowBlank="1" showInputMessage="1" showErrorMessage="1" sqref="J109" xr:uid="{00000000-0002-0000-1100-00000A000000}">
      <formula1>$N$108:$N$113</formula1>
    </dataValidation>
    <dataValidation type="list" allowBlank="1" showInputMessage="1" showErrorMessage="1" sqref="J150" xr:uid="{00000000-0002-0000-1100-00000B000000}">
      <formula1>$N$149:$N$154</formula1>
    </dataValidation>
    <dataValidation type="list" allowBlank="1" showInputMessage="1" showErrorMessage="1" sqref="J171" xr:uid="{00000000-0002-0000-1100-00000C000000}">
      <formula1>$N$170:$N$175</formula1>
    </dataValidation>
    <dataValidation type="list" allowBlank="1" showInputMessage="1" showErrorMessage="1" sqref="J191" xr:uid="{00000000-0002-0000-1100-00000D000000}">
      <formula1>$N$190:$N$195</formula1>
    </dataValidation>
    <dataValidation type="list" allowBlank="1" showInputMessage="1" showErrorMessage="1" sqref="J211" xr:uid="{00000000-0002-0000-1100-00000E000000}">
      <formula1>$N$210:$N$215</formula1>
    </dataValidation>
    <dataValidation type="list" allowBlank="1" showInputMessage="1" showErrorMessage="1" sqref="J232" xr:uid="{00000000-0002-0000-1100-00000F000000}">
      <formula1>$N$231:$N$236</formula1>
    </dataValidation>
    <dataValidation type="list" allowBlank="1" showInputMessage="1" showErrorMessage="1" sqref="J252" xr:uid="{00000000-0002-0000-1100-000010000000}">
      <formula1>$N$251:$N$256</formula1>
    </dataValidation>
    <dataValidation type="list" allowBlank="1" showInputMessage="1" showErrorMessage="1" sqref="J281" xr:uid="{00000000-0002-0000-1100-000011000000}">
      <formula1>$N$280:$N$285</formula1>
    </dataValidation>
    <dataValidation type="list" allowBlank="1" showInputMessage="1" showErrorMessage="1" sqref="J555" xr:uid="{00000000-0002-0000-1100-000012000000}">
      <formula1>$N$554:$N$559</formula1>
    </dataValidation>
    <dataValidation type="list" allowBlank="1" showInputMessage="1" showErrorMessage="1" sqref="J578" xr:uid="{00000000-0002-0000-1100-000013000000}">
      <formula1>$N$577:$N$582</formula1>
    </dataValidation>
    <dataValidation type="list" allowBlank="1" showInputMessage="1" showErrorMessage="1" sqref="J628" xr:uid="{00000000-0002-0000-1100-000014000000}">
      <formula1>$N$627:$N$632</formula1>
    </dataValidation>
    <dataValidation type="list" allowBlank="1" showInputMessage="1" showErrorMessage="1" sqref="J650" xr:uid="{00000000-0002-0000-1100-000015000000}">
      <formula1>$N$649:$N$654</formula1>
    </dataValidation>
    <dataValidation type="list" allowBlank="1" showInputMessage="1" showErrorMessage="1" sqref="J672" xr:uid="{00000000-0002-0000-1100-000016000000}">
      <formula1>$N$671:$N$676</formula1>
    </dataValidation>
  </dataValidations>
  <pageMargins left="0.7" right="0.7" top="0.75" bottom="0.75" header="0.3" footer="0.3"/>
  <pageSetup scale="7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11</v>
      </c>
      <c r="I3" s="30"/>
      <c r="L3" s="160"/>
      <c r="M3" s="160"/>
    </row>
    <row r="4" spans="2:13" x14ac:dyDescent="0.3">
      <c r="G4" s="99"/>
      <c r="I4" s="30"/>
      <c r="L4" s="161"/>
      <c r="M4" s="160"/>
    </row>
    <row r="5" spans="2:13" ht="120" customHeight="1" x14ac:dyDescent="0.3">
      <c r="B5" s="370" t="s">
        <v>797</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45" customHeight="1" x14ac:dyDescent="0.3">
      <c r="B10" s="383" t="s">
        <v>888</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1015</v>
      </c>
      <c r="K35" s="42"/>
      <c r="N35" s="12" t="s">
        <v>1043</v>
      </c>
    </row>
    <row r="36" spans="2:14" x14ac:dyDescent="0.3">
      <c r="B36" s="39"/>
      <c r="C36" s="41" t="s">
        <v>280</v>
      </c>
      <c r="D36" s="41"/>
      <c r="E36" s="41"/>
      <c r="F36" s="41"/>
      <c r="G36" s="41"/>
      <c r="H36" s="41"/>
      <c r="I36" s="41"/>
      <c r="J36" s="256">
        <f>IF(J35=$B$973,$A$973,IF(J35=$B$974,$A$974,IF(J35=$B$975,$A$975,IF(J35=$B$976,$A$976,IF(J35=$B$977,$A$977,"Not Calculated")))))</f>
        <v>0</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541</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0</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1</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737</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1</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6">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542</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264</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0</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0</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0.33333333333333331</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1015</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0</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0.22222222222222221</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1015</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0</v>
      </c>
      <c r="K194" s="42"/>
      <c r="N194" s="12" t="s">
        <v>1048</v>
      </c>
    </row>
    <row r="195" spans="2:14" x14ac:dyDescent="0.3">
      <c r="B195" s="39"/>
      <c r="C195" s="41" t="s">
        <v>1038</v>
      </c>
      <c r="D195" s="41"/>
      <c r="E195" s="41"/>
      <c r="F195" s="41"/>
      <c r="G195" s="41"/>
      <c r="H195" s="41"/>
      <c r="I195" s="41"/>
      <c r="J195" s="41"/>
      <c r="K195" s="42"/>
      <c r="N195" s="12" t="s">
        <v>1049</v>
      </c>
    </row>
    <row r="196" spans="2:14" ht="15" customHeight="1" x14ac:dyDescent="0.3">
      <c r="B196" s="39"/>
      <c r="C196" s="343"/>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15" customHeight="1" x14ac:dyDescent="0.3">
      <c r="B257" s="39"/>
      <c r="C257" s="343"/>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1015</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0</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ht="15" customHeight="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ht="15" customHeight="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1.25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1019</v>
      </c>
      <c r="K435" s="42"/>
    </row>
    <row r="436" spans="2:11" x14ac:dyDescent="0.3">
      <c r="B436" s="39"/>
      <c r="C436" s="41" t="s">
        <v>280</v>
      </c>
      <c r="D436" s="41"/>
      <c r="E436" s="41"/>
      <c r="F436" s="41"/>
      <c r="G436" s="41"/>
      <c r="H436" s="41"/>
      <c r="I436" s="41"/>
      <c r="J436" s="256">
        <f>IF(J435=$B$973,$A$973,IF(J435=$B$974,$A$974,IF(J435=$B$975,$A$975,IF(J435=$B$976,$A$976,IF(J435=$B$977,$A$977,"Not Calculated")))))</f>
        <v>4</v>
      </c>
      <c r="K436" s="42"/>
    </row>
    <row r="437" spans="2:11" x14ac:dyDescent="0.3">
      <c r="B437" s="39"/>
      <c r="C437" s="41" t="s">
        <v>1038</v>
      </c>
      <c r="D437" s="41"/>
      <c r="E437" s="41"/>
      <c r="F437" s="41"/>
      <c r="G437" s="41"/>
      <c r="H437" s="41"/>
      <c r="I437" s="41"/>
      <c r="J437" s="41"/>
      <c r="K437" s="42"/>
    </row>
    <row r="438" spans="2:11" ht="75" customHeight="1" x14ac:dyDescent="0.3">
      <c r="B438" s="39"/>
      <c r="C438" s="343" t="s">
        <v>543</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2</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6">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6">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6">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5" customHeight="1" x14ac:dyDescent="0.3">
      <c r="B535" s="39"/>
      <c r="C535" s="343"/>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0.2857142857142857</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1015</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0</v>
      </c>
      <c r="K581" s="42"/>
      <c r="N581" s="12" t="s">
        <v>1044</v>
      </c>
    </row>
    <row r="582" spans="2:14" x14ac:dyDescent="0.3">
      <c r="B582" s="39"/>
      <c r="C582" s="41" t="s">
        <v>1038</v>
      </c>
      <c r="D582" s="41"/>
      <c r="E582" s="41"/>
      <c r="F582" s="41"/>
      <c r="G582" s="41"/>
      <c r="H582" s="41"/>
      <c r="I582" s="41"/>
      <c r="J582" s="41"/>
      <c r="K582" s="42"/>
      <c r="N582" s="12" t="s">
        <v>1045</v>
      </c>
    </row>
    <row r="583" spans="2:14" ht="15" customHeight="1" x14ac:dyDescent="0.3">
      <c r="B583" s="39"/>
      <c r="C583" s="343"/>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1017</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2</v>
      </c>
      <c r="K653" s="42"/>
      <c r="N653" s="12" t="s">
        <v>1044</v>
      </c>
    </row>
    <row r="654" spans="2:14" x14ac:dyDescent="0.3">
      <c r="B654" s="39"/>
      <c r="C654" s="41" t="s">
        <v>1038</v>
      </c>
      <c r="D654" s="41"/>
      <c r="E654" s="41"/>
      <c r="F654" s="41"/>
      <c r="G654" s="41"/>
      <c r="H654" s="41"/>
      <c r="I654" s="41"/>
      <c r="J654" s="41"/>
      <c r="K654" s="42"/>
      <c r="N654" s="12" t="s">
        <v>1045</v>
      </c>
    </row>
    <row r="655" spans="2:14" ht="30" customHeight="1" x14ac:dyDescent="0.3">
      <c r="B655" s="39"/>
      <c r="C655" s="343" t="s">
        <v>544</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1015</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0</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ht="15" customHeight="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215</v>
      </c>
      <c r="H738" s="375"/>
      <c r="I738" s="60"/>
      <c r="J738" s="271">
        <f t="shared" si="1"/>
        <v>0</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215</v>
      </c>
      <c r="H740" s="375"/>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215</v>
      </c>
      <c r="H762" s="375"/>
      <c r="I762" s="60"/>
      <c r="J762" s="271">
        <f>IF(G762=$B$994,$A$994,IF(G762=$B$995,$A$995,"Not Calculated"))</f>
        <v>0</v>
      </c>
      <c r="K762" s="62"/>
    </row>
    <row r="763" spans="2:11" x14ac:dyDescent="0.3">
      <c r="B763" s="58"/>
      <c r="C763" s="198" t="s">
        <v>32</v>
      </c>
      <c r="D763" s="60"/>
      <c r="E763" s="60"/>
      <c r="F763" s="60"/>
      <c r="G763" s="375" t="s">
        <v>215</v>
      </c>
      <c r="H763" s="375"/>
      <c r="I763" s="60"/>
      <c r="J763" s="271">
        <f t="shared" ref="J763:J770" si="3">IF(G763=$B$994,$A$994,IF(G763=$B$995,$A$995,"Not Calculated"))</f>
        <v>0</v>
      </c>
      <c r="K763" s="62"/>
    </row>
    <row r="764" spans="2:11" ht="15" customHeight="1" x14ac:dyDescent="0.3">
      <c r="B764" s="58"/>
      <c r="C764" s="198" t="s">
        <v>33</v>
      </c>
      <c r="D764" s="60"/>
      <c r="E764" s="60"/>
      <c r="F764" s="60"/>
      <c r="G764" s="375" t="s">
        <v>215</v>
      </c>
      <c r="H764" s="375"/>
      <c r="I764" s="60"/>
      <c r="J764" s="271">
        <f t="shared" si="3"/>
        <v>0</v>
      </c>
      <c r="K764" s="62"/>
    </row>
    <row r="765" spans="2:11" x14ac:dyDescent="0.3">
      <c r="B765" s="58"/>
      <c r="C765" s="198" t="s">
        <v>34</v>
      </c>
      <c r="D765" s="60"/>
      <c r="E765" s="60"/>
      <c r="F765" s="60"/>
      <c r="G765" s="375" t="s">
        <v>215</v>
      </c>
      <c r="H765" s="375"/>
      <c r="I765" s="60"/>
      <c r="J765" s="271">
        <f t="shared" si="3"/>
        <v>0</v>
      </c>
      <c r="K765" s="62"/>
    </row>
    <row r="766" spans="2:11" x14ac:dyDescent="0.3">
      <c r="B766" s="58"/>
      <c r="C766" s="198" t="s">
        <v>35</v>
      </c>
      <c r="D766" s="60"/>
      <c r="E766" s="60"/>
      <c r="F766" s="60"/>
      <c r="G766" s="375" t="s">
        <v>215</v>
      </c>
      <c r="H766" s="375"/>
      <c r="I766" s="60"/>
      <c r="J766" s="271">
        <f t="shared" si="3"/>
        <v>0</v>
      </c>
      <c r="K766" s="62"/>
    </row>
    <row r="767" spans="2:11" x14ac:dyDescent="0.3">
      <c r="B767" s="58"/>
      <c r="C767" s="198" t="s">
        <v>36</v>
      </c>
      <c r="D767" s="60"/>
      <c r="E767" s="60"/>
      <c r="F767" s="60"/>
      <c r="G767" s="375" t="s">
        <v>215</v>
      </c>
      <c r="H767" s="375"/>
      <c r="I767" s="60"/>
      <c r="J767" s="271">
        <f t="shared" si="3"/>
        <v>0</v>
      </c>
      <c r="K767" s="62"/>
    </row>
    <row r="768" spans="2:11" x14ac:dyDescent="0.3">
      <c r="B768" s="58"/>
      <c r="C768" s="198" t="s">
        <v>37</v>
      </c>
      <c r="D768" s="60"/>
      <c r="E768" s="60"/>
      <c r="F768" s="60"/>
      <c r="G768" s="375" t="s">
        <v>215</v>
      </c>
      <c r="H768" s="375"/>
      <c r="I768" s="60"/>
      <c r="J768" s="271">
        <f t="shared" si="3"/>
        <v>0</v>
      </c>
      <c r="K768" s="62"/>
    </row>
    <row r="769" spans="2:11" x14ac:dyDescent="0.3">
      <c r="B769" s="58"/>
      <c r="C769" s="198" t="s">
        <v>38</v>
      </c>
      <c r="D769" s="60"/>
      <c r="E769" s="60"/>
      <c r="F769" s="60"/>
      <c r="G769" s="375" t="s">
        <v>215</v>
      </c>
      <c r="H769" s="375"/>
      <c r="I769" s="60"/>
      <c r="J769" s="271">
        <f t="shared" si="3"/>
        <v>0</v>
      </c>
      <c r="K769" s="62"/>
    </row>
    <row r="770" spans="2:11" x14ac:dyDescent="0.3">
      <c r="B770" s="58"/>
      <c r="C770" s="198" t="s">
        <v>39</v>
      </c>
      <c r="D770" s="60"/>
      <c r="E770" s="60"/>
      <c r="F770" s="60"/>
      <c r="G770" s="375" t="s">
        <v>215</v>
      </c>
      <c r="H770" s="375"/>
      <c r="I770" s="60"/>
      <c r="J770" s="271">
        <f t="shared" si="3"/>
        <v>0</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1</v>
      </c>
      <c r="K775" s="62"/>
    </row>
    <row r="776" spans="2:11" x14ac:dyDescent="0.3">
      <c r="B776" s="58"/>
      <c r="C776" s="60"/>
      <c r="D776" s="198" t="s">
        <v>392</v>
      </c>
      <c r="E776" s="60"/>
      <c r="F776" s="60"/>
      <c r="G776" s="60"/>
      <c r="H776" s="60"/>
      <c r="I776" s="60"/>
      <c r="J776" s="61">
        <f>AVERAGE(J774,J775)</f>
        <v>0.5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1</v>
      </c>
      <c r="K779" s="62"/>
    </row>
    <row r="780" spans="2:11" x14ac:dyDescent="0.3">
      <c r="B780" s="58"/>
      <c r="C780" s="60"/>
      <c r="D780" s="198" t="s">
        <v>392</v>
      </c>
      <c r="E780" s="60"/>
      <c r="F780" s="60"/>
      <c r="G780" s="60"/>
      <c r="H780" s="60"/>
      <c r="I780" s="60"/>
      <c r="J780" s="61">
        <f>AVERAGE(J778,J779)</f>
        <v>0.5</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0</v>
      </c>
      <c r="K783" s="62"/>
    </row>
    <row r="784" spans="2:11" x14ac:dyDescent="0.3">
      <c r="B784" s="58"/>
      <c r="C784" s="60"/>
      <c r="D784" s="198" t="s">
        <v>392</v>
      </c>
      <c r="E784" s="60"/>
      <c r="F784" s="60"/>
      <c r="G784" s="60"/>
      <c r="H784" s="60"/>
      <c r="I784" s="60"/>
      <c r="J784" s="61">
        <f>AVERAGE(J782,J783)</f>
        <v>0</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1</v>
      </c>
      <c r="K787" s="62"/>
    </row>
    <row r="788" spans="2:11" x14ac:dyDescent="0.3">
      <c r="B788" s="58"/>
      <c r="C788" s="60"/>
      <c r="D788" s="198" t="s">
        <v>392</v>
      </c>
      <c r="E788" s="60"/>
      <c r="F788" s="60"/>
      <c r="G788" s="60"/>
      <c r="H788" s="60"/>
      <c r="I788" s="60"/>
      <c r="J788" s="61">
        <f>AVERAGE(J786,J787)</f>
        <v>0.5</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1</v>
      </c>
      <c r="K791" s="62"/>
    </row>
    <row r="792" spans="2:11" x14ac:dyDescent="0.3">
      <c r="B792" s="58"/>
      <c r="C792" s="60"/>
      <c r="D792" s="198" t="s">
        <v>392</v>
      </c>
      <c r="E792" s="60"/>
      <c r="F792" s="60"/>
      <c r="G792" s="60"/>
      <c r="H792" s="60"/>
      <c r="I792" s="60"/>
      <c r="J792" s="61">
        <f>AVERAGE(J790,J791)</f>
        <v>0.5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1</v>
      </c>
      <c r="K795" s="62"/>
    </row>
    <row r="796" spans="2:11" x14ac:dyDescent="0.3">
      <c r="B796" s="58"/>
      <c r="C796" s="60"/>
      <c r="D796" s="198" t="s">
        <v>392</v>
      </c>
      <c r="E796" s="60"/>
      <c r="F796" s="60"/>
      <c r="G796" s="60"/>
      <c r="H796" s="60"/>
      <c r="I796" s="60"/>
      <c r="J796" s="61">
        <f>AVERAGE(J794,J795)</f>
        <v>0.5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0</v>
      </c>
      <c r="K799" s="62"/>
    </row>
    <row r="800" spans="2:11" x14ac:dyDescent="0.3">
      <c r="B800" s="58"/>
      <c r="C800" s="60"/>
      <c r="D800" s="198" t="s">
        <v>392</v>
      </c>
      <c r="E800" s="60"/>
      <c r="F800" s="60"/>
      <c r="G800" s="60"/>
      <c r="H800" s="60"/>
      <c r="I800" s="60"/>
      <c r="J800" s="61">
        <f>AVERAGE(J798,J799)</f>
        <v>0</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1</v>
      </c>
      <c r="K803" s="62"/>
    </row>
    <row r="804" spans="2:11" x14ac:dyDescent="0.3">
      <c r="B804" s="58"/>
      <c r="C804" s="60"/>
      <c r="D804" s="198" t="s">
        <v>392</v>
      </c>
      <c r="E804" s="60"/>
      <c r="F804" s="60"/>
      <c r="G804" s="60"/>
      <c r="H804" s="60"/>
      <c r="I804" s="60"/>
      <c r="J804" s="61">
        <f>AVERAGE(J802,J803)</f>
        <v>0.5</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0</v>
      </c>
      <c r="K807" s="62"/>
    </row>
    <row r="808" spans="2:11" x14ac:dyDescent="0.3">
      <c r="B808" s="58"/>
      <c r="C808" s="60"/>
      <c r="D808" s="198" t="s">
        <v>392</v>
      </c>
      <c r="E808" s="60"/>
      <c r="F808" s="60"/>
      <c r="G808" s="60"/>
      <c r="H808" s="60"/>
      <c r="I808" s="60"/>
      <c r="J808" s="61">
        <f>AVERAGE(J806,J807)</f>
        <v>0</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0.33333333333333331</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256</v>
      </c>
      <c r="H842" s="351"/>
      <c r="I842" s="86"/>
      <c r="J842" s="84">
        <f>IF(G842=$B$998,$A$998,IF(G842=$B$999,$A$999,IF(G842=$B$1000,$A$1000,IF(G842=$B$1001,$A$1001,IF(G842=$B$1002,$A$1002,"Not Calculated")))))</f>
        <v>1</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255</v>
      </c>
      <c r="H850" s="351"/>
      <c r="I850" s="86"/>
      <c r="J850" s="84">
        <f>IF(G850=$B$998,$A$998,IF(G850=$B$999,$A$999,IF(G850=$B$1000,$A$1000,IF(G850=$B$1001,$A$1001,IF(G850=$B$1002,$A$1002,"Not Calculated")))))</f>
        <v>0</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255</v>
      </c>
      <c r="H866" s="351"/>
      <c r="I866" s="86"/>
      <c r="J866" s="84">
        <f>IF(G866=$B$998,$A$998,IF(G866=$B$999,$A$999,IF(G866=$B$1000,$A$1000,IF(G866=$B$1001,$A$1001,IF(G866=$B$1002,$A$1002,"Not Calculated")))))</f>
        <v>0</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255</v>
      </c>
      <c r="H870" s="351"/>
      <c r="I870" s="86"/>
      <c r="J870" s="84">
        <f>IF(G870=$B$998,$A$998,IF(G870=$B$999,$A$999,IF(G870=$B$1000,$A$1000,IF(G870=$B$1001,$A$1001,IF(G870=$B$1002,$A$1002,"Not Calculated")))))</f>
        <v>0</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254</v>
      </c>
      <c r="H878" s="351"/>
      <c r="I878" s="86"/>
      <c r="J878" s="84">
        <f>IF(G878=$B$998,$A$998,IF(G878=$B$999,$A$999,IF(G878=$B$1000,$A$1000,IF(G878=$B$1001,$A$1001,IF(G878=$B$1002,$A$1002,"Not Calculated")))))</f>
        <v>2</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254</v>
      </c>
      <c r="H886" s="351"/>
      <c r="I886" s="86"/>
      <c r="J886" s="84">
        <f>IF(G886=$B$998,$A$998,IF(G886=$B$999,$A$999,IF(G886=$B$1000,$A$1000,IF(G886=$B$1001,$A$1001,IF(G886=$B$1002,$A$1002,"Not Calculated")))))</f>
        <v>2</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255</v>
      </c>
      <c r="H890" s="351"/>
      <c r="I890" s="86"/>
      <c r="J890" s="84">
        <f>IF(G890=$B$998,$A$998,IF(G890=$B$999,$A$999,IF(G890=$B$1000,$A$1000,IF(G890=$B$1001,$A$1001,IF(G890=$B$1002,$A$1002,"Not Calculated")))))</f>
        <v>0</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256</v>
      </c>
      <c r="H912" s="351"/>
      <c r="I912" s="86"/>
      <c r="J912" s="84">
        <f>IF(G912=$B$998,$A$998,IF(G912=$B$999,$A$999,IF(G912=$B$1000,$A$1000,IF(G912=$B$1001,$A$1001,IF(G912=$B$1002,$A$1002,"Not Calculated")))))</f>
        <v>1</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255</v>
      </c>
      <c r="H916" s="351"/>
      <c r="I916" s="86"/>
      <c r="J916" s="84">
        <f>IF(G916=$B$998,$A$998,IF(G916=$B$999,$A$999,IF(G916=$B$1000,$A$1000,IF(G916=$B$1001,$A$1001,IF(G916=$B$1002,$A$1002,"Not Calculated")))))</f>
        <v>0</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255</v>
      </c>
      <c r="H924" s="351"/>
      <c r="I924" s="86"/>
      <c r="J924" s="84">
        <f>IF(G924=$B$998,$A$998,IF(G924=$B$999,$A$999,IF(G924=$B$1000,$A$1000,IF(G924=$B$1001,$A$1001,IF(G924=$B$1002,$A$1002,"Not Calculated")))))</f>
        <v>0</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254</v>
      </c>
      <c r="H928" s="351"/>
      <c r="I928" s="86"/>
      <c r="J928" s="84">
        <f>IF(G928=$B$998,$A$998,IF(G928=$B$999,$A$999,IF(G928=$B$1000,$A$1000,IF(G928=$B$1001,$A$1001,IF(G928=$B$1002,$A$1002,"Not Calculated")))))</f>
        <v>2</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255</v>
      </c>
      <c r="H932" s="351"/>
      <c r="I932" s="86"/>
      <c r="J932" s="84">
        <f>IF(G932=$B$998,$A$998,IF(G932=$B$999,$A$999,IF(G932=$B$1000,$A$1000,IF(G932=$B$1001,$A$1001,IF(G932=$B$1002,$A$1002,"Not Calculated")))))</f>
        <v>0</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886</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45" customHeight="1" x14ac:dyDescent="0.3">
      <c r="B1006" s="340" t="s">
        <v>889</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825</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890</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15" customHeight="1" x14ac:dyDescent="0.3">
      <c r="B1012" s="340"/>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C347:J347"/>
    <mergeCell ref="B5:K5"/>
    <mergeCell ref="B6:K6"/>
    <mergeCell ref="B7:K7"/>
    <mergeCell ref="B8:K8"/>
    <mergeCell ref="B9:K9"/>
    <mergeCell ref="B10:K10"/>
    <mergeCell ref="C292:I293"/>
    <mergeCell ref="C311:I312"/>
    <mergeCell ref="C340:I341"/>
    <mergeCell ref="C305:J305"/>
    <mergeCell ref="C324:J324"/>
    <mergeCell ref="C330:I331"/>
    <mergeCell ref="D343:I344"/>
    <mergeCell ref="C176:J176"/>
    <mergeCell ref="C196:J196"/>
    <mergeCell ref="C155:J155"/>
    <mergeCell ref="C120:J122"/>
    <mergeCell ref="C123:J124"/>
    <mergeCell ref="C129:J129"/>
    <mergeCell ref="C95:J95"/>
    <mergeCell ref="C114:J114"/>
    <mergeCell ref="C76:J76"/>
    <mergeCell ref="C455:J455"/>
    <mergeCell ref="C402:J402"/>
    <mergeCell ref="C416:J416"/>
    <mergeCell ref="C438:J438"/>
    <mergeCell ref="C444:I445"/>
    <mergeCell ref="C391:I392"/>
    <mergeCell ref="C257:J257"/>
    <mergeCell ref="C237:J237"/>
    <mergeCell ref="C216:J216"/>
    <mergeCell ref="C420:I421"/>
    <mergeCell ref="C385:J385"/>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200-000000000000}">
      <formula1>$C$966:$C$970</formula1>
    </dataValidation>
    <dataValidation type="list" allowBlank="1" showInputMessage="1" showErrorMessage="1" sqref="G834:H834 G838:H838 G842:H842 G846:H846 G850:H850 G854:H854 G858:H858 G862:H862 G866:H866 G870:H870 G874:H874 G878:H878 G882:H882 G886:H886 G890:H890 G904:H904 G908:H908 G912:H912 G916:H916 G920:H920 G924:H924 G928:H928 G932:H932" xr:uid="{00000000-0002-0000-1200-000001000000}">
      <formula1>$B$998:$B$1002</formula1>
    </dataValidation>
    <dataValidation type="list" allowBlank="1" showInputMessage="1" showErrorMessage="1" sqref="G717:H725 G762:H770 G732:H740 G747:H755" xr:uid="{00000000-0002-0000-1200-000002000000}">
      <formula1>$B$994:$B$995</formula1>
    </dataValidation>
    <dataValidation type="list" allowBlank="1" showInputMessage="1" showErrorMessage="1" sqref="J302 J362" xr:uid="{00000000-0002-0000-1200-000003000000}">
      <formula1>$B$980:$B$984</formula1>
    </dataValidation>
    <dataValidation type="list" allowBlank="1" showInputMessage="1" showErrorMessage="1" sqref="C123:J124" xr:uid="{00000000-0002-0000-1200-000004000000}">
      <formula1>$B$987:$B$991</formula1>
    </dataValidation>
    <dataValidation type="list" allowBlank="1" showInputMessage="1" showErrorMessage="1" sqref="J35 J234 J630 J674 J596 J580 J557 J532 J515 J499 J468 J452 J435 J254 J73 J92 J111 J126 J152 J173 J193 J54 J213 J652 J283" xr:uid="{00000000-0002-0000-1200-000005000000}">
      <formula1>$B$973:$B$977</formula1>
    </dataValidation>
    <dataValidation type="list" allowBlank="1" showInputMessage="1" showErrorMessage="1" sqref="J33" xr:uid="{00000000-0002-0000-1200-000006000000}">
      <formula1>$N$32:$N$37</formula1>
    </dataValidation>
    <dataValidation type="list" allowBlank="1" showInputMessage="1" showErrorMessage="1" sqref="J52" xr:uid="{00000000-0002-0000-1200-000007000000}">
      <formula1>$N$51:$N$56</formula1>
    </dataValidation>
    <dataValidation type="list" allowBlank="1" showInputMessage="1" showErrorMessage="1" sqref="J71" xr:uid="{00000000-0002-0000-1200-000008000000}">
      <formula1>$N$70:$N$75</formula1>
    </dataValidation>
    <dataValidation type="list" allowBlank="1" showInputMessage="1" showErrorMessage="1" sqref="J90" xr:uid="{00000000-0002-0000-1200-000009000000}">
      <formula1>$N$89:$N$94</formula1>
    </dataValidation>
    <dataValidation type="list" allowBlank="1" showInputMessage="1" showErrorMessage="1" sqref="J109" xr:uid="{00000000-0002-0000-1200-00000A000000}">
      <formula1>$N$108:$N$113</formula1>
    </dataValidation>
    <dataValidation type="list" allowBlank="1" showInputMessage="1" showErrorMessage="1" sqref="J150" xr:uid="{00000000-0002-0000-1200-00000B000000}">
      <formula1>$N$149:$N$154</formula1>
    </dataValidation>
    <dataValidation type="list" allowBlank="1" showInputMessage="1" showErrorMessage="1" sqref="J171" xr:uid="{00000000-0002-0000-1200-00000C000000}">
      <formula1>$N$170:$N$175</formula1>
    </dataValidation>
    <dataValidation type="list" allowBlank="1" showInputMessage="1" showErrorMessage="1" sqref="J191" xr:uid="{00000000-0002-0000-1200-00000D000000}">
      <formula1>$N$190:$N$195</formula1>
    </dataValidation>
    <dataValidation type="list" allowBlank="1" showInputMessage="1" showErrorMessage="1" sqref="J211" xr:uid="{00000000-0002-0000-1200-00000E000000}">
      <formula1>$N$210:$N$215</formula1>
    </dataValidation>
    <dataValidation type="list" allowBlank="1" showInputMessage="1" showErrorMessage="1" sqref="J232" xr:uid="{00000000-0002-0000-1200-00000F000000}">
      <formula1>$N$231:$N$236</formula1>
    </dataValidation>
    <dataValidation type="list" allowBlank="1" showInputMessage="1" showErrorMessage="1" sqref="J252" xr:uid="{00000000-0002-0000-1200-000010000000}">
      <formula1>$N$251:$N$256</formula1>
    </dataValidation>
    <dataValidation type="list" allowBlank="1" showInputMessage="1" showErrorMessage="1" sqref="J281" xr:uid="{00000000-0002-0000-1200-000011000000}">
      <formula1>$N$280:$N$285</formula1>
    </dataValidation>
    <dataValidation type="list" allowBlank="1" showInputMessage="1" showErrorMessage="1" sqref="J555" xr:uid="{00000000-0002-0000-1200-000012000000}">
      <formula1>$N$554:$N$559</formula1>
    </dataValidation>
    <dataValidation type="list" allowBlank="1" showInputMessage="1" showErrorMessage="1" sqref="J578" xr:uid="{00000000-0002-0000-1200-000013000000}">
      <formula1>$N$577:$N$582</formula1>
    </dataValidation>
    <dataValidation type="list" allowBlank="1" showInputMessage="1" showErrorMessage="1" sqref="J628" xr:uid="{00000000-0002-0000-1200-000014000000}">
      <formula1>$N$627:$N$632</formula1>
    </dataValidation>
    <dataValidation type="list" allowBlank="1" showInputMessage="1" showErrorMessage="1" sqref="J650" xr:uid="{00000000-0002-0000-1200-000015000000}">
      <formula1>$N$649:$N$654</formula1>
    </dataValidation>
    <dataValidation type="list" allowBlank="1" showInputMessage="1" showErrorMessage="1" sqref="J672" xr:uid="{00000000-0002-0000-1200-000016000000}">
      <formula1>$N$671:$N$676</formula1>
    </dataValidation>
  </dataValidations>
  <pageMargins left="0.7" right="0.7"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12</v>
      </c>
      <c r="I3" s="30"/>
      <c r="L3" s="160"/>
      <c r="M3" s="160"/>
    </row>
    <row r="4" spans="2:13" x14ac:dyDescent="0.3">
      <c r="G4" s="99"/>
      <c r="I4" s="30"/>
      <c r="L4" s="161"/>
      <c r="M4" s="160"/>
    </row>
    <row r="5" spans="2:13" ht="195" customHeight="1" x14ac:dyDescent="0.3">
      <c r="B5" s="370" t="s">
        <v>891</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29.25" customHeight="1" x14ac:dyDescent="0.3">
      <c r="B10" s="343" t="s">
        <v>893</v>
      </c>
      <c r="C10" s="344"/>
      <c r="D10" s="344"/>
      <c r="E10" s="344"/>
      <c r="F10" s="344"/>
      <c r="G10" s="344"/>
      <c r="H10" s="344"/>
      <c r="I10" s="344"/>
      <c r="J10" s="344"/>
      <c r="K10" s="34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262</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4</v>
      </c>
      <c r="F17" s="166"/>
      <c r="G17" s="166"/>
      <c r="H17" s="166"/>
      <c r="I17" s="166"/>
      <c r="J17" s="166"/>
      <c r="K17" s="168"/>
    </row>
    <row r="18" spans="2:14" x14ac:dyDescent="0.3">
      <c r="B18" s="165"/>
      <c r="C18" s="166"/>
      <c r="D18" s="166"/>
      <c r="E18" s="170" t="str">
        <f>IF(E15=$C$966,$B$966,IF(E15=$C$967,$B$967,IF(E15=$C$968,$B$968,IF(E15=$C$969,$B$969,IF(E15=$C$970,$B$970,"Not Calculated")))))</f>
        <v>Frequent</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1015</v>
      </c>
      <c r="K35" s="42"/>
      <c r="N35" s="12" t="s">
        <v>1043</v>
      </c>
    </row>
    <row r="36" spans="2:14" x14ac:dyDescent="0.3">
      <c r="B36" s="39"/>
      <c r="C36" s="41" t="s">
        <v>280</v>
      </c>
      <c r="D36" s="41"/>
      <c r="E36" s="41"/>
      <c r="F36" s="41"/>
      <c r="G36" s="41"/>
      <c r="H36" s="41"/>
      <c r="I36" s="41"/>
      <c r="J36" s="256">
        <f>IF(J35=$B$973,$A$973,IF(J35=$B$974,$A$974,IF(J35=$B$975,$A$975,IF(J35=$B$976,$A$976,IF(J35=$B$977,$A$977,"Not Calculated")))))</f>
        <v>0</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0</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3</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t="s">
        <v>895</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3</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6">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t="s">
        <v>895</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896</v>
      </c>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264</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0</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0</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0.33333333333333331</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1015</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0</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0.66666666666666663</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3</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1027</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1</v>
      </c>
      <c r="K194" s="42"/>
      <c r="N194" s="12" t="s">
        <v>1048</v>
      </c>
    </row>
    <row r="195" spans="2:14" x14ac:dyDescent="0.3">
      <c r="B195" s="39"/>
      <c r="C195" s="41" t="s">
        <v>1038</v>
      </c>
      <c r="D195" s="41"/>
      <c r="E195" s="41"/>
      <c r="F195" s="41"/>
      <c r="G195" s="41"/>
      <c r="H195" s="41"/>
      <c r="I195" s="41"/>
      <c r="J195" s="41"/>
      <c r="K195" s="42"/>
      <c r="N195" s="12" t="s">
        <v>1049</v>
      </c>
    </row>
    <row r="196" spans="2:14" ht="15" customHeight="1" x14ac:dyDescent="0.3">
      <c r="B196" s="39"/>
      <c r="C196" s="343" t="s">
        <v>895</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15" customHeight="1" x14ac:dyDescent="0.3">
      <c r="B257" s="39"/>
      <c r="C257" s="343"/>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3</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1027</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1</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0.5</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ht="15" customHeight="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1.3125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6">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6">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6">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30" customHeight="1" x14ac:dyDescent="0.3">
      <c r="B502" s="39"/>
      <c r="C502" s="386" t="s">
        <v>899</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250</v>
      </c>
      <c r="K508" s="42"/>
    </row>
    <row r="509" spans="2:11" x14ac:dyDescent="0.3">
      <c r="B509" s="39"/>
      <c r="C509" s="41" t="s">
        <v>279</v>
      </c>
      <c r="D509" s="41"/>
      <c r="E509" s="41"/>
      <c r="F509" s="41"/>
      <c r="G509" s="41"/>
      <c r="H509" s="41"/>
      <c r="I509" s="41"/>
      <c r="J509" s="259">
        <f>IF(J508&lt;=0,0,IF(J508&lt;=1000,1,IF(J508&lt;=5000,2,IF(J508&lt;=25000,3,4))))</f>
        <v>1</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1017</v>
      </c>
      <c r="K515" s="42"/>
    </row>
    <row r="516" spans="2:11" x14ac:dyDescent="0.3">
      <c r="B516" s="39"/>
      <c r="C516" s="41" t="s">
        <v>280</v>
      </c>
      <c r="D516" s="41"/>
      <c r="E516" s="41"/>
      <c r="F516" s="41"/>
      <c r="G516" s="41"/>
      <c r="H516" s="41"/>
      <c r="I516" s="41"/>
      <c r="J516" s="256">
        <f>IF(J515=$B$973,$A$973,IF(J515=$B$974,$A$974,IF(J515=$B$975,$A$975,IF(J515=$B$976,$A$976,IF(J515=$B$977,$A$977,"Not Calculated")))))</f>
        <v>2</v>
      </c>
      <c r="K516" s="42"/>
    </row>
    <row r="517" spans="2:11" x14ac:dyDescent="0.3">
      <c r="B517" s="39"/>
      <c r="C517" s="41" t="s">
        <v>1038</v>
      </c>
      <c r="D517" s="41"/>
      <c r="E517" s="41"/>
      <c r="F517" s="41"/>
      <c r="G517" s="41"/>
      <c r="H517" s="41"/>
      <c r="I517" s="41"/>
      <c r="J517" s="41"/>
      <c r="K517" s="42"/>
    </row>
    <row r="518" spans="2:11" ht="30" customHeight="1" x14ac:dyDescent="0.3">
      <c r="B518" s="39"/>
      <c r="C518" s="343" t="s">
        <v>897</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1.5</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1018</v>
      </c>
      <c r="K532" s="42"/>
    </row>
    <row r="533" spans="2:11" x14ac:dyDescent="0.3">
      <c r="B533" s="39"/>
      <c r="C533" s="41" t="s">
        <v>280</v>
      </c>
      <c r="D533" s="41"/>
      <c r="E533" s="41"/>
      <c r="F533" s="41"/>
      <c r="G533" s="41"/>
      <c r="H533" s="41"/>
      <c r="I533" s="41"/>
      <c r="J533" s="256">
        <f>IF(J532=$B$973,$A$973,IF(J532=$B$974,$A$974,IF(J532=$B$975,$A$975,IF(J532=$B$976,$A$976,IF(J532=$B$977,$A$977,"Not Calculated")))))</f>
        <v>3</v>
      </c>
      <c r="K533" s="42"/>
    </row>
    <row r="534" spans="2:11" x14ac:dyDescent="0.3">
      <c r="B534" s="39"/>
      <c r="C534" s="41" t="s">
        <v>1038</v>
      </c>
      <c r="D534" s="41"/>
      <c r="E534" s="41"/>
      <c r="F534" s="41"/>
      <c r="G534" s="41"/>
      <c r="H534" s="41"/>
      <c r="I534" s="41"/>
      <c r="J534" s="41"/>
      <c r="K534" s="42"/>
    </row>
    <row r="535" spans="2:11" ht="45" customHeight="1" x14ac:dyDescent="0.3">
      <c r="B535" s="39"/>
      <c r="C535" s="343" t="s">
        <v>545</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0.5</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1015</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0</v>
      </c>
      <c r="K581" s="42"/>
      <c r="N581" s="12" t="s">
        <v>1044</v>
      </c>
    </row>
    <row r="582" spans="2:14" x14ac:dyDescent="0.3">
      <c r="B582" s="39"/>
      <c r="C582" s="41" t="s">
        <v>1038</v>
      </c>
      <c r="D582" s="41"/>
      <c r="E582" s="41"/>
      <c r="F582" s="41"/>
      <c r="G582" s="41"/>
      <c r="H582" s="41"/>
      <c r="I582" s="41"/>
      <c r="J582" s="41"/>
      <c r="K582" s="42"/>
      <c r="N582" s="12" t="s">
        <v>1045</v>
      </c>
    </row>
    <row r="583" spans="2:14" ht="15" customHeight="1" x14ac:dyDescent="0.3">
      <c r="B583" s="39"/>
      <c r="C583" s="343"/>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60" customHeight="1" x14ac:dyDescent="0.3">
      <c r="B655" s="39"/>
      <c r="C655" s="343" t="s">
        <v>546</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1015</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0</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ht="15" customHeight="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255</v>
      </c>
      <c r="H850" s="351"/>
      <c r="I850" s="86"/>
      <c r="J850" s="84">
        <f>IF(G850=$B$998,$A$998,IF(G850=$B$999,$A$999,IF(G850=$B$1000,$A$1000,IF(G850=$B$1001,$A$1001,IF(G850=$B$1002,$A$1002,"Not Calculated")))))</f>
        <v>0</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255</v>
      </c>
      <c r="H870" s="351"/>
      <c r="I870" s="86"/>
      <c r="J870" s="84">
        <f>IF(G870=$B$998,$A$998,IF(G870=$B$999,$A$999,IF(G870=$B$1000,$A$1000,IF(G870=$B$1001,$A$1001,IF(G870=$B$1002,$A$1002,"Not Calculated")))))</f>
        <v>0</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255</v>
      </c>
      <c r="H886" s="351"/>
      <c r="I886" s="86"/>
      <c r="J886" s="84">
        <f>IF(G886=$B$998,$A$998,IF(G886=$B$999,$A$999,IF(G886=$B$1000,$A$1000,IF(G886=$B$1001,$A$1001,IF(G886=$B$1002,$A$1002,"Not Calculated")))))</f>
        <v>0</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254</v>
      </c>
      <c r="H890" s="351"/>
      <c r="I890" s="86"/>
      <c r="J890" s="84">
        <f>IF(G890=$B$998,$A$998,IF(G890=$B$999,$A$999,IF(G890=$B$1000,$A$1000,IF(G890=$B$1001,$A$1001,IF(G890=$B$1002,$A$1002,"Not Calculated")))))</f>
        <v>2</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255</v>
      </c>
      <c r="H916" s="351"/>
      <c r="I916" s="86"/>
      <c r="J916" s="84">
        <f>IF(G916=$B$998,$A$998,IF(G916=$B$999,$A$999,IF(G916=$B$1000,$A$1000,IF(G916=$B$1001,$A$1001,IF(G916=$B$1002,$A$1002,"Not Calculated")))))</f>
        <v>0</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255</v>
      </c>
      <c r="H924" s="351"/>
      <c r="I924" s="86"/>
      <c r="J924" s="84">
        <f>IF(G924=$B$998,$A$998,IF(G924=$B$999,$A$999,IF(G924=$B$1000,$A$1000,IF(G924=$B$1001,$A$1001,IF(G924=$B$1002,$A$1002,"Not Calculated")))))</f>
        <v>0</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255</v>
      </c>
      <c r="H928" s="351"/>
      <c r="I928" s="86"/>
      <c r="J928" s="84">
        <f>IF(G928=$B$998,$A$998,IF(G928=$B$999,$A$999,IF(G928=$B$1000,$A$1000,IF(G928=$B$1001,$A$1001,IF(G928=$B$1002,$A$1002,"Not Calculated")))))</f>
        <v>0</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254</v>
      </c>
      <c r="H932" s="351"/>
      <c r="I932" s="86"/>
      <c r="J932" s="84">
        <f>IF(G932=$B$998,$A$998,IF(G932=$B$999,$A$999,IF(G932=$B$1000,$A$1000,IF(G932=$B$1001,$A$1001,IF(G932=$B$1002,$A$1002,"Not Calculated")))))</f>
        <v>2</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886</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30" customHeight="1" x14ac:dyDescent="0.3">
      <c r="B1006" s="340" t="s">
        <v>894</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892</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898</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15" customHeight="1" x14ac:dyDescent="0.3">
      <c r="B1012" s="340"/>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02:J402"/>
    <mergeCell ref="C416:J416"/>
    <mergeCell ref="C438:J438"/>
    <mergeCell ref="C444:I445"/>
    <mergeCell ref="C391:I392"/>
    <mergeCell ref="C257:J257"/>
    <mergeCell ref="C237:J237"/>
    <mergeCell ref="C216:J216"/>
    <mergeCell ref="C292:I293"/>
    <mergeCell ref="C311:I312"/>
    <mergeCell ref="C340:I341"/>
    <mergeCell ref="C305:J305"/>
    <mergeCell ref="C324:J324"/>
    <mergeCell ref="C330:I331"/>
    <mergeCell ref="C420:I421"/>
    <mergeCell ref="C385:J385"/>
    <mergeCell ref="D343:I344"/>
    <mergeCell ref="C347:J347"/>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3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300-000001000000}">
      <formula1>$B$998:$B$1002</formula1>
    </dataValidation>
    <dataValidation type="list" allowBlank="1" showInputMessage="1" showErrorMessage="1" sqref="G717:H725 G762:H770 G732:H740 G747:H755" xr:uid="{00000000-0002-0000-1300-000002000000}">
      <formula1>$B$994:$B$995</formula1>
    </dataValidation>
    <dataValidation type="list" allowBlank="1" showInputMessage="1" showErrorMessage="1" sqref="J302 J362" xr:uid="{00000000-0002-0000-1300-000003000000}">
      <formula1>$B$980:$B$984</formula1>
    </dataValidation>
    <dataValidation type="list" allowBlank="1" showInputMessage="1" showErrorMessage="1" sqref="C123:J124" xr:uid="{00000000-0002-0000-1300-000004000000}">
      <formula1>$B$987:$B$991</formula1>
    </dataValidation>
    <dataValidation type="list" allowBlank="1" showInputMessage="1" showErrorMessage="1" sqref="J35 J213 J283 J652 J234 J54 J193 J173 J152 J126 J111 J92 J73 J254 J435 J452 J468 J499 J515 J532 J557 J580 J596 J674 J630" xr:uid="{00000000-0002-0000-1300-000005000000}">
      <formula1>$B$973:$B$977</formula1>
    </dataValidation>
    <dataValidation type="list" allowBlank="1" showInputMessage="1" showErrorMessage="1" sqref="J33" xr:uid="{00000000-0002-0000-1300-000006000000}">
      <formula1>$N$32:$N$37</formula1>
    </dataValidation>
    <dataValidation type="list" allowBlank="1" showInputMessage="1" showErrorMessage="1" sqref="J52" xr:uid="{00000000-0002-0000-1300-000007000000}">
      <formula1>$N$51:$N$56</formula1>
    </dataValidation>
    <dataValidation type="list" allowBlank="1" showInputMessage="1" showErrorMessage="1" sqref="J71" xr:uid="{00000000-0002-0000-1300-000008000000}">
      <formula1>$N$70:$N$75</formula1>
    </dataValidation>
    <dataValidation type="list" allowBlank="1" showInputMessage="1" showErrorMessage="1" sqref="J90" xr:uid="{00000000-0002-0000-1300-000009000000}">
      <formula1>$N$89:$N$94</formula1>
    </dataValidation>
    <dataValidation type="list" allowBlank="1" showInputMessage="1" showErrorMessage="1" sqref="J109" xr:uid="{00000000-0002-0000-1300-00000A000000}">
      <formula1>$N$108:$N$113</formula1>
    </dataValidation>
    <dataValidation type="list" allowBlank="1" showInputMessage="1" showErrorMessage="1" sqref="J150" xr:uid="{00000000-0002-0000-1300-00000B000000}">
      <formula1>$N$149:$N$154</formula1>
    </dataValidation>
    <dataValidation type="list" allowBlank="1" showInputMessage="1" showErrorMessage="1" sqref="J171" xr:uid="{00000000-0002-0000-1300-00000C000000}">
      <formula1>$N$170:$N$175</formula1>
    </dataValidation>
    <dataValidation type="list" allowBlank="1" showInputMessage="1" showErrorMessage="1" sqref="J191" xr:uid="{00000000-0002-0000-1300-00000D000000}">
      <formula1>$N$190:$N$195</formula1>
    </dataValidation>
    <dataValidation type="list" allowBlank="1" showInputMessage="1" showErrorMessage="1" sqref="J211" xr:uid="{00000000-0002-0000-1300-00000E000000}">
      <formula1>$N$210:$N$215</formula1>
    </dataValidation>
    <dataValidation type="list" allowBlank="1" showInputMessage="1" showErrorMessage="1" sqref="J232" xr:uid="{00000000-0002-0000-1300-00000F000000}">
      <formula1>$N$231:$N$236</formula1>
    </dataValidation>
    <dataValidation type="list" allowBlank="1" showInputMessage="1" showErrorMessage="1" sqref="J252" xr:uid="{00000000-0002-0000-1300-000010000000}">
      <formula1>$N$251:$N$256</formula1>
    </dataValidation>
    <dataValidation type="list" allowBlank="1" showInputMessage="1" showErrorMessage="1" sqref="J281" xr:uid="{00000000-0002-0000-1300-000011000000}">
      <formula1>$N$280:$N$285</formula1>
    </dataValidation>
    <dataValidation type="list" allowBlank="1" showInputMessage="1" showErrorMessage="1" sqref="J555" xr:uid="{00000000-0002-0000-1300-000012000000}">
      <formula1>$N$554:$N$559</formula1>
    </dataValidation>
    <dataValidation type="list" allowBlank="1" showInputMessage="1" showErrorMessage="1" sqref="J578" xr:uid="{00000000-0002-0000-1300-000013000000}">
      <formula1>$N$577:$N$582</formula1>
    </dataValidation>
    <dataValidation type="list" allowBlank="1" showInputMessage="1" showErrorMessage="1" sqref="J628" xr:uid="{00000000-0002-0000-1300-000014000000}">
      <formula1>$N$627:$N$632</formula1>
    </dataValidation>
    <dataValidation type="list" allowBlank="1" showInputMessage="1" showErrorMessage="1" sqref="J650" xr:uid="{00000000-0002-0000-1300-000015000000}">
      <formula1>$N$649:$N$654</formula1>
    </dataValidation>
    <dataValidation type="list" allowBlank="1" showInputMessage="1" showErrorMessage="1" sqref="J672" xr:uid="{00000000-0002-0000-1300-000016000000}">
      <formula1>$N$671:$N$676</formula1>
    </dataValidation>
  </dataValidations>
  <pageMargins left="0.7" right="0.7" top="0.75" bottom="0.75" header="0.3" footer="0.3"/>
  <pageSetup scale="7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4</v>
      </c>
      <c r="I3" s="30"/>
      <c r="L3" s="160"/>
      <c r="M3" s="160"/>
    </row>
    <row r="4" spans="2:13" x14ac:dyDescent="0.3">
      <c r="G4" s="99"/>
      <c r="I4" s="30"/>
      <c r="L4" s="161"/>
      <c r="M4" s="160"/>
    </row>
    <row r="5" spans="2:13" ht="75" customHeight="1" x14ac:dyDescent="0.3">
      <c r="B5" s="407" t="s">
        <v>779</v>
      </c>
      <c r="C5" s="320"/>
      <c r="D5" s="320"/>
      <c r="E5" s="320"/>
      <c r="F5" s="320"/>
      <c r="G5" s="320"/>
      <c r="H5" s="320"/>
      <c r="I5" s="320"/>
      <c r="J5" s="320"/>
      <c r="K5" s="320"/>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30" customHeight="1" x14ac:dyDescent="0.3">
      <c r="B10" s="383" t="s">
        <v>780</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262</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4</v>
      </c>
      <c r="F17" s="166"/>
      <c r="G17" s="166"/>
      <c r="H17" s="166"/>
      <c r="I17" s="166"/>
      <c r="J17" s="166"/>
      <c r="K17" s="168"/>
    </row>
    <row r="18" spans="2:14" x14ac:dyDescent="0.3">
      <c r="B18" s="165"/>
      <c r="C18" s="166"/>
      <c r="D18" s="166"/>
      <c r="E18" s="170" t="str">
        <f>IF(E15=$C$966,$B$966,IF(E15=$C$967,$B$967,IF(E15=$C$968,$B$968,IF(E15=$C$969,$B$969,IF(E15=$C$970,$B$970,"Not Calculated")))))</f>
        <v>Frequent</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1</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6">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524</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J44*1.52</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506</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J63*0.33</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6">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507</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265</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1</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2.5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1.0833333333333333</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J140/2</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t="s">
        <v>509</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2</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1015</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0</v>
      </c>
      <c r="K194" s="42"/>
      <c r="N194" s="12" t="s">
        <v>1048</v>
      </c>
    </row>
    <row r="195" spans="2:14" x14ac:dyDescent="0.3">
      <c r="B195" s="39"/>
      <c r="C195" s="41" t="s">
        <v>1038</v>
      </c>
      <c r="D195" s="41"/>
      <c r="E195" s="41"/>
      <c r="F195" s="41"/>
      <c r="G195" s="41"/>
      <c r="H195" s="41"/>
      <c r="I195" s="41"/>
      <c r="J195" s="41"/>
      <c r="K195" s="42"/>
      <c r="N195" s="12" t="s">
        <v>1049</v>
      </c>
    </row>
    <row r="196" spans="2:14" ht="60" customHeight="1" x14ac:dyDescent="0.3">
      <c r="B196" s="39"/>
      <c r="C196" s="343" t="s">
        <v>510</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J202/2</f>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1017</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2</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511</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1017</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2</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J243/2</f>
        <v>0</v>
      </c>
      <c r="K244" s="42"/>
    </row>
    <row r="245" spans="2:14" x14ac:dyDescent="0.3">
      <c r="B245" s="39"/>
      <c r="C245" s="41" t="s">
        <v>380</v>
      </c>
      <c r="D245" s="305"/>
      <c r="E245" s="305"/>
      <c r="F245" s="305"/>
      <c r="G245" s="305"/>
      <c r="H245" s="305"/>
      <c r="I245" s="305"/>
      <c r="J245" s="275">
        <f>-(J243/2)</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512</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J268/2</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1017</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2</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t="s">
        <v>513</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30" customHeight="1" x14ac:dyDescent="0.3">
      <c r="B324" s="39"/>
      <c r="C324" s="343" t="s">
        <v>515</v>
      </c>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f>'Baseline Health'!$G$102/2</f>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1</v>
      </c>
      <c r="K382" s="42"/>
    </row>
    <row r="383" spans="2:11" x14ac:dyDescent="0.3">
      <c r="B383" s="39"/>
      <c r="C383" s="41" t="s">
        <v>280</v>
      </c>
      <c r="D383" s="41"/>
      <c r="E383" s="41"/>
      <c r="F383" s="41"/>
      <c r="G383" s="41"/>
      <c r="H383" s="41"/>
      <c r="I383" s="41"/>
      <c r="J383" s="259">
        <f>IF((J382-J381)&lt;1,0,IF((J382-J381)&lt;3,1,IF((J382-J381)&lt;5,2,IF((J382-J381)&lt;7,3,4))))</f>
        <v>1</v>
      </c>
      <c r="K383" s="42"/>
    </row>
    <row r="384" spans="2:11" x14ac:dyDescent="0.3">
      <c r="B384" s="39"/>
      <c r="C384" s="41" t="s">
        <v>1038</v>
      </c>
      <c r="D384" s="41"/>
      <c r="E384" s="41"/>
      <c r="F384" s="41"/>
      <c r="G384" s="41"/>
      <c r="H384" s="41"/>
      <c r="I384" s="41"/>
      <c r="J384" s="41"/>
      <c r="K384" s="42"/>
    </row>
    <row r="385" spans="2:11" ht="15" customHeight="1" x14ac:dyDescent="0.3">
      <c r="B385" s="39"/>
      <c r="C385" s="343" t="s">
        <v>516</v>
      </c>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0.5</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1.4375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6">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45" customHeight="1" x14ac:dyDescent="0.3">
      <c r="B438" s="39"/>
      <c r="C438" s="343" t="s">
        <v>514</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f>100*14/61</f>
        <v>22.950819672131146</v>
      </c>
      <c r="K445" s="42"/>
    </row>
    <row r="446" spans="2:11" x14ac:dyDescent="0.3">
      <c r="B446" s="39"/>
      <c r="C446" s="41" t="s">
        <v>279</v>
      </c>
      <c r="D446" s="41"/>
      <c r="E446" s="41"/>
      <c r="F446" s="41"/>
      <c r="G446" s="41"/>
      <c r="H446" s="41"/>
      <c r="I446" s="41"/>
      <c r="J446" s="259">
        <f>IF(J445&lt;=0,0,IF(J445&lt;=1,1,IF(J445&lt;=5,2,IF(J445&lt;=10,3,4))))</f>
        <v>4</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1017</v>
      </c>
      <c r="K452" s="42"/>
    </row>
    <row r="453" spans="2:11" x14ac:dyDescent="0.3">
      <c r="B453" s="39"/>
      <c r="C453" s="41" t="s">
        <v>280</v>
      </c>
      <c r="D453" s="41"/>
      <c r="E453" s="41"/>
      <c r="F453" s="41"/>
      <c r="G453" s="41"/>
      <c r="H453" s="41"/>
      <c r="I453" s="41"/>
      <c r="J453" s="256">
        <f>IF(J452=$B$973,$A$973,IF(J452=$B$974,$A$974,IF(J452=$B$975,$A$975,IF(J452=$B$976,$A$976,IF(J452=$B$977,$A$977,"Not Calculated")))))</f>
        <v>2</v>
      </c>
      <c r="K453" s="42"/>
    </row>
    <row r="454" spans="2:11" x14ac:dyDescent="0.3">
      <c r="B454" s="39"/>
      <c r="C454" s="41" t="s">
        <v>1038</v>
      </c>
      <c r="D454" s="41"/>
      <c r="E454" s="41"/>
      <c r="F454" s="41"/>
      <c r="G454" s="41"/>
      <c r="H454" s="41"/>
      <c r="I454" s="41"/>
      <c r="J454" s="41"/>
      <c r="K454" s="42"/>
    </row>
    <row r="455" spans="2:11" ht="45" customHeight="1" x14ac:dyDescent="0.3">
      <c r="B455" s="39"/>
      <c r="C455" s="343" t="s">
        <v>517</v>
      </c>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3</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2</v>
      </c>
      <c r="K478" s="42"/>
    </row>
    <row r="479" spans="2:11" x14ac:dyDescent="0.3">
      <c r="B479" s="39"/>
      <c r="C479" s="41" t="s">
        <v>280</v>
      </c>
      <c r="D479" s="41"/>
      <c r="E479" s="41"/>
      <c r="F479" s="41"/>
      <c r="G479" s="41"/>
      <c r="H479" s="41"/>
      <c r="I479" s="41"/>
      <c r="J479" s="256">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t="s">
        <v>547</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6">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500</v>
      </c>
      <c r="K508" s="42"/>
    </row>
    <row r="509" spans="2:11" x14ac:dyDescent="0.3">
      <c r="B509" s="39"/>
      <c r="C509" s="41" t="s">
        <v>279</v>
      </c>
      <c r="D509" s="41"/>
      <c r="E509" s="41"/>
      <c r="F509" s="41"/>
      <c r="G509" s="41"/>
      <c r="H509" s="41"/>
      <c r="I509" s="41"/>
      <c r="J509" s="259">
        <f>IF(J508&lt;=0,0,IF(J508&lt;=1000,1,IF(J508&lt;=5000,2,IF(J508&lt;=25000,3,4))))</f>
        <v>1</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1018</v>
      </c>
      <c r="K515" s="42"/>
    </row>
    <row r="516" spans="2:11" x14ac:dyDescent="0.3">
      <c r="B516" s="39"/>
      <c r="C516" s="41" t="s">
        <v>280</v>
      </c>
      <c r="D516" s="41"/>
      <c r="E516" s="41"/>
      <c r="F516" s="41"/>
      <c r="G516" s="41"/>
      <c r="H516" s="41"/>
      <c r="I516" s="41"/>
      <c r="J516" s="256">
        <f>IF(J515=$B$973,$A$973,IF(J515=$B$974,$A$974,IF(J515=$B$975,$A$975,IF(J515=$B$976,$A$976,IF(J515=$B$977,$A$977,"Not Calculated")))))</f>
        <v>3</v>
      </c>
      <c r="K516" s="42"/>
    </row>
    <row r="517" spans="2:11" x14ac:dyDescent="0.3">
      <c r="B517" s="39"/>
      <c r="C517" s="41" t="s">
        <v>1038</v>
      </c>
      <c r="D517" s="41"/>
      <c r="E517" s="41"/>
      <c r="F517" s="41"/>
      <c r="G517" s="41"/>
      <c r="H517" s="41"/>
      <c r="I517" s="41"/>
      <c r="J517" s="41"/>
      <c r="K517" s="42"/>
    </row>
    <row r="518" spans="2:11" ht="15" customHeight="1" x14ac:dyDescent="0.3">
      <c r="B518" s="39"/>
      <c r="C518" s="343" t="s">
        <v>518</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2</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20</v>
      </c>
      <c r="K525" s="42"/>
    </row>
    <row r="526" spans="2:11" x14ac:dyDescent="0.3">
      <c r="B526" s="39"/>
      <c r="C526" s="41" t="s">
        <v>279</v>
      </c>
      <c r="D526" s="41"/>
      <c r="E526" s="41"/>
      <c r="F526" s="41"/>
      <c r="G526" s="41"/>
      <c r="H526" s="41"/>
      <c r="I526" s="41"/>
      <c r="J526" s="259">
        <f>IF(J525&lt;=0,0,IF(J525&lt;=1,1,IF(J525&lt;=5,2,IF(J525&lt;=10,3,4))))</f>
        <v>4</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1018</v>
      </c>
      <c r="K532" s="42"/>
    </row>
    <row r="533" spans="2:11" x14ac:dyDescent="0.3">
      <c r="B533" s="39"/>
      <c r="C533" s="41" t="s">
        <v>280</v>
      </c>
      <c r="D533" s="41"/>
      <c r="E533" s="41"/>
      <c r="F533" s="41"/>
      <c r="G533" s="41"/>
      <c r="H533" s="41"/>
      <c r="I533" s="41"/>
      <c r="J533" s="256">
        <f>IF(J532=$B$973,$A$973,IF(J532=$B$974,$A$974,IF(J532=$B$975,$A$975,IF(J532=$B$976,$A$976,IF(J532=$B$977,$A$977,"Not Calculated")))))</f>
        <v>3</v>
      </c>
      <c r="K533" s="42"/>
    </row>
    <row r="534" spans="2:11" x14ac:dyDescent="0.3">
      <c r="B534" s="39"/>
      <c r="C534" s="41" t="s">
        <v>1038</v>
      </c>
      <c r="D534" s="41"/>
      <c r="E534" s="41"/>
      <c r="F534" s="41"/>
      <c r="G534" s="41"/>
      <c r="H534" s="41"/>
      <c r="I534" s="41"/>
      <c r="J534" s="41"/>
      <c r="K534" s="42"/>
    </row>
    <row r="535" spans="2:11" ht="15" customHeight="1" x14ac:dyDescent="0.3">
      <c r="B535" s="39"/>
      <c r="C535" s="343" t="s">
        <v>519</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1.6428571428571428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f>J546*0.5</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1018</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3</v>
      </c>
      <c r="K558" s="42"/>
      <c r="N558" s="12" t="s">
        <v>1048</v>
      </c>
    </row>
    <row r="559" spans="2:14" x14ac:dyDescent="0.3">
      <c r="B559" s="39"/>
      <c r="C559" s="41" t="s">
        <v>1038</v>
      </c>
      <c r="D559" s="41"/>
      <c r="E559" s="41"/>
      <c r="F559" s="41"/>
      <c r="G559" s="41"/>
      <c r="H559" s="41"/>
      <c r="I559" s="41"/>
      <c r="J559" s="41"/>
      <c r="K559" s="42"/>
      <c r="N559" s="12" t="s">
        <v>1049</v>
      </c>
    </row>
    <row r="560" spans="2:14" ht="30" customHeight="1" x14ac:dyDescent="0.3">
      <c r="B560" s="39"/>
      <c r="C560" s="343" t="s">
        <v>520</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J568*0.5</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521</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250</v>
      </c>
      <c r="K589" s="42"/>
    </row>
    <row r="590" spans="2:14" x14ac:dyDescent="0.3">
      <c r="B590" s="39"/>
      <c r="C590" s="41" t="s">
        <v>279</v>
      </c>
      <c r="D590" s="41"/>
      <c r="E590" s="41"/>
      <c r="F590" s="41"/>
      <c r="G590" s="41"/>
      <c r="H590" s="41"/>
      <c r="I590" s="41"/>
      <c r="J590" s="266">
        <f>IF(J589&lt;=0,0,IF(J589&lt;=1000,1,IF(J589&lt;=5000,2,IF(J589&lt;=25000,3,4))))</f>
        <v>1</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1018</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3</v>
      </c>
      <c r="K597" s="42"/>
    </row>
    <row r="598" spans="2:11" x14ac:dyDescent="0.3">
      <c r="B598" s="39"/>
      <c r="C598" s="41" t="s">
        <v>1038</v>
      </c>
      <c r="D598" s="41"/>
      <c r="E598" s="41"/>
      <c r="F598" s="41"/>
      <c r="G598" s="41"/>
      <c r="H598" s="41"/>
      <c r="I598" s="41"/>
      <c r="J598" s="41"/>
      <c r="K598" s="42"/>
    </row>
    <row r="599" spans="2:11" ht="15" customHeight="1" x14ac:dyDescent="0.3">
      <c r="B599" s="39"/>
      <c r="C599" s="343" t="s">
        <v>548</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J619</f>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1018</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3</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t="s">
        <v>522</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523</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1</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ht="15" customHeight="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256</v>
      </c>
      <c r="H850" s="351"/>
      <c r="I850" s="86"/>
      <c r="J850" s="84">
        <f>IF(G850=$B$998,$A$998,IF(G850=$B$999,$A$999,IF(G850=$B$1000,$A$1000,IF(G850=$B$1001,$A$1001,IF(G850=$B$1002,$A$1002,"Not Calculated")))))</f>
        <v>1</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256</v>
      </c>
      <c r="H878" s="351"/>
      <c r="I878" s="86"/>
      <c r="J878" s="84">
        <f>IF(G878=$B$998,$A$998,IF(G878=$B$999,$A$999,IF(G878=$B$1000,$A$1000,IF(G878=$B$1001,$A$1001,IF(G878=$B$1002,$A$1002,"Not Calculated")))))</f>
        <v>1</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254</v>
      </c>
      <c r="H886" s="351"/>
      <c r="I886" s="86"/>
      <c r="J886" s="84">
        <f>IF(G886=$B$998,$A$998,IF(G886=$B$999,$A$999,IF(G886=$B$1000,$A$1000,IF(G886=$B$1001,$A$1001,IF(G886=$B$1002,$A$1002,"Not Calculated")))))</f>
        <v>2</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256</v>
      </c>
      <c r="H916" s="351"/>
      <c r="I916" s="86"/>
      <c r="J916" s="84">
        <f>IF(G916=$B$998,$A$998,IF(G916=$B$999,$A$999,IF(G916=$B$1000,$A$1000,IF(G916=$B$1001,$A$1001,IF(G916=$B$1002,$A$1002,"Not Calculated")))))</f>
        <v>1</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254</v>
      </c>
      <c r="H928" s="351"/>
      <c r="I928" s="86"/>
      <c r="J928" s="84">
        <f>IF(G928=$B$998,$A$998,IF(G928=$B$999,$A$999,IF(G928=$B$1000,$A$1000,IF(G928=$B$1001,$A$1001,IF(G928=$B$1002,$A$1002,"Not Calculated")))))</f>
        <v>2</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45" customHeight="1" x14ac:dyDescent="0.3">
      <c r="B1004" s="346" t="s">
        <v>827</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t="s">
        <v>829</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45" customHeight="1" x14ac:dyDescent="0.3">
      <c r="B1010" s="340" t="s">
        <v>828</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826</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292:I293"/>
    <mergeCell ref="C311:I312"/>
    <mergeCell ref="C340:I341"/>
    <mergeCell ref="C305:J305"/>
    <mergeCell ref="C385:J385"/>
    <mergeCell ref="C95:J95"/>
    <mergeCell ref="C114:J114"/>
    <mergeCell ref="C76:J76"/>
    <mergeCell ref="E15:J15"/>
    <mergeCell ref="C38:J38"/>
    <mergeCell ref="C57:J57"/>
    <mergeCell ref="C286:J286"/>
    <mergeCell ref="B5:K5"/>
    <mergeCell ref="B6:K6"/>
    <mergeCell ref="B7:K7"/>
    <mergeCell ref="B8:K8"/>
    <mergeCell ref="B9:K9"/>
    <mergeCell ref="B10:K10"/>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365:J365"/>
    <mergeCell ref="C371:I372"/>
    <mergeCell ref="C324:J324"/>
    <mergeCell ref="C330:I331"/>
    <mergeCell ref="C347:J347"/>
    <mergeCell ref="D343:I344"/>
    <mergeCell ref="C420:I421"/>
    <mergeCell ref="C391:I392"/>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4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400-000001000000}">
      <formula1>$B$998:$B$1002</formula1>
    </dataValidation>
    <dataValidation type="list" allowBlank="1" showInputMessage="1" showErrorMessage="1" sqref="G717:H725 G762:H770 G732:H740 G747:H755" xr:uid="{00000000-0002-0000-1400-000002000000}">
      <formula1>$B$994:$B$995</formula1>
    </dataValidation>
    <dataValidation type="list" allowBlank="1" showInputMessage="1" showErrorMessage="1" sqref="J302 J362" xr:uid="{00000000-0002-0000-1400-000003000000}">
      <formula1>$B$980:$B$984</formula1>
    </dataValidation>
    <dataValidation type="list" allowBlank="1" showInputMessage="1" showErrorMessage="1" sqref="C123:J124" xr:uid="{00000000-0002-0000-1400-000004000000}">
      <formula1>$B$987:$B$991</formula1>
    </dataValidation>
    <dataValidation type="list" allowBlank="1" showInputMessage="1" showErrorMessage="1" sqref="J35 J213 J283 J652 J234 J54 J193 J173 J152 J126 J111 J92 J73 J254 J435 J452 J468 J499 J515 J532 J557 J580 J596 J674 J630" xr:uid="{00000000-0002-0000-1400-000005000000}">
      <formula1>$B$973:$B$977</formula1>
    </dataValidation>
    <dataValidation type="list" allowBlank="1" showInputMessage="1" showErrorMessage="1" sqref="J33" xr:uid="{00000000-0002-0000-1400-000006000000}">
      <formula1>$N$32:$N$37</formula1>
    </dataValidation>
    <dataValidation type="list" allowBlank="1" showInputMessage="1" showErrorMessage="1" sqref="J52" xr:uid="{00000000-0002-0000-1400-000007000000}">
      <formula1>$N$51:$N$56</formula1>
    </dataValidation>
    <dataValidation type="list" allowBlank="1" showInputMessage="1" showErrorMessage="1" sqref="J71" xr:uid="{00000000-0002-0000-1400-000008000000}">
      <formula1>$N$70:$N$75</formula1>
    </dataValidation>
    <dataValidation type="list" allowBlank="1" showInputMessage="1" showErrorMessage="1" sqref="J90" xr:uid="{00000000-0002-0000-1400-000009000000}">
      <formula1>$N$89:$N$94</formula1>
    </dataValidation>
    <dataValidation type="list" allowBlank="1" showInputMessage="1" showErrorMessage="1" sqref="J109" xr:uid="{00000000-0002-0000-1400-00000A000000}">
      <formula1>$N$108:$N$113</formula1>
    </dataValidation>
    <dataValidation type="list" allowBlank="1" showInputMessage="1" showErrorMessage="1" sqref="J150" xr:uid="{00000000-0002-0000-1400-00000B000000}">
      <formula1>$N$149:$N$154</formula1>
    </dataValidation>
    <dataValidation type="list" allowBlank="1" showInputMessage="1" showErrorMessage="1" sqref="J171" xr:uid="{00000000-0002-0000-1400-00000C000000}">
      <formula1>$N$170:$N$175</formula1>
    </dataValidation>
    <dataValidation type="list" allowBlank="1" showInputMessage="1" showErrorMessage="1" sqref="J191" xr:uid="{00000000-0002-0000-1400-00000D000000}">
      <formula1>$N$190:$N$195</formula1>
    </dataValidation>
    <dataValidation type="list" allowBlank="1" showInputMessage="1" showErrorMessage="1" sqref="J211" xr:uid="{00000000-0002-0000-1400-00000E000000}">
      <formula1>$N$210:$N$215</formula1>
    </dataValidation>
    <dataValidation type="list" allowBlank="1" showInputMessage="1" showErrorMessage="1" sqref="J232" xr:uid="{00000000-0002-0000-1400-00000F000000}">
      <formula1>$N$231:$N$236</formula1>
    </dataValidation>
    <dataValidation type="list" allowBlank="1" showInputMessage="1" showErrorMessage="1" sqref="J252" xr:uid="{00000000-0002-0000-1400-000010000000}">
      <formula1>$N$251:$N$256</formula1>
    </dataValidation>
    <dataValidation type="list" allowBlank="1" showInputMessage="1" showErrorMessage="1" sqref="J281" xr:uid="{00000000-0002-0000-1400-000011000000}">
      <formula1>$N$280:$N$285</formula1>
    </dataValidation>
    <dataValidation type="list" allowBlank="1" showInputMessage="1" showErrorMessage="1" sqref="J555" xr:uid="{00000000-0002-0000-1400-000012000000}">
      <formula1>$N$554:$N$559</formula1>
    </dataValidation>
    <dataValidation type="list" allowBlank="1" showInputMessage="1" showErrorMessage="1" sqref="J578" xr:uid="{00000000-0002-0000-1400-000013000000}">
      <formula1>$N$577:$N$582</formula1>
    </dataValidation>
    <dataValidation type="list" allowBlank="1" showInputMessage="1" showErrorMessage="1" sqref="J628" xr:uid="{00000000-0002-0000-1400-000014000000}">
      <formula1>$N$627:$N$632</formula1>
    </dataValidation>
    <dataValidation type="list" allowBlank="1" showInputMessage="1" showErrorMessage="1" sqref="J650" xr:uid="{00000000-0002-0000-1400-000015000000}">
      <formula1>$N$649:$N$654</formula1>
    </dataValidation>
    <dataValidation type="list" allowBlank="1" showInputMessage="1" showErrorMessage="1" sqref="J672" xr:uid="{00000000-0002-0000-1400-000016000000}">
      <formula1>$N$671:$N$676</formula1>
    </dataValidation>
  </dataValidations>
  <pageMargins left="0.7" right="0.7" top="0.75" bottom="0.75" header="0.3" footer="0.3"/>
  <pageSetup scale="7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21</v>
      </c>
      <c r="I3" s="30"/>
      <c r="L3" s="160"/>
      <c r="M3" s="160"/>
    </row>
    <row r="4" spans="2:13" x14ac:dyDescent="0.3">
      <c r="G4" s="99"/>
      <c r="I4" s="30"/>
      <c r="L4" s="161"/>
      <c r="M4" s="160"/>
    </row>
    <row r="5" spans="2:13" ht="45" customHeight="1" x14ac:dyDescent="0.3">
      <c r="B5" s="370" t="s">
        <v>781</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150" customHeight="1" x14ac:dyDescent="0.3">
      <c r="B10" s="383" t="s">
        <v>782</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261</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2</v>
      </c>
      <c r="F17" s="166"/>
      <c r="G17" s="166"/>
      <c r="H17" s="166"/>
      <c r="I17" s="166"/>
      <c r="J17" s="166"/>
      <c r="K17" s="168"/>
    </row>
    <row r="18" spans="2:14" x14ac:dyDescent="0.3">
      <c r="B18" s="165"/>
      <c r="C18" s="166"/>
      <c r="D18" s="166"/>
      <c r="E18" s="170" t="str">
        <f>IF(E15=$C$966,$B$966,IF(E15=$C$967,$B$967,IF(E15=$C$968,$B$968,IF(E15=$C$969,$B$969,IF(E15=$C$970,$B$970,"Not Calculated")))))</f>
        <v>Occasional</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9</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6">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t="s">
        <v>549</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511</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550</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511</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6">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t="s">
        <v>551</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18</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1027</v>
      </c>
      <c r="K92" s="42"/>
      <c r="N92" s="12" t="s">
        <v>1043</v>
      </c>
    </row>
    <row r="93" spans="2:14" x14ac:dyDescent="0.3">
      <c r="B93" s="39"/>
      <c r="C93" s="41" t="s">
        <v>280</v>
      </c>
      <c r="D93" s="41"/>
      <c r="E93" s="41"/>
      <c r="F93" s="41"/>
      <c r="G93" s="41"/>
      <c r="H93" s="41"/>
      <c r="I93" s="41"/>
      <c r="J93" s="256">
        <f>IF(J92=$B$973,$A$973,IF(J92=$B$974,$A$974,IF(J92=$B$975,$A$975,IF(J92=$B$976,$A$976,IF(J92=$B$977,$A$977,"Not Calculated")))))</f>
        <v>1</v>
      </c>
      <c r="K93" s="42"/>
      <c r="N93" s="12" t="s">
        <v>1044</v>
      </c>
    </row>
    <row r="94" spans="2:14" x14ac:dyDescent="0.3">
      <c r="B94" s="39"/>
      <c r="C94" s="41" t="s">
        <v>1038</v>
      </c>
      <c r="D94" s="41"/>
      <c r="E94" s="41"/>
      <c r="F94" s="41"/>
      <c r="G94" s="41"/>
      <c r="H94" s="41"/>
      <c r="I94" s="41"/>
      <c r="J94" s="177"/>
      <c r="K94" s="42"/>
      <c r="N94" s="12" t="s">
        <v>1045</v>
      </c>
    </row>
    <row r="95" spans="2:14" s="180" customFormat="1" ht="30" customHeight="1" x14ac:dyDescent="0.3">
      <c r="B95" s="178"/>
      <c r="C95" s="359" t="s">
        <v>552</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1</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267</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4</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60" customHeight="1" x14ac:dyDescent="0.3">
      <c r="B129" s="178"/>
      <c r="C129" s="359" t="s">
        <v>553</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4</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1.3333333333333333</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2">
        <f>J83/20</f>
        <v>0.9</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1027</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1</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113.55555555555556</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69</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1018</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3</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554</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'Community Characteristics'!H21*40/250</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60" customHeight="1" x14ac:dyDescent="0.3">
      <c r="B257" s="39"/>
      <c r="C257" s="343" t="s">
        <v>555</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69</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1018</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3</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1.5</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f>511/2</f>
        <v>255.5</v>
      </c>
      <c r="K408" s="42"/>
    </row>
    <row r="409" spans="2:11" x14ac:dyDescent="0.3">
      <c r="B409" s="39"/>
      <c r="C409" s="41" t="s">
        <v>279</v>
      </c>
      <c r="D409" s="41"/>
      <c r="E409" s="41"/>
      <c r="F409" s="41"/>
      <c r="G409" s="41"/>
      <c r="H409" s="41"/>
      <c r="I409" s="41"/>
      <c r="J409" s="264">
        <f>IF(J408&lt;=0,0,IF(J408&lt;=(J161*0.01),1,IF(J408&lt;=(J161*0.05),2,IF(J408&lt;=(J161*0.1),3,4))))</f>
        <v>4</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45" customHeight="1" x14ac:dyDescent="0.3">
      <c r="B416" s="39"/>
      <c r="C416" s="343" t="s">
        <v>556</v>
      </c>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4</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1.9375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6">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2</v>
      </c>
      <c r="K478" s="42"/>
    </row>
    <row r="479" spans="2:11" x14ac:dyDescent="0.3">
      <c r="B479" s="39"/>
      <c r="C479" s="41" t="s">
        <v>280</v>
      </c>
      <c r="D479" s="41"/>
      <c r="E479" s="41"/>
      <c r="F479" s="41"/>
      <c r="G479" s="41"/>
      <c r="H479" s="41"/>
      <c r="I479" s="41"/>
      <c r="J479" s="256">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45" customHeight="1" x14ac:dyDescent="0.3">
      <c r="B486" s="39"/>
      <c r="C486" s="343" t="s">
        <v>557</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5</v>
      </c>
      <c r="K492" s="42"/>
    </row>
    <row r="493" spans="2:11" x14ac:dyDescent="0.3">
      <c r="B493" s="39"/>
      <c r="C493" s="41" t="s">
        <v>279</v>
      </c>
      <c r="D493" s="41"/>
      <c r="E493" s="41"/>
      <c r="F493" s="41"/>
      <c r="G493" s="41"/>
      <c r="H493" s="41"/>
      <c r="I493" s="41"/>
      <c r="J493" s="259">
        <f>IF(J492&lt;=0,0,IF(J492&lt;=1,1,IF(J492&lt;=5,2,IF(J492&lt;=10,3,4))))</f>
        <v>2</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1018</v>
      </c>
      <c r="K499" s="42"/>
    </row>
    <row r="500" spans="2:11" x14ac:dyDescent="0.3">
      <c r="B500" s="39"/>
      <c r="C500" s="41" t="s">
        <v>280</v>
      </c>
      <c r="D500" s="41"/>
      <c r="E500" s="41"/>
      <c r="F500" s="41"/>
      <c r="G500" s="41"/>
      <c r="H500" s="41"/>
      <c r="I500" s="41"/>
      <c r="J500" s="256">
        <f>IF(J499=$B$973,$A$973,IF(J499=$B$974,$A$974,IF(J499=$B$975,$A$975,IF(J499=$B$976,$A$976,IF(J499=$B$977,$A$977,"Not Calculated")))))</f>
        <v>3</v>
      </c>
      <c r="K500" s="42"/>
    </row>
    <row r="501" spans="2:11" x14ac:dyDescent="0.3">
      <c r="B501" s="39"/>
      <c r="C501" s="41" t="s">
        <v>1038</v>
      </c>
      <c r="D501" s="41"/>
      <c r="E501" s="41"/>
      <c r="F501" s="41"/>
      <c r="G501" s="41"/>
      <c r="H501" s="41"/>
      <c r="I501" s="41"/>
      <c r="J501" s="41"/>
      <c r="K501" s="42"/>
    </row>
    <row r="502" spans="2:11" ht="30" customHeight="1" x14ac:dyDescent="0.3">
      <c r="B502" s="39"/>
      <c r="C502" s="386" t="s">
        <v>558</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2.5</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f>3.14159*'Community Characteristics'!$H$24</f>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1019</v>
      </c>
      <c r="K515" s="42"/>
    </row>
    <row r="516" spans="2:11" x14ac:dyDescent="0.3">
      <c r="B516" s="39"/>
      <c r="C516" s="41" t="s">
        <v>280</v>
      </c>
      <c r="D516" s="41"/>
      <c r="E516" s="41"/>
      <c r="F516" s="41"/>
      <c r="G516" s="41"/>
      <c r="H516" s="41"/>
      <c r="I516" s="41"/>
      <c r="J516" s="256">
        <f>IF(J515=$B$973,$A$973,IF(J515=$B$974,$A$974,IF(J515=$B$975,$A$975,IF(J515=$B$976,$A$976,IF(J515=$B$977,$A$977,"Not Calculated")))))</f>
        <v>4</v>
      </c>
      <c r="K516" s="42"/>
    </row>
    <row r="517" spans="2:11" x14ac:dyDescent="0.3">
      <c r="B517" s="39"/>
      <c r="C517" s="41" t="s">
        <v>1038</v>
      </c>
      <c r="D517" s="41"/>
      <c r="E517" s="41"/>
      <c r="F517" s="41"/>
      <c r="G517" s="41"/>
      <c r="H517" s="41"/>
      <c r="I517" s="41"/>
      <c r="J517" s="41"/>
      <c r="K517" s="42"/>
    </row>
    <row r="518" spans="2:11" ht="45" customHeight="1" x14ac:dyDescent="0.3">
      <c r="B518" s="39"/>
      <c r="C518" s="343" t="s">
        <v>559</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2</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0.3</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6">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30" customHeight="1" x14ac:dyDescent="0.3">
      <c r="B535" s="39"/>
      <c r="C535" s="343" t="s">
        <v>560</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1.2857142857142858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70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30" customHeight="1" x14ac:dyDescent="0.3">
      <c r="B560" s="39"/>
      <c r="C560" s="343" t="s">
        <v>561</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511</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30" customHeight="1" x14ac:dyDescent="0.3">
      <c r="B583" s="39"/>
      <c r="C583" s="343" t="s">
        <v>562</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f>3.14159*'Community Characteristics'!$H$24</f>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1017</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2</v>
      </c>
      <c r="K597" s="42"/>
    </row>
    <row r="598" spans="2:11" x14ac:dyDescent="0.3">
      <c r="B598" s="39"/>
      <c r="C598" s="41" t="s">
        <v>1038</v>
      </c>
      <c r="D598" s="41"/>
      <c r="E598" s="41"/>
      <c r="F598" s="41"/>
      <c r="G598" s="41"/>
      <c r="H598" s="41"/>
      <c r="I598" s="41"/>
      <c r="J598" s="41"/>
      <c r="K598" s="42"/>
    </row>
    <row r="599" spans="2:11" ht="60" customHeight="1" x14ac:dyDescent="0.3">
      <c r="B599" s="39"/>
      <c r="C599" s="343" t="s">
        <v>563</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1</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100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1019</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4</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t="s">
        <v>564</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565</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9</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ht="15" customHeight="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257</v>
      </c>
      <c r="H874" s="351"/>
      <c r="I874" s="86"/>
      <c r="J874" s="84">
        <f>IF(G874=$B$998,$A$998,IF(G874=$B$999,$A$999,IF(G874=$B$1000,$A$1000,IF(G874=$B$1001,$A$1001,IF(G874=$B$1002,$A$1002,"Not Calculated")))))</f>
        <v>3</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257</v>
      </c>
      <c r="H882" s="351"/>
      <c r="I882" s="86"/>
      <c r="J882" s="84">
        <f>IF(G882=$B$998,$A$998,IF(G882=$B$999,$A$999,IF(G882=$B$1000,$A$1000,IF(G882=$B$1001,$A$1001,IF(G882=$B$1002,$A$1002,"Not Calculated")))))</f>
        <v>3</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833</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818</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45" customHeight="1" x14ac:dyDescent="0.3">
      <c r="B1008" s="340" t="s">
        <v>834</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45" customHeight="1" x14ac:dyDescent="0.3">
      <c r="B1010" s="340" t="s">
        <v>835</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836</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45" customHeight="1" x14ac:dyDescent="0.3">
      <c r="B1014" s="340" t="s">
        <v>832</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30" customHeight="1" x14ac:dyDescent="0.3">
      <c r="B1016" s="340" t="s">
        <v>807</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02:J402"/>
    <mergeCell ref="C416:J416"/>
    <mergeCell ref="C438:J438"/>
    <mergeCell ref="C444:I445"/>
    <mergeCell ref="C391:I392"/>
    <mergeCell ref="C257:J257"/>
    <mergeCell ref="C237:J237"/>
    <mergeCell ref="C216:J216"/>
    <mergeCell ref="C292:I293"/>
    <mergeCell ref="C311:I312"/>
    <mergeCell ref="C340:I341"/>
    <mergeCell ref="C305:J305"/>
    <mergeCell ref="C324:J324"/>
    <mergeCell ref="C330:I331"/>
    <mergeCell ref="C420:I421"/>
    <mergeCell ref="C385:J385"/>
    <mergeCell ref="C347:J347"/>
    <mergeCell ref="D343:I344"/>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500-000000000000}">
      <formula1>$C$966:$C$970</formula1>
    </dataValidation>
    <dataValidation type="list" allowBlank="1" showInputMessage="1" showErrorMessage="1" sqref="G834:H834 G890:H890 G886:H886 G882:H882 G878:H878 G874:H874 G870:H870 G866:H866 G862:H862 G858:H858 G854:H854 G850:H850 G846:H846 G838:H838 G842:H842 G904:H904 G932:H932 G928:H928 G924:H924 G920:H920 G916:H916 G908:H908 G912:H912" xr:uid="{00000000-0002-0000-1500-000001000000}">
      <formula1>$B$998:$B$1002</formula1>
    </dataValidation>
    <dataValidation type="list" allowBlank="1" showInputMessage="1" showErrorMessage="1" sqref="G717:H725 G762:H770 G732:H740 G747:H755" xr:uid="{00000000-0002-0000-1500-000002000000}">
      <formula1>$B$994:$B$995</formula1>
    </dataValidation>
    <dataValidation type="list" allowBlank="1" showInputMessage="1" showErrorMessage="1" sqref="J302 J362" xr:uid="{00000000-0002-0000-1500-000003000000}">
      <formula1>$B$980:$B$984</formula1>
    </dataValidation>
    <dataValidation type="list" allowBlank="1" showInputMessage="1" showErrorMessage="1" sqref="C123:J124" xr:uid="{00000000-0002-0000-1500-000004000000}">
      <formula1>$B$987:$B$991</formula1>
    </dataValidation>
    <dataValidation type="list" allowBlank="1" showInputMessage="1" showErrorMessage="1" sqref="J35 J213 J283 J652 J234 J54 J193 J173 J152 J126 J111 J92 J73 J254 J435 J452 J468 J499 J515 J532 J557 J580 J596 J674 J630" xr:uid="{00000000-0002-0000-1500-000005000000}">
      <formula1>$B$973:$B$977</formula1>
    </dataValidation>
    <dataValidation type="list" allowBlank="1" showInputMessage="1" showErrorMessage="1" sqref="J33" xr:uid="{00000000-0002-0000-1500-000006000000}">
      <formula1>$N$32:$N$37</formula1>
    </dataValidation>
    <dataValidation type="list" allowBlank="1" showInputMessage="1" showErrorMessage="1" sqref="J52" xr:uid="{00000000-0002-0000-1500-000007000000}">
      <formula1>$N$51:$N$56</formula1>
    </dataValidation>
    <dataValidation type="list" allowBlank="1" showInputMessage="1" showErrorMessage="1" sqref="J71" xr:uid="{00000000-0002-0000-1500-000008000000}">
      <formula1>$N$70:$N$75</formula1>
    </dataValidation>
    <dataValidation type="list" allowBlank="1" showInputMessage="1" showErrorMessage="1" sqref="J90" xr:uid="{00000000-0002-0000-1500-000009000000}">
      <formula1>$N$89:$N$94</formula1>
    </dataValidation>
    <dataValidation type="list" allowBlank="1" showInputMessage="1" showErrorMessage="1" sqref="J109" xr:uid="{00000000-0002-0000-1500-00000A000000}">
      <formula1>$N$108:$N$113</formula1>
    </dataValidation>
    <dataValidation type="list" allowBlank="1" showInputMessage="1" showErrorMessage="1" sqref="J150" xr:uid="{00000000-0002-0000-1500-00000B000000}">
      <formula1>$N$149:$N$154</formula1>
    </dataValidation>
    <dataValidation type="list" allowBlank="1" showInputMessage="1" showErrorMessage="1" sqref="J171" xr:uid="{00000000-0002-0000-1500-00000C000000}">
      <formula1>$N$170:$N$175</formula1>
    </dataValidation>
    <dataValidation type="list" allowBlank="1" showInputMessage="1" showErrorMessage="1" sqref="J191" xr:uid="{00000000-0002-0000-1500-00000D000000}">
      <formula1>$N$190:$N$195</formula1>
    </dataValidation>
    <dataValidation type="list" allowBlank="1" showInputMessage="1" showErrorMessage="1" sqref="J211" xr:uid="{00000000-0002-0000-1500-00000E000000}">
      <formula1>$N$210:$N$215</formula1>
    </dataValidation>
    <dataValidation type="list" allowBlank="1" showInputMessage="1" showErrorMessage="1" sqref="J232" xr:uid="{00000000-0002-0000-1500-00000F000000}">
      <formula1>$N$231:$N$236</formula1>
    </dataValidation>
    <dataValidation type="list" allowBlank="1" showInputMessage="1" showErrorMessage="1" sqref="J252" xr:uid="{00000000-0002-0000-1500-000010000000}">
      <formula1>$N$251:$N$256</formula1>
    </dataValidation>
    <dataValidation type="list" allowBlank="1" showInputMessage="1" showErrorMessage="1" sqref="J281" xr:uid="{00000000-0002-0000-1500-000011000000}">
      <formula1>$N$280:$N$285</formula1>
    </dataValidation>
    <dataValidation type="list" allowBlank="1" showInputMessage="1" showErrorMessage="1" sqref="J555" xr:uid="{00000000-0002-0000-1500-000012000000}">
      <formula1>$N$554:$N$559</formula1>
    </dataValidation>
    <dataValidation type="list" allowBlank="1" showInputMessage="1" showErrorMessage="1" sqref="J578" xr:uid="{00000000-0002-0000-1500-000013000000}">
      <formula1>$N$577:$N$582</formula1>
    </dataValidation>
    <dataValidation type="list" allowBlank="1" showInputMessage="1" showErrorMessage="1" sqref="J628" xr:uid="{00000000-0002-0000-1500-000014000000}">
      <formula1>$N$627:$N$632</formula1>
    </dataValidation>
    <dataValidation type="list" allowBlank="1" showInputMessage="1" showErrorMessage="1" sqref="J650" xr:uid="{00000000-0002-0000-1500-000015000000}">
      <formula1>$N$649:$N$654</formula1>
    </dataValidation>
    <dataValidation type="list" allowBlank="1" showInputMessage="1" showErrorMessage="1" sqref="J672" xr:uid="{00000000-0002-0000-1500-000016000000}">
      <formula1>$N$671:$N$676</formula1>
    </dataValidation>
  </dataValidations>
  <pageMargins left="0.7" right="0.7" top="0.75" bottom="0.75" header="0.3" footer="0.3"/>
  <pageSetup scale="7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8</v>
      </c>
      <c r="I3" s="30"/>
      <c r="L3" s="160"/>
      <c r="M3" s="160"/>
    </row>
    <row r="4" spans="2:13" x14ac:dyDescent="0.3">
      <c r="G4" s="99"/>
      <c r="I4" s="30"/>
      <c r="L4" s="161"/>
      <c r="M4" s="160"/>
    </row>
    <row r="5" spans="2:13" ht="60" customHeight="1" x14ac:dyDescent="0.3">
      <c r="B5" s="370" t="s">
        <v>783</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75" customHeight="1" x14ac:dyDescent="0.3">
      <c r="B10" s="383" t="s">
        <v>796</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262</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4</v>
      </c>
      <c r="F17" s="166"/>
      <c r="G17" s="166"/>
      <c r="H17" s="166"/>
      <c r="I17" s="166"/>
      <c r="J17" s="166"/>
      <c r="K17" s="168"/>
    </row>
    <row r="18" spans="2:14" x14ac:dyDescent="0.3">
      <c r="B18" s="165"/>
      <c r="C18" s="166"/>
      <c r="D18" s="166"/>
      <c r="E18" s="170" t="str">
        <f>IF(E15=$C$966,$B$966,IF(E15=$C$967,$B$967,IF(E15=$C$968,$B$968,IF(E15=$C$969,$B$969,IF(E15=$C$970,$B$970,"Not Calculated")))))</f>
        <v>Frequent</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'Baseline Health'!$G$6*0.0000176</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1019</v>
      </c>
      <c r="K35" s="42"/>
      <c r="N35" s="12" t="s">
        <v>1043</v>
      </c>
    </row>
    <row r="36" spans="2:14" x14ac:dyDescent="0.3">
      <c r="B36" s="39"/>
      <c r="C36" s="41" t="s">
        <v>280</v>
      </c>
      <c r="D36" s="41"/>
      <c r="E36" s="41"/>
      <c r="F36" s="41"/>
      <c r="G36" s="41"/>
      <c r="H36" s="41"/>
      <c r="I36" s="41"/>
      <c r="J36" s="256">
        <f>IF(J35=$B$973,$A$973,IF(J35=$B$974,$A$974,IF(J35=$B$975,$A$975,IF(J35=$B$976,$A$976,IF(J35=$B$977,$A$977,"Not Calculated")))))</f>
        <v>4</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566</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4</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1015</v>
      </c>
      <c r="K54" s="42"/>
      <c r="N54" s="12" t="s">
        <v>1043</v>
      </c>
    </row>
    <row r="55" spans="2:14" x14ac:dyDescent="0.3">
      <c r="B55" s="39"/>
      <c r="C55" s="41" t="s">
        <v>280</v>
      </c>
      <c r="D55" s="41"/>
      <c r="E55" s="41"/>
      <c r="F55" s="41"/>
      <c r="G55" s="41"/>
      <c r="H55" s="41"/>
      <c r="I55" s="41"/>
      <c r="J55" s="256">
        <f>IF(J54=$B$973,$A$973,IF(J54=$B$974,$A$974,IF(J54=$B$975,$A$975,IF(J54=$B$976,$A$976,IF(J54=$B$977,$A$977,"Not Calculated")))))</f>
        <v>0</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0</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'Baseline Health'!$G$6*0.000082</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1019</v>
      </c>
      <c r="K73" s="42"/>
      <c r="N73" s="12" t="s">
        <v>1043</v>
      </c>
    </row>
    <row r="74" spans="2:14" x14ac:dyDescent="0.3">
      <c r="B74" s="39"/>
      <c r="C74" s="41" t="s">
        <v>280</v>
      </c>
      <c r="D74" s="41"/>
      <c r="E74" s="41"/>
      <c r="F74" s="41"/>
      <c r="G74" s="41"/>
      <c r="H74" s="41"/>
      <c r="I74" s="41"/>
      <c r="J74" s="256">
        <f>IF(J73=$B$973,$A$973,IF(J73=$B$974,$A$974,IF(J73=$B$975,$A$975,IF(J73=$B$976,$A$976,IF(J73=$B$977,$A$977,"Not Calculated")))))</f>
        <v>4</v>
      </c>
      <c r="K74" s="42"/>
      <c r="N74" s="12" t="s">
        <v>1044</v>
      </c>
    </row>
    <row r="75" spans="2:14" x14ac:dyDescent="0.3">
      <c r="B75" s="39"/>
      <c r="C75" s="41" t="s">
        <v>1038</v>
      </c>
      <c r="D75" s="41"/>
      <c r="E75" s="41"/>
      <c r="F75" s="41"/>
      <c r="G75" s="41"/>
      <c r="H75" s="41"/>
      <c r="I75" s="41"/>
      <c r="J75" s="177"/>
      <c r="K75" s="42"/>
      <c r="N75" s="12" t="s">
        <v>1045</v>
      </c>
    </row>
    <row r="76" spans="2:14" s="180" customFormat="1" ht="60" customHeight="1" x14ac:dyDescent="0.3">
      <c r="B76" s="178"/>
      <c r="C76" s="359" t="s">
        <v>572</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4</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'Baseline Health'!$G$6*0.00015</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6">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45" customHeight="1" x14ac:dyDescent="0.3">
      <c r="B95" s="178"/>
      <c r="C95" s="359" t="s">
        <v>573</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264</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0</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0</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2</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45" customHeight="1" x14ac:dyDescent="0.3">
      <c r="B176" s="39"/>
      <c r="C176" s="343" t="s">
        <v>574</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'Baseline Health'!$G$6*0.000082</f>
        <v>0</v>
      </c>
      <c r="K183" s="42"/>
    </row>
    <row r="184" spans="2:14" x14ac:dyDescent="0.3">
      <c r="B184" s="39"/>
      <c r="C184" s="41" t="s">
        <v>374</v>
      </c>
      <c r="D184" s="41"/>
      <c r="E184" s="41"/>
      <c r="F184" s="41"/>
      <c r="G184" s="41"/>
      <c r="H184" s="41"/>
      <c r="I184" s="41"/>
      <c r="J184" s="275">
        <v>27</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1018</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3</v>
      </c>
      <c r="K194" s="42"/>
      <c r="N194" s="12" t="s">
        <v>1048</v>
      </c>
    </row>
    <row r="195" spans="2:14" x14ac:dyDescent="0.3">
      <c r="B195" s="39"/>
      <c r="C195" s="41" t="s">
        <v>1038</v>
      </c>
      <c r="D195" s="41"/>
      <c r="E195" s="41"/>
      <c r="F195" s="41"/>
      <c r="G195" s="41"/>
      <c r="H195" s="41"/>
      <c r="I195" s="41"/>
      <c r="J195" s="41"/>
      <c r="K195" s="42"/>
      <c r="N195" s="12" t="s">
        <v>1049</v>
      </c>
    </row>
    <row r="196" spans="2:14" ht="45" customHeight="1" x14ac:dyDescent="0.3">
      <c r="B196" s="39"/>
      <c r="C196" s="343" t="s">
        <v>574</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15" customHeight="1" x14ac:dyDescent="0.3">
      <c r="B257" s="39"/>
      <c r="C257" s="343"/>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27</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6">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0</v>
      </c>
      <c r="K478" s="42"/>
    </row>
    <row r="479" spans="2:11" x14ac:dyDescent="0.3">
      <c r="B479" s="39"/>
      <c r="C479" s="41" t="s">
        <v>280</v>
      </c>
      <c r="D479" s="41"/>
      <c r="E479" s="41"/>
      <c r="F479" s="41"/>
      <c r="G479" s="41"/>
      <c r="H479" s="41"/>
      <c r="I479" s="41"/>
      <c r="J479" s="256">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1015</v>
      </c>
      <c r="K499" s="42"/>
    </row>
    <row r="500" spans="2:11" x14ac:dyDescent="0.3">
      <c r="B500" s="39"/>
      <c r="C500" s="41" t="s">
        <v>280</v>
      </c>
      <c r="D500" s="41"/>
      <c r="E500" s="41"/>
      <c r="F500" s="41"/>
      <c r="G500" s="41"/>
      <c r="H500" s="41"/>
      <c r="I500" s="41"/>
      <c r="J500" s="256">
        <f>IF(J499=$B$973,$A$973,IF(J499=$B$974,$A$974,IF(J499=$B$975,$A$975,IF(J499=$B$976,$A$976,IF(J499=$B$977,$A$977,"Not Calculated")))))</f>
        <v>0</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0</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1018</v>
      </c>
      <c r="K532" s="42"/>
    </row>
    <row r="533" spans="2:11" x14ac:dyDescent="0.3">
      <c r="B533" s="39"/>
      <c r="C533" s="41" t="s">
        <v>280</v>
      </c>
      <c r="D533" s="41"/>
      <c r="E533" s="41"/>
      <c r="F533" s="41"/>
      <c r="G533" s="41"/>
      <c r="H533" s="41"/>
      <c r="I533" s="41"/>
      <c r="J533" s="256">
        <f>IF(J532=$B$973,$A$973,IF(J532=$B$974,$A$974,IF(J532=$B$975,$A$975,IF(J532=$B$976,$A$976,IF(J532=$B$977,$A$977,"Not Calculated")))))</f>
        <v>3</v>
      </c>
      <c r="K533" s="42"/>
    </row>
    <row r="534" spans="2:11" x14ac:dyDescent="0.3">
      <c r="B534" s="39"/>
      <c r="C534" s="41" t="s">
        <v>1038</v>
      </c>
      <c r="D534" s="41"/>
      <c r="E534" s="41"/>
      <c r="F534" s="41"/>
      <c r="G534" s="41"/>
      <c r="H534" s="41"/>
      <c r="I534" s="41"/>
      <c r="J534" s="41"/>
      <c r="K534" s="42"/>
    </row>
    <row r="535" spans="2:11" ht="45" customHeight="1" x14ac:dyDescent="0.3">
      <c r="B535" s="39"/>
      <c r="C535" s="343" t="s">
        <v>839</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0.2857142857142857</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50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575</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'Baseline Health'!$G$6*0.0003</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576</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19</v>
      </c>
      <c r="K605" s="42"/>
    </row>
    <row r="606" spans="2:11" x14ac:dyDescent="0.3">
      <c r="B606" s="39"/>
      <c r="C606" s="41" t="s">
        <v>279</v>
      </c>
      <c r="D606" s="41"/>
      <c r="E606" s="41"/>
      <c r="F606" s="41"/>
      <c r="G606" s="41"/>
      <c r="H606" s="41"/>
      <c r="I606" s="41"/>
      <c r="J606" s="259">
        <f>IF(J605&lt;=0,0,IF(J605&lt;=10,1,IF(J605&lt;=25,2,IF(J605&lt;=50,3,4))))</f>
        <v>2</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60" customHeight="1" x14ac:dyDescent="0.3">
      <c r="B613" s="39"/>
      <c r="C613" s="343" t="s">
        <v>577</v>
      </c>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2</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'Baseline Health'!$G$6*0.0003</f>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1019</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4</v>
      </c>
      <c r="K631" s="42"/>
      <c r="N631" s="12" t="s">
        <v>1044</v>
      </c>
    </row>
    <row r="632" spans="2:14" x14ac:dyDescent="0.3">
      <c r="B632" s="39"/>
      <c r="C632" s="41" t="s">
        <v>1038</v>
      </c>
      <c r="D632" s="41"/>
      <c r="E632" s="41"/>
      <c r="F632" s="41"/>
      <c r="G632" s="41"/>
      <c r="H632" s="41"/>
      <c r="I632" s="41"/>
      <c r="J632" s="41"/>
      <c r="K632" s="42"/>
      <c r="N632" s="12" t="s">
        <v>1045</v>
      </c>
    </row>
    <row r="633" spans="2:14" ht="45" customHeight="1" x14ac:dyDescent="0.3">
      <c r="B633" s="39"/>
      <c r="C633" s="343" t="s">
        <v>578</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579</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ht="15" customHeight="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215</v>
      </c>
      <c r="H738" s="375"/>
      <c r="I738" s="60"/>
      <c r="J738" s="271">
        <f t="shared" si="1"/>
        <v>0</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215</v>
      </c>
      <c r="H740" s="375"/>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1</v>
      </c>
      <c r="K799" s="62"/>
    </row>
    <row r="800" spans="2:11" x14ac:dyDescent="0.3">
      <c r="B800" s="58"/>
      <c r="C800" s="60"/>
      <c r="D800" s="198" t="s">
        <v>392</v>
      </c>
      <c r="E800" s="60"/>
      <c r="F800" s="60"/>
      <c r="G800" s="60"/>
      <c r="H800" s="60"/>
      <c r="I800" s="60"/>
      <c r="J800" s="61">
        <f>AVERAGE(J798,J799)</f>
        <v>0.5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1</v>
      </c>
      <c r="K807" s="62"/>
    </row>
    <row r="808" spans="2:11" x14ac:dyDescent="0.3">
      <c r="B808" s="58"/>
      <c r="C808" s="60"/>
      <c r="D808" s="198" t="s">
        <v>392</v>
      </c>
      <c r="E808" s="60"/>
      <c r="F808" s="60"/>
      <c r="G808" s="60"/>
      <c r="H808" s="60"/>
      <c r="I808" s="60"/>
      <c r="J808" s="61">
        <f>AVERAGE(J806,J807)</f>
        <v>0.5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0.83333333333333337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254</v>
      </c>
      <c r="H834" s="351"/>
      <c r="I834" s="86"/>
      <c r="J834" s="84">
        <f>IF(G834=$B$998,$A$998,IF(G834=$B$999,$A$999,IF(G834=$B$1000,$A$1000,IF(G834=$B$1001,$A$1001,IF(G834=$B$1002,$A$1002,"Not Calculated")))))</f>
        <v>2</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254</v>
      </c>
      <c r="H838" s="351"/>
      <c r="I838" s="86"/>
      <c r="J838" s="84">
        <f>IF(G838=$B$998,$A$998,IF(G838=$B$999,$A$999,IF(G838=$B$1000,$A$1000,IF(G838=$B$1001,$A$1001,IF(G838=$B$1002,$A$1002,"Not Calculated")))))</f>
        <v>2</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254</v>
      </c>
      <c r="H850" s="351"/>
      <c r="I850" s="86"/>
      <c r="J850" s="84">
        <f>IF(G850=$B$998,$A$998,IF(G850=$B$999,$A$999,IF(G850=$B$1000,$A$1000,IF(G850=$B$1001,$A$1001,IF(G850=$B$1002,$A$1002,"Not Calculated")))))</f>
        <v>2</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255</v>
      </c>
      <c r="H858" s="351"/>
      <c r="I858" s="86"/>
      <c r="J858" s="84">
        <f>IF(G858=$B$998,$A$998,IF(G858=$B$999,$A$999,IF(G858=$B$1000,$A$1000,IF(G858=$B$1001,$A$1001,IF(G858=$B$1002,$A$1002,"Not Calculated")))))</f>
        <v>0</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253</v>
      </c>
      <c r="H874" s="351"/>
      <c r="I874" s="86"/>
      <c r="J874" s="84">
        <f>IF(G874=$B$998,$A$998,IF(G874=$B$999,$A$999,IF(G874=$B$1000,$A$1000,IF(G874=$B$1001,$A$1001,IF(G874=$B$1002,$A$1002,"Not Calculated")))))</f>
        <v>4</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254</v>
      </c>
      <c r="H904" s="351"/>
      <c r="I904" s="86"/>
      <c r="J904" s="84">
        <f>IF(G904=$B$998,$A$998,IF(G904=$B$999,$A$999,IF(G904=$B$1000,$A$1000,IF(G904=$B$1001,$A$1001,IF(G904=$B$1002,$A$1002,"Not Calculated")))))</f>
        <v>2</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254</v>
      </c>
      <c r="H908" s="351"/>
      <c r="I908" s="86"/>
      <c r="J908" s="84">
        <f>IF(G908=$B$998,$A$998,IF(G908=$B$999,$A$999,IF(G908=$B$1000,$A$1000,IF(G908=$B$1001,$A$1001,IF(G908=$B$1002,$A$1002,"Not Calculated")))))</f>
        <v>2</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254</v>
      </c>
      <c r="H916" s="351"/>
      <c r="I916" s="86"/>
      <c r="J916" s="84">
        <f>IF(G916=$B$998,$A$998,IF(G916=$B$999,$A$999,IF(G916=$B$1000,$A$1000,IF(G916=$B$1001,$A$1001,IF(G916=$B$1002,$A$1002,"Not Calculated")))))</f>
        <v>2</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811</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838</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841</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45" customHeight="1" x14ac:dyDescent="0.3">
      <c r="B1010" s="340" t="s">
        <v>840</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837</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02:J402"/>
    <mergeCell ref="C416:J416"/>
    <mergeCell ref="C438:J438"/>
    <mergeCell ref="C444:I445"/>
    <mergeCell ref="C391:I392"/>
    <mergeCell ref="C257:J257"/>
    <mergeCell ref="C237:J237"/>
    <mergeCell ref="C216:J216"/>
    <mergeCell ref="C292:I293"/>
    <mergeCell ref="C311:I312"/>
    <mergeCell ref="C340:I341"/>
    <mergeCell ref="C305:J305"/>
    <mergeCell ref="C324:J324"/>
    <mergeCell ref="C330:I331"/>
    <mergeCell ref="C420:I421"/>
    <mergeCell ref="C385:J385"/>
    <mergeCell ref="C347:J347"/>
    <mergeCell ref="D343:I344"/>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6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600-000001000000}">
      <formula1>$B$998:$B$1002</formula1>
    </dataValidation>
    <dataValidation type="list" allowBlank="1" showInputMessage="1" showErrorMessage="1" sqref="G717:H725 G762:H770 G732:H740 G747:H755" xr:uid="{00000000-0002-0000-1600-000002000000}">
      <formula1>$B$994:$B$995</formula1>
    </dataValidation>
    <dataValidation type="list" allowBlank="1" showInputMessage="1" showErrorMessage="1" sqref="J302 J362" xr:uid="{00000000-0002-0000-1600-000003000000}">
      <formula1>$B$980:$B$984</formula1>
    </dataValidation>
    <dataValidation type="list" allowBlank="1" showInputMessage="1" showErrorMessage="1" sqref="C123:J124" xr:uid="{00000000-0002-0000-1600-000004000000}">
      <formula1>$B$987:$B$991</formula1>
    </dataValidation>
    <dataValidation type="list" allowBlank="1" showInputMessage="1" showErrorMessage="1" sqref="J35 J213 J283 J652 J234 J54 J193 J173 J152 J126 J111 J92 J73 J254 J435 J452 J468 J499 J515 J532 J557 J580 J596 J674 J630" xr:uid="{00000000-0002-0000-1600-000005000000}">
      <formula1>$B$973:$B$977</formula1>
    </dataValidation>
    <dataValidation type="list" allowBlank="1" showInputMessage="1" showErrorMessage="1" sqref="J33" xr:uid="{00000000-0002-0000-1600-000006000000}">
      <formula1>$N$32:$N$37</formula1>
    </dataValidation>
    <dataValidation type="list" allowBlank="1" showInputMessage="1" showErrorMessage="1" sqref="J52" xr:uid="{00000000-0002-0000-1600-000007000000}">
      <formula1>$N$51:$N$56</formula1>
    </dataValidation>
    <dataValidation type="list" allowBlank="1" showInputMessage="1" showErrorMessage="1" sqref="J71" xr:uid="{00000000-0002-0000-1600-000008000000}">
      <formula1>$N$70:$N$75</formula1>
    </dataValidation>
    <dataValidation type="list" allowBlank="1" showInputMessage="1" showErrorMessage="1" sqref="J90" xr:uid="{00000000-0002-0000-1600-000009000000}">
      <formula1>$N$89:$N$94</formula1>
    </dataValidation>
    <dataValidation type="list" allowBlank="1" showInputMessage="1" showErrorMessage="1" sqref="J109" xr:uid="{00000000-0002-0000-1600-00000A000000}">
      <formula1>$N$108:$N$113</formula1>
    </dataValidation>
    <dataValidation type="list" allowBlank="1" showInputMessage="1" showErrorMessage="1" sqref="J150" xr:uid="{00000000-0002-0000-1600-00000B000000}">
      <formula1>$N$149:$N$154</formula1>
    </dataValidation>
    <dataValidation type="list" allowBlank="1" showInputMessage="1" showErrorMessage="1" sqref="J171" xr:uid="{00000000-0002-0000-1600-00000C000000}">
      <formula1>$N$170:$N$175</formula1>
    </dataValidation>
    <dataValidation type="list" allowBlank="1" showInputMessage="1" showErrorMessage="1" sqref="J191" xr:uid="{00000000-0002-0000-1600-00000D000000}">
      <formula1>$N$190:$N$195</formula1>
    </dataValidation>
    <dataValidation type="list" allowBlank="1" showInputMessage="1" showErrorMessage="1" sqref="J211" xr:uid="{00000000-0002-0000-1600-00000E000000}">
      <formula1>$N$210:$N$215</formula1>
    </dataValidation>
    <dataValidation type="list" allowBlank="1" showInputMessage="1" showErrorMessage="1" sqref="J232" xr:uid="{00000000-0002-0000-1600-00000F000000}">
      <formula1>$N$231:$N$236</formula1>
    </dataValidation>
    <dataValidation type="list" allowBlank="1" showInputMessage="1" showErrorMessage="1" sqref="J252" xr:uid="{00000000-0002-0000-1600-000010000000}">
      <formula1>$N$251:$N$256</formula1>
    </dataValidation>
    <dataValidation type="list" allowBlank="1" showInputMessage="1" showErrorMessage="1" sqref="J281" xr:uid="{00000000-0002-0000-1600-000011000000}">
      <formula1>$N$280:$N$285</formula1>
    </dataValidation>
    <dataValidation type="list" allowBlank="1" showInputMessage="1" showErrorMessage="1" sqref="J555" xr:uid="{00000000-0002-0000-1600-000012000000}">
      <formula1>$N$554:$N$559</formula1>
    </dataValidation>
    <dataValidation type="list" allowBlank="1" showInputMessage="1" showErrorMessage="1" sqref="J578" xr:uid="{00000000-0002-0000-1600-000013000000}">
      <formula1>$N$577:$N$582</formula1>
    </dataValidation>
    <dataValidation type="list" allowBlank="1" showInputMessage="1" showErrorMessage="1" sqref="J628" xr:uid="{00000000-0002-0000-1600-000014000000}">
      <formula1>$N$627:$N$632</formula1>
    </dataValidation>
    <dataValidation type="list" allowBlank="1" showInputMessage="1" showErrorMessage="1" sqref="J650" xr:uid="{00000000-0002-0000-1600-000015000000}">
      <formula1>$N$649:$N$654</formula1>
    </dataValidation>
    <dataValidation type="list" allowBlank="1" showInputMessage="1" showErrorMessage="1" sqref="J672" xr:uid="{00000000-0002-0000-1600-000016000000}">
      <formula1>$N$671:$N$676</formula1>
    </dataValidation>
  </dataValidations>
  <pageMargins left="0.7" right="0.7" top="0.75" bottom="0.75" header="0.3" footer="0.3"/>
  <pageSetup scale="7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9"/>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14</v>
      </c>
      <c r="I3" s="30"/>
      <c r="L3" s="160"/>
      <c r="M3" s="160"/>
    </row>
    <row r="4" spans="2:13" x14ac:dyDescent="0.3">
      <c r="G4" s="99"/>
      <c r="I4" s="30"/>
      <c r="L4" s="161"/>
      <c r="M4" s="160"/>
    </row>
    <row r="5" spans="2:13" ht="137.25" customHeight="1" x14ac:dyDescent="0.3">
      <c r="B5" s="407" t="s">
        <v>784</v>
      </c>
      <c r="C5" s="320"/>
      <c r="D5" s="320"/>
      <c r="E5" s="320"/>
      <c r="F5" s="320"/>
      <c r="G5" s="320"/>
      <c r="H5" s="320"/>
      <c r="I5" s="320"/>
      <c r="J5" s="320"/>
      <c r="K5" s="320"/>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29.25" customHeight="1" x14ac:dyDescent="0.3">
      <c r="B10" s="383" t="s">
        <v>785</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260</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1</v>
      </c>
      <c r="F17" s="166"/>
      <c r="G17" s="166"/>
      <c r="H17" s="166"/>
      <c r="I17" s="166"/>
      <c r="J17" s="166"/>
      <c r="K17" s="168"/>
    </row>
    <row r="18" spans="2:14" x14ac:dyDescent="0.3">
      <c r="B18" s="165"/>
      <c r="C18" s="166"/>
      <c r="D18" s="166"/>
      <c r="E18" s="170" t="str">
        <f>IF(E15=$C$966,$B$966,IF(E15=$C$967,$B$967,IF(E15=$C$968,$B$968,IF(E15=$C$969,$B$969,IF(E15=$C$970,$B$970,"Not Calculated")))))</f>
        <v>Remote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1015</v>
      </c>
      <c r="K35" s="42"/>
      <c r="N35" s="12" t="s">
        <v>1043</v>
      </c>
    </row>
    <row r="36" spans="2:14" x14ac:dyDescent="0.3">
      <c r="B36" s="39"/>
      <c r="C36" s="41" t="s">
        <v>280</v>
      </c>
      <c r="D36" s="41"/>
      <c r="E36" s="41"/>
      <c r="F36" s="41"/>
      <c r="G36" s="41"/>
      <c r="H36" s="41"/>
      <c r="I36" s="41"/>
      <c r="J36" s="256">
        <f>IF(J35=$B$973,$A$973,IF(J35=$B$974,$A$974,IF(J35=$B$975,$A$975,IF(J35=$B$976,$A$976,IF(J35=$B$977,$A$977,"Not Calculated")))))</f>
        <v>0</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t="s">
        <v>580</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0</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IF('Community Characteristics'!$H$45="Yes",J44*0.5,0)</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1017</v>
      </c>
      <c r="K54" s="42"/>
      <c r="N54" s="12" t="s">
        <v>1043</v>
      </c>
    </row>
    <row r="55" spans="2:14" x14ac:dyDescent="0.3">
      <c r="B55" s="39"/>
      <c r="C55" s="41" t="s">
        <v>280</v>
      </c>
      <c r="D55" s="41"/>
      <c r="E55" s="41"/>
      <c r="F55" s="41"/>
      <c r="G55" s="41"/>
      <c r="H55" s="41"/>
      <c r="I55" s="41"/>
      <c r="J55" s="256">
        <f>IF(J54=$B$973,$A$973,IF(J54=$B$974,$A$974,IF(J54=$B$975,$A$975,IF(J54=$B$976,$A$976,IF(J54=$B$977,$A$977,"Not Calculated")))))</f>
        <v>2</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581</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2</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IF('Community Characteristics'!$H$45="Yes",'Baseline Health'!$G$6*0.1,0)</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1019</v>
      </c>
      <c r="K73" s="42"/>
      <c r="N73" s="12" t="s">
        <v>1043</v>
      </c>
    </row>
    <row r="74" spans="2:14" x14ac:dyDescent="0.3">
      <c r="B74" s="39"/>
      <c r="C74" s="41" t="s">
        <v>280</v>
      </c>
      <c r="D74" s="41"/>
      <c r="E74" s="41"/>
      <c r="F74" s="41"/>
      <c r="G74" s="41"/>
      <c r="H74" s="41"/>
      <c r="I74" s="41"/>
      <c r="J74" s="256">
        <f>IF(J73=$B$973,$A$973,IF(J73=$B$974,$A$974,IF(J73=$B$975,$A$975,IF(J73=$B$976,$A$976,IF(J73=$B$977,$A$977,"Not Calculated")))))</f>
        <v>4</v>
      </c>
      <c r="K74" s="42"/>
      <c r="N74" s="12" t="s">
        <v>1044</v>
      </c>
    </row>
    <row r="75" spans="2:14" x14ac:dyDescent="0.3">
      <c r="B75" s="39"/>
      <c r="C75" s="41" t="s">
        <v>1038</v>
      </c>
      <c r="D75" s="41"/>
      <c r="E75" s="41"/>
      <c r="F75" s="41"/>
      <c r="G75" s="41"/>
      <c r="H75" s="41"/>
      <c r="I75" s="41"/>
      <c r="J75" s="177"/>
      <c r="K75" s="42"/>
      <c r="N75" s="12" t="s">
        <v>1045</v>
      </c>
    </row>
    <row r="76" spans="2:14" s="180" customFormat="1" ht="60" customHeight="1" x14ac:dyDescent="0.3">
      <c r="B76" s="178"/>
      <c r="C76" s="359" t="s">
        <v>582</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4</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IF('Community Characteristics'!$H$45="Yes",J82*0.75,0)</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6">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75" customHeight="1" x14ac:dyDescent="0.3">
      <c r="B95" s="178"/>
      <c r="C95" s="359" t="s">
        <v>583</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267</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4</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4</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2.3333333333333335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'Community Characteristics'!H85</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t="s">
        <v>584</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'Community Characteristics'!H62</f>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t="s">
        <v>585</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'Community Characteristics'!H67</f>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15" customHeight="1" x14ac:dyDescent="0.3">
      <c r="B196" s="39"/>
      <c r="C196" s="343" t="s">
        <v>586</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'Community Characteristics'!H90</f>
        <v>0</v>
      </c>
      <c r="K203" s="42"/>
    </row>
    <row r="204" spans="2:14" x14ac:dyDescent="0.3">
      <c r="B204" s="39"/>
      <c r="C204" s="41" t="s">
        <v>375</v>
      </c>
      <c r="D204" s="41"/>
      <c r="E204" s="41"/>
      <c r="F204" s="41"/>
      <c r="G204" s="41"/>
      <c r="H204" s="41"/>
      <c r="I204" s="41"/>
      <c r="J204" s="275">
        <f>J202*0.5</f>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45" customHeight="1" x14ac:dyDescent="0.3">
      <c r="B216" s="39"/>
      <c r="C216" s="343" t="s">
        <v>587</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f>'Community Characteristics'!H76</f>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'Community Characteristics'!H95</f>
        <v>0</v>
      </c>
      <c r="K244" s="42"/>
    </row>
    <row r="245" spans="2:14" x14ac:dyDescent="0.3">
      <c r="B245" s="39"/>
      <c r="C245" s="41" t="s">
        <v>380</v>
      </c>
      <c r="D245" s="305"/>
      <c r="E245" s="305"/>
      <c r="F245" s="305"/>
      <c r="G245" s="305"/>
      <c r="H245" s="305"/>
      <c r="I245" s="305"/>
      <c r="J245" s="275">
        <f>'Community Characteristics'!H56*40/250</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45" customHeight="1" x14ac:dyDescent="0.3">
      <c r="B257" s="39"/>
      <c r="C257" s="343" t="s">
        <v>588</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'Community Characteristics'!H72</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t="s">
        <v>589</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3" ht="15" customHeight="1" x14ac:dyDescent="0.3">
      <c r="B305" s="39"/>
      <c r="C305" s="343"/>
      <c r="D305" s="344"/>
      <c r="E305" s="344"/>
      <c r="F305" s="344"/>
      <c r="G305" s="344"/>
      <c r="H305" s="344"/>
      <c r="I305" s="344"/>
      <c r="J305" s="345"/>
      <c r="K305" s="42"/>
    </row>
    <row r="306" spans="2:13" x14ac:dyDescent="0.3">
      <c r="B306" s="39"/>
      <c r="C306" s="41"/>
      <c r="D306" s="41"/>
      <c r="E306" s="41"/>
      <c r="F306" s="41"/>
      <c r="G306" s="41"/>
      <c r="H306" s="41"/>
      <c r="I306" s="41"/>
      <c r="J306" s="41"/>
      <c r="K306" s="42"/>
    </row>
    <row r="307" spans="2:13" x14ac:dyDescent="0.3">
      <c r="B307" s="39"/>
      <c r="C307" s="181" t="s">
        <v>1030</v>
      </c>
      <c r="D307" s="41"/>
      <c r="E307" s="41"/>
      <c r="F307" s="41"/>
      <c r="G307" s="41"/>
      <c r="H307" s="41"/>
      <c r="I307" s="41"/>
      <c r="J307" s="256">
        <f>IF(OR(J296="Not Calculated",J303="Not Calculated")=TRUE,"Not Calculated",AVERAGE(J296,J303))</f>
        <v>2</v>
      </c>
      <c r="K307" s="42"/>
    </row>
    <row r="308" spans="2:13" x14ac:dyDescent="0.3">
      <c r="B308" s="39"/>
      <c r="C308" s="41"/>
      <c r="D308" s="41"/>
      <c r="E308" s="41"/>
      <c r="F308" s="41"/>
      <c r="G308" s="41"/>
      <c r="H308" s="41"/>
      <c r="I308" s="41"/>
      <c r="J308" s="41"/>
      <c r="K308" s="42"/>
    </row>
    <row r="309" spans="2:13" x14ac:dyDescent="0.3">
      <c r="B309" s="39"/>
      <c r="C309" s="41"/>
      <c r="D309" s="41"/>
      <c r="E309" s="41"/>
      <c r="F309" s="41"/>
      <c r="G309" s="41"/>
      <c r="H309" s="41"/>
      <c r="I309" s="41"/>
      <c r="J309" s="41"/>
      <c r="K309" s="42"/>
    </row>
    <row r="310" spans="2:13" ht="15.6" x14ac:dyDescent="0.3">
      <c r="B310" s="39"/>
      <c r="C310" s="46" t="s">
        <v>1002</v>
      </c>
      <c r="D310" s="41"/>
      <c r="E310" s="41"/>
      <c r="F310" s="41"/>
      <c r="G310" s="41"/>
      <c r="H310" s="41"/>
      <c r="I310" s="41"/>
      <c r="J310" s="41"/>
      <c r="K310" s="42"/>
    </row>
    <row r="311" spans="2:13" x14ac:dyDescent="0.3">
      <c r="B311" s="39"/>
      <c r="C311" s="324" t="s">
        <v>986</v>
      </c>
      <c r="D311" s="324"/>
      <c r="E311" s="324"/>
      <c r="F311" s="324"/>
      <c r="G311" s="324"/>
      <c r="H311" s="324"/>
      <c r="I311" s="324"/>
      <c r="J311" s="41"/>
      <c r="K311" s="42"/>
      <c r="M311" s="250"/>
    </row>
    <row r="312" spans="2:13" x14ac:dyDescent="0.3">
      <c r="B312" s="39"/>
      <c r="C312" s="324"/>
      <c r="D312" s="324"/>
      <c r="E312" s="324"/>
      <c r="F312" s="324"/>
      <c r="G312" s="324"/>
      <c r="H312" s="324"/>
      <c r="I312" s="324"/>
      <c r="J312" s="275">
        <f>'Community Characteristics'!$H$67+'Community Characteristics'!$H$82</f>
        <v>0</v>
      </c>
      <c r="K312" s="42"/>
    </row>
    <row r="313" spans="2:13" x14ac:dyDescent="0.3">
      <c r="B313" s="39"/>
      <c r="C313" s="41" t="s">
        <v>998</v>
      </c>
      <c r="D313" s="305"/>
      <c r="E313" s="305"/>
      <c r="F313" s="305"/>
      <c r="G313" s="305"/>
      <c r="H313" s="305"/>
      <c r="I313" s="305"/>
      <c r="J313" s="266">
        <f>'Baseline Health'!$G$102</f>
        <v>0</v>
      </c>
      <c r="K313" s="42"/>
    </row>
    <row r="314" spans="2:13" x14ac:dyDescent="0.3">
      <c r="B314" s="39"/>
      <c r="C314" s="41" t="s">
        <v>985</v>
      </c>
      <c r="D314" s="41"/>
      <c r="E314" s="41"/>
      <c r="F314" s="41"/>
      <c r="G314" s="41"/>
      <c r="H314" s="41"/>
      <c r="I314" s="41"/>
      <c r="J314" s="255" t="str">
        <f>IF('Baseline Health'!$G$102=0,"Not Calculated",100*J312/'Baseline Health'!$G$102)</f>
        <v>Not Calculated</v>
      </c>
      <c r="K314" s="42"/>
    </row>
    <row r="315" spans="2:13" x14ac:dyDescent="0.3">
      <c r="B315" s="39"/>
      <c r="C315" s="41" t="s">
        <v>279</v>
      </c>
      <c r="D315" s="41"/>
      <c r="E315" s="41"/>
      <c r="F315" s="41"/>
      <c r="G315" s="41"/>
      <c r="H315" s="41"/>
      <c r="I315" s="41"/>
      <c r="J315" s="256">
        <f>IF(J314&lt;=0,0,IF(J314&lt;=1,1,IF(J314&lt;=5,2,IF(J314&lt;=10,3,4))))</f>
        <v>4</v>
      </c>
      <c r="K315" s="42"/>
    </row>
    <row r="316" spans="2:13" ht="9.75" customHeight="1" x14ac:dyDescent="0.3">
      <c r="B316" s="39"/>
      <c r="C316" s="292" t="str">
        <f>"0:"</f>
        <v>0:</v>
      </c>
      <c r="D316" s="291" t="s">
        <v>1081</v>
      </c>
      <c r="E316" s="41"/>
      <c r="F316" s="41"/>
      <c r="G316" s="41"/>
      <c r="H316" s="41"/>
      <c r="I316" s="41"/>
      <c r="J316" s="255"/>
      <c r="K316" s="42"/>
    </row>
    <row r="317" spans="2:13" ht="9.75" customHeight="1" x14ac:dyDescent="0.3">
      <c r="B317" s="39"/>
      <c r="C317" s="293" t="str">
        <f>"1:"</f>
        <v>1:</v>
      </c>
      <c r="D317" s="291" t="s">
        <v>1083</v>
      </c>
      <c r="E317" s="41"/>
      <c r="F317" s="41"/>
      <c r="G317" s="41"/>
      <c r="H317" s="41"/>
      <c r="I317" s="41"/>
      <c r="J317" s="255"/>
      <c r="K317" s="42"/>
    </row>
    <row r="318" spans="2:13" ht="9.75" customHeight="1" x14ac:dyDescent="0.3">
      <c r="B318" s="39"/>
      <c r="C318" s="293" t="str">
        <f>"2:"</f>
        <v>2:</v>
      </c>
      <c r="D318" s="291" t="s">
        <v>1082</v>
      </c>
      <c r="E318" s="41"/>
      <c r="F318" s="41"/>
      <c r="G318" s="41"/>
      <c r="H318" s="41"/>
      <c r="I318" s="41"/>
      <c r="J318" s="255"/>
      <c r="K318" s="42"/>
    </row>
    <row r="319" spans="2:13" ht="9.75" customHeight="1" x14ac:dyDescent="0.3">
      <c r="B319" s="39"/>
      <c r="C319" s="293" t="str">
        <f>"3:"</f>
        <v>3:</v>
      </c>
      <c r="D319" s="291" t="s">
        <v>1084</v>
      </c>
      <c r="E319" s="41"/>
      <c r="F319" s="41"/>
      <c r="G319" s="41"/>
      <c r="H319" s="41"/>
      <c r="I319" s="41"/>
      <c r="J319" s="255"/>
      <c r="K319" s="42"/>
    </row>
    <row r="320" spans="2:13"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3</v>
      </c>
      <c r="K321" s="42"/>
    </row>
    <row r="322" spans="2:11" x14ac:dyDescent="0.3">
      <c r="B322" s="39"/>
      <c r="C322" s="41" t="s">
        <v>280</v>
      </c>
      <c r="D322" s="41"/>
      <c r="E322" s="41"/>
      <c r="F322" s="41"/>
      <c r="G322" s="41"/>
      <c r="H322" s="41"/>
      <c r="I322" s="41"/>
      <c r="J322" s="256">
        <f>IF(J321&lt;=0,0,IF(J321&lt;=2,1,IF(J321&lt;=6,2,IF(J321&lt;=12,3,4))))</f>
        <v>2</v>
      </c>
      <c r="K322" s="42"/>
    </row>
    <row r="323" spans="2:11" x14ac:dyDescent="0.3">
      <c r="B323" s="39"/>
      <c r="C323" s="41" t="s">
        <v>1038</v>
      </c>
      <c r="D323" s="41"/>
      <c r="E323" s="41"/>
      <c r="F323" s="41"/>
      <c r="G323" s="41"/>
      <c r="H323" s="41"/>
      <c r="I323" s="41"/>
      <c r="J323" s="41"/>
      <c r="K323" s="42"/>
    </row>
    <row r="324" spans="2:11" ht="45" customHeight="1" x14ac:dyDescent="0.3">
      <c r="B324" s="39"/>
      <c r="C324" s="343" t="s">
        <v>590</v>
      </c>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3</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3</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2</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3</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f>'Community Characteristics'!$H$67+'Community Characteristics'!$H$82</f>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365</v>
      </c>
      <c r="K382" s="42"/>
    </row>
    <row r="383" spans="2:11" x14ac:dyDescent="0.3">
      <c r="B383" s="39"/>
      <c r="C383" s="41" t="s">
        <v>280</v>
      </c>
      <c r="D383" s="41"/>
      <c r="E383" s="41"/>
      <c r="F383" s="41"/>
      <c r="G383" s="41"/>
      <c r="H383" s="41"/>
      <c r="I383" s="41"/>
      <c r="J383" s="259">
        <f>IF((J382-J381)&lt;1,0,IF((J382-J381)&lt;3,1,IF((J382-J381)&lt;5,2,IF((J382-J381)&lt;7,3,4))))</f>
        <v>4</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2</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f>'Community Characteristics'!$H$67+'Community Characteristics'!$H$82</f>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5</v>
      </c>
      <c r="K408" s="42"/>
    </row>
    <row r="409" spans="2:11" x14ac:dyDescent="0.3">
      <c r="B409" s="39"/>
      <c r="C409" s="41" t="s">
        <v>279</v>
      </c>
      <c r="D409" s="41"/>
      <c r="E409" s="41"/>
      <c r="F409" s="41"/>
      <c r="G409" s="41"/>
      <c r="H409" s="41"/>
      <c r="I409" s="41"/>
      <c r="J409" s="264">
        <f>IF(J408&lt;=0,0,IF(J408&lt;=(J161*0.01),1,IF(J408&lt;=(J161*0.05),2,IF(J408&lt;=(J161*0.1),3,4))))</f>
        <v>4</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30" customHeight="1" x14ac:dyDescent="0.3">
      <c r="B416" s="39"/>
      <c r="C416" s="343" t="s">
        <v>980</v>
      </c>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4</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2.5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t="str">
        <f>IF('Baseline Health'!$G$6=0,"Not Calculated",'Community Characteristics'!$H$56/'Baseline Health'!$G$6*100)</f>
        <v>Not Calculated</v>
      </c>
      <c r="K428" s="42"/>
    </row>
    <row r="429" spans="2:11" x14ac:dyDescent="0.3">
      <c r="B429" s="39"/>
      <c r="C429" s="41" t="s">
        <v>279</v>
      </c>
      <c r="D429" s="41"/>
      <c r="E429" s="41"/>
      <c r="F429" s="41"/>
      <c r="G429" s="41"/>
      <c r="H429" s="41"/>
      <c r="I429" s="41"/>
      <c r="J429" s="259">
        <f>IF(J428&lt;=0,0,IF(J428&lt;=1,1,IF(J428&lt;=5,2,IF(J428&lt;=10,3,4))))</f>
        <v>4</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1019</v>
      </c>
      <c r="K435" s="42"/>
    </row>
    <row r="436" spans="2:11" x14ac:dyDescent="0.3">
      <c r="B436" s="39"/>
      <c r="C436" s="41" t="s">
        <v>280</v>
      </c>
      <c r="D436" s="41"/>
      <c r="E436" s="41"/>
      <c r="F436" s="41"/>
      <c r="G436" s="41"/>
      <c r="H436" s="41"/>
      <c r="I436" s="41"/>
      <c r="J436" s="256">
        <f>IF(J435=$B$973,$A$973,IF(J435=$B$974,$A$974,IF(J435=$B$975,$A$975,IF(J435=$B$976,$A$976,IF(J435=$B$977,$A$977,"Not Calculated")))))</f>
        <v>4</v>
      </c>
      <c r="K436" s="42"/>
    </row>
    <row r="437" spans="2:11" x14ac:dyDescent="0.3">
      <c r="B437" s="39"/>
      <c r="C437" s="41" t="s">
        <v>1038</v>
      </c>
      <c r="D437" s="41"/>
      <c r="E437" s="41"/>
      <c r="F437" s="41"/>
      <c r="G437" s="41"/>
      <c r="H437" s="41"/>
      <c r="I437" s="41"/>
      <c r="J437" s="41"/>
      <c r="K437" s="42"/>
    </row>
    <row r="438" spans="2:11" ht="15" customHeight="1" x14ac:dyDescent="0.3">
      <c r="B438" s="39"/>
      <c r="C438" s="343" t="s">
        <v>591</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4</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t="str">
        <f>IF('Baseline Health'!$G$6=0,"Not Calculated",'Community Characteristics'!$H$56/'Baseline Health'!$G$6*100)</f>
        <v>Not Calculated</v>
      </c>
      <c r="K461" s="42"/>
    </row>
    <row r="462" spans="2:11" x14ac:dyDescent="0.3">
      <c r="B462" s="39"/>
      <c r="C462" s="41" t="s">
        <v>279</v>
      </c>
      <c r="D462" s="41"/>
      <c r="E462" s="41"/>
      <c r="F462" s="41"/>
      <c r="G462" s="41"/>
      <c r="H462" s="41"/>
      <c r="I462" s="41"/>
      <c r="J462" s="259">
        <f>IF(J461&lt;=0,0,IF(J461&lt;=1,1,IF(J461&lt;=5,2,IF(J461&lt;=10,3,4))))</f>
        <v>4</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1027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1</v>
      </c>
      <c r="K469" s="42"/>
    </row>
    <row r="470" spans="2:11" x14ac:dyDescent="0.3">
      <c r="B470" s="39"/>
      <c r="C470" s="41" t="s">
        <v>1038</v>
      </c>
      <c r="D470" s="41"/>
      <c r="E470" s="41"/>
      <c r="F470" s="41"/>
      <c r="G470" s="41"/>
      <c r="H470" s="41"/>
      <c r="I470" s="41"/>
      <c r="J470" s="41"/>
      <c r="K470" s="42"/>
    </row>
    <row r="471" spans="2:11" ht="45" customHeight="1" x14ac:dyDescent="0.3">
      <c r="B471" s="39"/>
      <c r="C471" s="343" t="s">
        <v>590</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2.5</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f>IF('Community Characteristics'!H49="Yes",365,0)</f>
        <v>0</v>
      </c>
      <c r="K478" s="42"/>
    </row>
    <row r="479" spans="2:11" x14ac:dyDescent="0.3">
      <c r="B479" s="39"/>
      <c r="C479" s="41" t="s">
        <v>280</v>
      </c>
      <c r="D479" s="41"/>
      <c r="E479" s="41"/>
      <c r="F479" s="41"/>
      <c r="G479" s="41"/>
      <c r="H479" s="41"/>
      <c r="I479" s="41"/>
      <c r="J479" s="256">
        <f>IF(J478&lt;=0,0,IF(J478&lt;=1,1,IF(J478&lt;=7,2,IF(J478&lt;=14,3,4))))</f>
        <v>0</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593</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0</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f>'Community Characteristics'!H53</f>
        <v>0</v>
      </c>
      <c r="K492" s="42"/>
    </row>
    <row r="493" spans="2:11" x14ac:dyDescent="0.3">
      <c r="B493" s="39"/>
      <c r="C493" s="41" t="s">
        <v>279</v>
      </c>
      <c r="D493" s="41"/>
      <c r="E493" s="41"/>
      <c r="F493" s="41"/>
      <c r="G493" s="41"/>
      <c r="H493" s="41"/>
      <c r="I493" s="41"/>
      <c r="J493" s="259">
        <f>IF(J492&lt;=0,0,IF(J492&lt;=1,1,IF(J492&lt;=5,2,IF(J492&lt;=10,3,4))))</f>
        <v>0</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1019</v>
      </c>
      <c r="K499" s="42"/>
    </row>
    <row r="500" spans="2:11" x14ac:dyDescent="0.3">
      <c r="B500" s="39"/>
      <c r="C500" s="41" t="s">
        <v>280</v>
      </c>
      <c r="D500" s="41"/>
      <c r="E500" s="41"/>
      <c r="F500" s="41"/>
      <c r="G500" s="41"/>
      <c r="H500" s="41"/>
      <c r="I500" s="41"/>
      <c r="J500" s="256">
        <f>IF(J499=$B$973,$A$973,IF(J499=$B$974,$A$974,IF(J499=$B$975,$A$975,IF(J499=$B$976,$A$976,IF(J499=$B$977,$A$977,"Not Calculated")))))</f>
        <v>4</v>
      </c>
      <c r="K500" s="42"/>
    </row>
    <row r="501" spans="2:11" x14ac:dyDescent="0.3">
      <c r="B501" s="39"/>
      <c r="C501" s="41" t="s">
        <v>1038</v>
      </c>
      <c r="D501" s="41"/>
      <c r="E501" s="41"/>
      <c r="F501" s="41"/>
      <c r="G501" s="41"/>
      <c r="H501" s="41"/>
      <c r="I501" s="41"/>
      <c r="J501" s="41"/>
      <c r="K501" s="42"/>
    </row>
    <row r="502" spans="2:11" ht="30" customHeight="1" x14ac:dyDescent="0.3">
      <c r="B502" s="39"/>
      <c r="C502" s="386" t="s">
        <v>594</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2</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f>'Community Characteristics'!$H$56</f>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1019</v>
      </c>
      <c r="K515" s="42"/>
    </row>
    <row r="516" spans="2:11" x14ac:dyDescent="0.3">
      <c r="B516" s="39"/>
      <c r="C516" s="41" t="s">
        <v>280</v>
      </c>
      <c r="D516" s="41"/>
      <c r="E516" s="41"/>
      <c r="F516" s="41"/>
      <c r="G516" s="41"/>
      <c r="H516" s="41"/>
      <c r="I516" s="41"/>
      <c r="J516" s="256">
        <f>IF(J515=$B$973,$A$973,IF(J515=$B$974,$A$974,IF(J515=$B$975,$A$975,IF(J515=$B$976,$A$976,IF(J515=$B$977,$A$977,"Not Calculated")))))</f>
        <v>4</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2</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f>IF('Community Characteristics'!$H$45="Yes",50,0)</f>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6">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30" customHeight="1" x14ac:dyDescent="0.3">
      <c r="B535" s="39"/>
      <c r="C535" s="343" t="s">
        <v>595</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2</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1.7857142857142858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t="str">
        <f>IF('Community Characteristics'!H10=0,"Not Calculated",('Community Characteristics'!H56/'Community Characteristics'!H10)*'Nuclear Facility Accident'!J546)</f>
        <v>Not Calculated</v>
      </c>
      <c r="K547" s="42"/>
    </row>
    <row r="548" spans="2:14" x14ac:dyDescent="0.3">
      <c r="B548" s="39"/>
      <c r="C548" s="41" t="s">
        <v>467</v>
      </c>
      <c r="D548" s="41"/>
      <c r="E548" s="41"/>
      <c r="F548" s="41"/>
      <c r="G548" s="41"/>
      <c r="H548" s="41"/>
      <c r="I548" s="41"/>
      <c r="J548" s="275">
        <f>IF('Community Characteristics'!$H$45="Yes",J546*2,0)</f>
        <v>0</v>
      </c>
      <c r="K548" s="42"/>
    </row>
    <row r="549" spans="2:14" x14ac:dyDescent="0.3">
      <c r="B549" s="39"/>
      <c r="C549" s="41" t="s">
        <v>279</v>
      </c>
      <c r="D549" s="41"/>
      <c r="E549" s="41"/>
      <c r="F549" s="41"/>
      <c r="G549" s="41"/>
      <c r="H549" s="41"/>
      <c r="I549" s="41"/>
      <c r="J549" s="256" t="str">
        <f>IF(OR(J546=0,J546="Not Calculated",J547="Not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596</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J508*(160000/100000)</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75" customHeight="1" x14ac:dyDescent="0.3">
      <c r="B583" s="39"/>
      <c r="C583" s="343" t="s">
        <v>597</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f>'Community Characteristics'!$H$56</f>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1019</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4</v>
      </c>
      <c r="K597" s="42"/>
    </row>
    <row r="598" spans="2:11" x14ac:dyDescent="0.3">
      <c r="B598" s="39"/>
      <c r="C598" s="41" t="s">
        <v>1038</v>
      </c>
      <c r="D598" s="41"/>
      <c r="E598" s="41"/>
      <c r="F598" s="41"/>
      <c r="G598" s="41"/>
      <c r="H598" s="41"/>
      <c r="I598" s="41"/>
      <c r="J598" s="41"/>
      <c r="K598" s="42"/>
    </row>
    <row r="599" spans="2:11" ht="30" customHeight="1" x14ac:dyDescent="0.3">
      <c r="B599" s="39"/>
      <c r="C599" s="343" t="s">
        <v>598</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f>'Community Characteristics'!H16</f>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30" customHeight="1" x14ac:dyDescent="0.3">
      <c r="B613" s="39"/>
      <c r="C613" s="343" t="s">
        <v>599</v>
      </c>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IF('Community Characteristics'!H45="Yes",1000,0)</f>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1019</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4</v>
      </c>
      <c r="K631" s="42"/>
      <c r="N631" s="12" t="s">
        <v>1044</v>
      </c>
    </row>
    <row r="632" spans="2:14" x14ac:dyDescent="0.3">
      <c r="B632" s="39"/>
      <c r="C632" s="41" t="s">
        <v>1038</v>
      </c>
      <c r="D632" s="41"/>
      <c r="E632" s="41"/>
      <c r="F632" s="41"/>
      <c r="G632" s="41"/>
      <c r="H632" s="41"/>
      <c r="I632" s="41"/>
      <c r="J632" s="41"/>
      <c r="K632" s="42"/>
      <c r="N632" s="12" t="s">
        <v>1045</v>
      </c>
    </row>
    <row r="633" spans="2:14" ht="45" customHeight="1" x14ac:dyDescent="0.3">
      <c r="B633" s="39"/>
      <c r="C633" s="343" t="s">
        <v>600</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150</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60" customHeight="1" x14ac:dyDescent="0.3">
      <c r="B655" s="39"/>
      <c r="C655" s="343" t="s">
        <v>601</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f>'Community Characteristics'!H100</f>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1019</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4</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t="s">
        <v>602</v>
      </c>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ht="15" customHeight="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1.6666666666666667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257</v>
      </c>
      <c r="H850" s="351"/>
      <c r="I850" s="86"/>
      <c r="J850" s="84">
        <f>IF(G850=$B$998,$A$998,IF(G850=$B$999,$A$999,IF(G850=$B$1000,$A$1000,IF(G850=$B$1001,$A$1001,IF(G850=$B$1002,$A$1002,"Not Calculated")))))</f>
        <v>3</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253</v>
      </c>
      <c r="H858" s="351"/>
      <c r="I858" s="86"/>
      <c r="J858" s="84">
        <f>IF(G858=$B$998,$A$998,IF(G858=$B$999,$A$999,IF(G858=$B$1000,$A$1000,IF(G858=$B$1001,$A$1001,IF(G858=$B$1002,$A$1002,"Not Calculated")))))</f>
        <v>4</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253</v>
      </c>
      <c r="H874" s="351"/>
      <c r="I874" s="86"/>
      <c r="J874" s="84">
        <f>IF(G874=$B$998,$A$998,IF(G874=$B$999,$A$999,IF(G874=$B$1000,$A$1000,IF(G874=$B$1001,$A$1001,IF(G874=$B$1002,$A$1002,"Not Calculated")))))</f>
        <v>4</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253</v>
      </c>
      <c r="H890" s="351"/>
      <c r="I890" s="86"/>
      <c r="J890" s="84">
        <f>IF(G890=$B$998,$A$998,IF(G890=$B$999,$A$999,IF(G890=$B$1000,$A$1000,IF(G890=$B$1001,$A$1001,IF(G890=$B$1002,$A$1002,"Not Calculated")))))</f>
        <v>4</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257</v>
      </c>
      <c r="H916" s="351"/>
      <c r="I916" s="86"/>
      <c r="J916" s="84">
        <f>IF(G916=$B$998,$A$998,IF(G916=$B$999,$A$999,IF(G916=$B$1000,$A$1000,IF(G916=$B$1001,$A$1001,IF(G916=$B$1002,$A$1002,"Not Calculated")))))</f>
        <v>3</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253</v>
      </c>
      <c r="H932" s="351"/>
      <c r="I932" s="86"/>
      <c r="J932" s="84">
        <f>IF(G932=$B$998,$A$998,IF(G932=$B$999,$A$999,IF(G932=$B$1000,$A$1000,IF(G932=$B$1001,$A$1001,IF(G932=$B$1002,$A$1002,"Not Calculated")))))</f>
        <v>4</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825</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30" customHeight="1" x14ac:dyDescent="0.3">
      <c r="B1006" s="340" t="s">
        <v>807</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843</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844</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45" customHeight="1" x14ac:dyDescent="0.3">
      <c r="B1012" s="340" t="s">
        <v>842</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292:I293"/>
    <mergeCell ref="C311:I312"/>
    <mergeCell ref="C340:I341"/>
    <mergeCell ref="C305:J305"/>
    <mergeCell ref="C385:J385"/>
    <mergeCell ref="C95:J95"/>
    <mergeCell ref="C114:J114"/>
    <mergeCell ref="C76:J76"/>
    <mergeCell ref="E15:J15"/>
    <mergeCell ref="C38:J38"/>
    <mergeCell ref="C57:J57"/>
    <mergeCell ref="C286:J286"/>
    <mergeCell ref="B5:K5"/>
    <mergeCell ref="B6:K6"/>
    <mergeCell ref="B7:K7"/>
    <mergeCell ref="B8:K8"/>
    <mergeCell ref="B9:K9"/>
    <mergeCell ref="B10:K10"/>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365:J365"/>
    <mergeCell ref="C371:I372"/>
    <mergeCell ref="C324:J324"/>
    <mergeCell ref="C330:I331"/>
    <mergeCell ref="C347:J347"/>
    <mergeCell ref="D343:I344"/>
    <mergeCell ref="C420:I421"/>
    <mergeCell ref="C391:I392"/>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700-000000000000}">
      <formula1>$C$966:$C$970</formula1>
    </dataValidation>
    <dataValidation type="list" allowBlank="1" showInputMessage="1" showErrorMessage="1" sqref="G834:H834 G886:H886 G882:H882 G878:H878 G874:H874 G870:H870 G866:H866 G862:H862 G858:H858 G846:H846 G854:H854 G850:H850 G842:H842 G838:H838 G890:H890 G904:H904 G928:H928 G924:H924 G920:H920 G916:H916 G912:H912 G908:H908 G932:H932" xr:uid="{00000000-0002-0000-1700-000001000000}">
      <formula1>$B$998:$B$1002</formula1>
    </dataValidation>
    <dataValidation type="list" allowBlank="1" showInputMessage="1" showErrorMessage="1" sqref="G717:H725 G762:H770 G732:H740 G747:H755" xr:uid="{00000000-0002-0000-1700-000002000000}">
      <formula1>$B$994:$B$995</formula1>
    </dataValidation>
    <dataValidation type="list" allowBlank="1" showInputMessage="1" showErrorMessage="1" sqref="J302 J362" xr:uid="{00000000-0002-0000-1700-000003000000}">
      <formula1>$B$980:$B$984</formula1>
    </dataValidation>
    <dataValidation type="list" allowBlank="1" showInputMessage="1" showErrorMessage="1" sqref="C123:J124" xr:uid="{00000000-0002-0000-1700-000004000000}">
      <formula1>$B$987:$B$991</formula1>
    </dataValidation>
    <dataValidation type="list" allowBlank="1" showInputMessage="1" showErrorMessage="1" sqref="J35 J213 J283 J652 J435 J54 J630 J193 J173 J126 J111 J92 J152 J254 J234 J452 J468 J499 J515 J532 J557 J580 J73 J674 J596" xr:uid="{00000000-0002-0000-1700-000005000000}">
      <formula1>$B$973:$B$977</formula1>
    </dataValidation>
    <dataValidation type="list" allowBlank="1" showInputMessage="1" showErrorMessage="1" sqref="J33" xr:uid="{00000000-0002-0000-1700-000006000000}">
      <formula1>$N$32:$N$37</formula1>
    </dataValidation>
    <dataValidation type="list" allowBlank="1" showInputMessage="1" showErrorMessage="1" sqref="J52" xr:uid="{00000000-0002-0000-1700-000007000000}">
      <formula1>$N$51:$N$56</formula1>
    </dataValidation>
    <dataValidation type="list" allowBlank="1" showInputMessage="1" showErrorMessage="1" sqref="J71" xr:uid="{00000000-0002-0000-1700-000008000000}">
      <formula1>$N$70:$N$75</formula1>
    </dataValidation>
    <dataValidation type="list" allowBlank="1" showInputMessage="1" showErrorMessage="1" sqref="J90" xr:uid="{00000000-0002-0000-1700-000009000000}">
      <formula1>$N$89:$N$94</formula1>
    </dataValidation>
    <dataValidation type="list" allowBlank="1" showInputMessage="1" showErrorMessage="1" sqref="J109" xr:uid="{00000000-0002-0000-1700-00000A000000}">
      <formula1>$N$108:$N$113</formula1>
    </dataValidation>
    <dataValidation type="list" allowBlank="1" showInputMessage="1" showErrorMessage="1" sqref="J150" xr:uid="{00000000-0002-0000-1700-00000B000000}">
      <formula1>$N$149:$N$154</formula1>
    </dataValidation>
    <dataValidation type="list" allowBlank="1" showInputMessage="1" showErrorMessage="1" sqref="J171" xr:uid="{00000000-0002-0000-1700-00000C000000}">
      <formula1>$N$170:$N$175</formula1>
    </dataValidation>
    <dataValidation type="list" allowBlank="1" showInputMessage="1" showErrorMessage="1" sqref="J191" xr:uid="{00000000-0002-0000-1700-00000D000000}">
      <formula1>$N$190:$N$195</formula1>
    </dataValidation>
    <dataValidation type="list" allowBlank="1" showInputMessage="1" showErrorMessage="1" sqref="J211" xr:uid="{00000000-0002-0000-1700-00000E000000}">
      <formula1>$N$210:$N$215</formula1>
    </dataValidation>
    <dataValidation type="list" allowBlank="1" showInputMessage="1" showErrorMessage="1" sqref="J232" xr:uid="{00000000-0002-0000-1700-00000F000000}">
      <formula1>$N$231:$N$236</formula1>
    </dataValidation>
    <dataValidation type="list" allowBlank="1" showInputMessage="1" showErrorMessage="1" sqref="J252" xr:uid="{00000000-0002-0000-1700-000010000000}">
      <formula1>$N$251:$N$256</formula1>
    </dataValidation>
    <dataValidation type="list" allowBlank="1" showInputMessage="1" showErrorMessage="1" sqref="J281" xr:uid="{00000000-0002-0000-1700-000011000000}">
      <formula1>$N$280:$N$285</formula1>
    </dataValidation>
    <dataValidation type="list" allowBlank="1" showInputMessage="1" showErrorMessage="1" sqref="J555" xr:uid="{00000000-0002-0000-1700-000012000000}">
      <formula1>$N$554:$N$559</formula1>
    </dataValidation>
    <dataValidation type="list" allowBlank="1" showInputMessage="1" showErrorMessage="1" sqref="J578" xr:uid="{00000000-0002-0000-1700-000013000000}">
      <formula1>$N$577:$N$582</formula1>
    </dataValidation>
    <dataValidation type="list" allowBlank="1" showInputMessage="1" showErrorMessage="1" sqref="J628" xr:uid="{00000000-0002-0000-1700-000014000000}">
      <formula1>$N$627:$N$632</formula1>
    </dataValidation>
    <dataValidation type="list" allowBlank="1" showInputMessage="1" showErrorMessage="1" sqref="J650" xr:uid="{00000000-0002-0000-1700-000015000000}">
      <formula1>$N$649:$N$654</formula1>
    </dataValidation>
    <dataValidation type="list" allowBlank="1" showInputMessage="1" showErrorMessage="1" sqref="J672" xr:uid="{00000000-0002-0000-1700-000016000000}">
      <formula1>$N$671:$N$676</formula1>
    </dataValidation>
  </dataValidations>
  <pageMargins left="0.7" right="0.7" top="0.75" bottom="0.75" header="0.3" footer="0.3"/>
  <pageSetup scale="70" orientation="portrait" r:id="rId1"/>
  <ignoredErrors>
    <ignoredError sqref="J392 J372 J312" unlockedFormula="1"/>
  </ignoredError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9</v>
      </c>
      <c r="I3" s="30"/>
      <c r="L3" s="160"/>
      <c r="M3" s="160"/>
    </row>
    <row r="4" spans="2:13" x14ac:dyDescent="0.3">
      <c r="G4" s="99"/>
      <c r="I4" s="30"/>
      <c r="L4" s="161"/>
      <c r="M4" s="160"/>
    </row>
    <row r="5" spans="2:13" ht="105" customHeight="1" x14ac:dyDescent="0.3">
      <c r="B5" s="370" t="s">
        <v>786</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60" customHeight="1" x14ac:dyDescent="0.3">
      <c r="B10" s="378" t="s">
        <v>787</v>
      </c>
      <c r="C10" s="379"/>
      <c r="D10" s="379"/>
      <c r="E10" s="379"/>
      <c r="F10" s="379"/>
      <c r="G10" s="379"/>
      <c r="H10" s="379"/>
      <c r="I10" s="379"/>
      <c r="J10" s="379"/>
      <c r="K10" s="380"/>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'Baseline Health'!$G$6*0.00017</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1019</v>
      </c>
      <c r="K35" s="42"/>
      <c r="N35" s="12" t="s">
        <v>1043</v>
      </c>
    </row>
    <row r="36" spans="2:14" x14ac:dyDescent="0.3">
      <c r="B36" s="39"/>
      <c r="C36" s="41" t="s">
        <v>280</v>
      </c>
      <c r="D36" s="41"/>
      <c r="E36" s="41"/>
      <c r="F36" s="41"/>
      <c r="G36" s="41"/>
      <c r="H36" s="41"/>
      <c r="I36" s="41"/>
      <c r="J36" s="256">
        <f>IF(J35=$B$973,$A$973,IF(J35=$B$974,$A$974,IF(J35=$B$975,$A$975,IF(J35=$B$976,$A$976,IF(J35=$B$977,$A$977,"Not Calculated")))))</f>
        <v>4</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603</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4</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J26*0.5</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1019</v>
      </c>
      <c r="K54" s="42"/>
      <c r="N54" s="12" t="s">
        <v>1043</v>
      </c>
    </row>
    <row r="55" spans="2:14" x14ac:dyDescent="0.3">
      <c r="B55" s="39"/>
      <c r="C55" s="41" t="s">
        <v>280</v>
      </c>
      <c r="D55" s="41"/>
      <c r="E55" s="41"/>
      <c r="F55" s="41"/>
      <c r="G55" s="41"/>
      <c r="H55" s="41"/>
      <c r="I55" s="41"/>
      <c r="J55" s="256">
        <f>IF(J54=$B$973,$A$973,IF(J54=$B$974,$A$974,IF(J54=$B$975,$A$975,IF(J54=$B$976,$A$976,IF(J54=$B$977,$A$977,"Not Calculated")))))</f>
        <v>4</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4</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J26</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1019</v>
      </c>
      <c r="K73" s="42"/>
      <c r="N73" s="12" t="s">
        <v>1043</v>
      </c>
    </row>
    <row r="74" spans="2:14" x14ac:dyDescent="0.3">
      <c r="B74" s="39"/>
      <c r="C74" s="41" t="s">
        <v>280</v>
      </c>
      <c r="D74" s="41"/>
      <c r="E74" s="41"/>
      <c r="F74" s="41"/>
      <c r="G74" s="41"/>
      <c r="H74" s="41"/>
      <c r="I74" s="41"/>
      <c r="J74" s="256">
        <f>IF(J73=$B$973,$A$973,IF(J73=$B$974,$A$974,IF(J73=$B$975,$A$975,IF(J73=$B$976,$A$976,IF(J73=$B$977,$A$977,"Not Calculated")))))</f>
        <v>4</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4</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'Baseline Health'!$G$6*0.00268</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6">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30" customHeight="1" x14ac:dyDescent="0.3">
      <c r="B95" s="178"/>
      <c r="C95" s="359" t="s">
        <v>604</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248</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3</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45" customHeight="1" x14ac:dyDescent="0.3">
      <c r="B129" s="178"/>
      <c r="C129" s="359" t="s">
        <v>605</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3.5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3.25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J140*0.4</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30" customHeight="1" x14ac:dyDescent="0.3">
      <c r="B155" s="39"/>
      <c r="C155" s="343" t="s">
        <v>606</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J161*0.4</f>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45" customHeight="1" x14ac:dyDescent="0.3">
      <c r="B176" s="39"/>
      <c r="C176" s="343" t="s">
        <v>607</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J182*0.4</f>
        <v>0</v>
      </c>
      <c r="K183" s="42"/>
    </row>
    <row r="184" spans="2:14" x14ac:dyDescent="0.3">
      <c r="B184" s="39"/>
      <c r="C184" s="41" t="s">
        <v>374</v>
      </c>
      <c r="D184" s="41"/>
      <c r="E184" s="41"/>
      <c r="F184" s="41"/>
      <c r="G184" s="41"/>
      <c r="H184" s="41"/>
      <c r="I184" s="41"/>
      <c r="J184" s="275">
        <f>'Baseline Health'!$G$6*0.0057</f>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75" customHeight="1" x14ac:dyDescent="0.3">
      <c r="B196" s="39"/>
      <c r="C196" s="343" t="s">
        <v>608</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J202*0.4</f>
        <v>0</v>
      </c>
      <c r="K203" s="42"/>
    </row>
    <row r="204" spans="2:14" x14ac:dyDescent="0.3">
      <c r="B204" s="39"/>
      <c r="C204" s="41" t="s">
        <v>375</v>
      </c>
      <c r="D204" s="41"/>
      <c r="E204" s="41"/>
      <c r="F204" s="41"/>
      <c r="G204" s="41"/>
      <c r="H204" s="41"/>
      <c r="I204" s="41"/>
      <c r="J204" s="275">
        <f>('Baseline Health'!$G$6*0.3)/480</f>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1019</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4</v>
      </c>
      <c r="K214" s="42"/>
      <c r="N214" s="12" t="s">
        <v>1048</v>
      </c>
    </row>
    <row r="215" spans="2:14" x14ac:dyDescent="0.3">
      <c r="B215" s="39"/>
      <c r="C215" s="41" t="s">
        <v>1038</v>
      </c>
      <c r="D215" s="41"/>
      <c r="E215" s="41"/>
      <c r="F215" s="41"/>
      <c r="G215" s="41"/>
      <c r="H215" s="41"/>
      <c r="I215" s="41"/>
      <c r="J215" s="41"/>
      <c r="K215" s="42"/>
      <c r="N215" s="12" t="s">
        <v>1049</v>
      </c>
    </row>
    <row r="216" spans="2:14" ht="90" customHeight="1" x14ac:dyDescent="0.3">
      <c r="B216" s="39"/>
      <c r="C216" s="343" t="s">
        <v>609</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f>J222*0.4</f>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1019</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4</v>
      </c>
      <c r="K235" s="42"/>
      <c r="N235" s="12" t="s">
        <v>1048</v>
      </c>
    </row>
    <row r="236" spans="2:14" x14ac:dyDescent="0.3">
      <c r="B236" s="39"/>
      <c r="C236" s="41" t="s">
        <v>1038</v>
      </c>
      <c r="D236" s="41"/>
      <c r="E236" s="41"/>
      <c r="F236" s="41"/>
      <c r="G236" s="41"/>
      <c r="H236" s="41"/>
      <c r="I236" s="41"/>
      <c r="J236" s="41"/>
      <c r="K236" s="42"/>
      <c r="N236" s="12" t="s">
        <v>1049</v>
      </c>
    </row>
    <row r="237" spans="2:14" ht="45" customHeight="1" x14ac:dyDescent="0.3">
      <c r="B237" s="39"/>
      <c r="C237" s="343" t="s">
        <v>610</v>
      </c>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J243*0.4</f>
        <v>0</v>
      </c>
      <c r="K244" s="42"/>
    </row>
    <row r="245" spans="2:14" x14ac:dyDescent="0.3">
      <c r="B245" s="39"/>
      <c r="C245" s="41" t="s">
        <v>380</v>
      </c>
      <c r="D245" s="305"/>
      <c r="E245" s="305"/>
      <c r="F245" s="305"/>
      <c r="G245" s="305"/>
      <c r="H245" s="305"/>
      <c r="I245" s="305"/>
      <c r="J245" s="275">
        <f>'Baseline Health'!$G$6*0.16*40/250</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90" customHeight="1" x14ac:dyDescent="0.3">
      <c r="B257" s="39"/>
      <c r="C257" s="343" t="s">
        <v>611</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J268*0.4</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30" customHeight="1" x14ac:dyDescent="0.3">
      <c r="B286" s="39"/>
      <c r="C286" s="343" t="s">
        <v>606</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ht="15" customHeight="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ht="15" customHeight="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f>'Baseline Health'!$G$102*0.1</f>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4</v>
      </c>
      <c r="K321" s="42"/>
    </row>
    <row r="322" spans="2:11" x14ac:dyDescent="0.3">
      <c r="B322" s="39"/>
      <c r="C322" s="41" t="s">
        <v>280</v>
      </c>
      <c r="D322" s="41"/>
      <c r="E322" s="41"/>
      <c r="F322" s="41"/>
      <c r="G322" s="41"/>
      <c r="H322" s="41"/>
      <c r="I322" s="41"/>
      <c r="J322" s="256">
        <f>IF(J321&lt;=0,0,IF(J321&lt;=2,1,IF(J321&lt;=6,2,IF(J321&lt;=12,3,4))))</f>
        <v>2</v>
      </c>
      <c r="K322" s="42"/>
    </row>
    <row r="323" spans="2:11" x14ac:dyDescent="0.3">
      <c r="B323" s="39"/>
      <c r="C323" s="41" t="s">
        <v>1038</v>
      </c>
      <c r="D323" s="41"/>
      <c r="E323" s="41"/>
      <c r="F323" s="41"/>
      <c r="G323" s="41"/>
      <c r="H323" s="41"/>
      <c r="I323" s="41"/>
      <c r="J323" s="41"/>
      <c r="K323" s="42"/>
    </row>
    <row r="324" spans="2:11" ht="120" customHeight="1" x14ac:dyDescent="0.3">
      <c r="B324" s="39"/>
      <c r="C324" s="343" t="s">
        <v>612</v>
      </c>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3</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ht="15" customHeight="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62">
        <f>'Baseline Health'!G108</f>
        <v>0</v>
      </c>
      <c r="K341" s="42"/>
    </row>
    <row r="342" spans="2:11" ht="15" customHeight="1" x14ac:dyDescent="0.3">
      <c r="B342" s="39"/>
      <c r="C342" s="41" t="s">
        <v>973</v>
      </c>
      <c r="D342" s="41"/>
      <c r="E342" s="41"/>
      <c r="F342" s="41"/>
      <c r="G342" s="41"/>
      <c r="H342" s="41"/>
      <c r="I342" s="41"/>
      <c r="J342" s="256">
        <f>IF(J341&gt;J321,0,J321-J341)</f>
        <v>4</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2</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3</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ht="15" customHeight="1" x14ac:dyDescent="0.3">
      <c r="B353" s="39"/>
      <c r="C353" s="41" t="s">
        <v>989</v>
      </c>
      <c r="D353" s="41"/>
      <c r="E353" s="41"/>
      <c r="F353" s="41"/>
      <c r="G353" s="41"/>
      <c r="H353" s="41"/>
      <c r="I353" s="41"/>
      <c r="J353" s="275">
        <v>0</v>
      </c>
      <c r="K353" s="42"/>
    </row>
    <row r="354" spans="2:11" ht="15" customHeight="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f>'Baseline Health'!$G$102*0.1</f>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5">
        <f>'Baseline Health'!G114</f>
        <v>0</v>
      </c>
      <c r="K381" s="42"/>
    </row>
    <row r="382" spans="2:11" x14ac:dyDescent="0.3">
      <c r="B382" s="39"/>
      <c r="C382" s="41" t="s">
        <v>316</v>
      </c>
      <c r="D382" s="41"/>
      <c r="E382" s="41"/>
      <c r="F382" s="41"/>
      <c r="G382" s="41"/>
      <c r="H382" s="41"/>
      <c r="I382" s="41"/>
      <c r="J382" s="277">
        <v>2</v>
      </c>
      <c r="K382" s="42"/>
    </row>
    <row r="383" spans="2:11" x14ac:dyDescent="0.3">
      <c r="B383" s="39"/>
      <c r="C383" s="41" t="s">
        <v>280</v>
      </c>
      <c r="D383" s="41"/>
      <c r="E383" s="41"/>
      <c r="F383" s="41"/>
      <c r="G383" s="41"/>
      <c r="H383" s="41"/>
      <c r="I383" s="41"/>
      <c r="J383" s="259">
        <f>IF((J382-J381)&lt;1,0,IF((J382-J381)&lt;3,1,IF((J382-J381)&lt;5,2,IF((J382-J381)&lt;7,3,4))))</f>
        <v>1</v>
      </c>
      <c r="K383" s="42"/>
    </row>
    <row r="384" spans="2:11" x14ac:dyDescent="0.3">
      <c r="B384" s="39"/>
      <c r="C384" s="41" t="s">
        <v>1038</v>
      </c>
      <c r="D384" s="41"/>
      <c r="E384" s="41"/>
      <c r="F384" s="41"/>
      <c r="G384" s="41"/>
      <c r="H384" s="41"/>
      <c r="I384" s="41"/>
      <c r="J384" s="41"/>
      <c r="K384" s="42"/>
    </row>
    <row r="385" spans="2:11" ht="30" customHeight="1" x14ac:dyDescent="0.3">
      <c r="B385" s="39"/>
      <c r="C385" s="343" t="s">
        <v>613</v>
      </c>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0.5</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ht="15" customHeight="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ht="15" customHeight="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ht="18" customHeight="1" x14ac:dyDescent="0.3">
      <c r="B421" s="39"/>
      <c r="C421" s="354"/>
      <c r="D421" s="354"/>
      <c r="E421" s="354"/>
      <c r="F421" s="354"/>
      <c r="G421" s="354"/>
      <c r="H421" s="354"/>
      <c r="I421" s="354"/>
      <c r="J421" s="255">
        <f>IF(OR(J287="Not Calculated",J306="Not Calculated",J325="Not Calculated",J348="Not Calculated",J366="Not Calculated",J387="Not Calculated",J404="Not Calculated",J418="Not Calculated")=TRUE,"Not Calculated",AVERAGE(J287,J306,J325,J348,J366,J387,J404,J418))</f>
        <v>1.5</v>
      </c>
      <c r="K421" s="42"/>
    </row>
    <row r="422" spans="2:11" ht="18" customHeight="1"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10</v>
      </c>
      <c r="K428" s="42"/>
    </row>
    <row r="429" spans="2:11" x14ac:dyDescent="0.3">
      <c r="B429" s="39"/>
      <c r="C429" s="41" t="s">
        <v>279</v>
      </c>
      <c r="D429" s="41"/>
      <c r="E429" s="41"/>
      <c r="F429" s="41"/>
      <c r="G429" s="41"/>
      <c r="H429" s="41"/>
      <c r="I429" s="41"/>
      <c r="J429" s="259">
        <f>IF(J428&lt;=0,0,IF(J428&lt;=1,1,IF(J428&lt;=5,2,IF(J428&lt;=10,3,4))))</f>
        <v>3</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6">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120" customHeight="1" x14ac:dyDescent="0.3">
      <c r="B438" s="39"/>
      <c r="C438" s="343" t="s">
        <v>612</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2.5</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10</v>
      </c>
      <c r="K461" s="42"/>
    </row>
    <row r="462" spans="2:11" x14ac:dyDescent="0.3">
      <c r="B462" s="39"/>
      <c r="C462" s="41" t="s">
        <v>279</v>
      </c>
      <c r="D462" s="41"/>
      <c r="E462" s="41"/>
      <c r="F462" s="41"/>
      <c r="G462" s="41"/>
      <c r="H462" s="41"/>
      <c r="I462" s="41"/>
      <c r="J462" s="259">
        <f>IF(J461&lt;=0,0,IF(J461&lt;=1,1,IF(J461&lt;=5,2,IF(J461&lt;=10,3,4))))</f>
        <v>3</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1027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1</v>
      </c>
      <c r="K469" s="42"/>
    </row>
    <row r="470" spans="2:11" x14ac:dyDescent="0.3">
      <c r="B470" s="39"/>
      <c r="C470" s="41" t="s">
        <v>1038</v>
      </c>
      <c r="D470" s="41"/>
      <c r="E470" s="41"/>
      <c r="F470" s="41"/>
      <c r="G470" s="41"/>
      <c r="H470" s="41"/>
      <c r="I470" s="41"/>
      <c r="J470" s="41"/>
      <c r="K470" s="42"/>
    </row>
    <row r="471" spans="2:11" ht="120" customHeight="1" x14ac:dyDescent="0.3">
      <c r="B471" s="39"/>
      <c r="C471" s="343" t="s">
        <v>614</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2</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f>7*8</f>
        <v>56</v>
      </c>
      <c r="K478" s="42"/>
    </row>
    <row r="479" spans="2:11" x14ac:dyDescent="0.3">
      <c r="B479" s="39"/>
      <c r="C479" s="41" t="s">
        <v>280</v>
      </c>
      <c r="D479" s="41"/>
      <c r="E479" s="41"/>
      <c r="F479" s="41"/>
      <c r="G479" s="41"/>
      <c r="H479" s="41"/>
      <c r="I479" s="41"/>
      <c r="J479" s="256">
        <f>IF(J478&lt;=0,0,IF(J478&lt;=1,1,IF(J478&lt;=7,2,IF(J478&lt;=14,3,4))))</f>
        <v>4</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615</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4</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25</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6">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90" customHeight="1" x14ac:dyDescent="0.3">
      <c r="B502" s="39"/>
      <c r="C502" s="386" t="s">
        <v>616</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3</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6">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05" customHeight="1" x14ac:dyDescent="0.3">
      <c r="B535" s="39"/>
      <c r="C535" s="343" t="s">
        <v>617</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1.6428571428571428</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f>J546*0.4</f>
        <v>0</v>
      </c>
      <c r="K547" s="42"/>
    </row>
    <row r="548" spans="2:14" x14ac:dyDescent="0.3">
      <c r="B548" s="39"/>
      <c r="C548" s="41" t="s">
        <v>467</v>
      </c>
      <c r="D548" s="41"/>
      <c r="E548" s="41"/>
      <c r="F548" s="41"/>
      <c r="G548" s="41"/>
      <c r="H548" s="41"/>
      <c r="I548" s="41"/>
      <c r="J548" s="275">
        <f>J546</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60" customHeight="1" x14ac:dyDescent="0.3">
      <c r="B560" s="39"/>
      <c r="C560" s="343" t="s">
        <v>618</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J568*7.5</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30" customHeight="1" x14ac:dyDescent="0.3">
      <c r="B583" s="39"/>
      <c r="C583" s="343" t="s">
        <v>619</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100</v>
      </c>
      <c r="K605" s="42"/>
    </row>
    <row r="606" spans="2:11" x14ac:dyDescent="0.3">
      <c r="B606" s="39"/>
      <c r="C606" s="41" t="s">
        <v>279</v>
      </c>
      <c r="D606" s="41"/>
      <c r="E606" s="41"/>
      <c r="F606" s="41"/>
      <c r="G606" s="41"/>
      <c r="H606" s="41"/>
      <c r="I606" s="41"/>
      <c r="J606" s="259">
        <f>IF(J605&lt;=0,0,IF(J605&lt;=10,1,IF(J605&lt;=25,2,IF(J605&lt;=50,3,4))))</f>
        <v>4</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t="s">
        <v>620</v>
      </c>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4</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J619*7.5</f>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1019</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4</v>
      </c>
      <c r="K631" s="42"/>
      <c r="N631" s="12" t="s">
        <v>1044</v>
      </c>
    </row>
    <row r="632" spans="2:14" x14ac:dyDescent="0.3">
      <c r="B632" s="39"/>
      <c r="C632" s="41" t="s">
        <v>1038</v>
      </c>
      <c r="D632" s="41"/>
      <c r="E632" s="41"/>
      <c r="F632" s="41"/>
      <c r="G632" s="41"/>
      <c r="H632" s="41"/>
      <c r="I632" s="41"/>
      <c r="J632" s="41"/>
      <c r="K632" s="42"/>
      <c r="N632" s="12" t="s">
        <v>1045</v>
      </c>
    </row>
    <row r="633" spans="2:14" ht="30" customHeight="1" x14ac:dyDescent="0.3">
      <c r="B633" s="39"/>
      <c r="C633" s="343" t="s">
        <v>619</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621</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1019</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4</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t="s">
        <v>1010</v>
      </c>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Calculated",$J$420="Not Calculated",$J$539="Not Calculated",$J$681="Not Calculated")=TRUE,"Not Calculated",AVERAGE($J$133,$J$261,$J$420,$J$539,$J$681))</f>
        <v>Not Calculated</v>
      </c>
      <c r="K687" s="42"/>
    </row>
    <row r="688" spans="2:14" x14ac:dyDescent="0.3">
      <c r="B688" s="39"/>
      <c r="C688" s="41" t="s">
        <v>1010</v>
      </c>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Calculated",$J$420="Not Calculated")=TRUE,"Not Calculated",AVERAGE($J$133,$J$261,$J$420))</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t="s">
        <v>1011</v>
      </c>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t="s">
        <v>1011</v>
      </c>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198</v>
      </c>
      <c r="H723" s="375"/>
      <c r="I723" s="60"/>
      <c r="J723" s="271">
        <f t="shared" si="0"/>
        <v>1</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198</v>
      </c>
      <c r="H725" s="375"/>
      <c r="I725" s="60"/>
      <c r="J725" s="271">
        <f t="shared" si="0"/>
        <v>1</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ht="15" customHeight="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215</v>
      </c>
      <c r="H738" s="375"/>
      <c r="I738" s="60"/>
      <c r="J738" s="271">
        <f t="shared" si="1"/>
        <v>0</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215</v>
      </c>
      <c r="H740" s="375"/>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2</v>
      </c>
      <c r="K799" s="62"/>
    </row>
    <row r="800" spans="2:11" x14ac:dyDescent="0.3">
      <c r="B800" s="58"/>
      <c r="C800" s="60"/>
      <c r="D800" s="198" t="s">
        <v>392</v>
      </c>
      <c r="E800" s="60"/>
      <c r="F800" s="60"/>
      <c r="G800" s="60"/>
      <c r="H800" s="60"/>
      <c r="I800" s="60"/>
      <c r="J800" s="61">
        <f>AVERAGE(J798,J799)</f>
        <v>1</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2</v>
      </c>
      <c r="K807" s="62"/>
    </row>
    <row r="808" spans="2:11" x14ac:dyDescent="0.3">
      <c r="B808" s="58"/>
      <c r="C808" s="60"/>
      <c r="D808" s="198" t="s">
        <v>392</v>
      </c>
      <c r="E808" s="60"/>
      <c r="F808" s="60"/>
      <c r="G808" s="60"/>
      <c r="H808" s="60"/>
      <c r="I808" s="60"/>
      <c r="J808" s="61">
        <f>AVERAGE(J806,J807)</f>
        <v>1</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0.94444444444444442</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t="s">
        <v>1012</v>
      </c>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t="s">
        <v>1012</v>
      </c>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253</v>
      </c>
      <c r="H874" s="351"/>
      <c r="I874" s="86"/>
      <c r="J874" s="84">
        <f>IF(G874=$B$998,$A$998,IF(G874=$B$999,$A$999,IF(G874=$B$1000,$A$1000,IF(G874=$B$1001,$A$1001,IF(G874=$B$1002,$A$1002,"Not Calculated")))))</f>
        <v>4</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253</v>
      </c>
      <c r="H890" s="351"/>
      <c r="I890" s="86"/>
      <c r="J890" s="84">
        <f>IF(G890=$B$998,$A$998,IF(G890=$B$999,$A$999,IF(G890=$B$1000,$A$1000,IF(G890=$B$1001,$A$1001,IF(G890=$B$1002,$A$1002,"Not Calculated")))))</f>
        <v>4</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253</v>
      </c>
      <c r="H932" s="351"/>
      <c r="I932" s="86"/>
      <c r="J932" s="84">
        <f>IF(G932=$B$998,$A$998,IF(G932=$B$999,$A$999,IF(G932=$B$1000,$A$1000,IF(G932=$B$1001,$A$1001,IF(G932=$B$1002,$A$1002,"Not Calculated")))))</f>
        <v>4</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t="s">
        <v>1013</v>
      </c>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t="s">
        <v>1013</v>
      </c>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t="s">
        <v>1014</v>
      </c>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t="s">
        <v>1014</v>
      </c>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hidden="1" customHeight="1" x14ac:dyDescent="0.3">
      <c r="B1003" s="12" t="s">
        <v>803</v>
      </c>
    </row>
    <row r="1004" spans="1:11" ht="44.25" customHeight="1" x14ac:dyDescent="0.3">
      <c r="B1004" s="398" t="s">
        <v>976</v>
      </c>
      <c r="C1004" s="399"/>
      <c r="D1004" s="399"/>
      <c r="E1004" s="399"/>
      <c r="F1004" s="399"/>
      <c r="G1004" s="399"/>
      <c r="H1004" s="399"/>
      <c r="I1004" s="399"/>
      <c r="J1004" s="399"/>
      <c r="K1004" s="400"/>
    </row>
    <row r="1005" spans="1:11" ht="15" customHeight="1" x14ac:dyDescent="0.3">
      <c r="B1005" s="340"/>
      <c r="C1005" s="341"/>
      <c r="D1005" s="341"/>
      <c r="E1005" s="341"/>
      <c r="F1005" s="341"/>
      <c r="G1005" s="341"/>
      <c r="H1005" s="341"/>
      <c r="I1005" s="341"/>
      <c r="J1005" s="341"/>
      <c r="K1005" s="342"/>
    </row>
    <row r="1006" spans="1:11" ht="15" customHeight="1" x14ac:dyDescent="0.3">
      <c r="B1006" s="340" t="s">
        <v>813</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t="s">
        <v>847</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807</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849</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30" customHeight="1" x14ac:dyDescent="0.3">
      <c r="B1014" s="340" t="s">
        <v>845</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45" customHeight="1" x14ac:dyDescent="0.3">
      <c r="B1016" s="340" t="s">
        <v>846</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292:I293"/>
    <mergeCell ref="C311:I312"/>
    <mergeCell ref="C340:I341"/>
    <mergeCell ref="C305:J305"/>
    <mergeCell ref="C385:J385"/>
    <mergeCell ref="C95:J95"/>
    <mergeCell ref="C114:J114"/>
    <mergeCell ref="C76:J76"/>
    <mergeCell ref="E15:J15"/>
    <mergeCell ref="C38:J38"/>
    <mergeCell ref="C57:J57"/>
    <mergeCell ref="C286:J286"/>
    <mergeCell ref="B5:K5"/>
    <mergeCell ref="B6:K6"/>
    <mergeCell ref="B7:K7"/>
    <mergeCell ref="B8:K8"/>
    <mergeCell ref="B9:K9"/>
    <mergeCell ref="B10:K10"/>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365:J365"/>
    <mergeCell ref="C371:I372"/>
    <mergeCell ref="C324:J324"/>
    <mergeCell ref="C330:I331"/>
    <mergeCell ref="C347:J347"/>
    <mergeCell ref="D343:I344"/>
    <mergeCell ref="C420:I421"/>
    <mergeCell ref="C391:I392"/>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800-000000000000}">
      <formula1>$C$966:$C$970</formula1>
    </dataValidation>
    <dataValidation type="list" allowBlank="1" showInputMessage="1" showErrorMessage="1" sqref="G834:H834 G886:H886 G882:H882 G878:H878 G874:H874 G866:H866 G870:H870 G862:H862 G842:H842 G858:H858 G854:H854 G850:H850 G846:H846 G838:H838 G890:H890 G904:H904 G928:H928 G924:H924 G912:H912 G920:H920 G916:H916 G908:H908 G932:H932" xr:uid="{00000000-0002-0000-1800-000001000000}">
      <formula1>$B$998:$B$1002</formula1>
    </dataValidation>
    <dataValidation type="list" allowBlank="1" showInputMessage="1" showErrorMessage="1" sqref="G717:H725 G762:H770 G732:H740 G747:H755" xr:uid="{00000000-0002-0000-1800-000002000000}">
      <formula1>$B$994:$B$995</formula1>
    </dataValidation>
    <dataValidation type="list" allowBlank="1" showInputMessage="1" showErrorMessage="1" sqref="J302 J362" xr:uid="{00000000-0002-0000-1800-000003000000}">
      <formula1>$B$980:$B$984</formula1>
    </dataValidation>
    <dataValidation type="list" allowBlank="1" showInputMessage="1" showErrorMessage="1" sqref="C123:J124" xr:uid="{00000000-0002-0000-1800-000004000000}">
      <formula1>$B$987:$B$991</formula1>
    </dataValidation>
    <dataValidation type="list" allowBlank="1" showInputMessage="1" showErrorMessage="1" sqref="J35 J213 J283 J652 J234 J54 J193 J173 J152 J126 J111 J92 J73 J254 J435 J452 J468 J499 J515 J532 J557 J580 J596 J674 J630" xr:uid="{00000000-0002-0000-1800-000005000000}">
      <formula1>$B$973:$B$977</formula1>
    </dataValidation>
    <dataValidation type="list" allowBlank="1" showInputMessage="1" showErrorMessage="1" sqref="J33" xr:uid="{00000000-0002-0000-1800-000006000000}">
      <formula1>$N$32:$N$37</formula1>
    </dataValidation>
    <dataValidation type="list" allowBlank="1" showInputMessage="1" showErrorMessage="1" sqref="J52" xr:uid="{00000000-0002-0000-1800-000007000000}">
      <formula1>$N$51:$N$56</formula1>
    </dataValidation>
    <dataValidation type="list" allowBlank="1" showInputMessage="1" showErrorMessage="1" sqref="J71" xr:uid="{00000000-0002-0000-1800-000008000000}">
      <formula1>$N$70:$N$75</formula1>
    </dataValidation>
    <dataValidation type="list" allowBlank="1" showInputMessage="1" showErrorMessage="1" sqref="J90" xr:uid="{00000000-0002-0000-1800-000009000000}">
      <formula1>$N$89:$N$94</formula1>
    </dataValidation>
    <dataValidation type="list" allowBlank="1" showInputMessage="1" showErrorMessage="1" sqref="J109" xr:uid="{00000000-0002-0000-1800-00000A000000}">
      <formula1>$N$108:$N$113</formula1>
    </dataValidation>
    <dataValidation type="list" allowBlank="1" showInputMessage="1" showErrorMessage="1" sqref="J150" xr:uid="{00000000-0002-0000-1800-00000B000000}">
      <formula1>$N$149:$N$154</formula1>
    </dataValidation>
    <dataValidation type="list" allowBlank="1" showInputMessage="1" showErrorMessage="1" sqref="J171" xr:uid="{00000000-0002-0000-1800-00000C000000}">
      <formula1>$N$170:$N$175</formula1>
    </dataValidation>
    <dataValidation type="list" allowBlank="1" showInputMessage="1" showErrorMessage="1" sqref="J191" xr:uid="{00000000-0002-0000-1800-00000D000000}">
      <formula1>$N$190:$N$195</formula1>
    </dataValidation>
    <dataValidation type="list" allowBlank="1" showInputMessage="1" showErrorMessage="1" sqref="J211" xr:uid="{00000000-0002-0000-1800-00000E000000}">
      <formula1>$N$210:$N$215</formula1>
    </dataValidation>
    <dataValidation type="list" allowBlank="1" showInputMessage="1" showErrorMessage="1" sqref="J232" xr:uid="{00000000-0002-0000-1800-00000F000000}">
      <formula1>$N$231:$N$236</formula1>
    </dataValidation>
    <dataValidation type="list" allowBlank="1" showInputMessage="1" showErrorMessage="1" sqref="J252" xr:uid="{00000000-0002-0000-1800-000010000000}">
      <formula1>$N$251:$N$256</formula1>
    </dataValidation>
    <dataValidation type="list" allowBlank="1" showInputMessage="1" showErrorMessage="1" sqref="J281" xr:uid="{00000000-0002-0000-1800-000011000000}">
      <formula1>$N$280:$N$285</formula1>
    </dataValidation>
    <dataValidation type="list" allowBlank="1" showInputMessage="1" showErrorMessage="1" sqref="J555" xr:uid="{00000000-0002-0000-1800-000012000000}">
      <formula1>$N$554:$N$559</formula1>
    </dataValidation>
    <dataValidation type="list" allowBlank="1" showInputMessage="1" showErrorMessage="1" sqref="J578" xr:uid="{00000000-0002-0000-1800-000013000000}">
      <formula1>$N$577:$N$582</formula1>
    </dataValidation>
    <dataValidation type="list" allowBlank="1" showInputMessage="1" showErrorMessage="1" sqref="J628" xr:uid="{00000000-0002-0000-1800-000014000000}">
      <formula1>$N$627:$N$632</formula1>
    </dataValidation>
    <dataValidation type="list" allowBlank="1" showInputMessage="1" showErrorMessage="1" sqref="J650" xr:uid="{00000000-0002-0000-1800-000015000000}">
      <formula1>$N$649:$N$654</formula1>
    </dataValidation>
    <dataValidation type="list" allowBlank="1" showInputMessage="1" showErrorMessage="1" sqref="J672" xr:uid="{00000000-0002-0000-1800-000016000000}">
      <formula1>$N$671:$N$676</formula1>
    </dataValidation>
  </dataValidations>
  <pageMargins left="0.7" right="0.7" top="0.75" bottom="0.75" header="0.3" footer="0.3"/>
  <pageSetup scale="7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3" width="9.109375" style="12"/>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20</v>
      </c>
      <c r="I3" s="30"/>
      <c r="L3" s="160"/>
      <c r="M3" s="160"/>
    </row>
    <row r="4" spans="2:13" x14ac:dyDescent="0.3">
      <c r="G4" s="99"/>
      <c r="I4" s="30"/>
      <c r="L4" s="161"/>
      <c r="M4" s="160"/>
    </row>
    <row r="5" spans="2:13" ht="105" customHeight="1" x14ac:dyDescent="0.3">
      <c r="B5" s="370" t="s">
        <v>789</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120" customHeight="1" x14ac:dyDescent="0.3">
      <c r="B10" s="383" t="s">
        <v>1190</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260</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1</v>
      </c>
      <c r="F17" s="166"/>
      <c r="G17" s="166"/>
      <c r="H17" s="166"/>
      <c r="I17" s="166"/>
      <c r="J17" s="166"/>
      <c r="K17" s="168"/>
    </row>
    <row r="18" spans="2:14" x14ac:dyDescent="0.3">
      <c r="B18" s="165"/>
      <c r="C18" s="166"/>
      <c r="D18" s="166"/>
      <c r="E18" s="170" t="str">
        <f>IF(E15=$C$966,$B$966,IF(E15=$C$967,$B$967,IF(E15=$C$968,$B$968,IF(E15=$C$969,$B$969,IF(E15=$C$970,$B$970,"Not Calculated")))))</f>
        <v>Remote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'Community Characteristics'!$H$111*0.46</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6">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1197</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'Community Characteristics'!$H$111*0.38</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60" customHeight="1" x14ac:dyDescent="0.3">
      <c r="B57" s="178"/>
      <c r="C57" s="359" t="s">
        <v>1198</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50000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6">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622</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('Community Characteristics'!$H$111*0.64)+('Baseline Health'!$G$6*0.08)</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1019</v>
      </c>
      <c r="K92" s="42"/>
      <c r="N92" s="12" t="s">
        <v>1043</v>
      </c>
    </row>
    <row r="93" spans="2:14" x14ac:dyDescent="0.3">
      <c r="B93" s="39"/>
      <c r="C93" s="41" t="s">
        <v>280</v>
      </c>
      <c r="D93" s="41"/>
      <c r="E93" s="41"/>
      <c r="F93" s="41"/>
      <c r="G93" s="41"/>
      <c r="H93" s="41"/>
      <c r="I93" s="41"/>
      <c r="J93" s="256">
        <f>IF(J92=$B$973,$A$973,IF(J92=$B$974,$A$974,IF(J92=$B$975,$A$975,IF(J92=$B$976,$A$976,IF(J92=$B$977,$A$977,"Not Calculated")))))</f>
        <v>4</v>
      </c>
      <c r="K93" s="42"/>
      <c r="N93" s="12" t="s">
        <v>1044</v>
      </c>
    </row>
    <row r="94" spans="2:14" x14ac:dyDescent="0.3">
      <c r="B94" s="39"/>
      <c r="C94" s="41" t="s">
        <v>1038</v>
      </c>
      <c r="D94" s="41"/>
      <c r="E94" s="41"/>
      <c r="F94" s="41"/>
      <c r="G94" s="41"/>
      <c r="H94" s="41"/>
      <c r="I94" s="41"/>
      <c r="J94" s="177"/>
      <c r="K94" s="42"/>
      <c r="N94" s="12" t="s">
        <v>1045</v>
      </c>
    </row>
    <row r="95" spans="2:14" s="180" customFormat="1" ht="75" customHeight="1" x14ac:dyDescent="0.3">
      <c r="B95" s="178"/>
      <c r="C95" s="359" t="s">
        <v>1199</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4</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f>'Community Characteristics'!$H$111*0.23</f>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1027</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1</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1183</v>
      </c>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1</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267</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4</v>
      </c>
      <c r="K125" s="42"/>
    </row>
    <row r="126" spans="2:14" ht="15" customHeight="1" x14ac:dyDescent="0.3">
      <c r="B126" s="39"/>
      <c r="C126" s="41" t="s">
        <v>276</v>
      </c>
      <c r="D126" s="41"/>
      <c r="E126" s="41"/>
      <c r="F126" s="41"/>
      <c r="G126" s="41"/>
      <c r="H126" s="41"/>
      <c r="I126" s="41"/>
      <c r="J126" s="277" t="s">
        <v>1019</v>
      </c>
      <c r="K126" s="42"/>
    </row>
    <row r="127" spans="2:14" x14ac:dyDescent="0.3">
      <c r="B127" s="39"/>
      <c r="C127" s="41" t="s">
        <v>280</v>
      </c>
      <c r="D127" s="41"/>
      <c r="E127" s="41"/>
      <c r="F127" s="41"/>
      <c r="G127" s="41"/>
      <c r="H127" s="41"/>
      <c r="I127" s="41"/>
      <c r="J127" s="256">
        <f>IF(J126=$B$973,$A$973,IF(J126=$B$974,$A$974,IF(J126=$B$975,$A$975,IF(J126=$B$976,$A$976,IF(J126=$B$977,$A$977,"Not Calculated")))))</f>
        <v>4</v>
      </c>
      <c r="K127" s="42"/>
    </row>
    <row r="128" spans="2:14" ht="15" customHeight="1" x14ac:dyDescent="0.3">
      <c r="B128" s="39"/>
      <c r="C128" s="41" t="s">
        <v>1038</v>
      </c>
      <c r="D128" s="41"/>
      <c r="E128" s="41"/>
      <c r="F128" s="41"/>
      <c r="G128" s="41"/>
      <c r="H128" s="41"/>
      <c r="I128" s="41"/>
      <c r="J128" s="177"/>
      <c r="K128" s="42"/>
    </row>
    <row r="129" spans="2:11" s="180" customFormat="1" ht="75" customHeight="1" x14ac:dyDescent="0.3">
      <c r="B129" s="178"/>
      <c r="C129" s="359" t="s">
        <v>1200</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4</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2.1666666666666665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J140*0.26</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1019</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4</v>
      </c>
      <c r="K153" s="42"/>
      <c r="N153" s="12" t="s">
        <v>1048</v>
      </c>
    </row>
    <row r="154" spans="2:14" x14ac:dyDescent="0.3">
      <c r="B154" s="39"/>
      <c r="C154" s="41" t="s">
        <v>1038</v>
      </c>
      <c r="D154" s="41"/>
      <c r="E154" s="41"/>
      <c r="F154" s="41"/>
      <c r="G154" s="41"/>
      <c r="H154" s="41"/>
      <c r="I154" s="41"/>
      <c r="J154" s="41"/>
      <c r="K154" s="42"/>
      <c r="N154" s="12" t="s">
        <v>1049</v>
      </c>
    </row>
    <row r="155" spans="2:14" ht="30" customHeight="1" x14ac:dyDescent="0.3">
      <c r="B155" s="39"/>
      <c r="C155" s="343" t="s">
        <v>623</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11111.111111111111</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1019</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4</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'Community Characteristics'!$H$111*0.25</f>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1018</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3</v>
      </c>
      <c r="K194" s="42"/>
      <c r="N194" s="12" t="s">
        <v>1048</v>
      </c>
    </row>
    <row r="195" spans="2:14" x14ac:dyDescent="0.3">
      <c r="B195" s="39"/>
      <c r="C195" s="41" t="s">
        <v>1038</v>
      </c>
      <c r="D195" s="41"/>
      <c r="E195" s="41"/>
      <c r="F195" s="41"/>
      <c r="G195" s="41"/>
      <c r="H195" s="41"/>
      <c r="I195" s="41"/>
      <c r="J195" s="41"/>
      <c r="K195" s="42"/>
      <c r="N195" s="12" t="s">
        <v>1049</v>
      </c>
    </row>
    <row r="196" spans="2:14" ht="45" customHeight="1" x14ac:dyDescent="0.3">
      <c r="B196" s="39"/>
      <c r="C196" s="343" t="s">
        <v>1185</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J202*0.26</f>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1017</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2</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623</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1027</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1</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'Baseline Health'!$G$6*0.358*40/250</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45" customHeight="1" x14ac:dyDescent="0.3">
      <c r="B257" s="39"/>
      <c r="C257" s="343" t="s">
        <v>624</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J268*0.26</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1018</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3</v>
      </c>
      <c r="K284" s="42"/>
      <c r="N284" s="12" t="s">
        <v>1053</v>
      </c>
    </row>
    <row r="285" spans="2:14" x14ac:dyDescent="0.3">
      <c r="B285" s="39"/>
      <c r="C285" s="41" t="s">
        <v>1038</v>
      </c>
      <c r="D285" s="41"/>
      <c r="E285" s="41"/>
      <c r="F285" s="41"/>
      <c r="G285" s="41"/>
      <c r="H285" s="41"/>
      <c r="I285" s="41"/>
      <c r="J285" s="41"/>
      <c r="K285" s="42"/>
      <c r="N285" s="12" t="s">
        <v>1054</v>
      </c>
    </row>
    <row r="286" spans="2:14" ht="30" customHeight="1" x14ac:dyDescent="0.3">
      <c r="B286" s="39"/>
      <c r="C286" s="343" t="s">
        <v>623</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1.5</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3">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f>'Community Characteristics'!$H$111*0.38</f>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30" customHeight="1" x14ac:dyDescent="0.3">
      <c r="B416" s="39"/>
      <c r="C416" s="343" t="s">
        <v>625</v>
      </c>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1.4375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1015</v>
      </c>
      <c r="K435" s="42"/>
    </row>
    <row r="436" spans="2:11" x14ac:dyDescent="0.3">
      <c r="B436" s="39"/>
      <c r="C436" s="41" t="s">
        <v>280</v>
      </c>
      <c r="D436" s="41"/>
      <c r="E436" s="41"/>
      <c r="F436" s="41"/>
      <c r="G436" s="41"/>
      <c r="H436" s="41"/>
      <c r="I436" s="41"/>
      <c r="J436" s="256">
        <f>IF(J435=$B$973,$A$973,IF(J435=$B$974,$A$974,IF(J435=$B$975,$A$975,IF(J435=$B$976,$A$976,IF(J435=$B$977,$A$977,"Not Calculated")))))</f>
        <v>0</v>
      </c>
      <c r="K436" s="42"/>
    </row>
    <row r="437" spans="2:11" x14ac:dyDescent="0.3">
      <c r="B437" s="39"/>
      <c r="C437" s="41" t="s">
        <v>1038</v>
      </c>
      <c r="D437" s="41"/>
      <c r="E437" s="41"/>
      <c r="F437" s="41"/>
      <c r="G437" s="41"/>
      <c r="H437" s="41"/>
      <c r="I437" s="41"/>
      <c r="J437" s="41"/>
      <c r="K437" s="42"/>
    </row>
    <row r="438" spans="2:11" ht="15" customHeight="1" x14ac:dyDescent="0.3">
      <c r="B438" s="39"/>
      <c r="C438" s="343"/>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0</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0</v>
      </c>
      <c r="K461" s="42"/>
    </row>
    <row r="462" spans="2:11" x14ac:dyDescent="0.3">
      <c r="B462" s="39"/>
      <c r="C462" s="41" t="s">
        <v>279</v>
      </c>
      <c r="D462" s="41"/>
      <c r="E462" s="41"/>
      <c r="F462" s="41"/>
      <c r="G462" s="41"/>
      <c r="H462" s="41"/>
      <c r="I462" s="41"/>
      <c r="J462" s="259">
        <f>IF(J461&lt;=0,0,IF(J461&lt;=1,1,IF(J461&lt;=5,2,IF(J461&lt;=10,3,4))))</f>
        <v>0</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1015</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0</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0</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30</v>
      </c>
      <c r="K478" s="42"/>
    </row>
    <row r="479" spans="2:11" x14ac:dyDescent="0.3">
      <c r="B479" s="39"/>
      <c r="C479" s="41" t="s">
        <v>280</v>
      </c>
      <c r="D479" s="41"/>
      <c r="E479" s="41"/>
      <c r="F479" s="41"/>
      <c r="G479" s="41"/>
      <c r="H479" s="41"/>
      <c r="I479" s="41"/>
      <c r="J479" s="256">
        <f>IF(J478&lt;=0,0,IF(J478&lt;=1,1,IF(J478&lt;=7,2,IF(J478&lt;=14,3,4))))</f>
        <v>4</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626</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4</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5</v>
      </c>
      <c r="K492" s="42"/>
    </row>
    <row r="493" spans="2:11" x14ac:dyDescent="0.3">
      <c r="B493" s="39"/>
      <c r="C493" s="41" t="s">
        <v>279</v>
      </c>
      <c r="D493" s="41"/>
      <c r="E493" s="41"/>
      <c r="F493" s="41"/>
      <c r="G493" s="41"/>
      <c r="H493" s="41"/>
      <c r="I493" s="41"/>
      <c r="J493" s="259">
        <f>IF(J492&lt;=0,0,IF(J492&lt;=1,1,IF(J492&lt;=5,2,IF(J492&lt;=10,3,4))))</f>
        <v>2</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1019</v>
      </c>
      <c r="K499" s="42"/>
    </row>
    <row r="500" spans="2:11" x14ac:dyDescent="0.3">
      <c r="B500" s="39"/>
      <c r="C500" s="41" t="s">
        <v>280</v>
      </c>
      <c r="D500" s="41"/>
      <c r="E500" s="41"/>
      <c r="F500" s="41"/>
      <c r="G500" s="41"/>
      <c r="H500" s="41"/>
      <c r="I500" s="41"/>
      <c r="J500" s="256">
        <f>IF(J499=$B$973,$A$973,IF(J499=$B$974,$A$974,IF(J499=$B$975,$A$975,IF(J499=$B$976,$A$976,IF(J499=$B$977,$A$977,"Not Calculated")))))</f>
        <v>4</v>
      </c>
      <c r="K500" s="42"/>
    </row>
    <row r="501" spans="2:11" x14ac:dyDescent="0.3">
      <c r="B501" s="39"/>
      <c r="C501" s="41" t="s">
        <v>1038</v>
      </c>
      <c r="D501" s="41"/>
      <c r="E501" s="41"/>
      <c r="F501" s="41"/>
      <c r="G501" s="41"/>
      <c r="H501" s="41"/>
      <c r="I501" s="41"/>
      <c r="J501" s="41"/>
      <c r="K501" s="42"/>
    </row>
    <row r="502" spans="2:11" ht="15" customHeight="1" x14ac:dyDescent="0.3">
      <c r="B502" s="39"/>
      <c r="C502" s="386" t="s">
        <v>627</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3</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f>10.29*'Community Characteristics'!H114</f>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1019</v>
      </c>
      <c r="K515" s="42"/>
    </row>
    <row r="516" spans="2:11" x14ac:dyDescent="0.3">
      <c r="B516" s="39"/>
      <c r="C516" s="41" t="s">
        <v>280</v>
      </c>
      <c r="D516" s="41"/>
      <c r="E516" s="41"/>
      <c r="F516" s="41"/>
      <c r="G516" s="41"/>
      <c r="H516" s="41"/>
      <c r="I516" s="41"/>
      <c r="J516" s="256">
        <f>IF(J515=$B$973,$A$973,IF(J515=$B$974,$A$974,IF(J515=$B$975,$A$975,IF(J515=$B$976,$A$976,IF(J515=$B$977,$A$977,"Not Calculated")))))</f>
        <v>4</v>
      </c>
      <c r="K516" s="42"/>
    </row>
    <row r="517" spans="2:11" x14ac:dyDescent="0.3">
      <c r="B517" s="39"/>
      <c r="C517" s="41" t="s">
        <v>1038</v>
      </c>
      <c r="D517" s="41"/>
      <c r="E517" s="41"/>
      <c r="F517" s="41"/>
      <c r="G517" s="41"/>
      <c r="H517" s="41"/>
      <c r="I517" s="41"/>
      <c r="J517" s="41"/>
      <c r="K517" s="42"/>
    </row>
    <row r="518" spans="2:11" ht="45" customHeight="1" x14ac:dyDescent="0.3">
      <c r="B518" s="39"/>
      <c r="C518" s="343" t="s">
        <v>1201</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2</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3</v>
      </c>
      <c r="K525" s="42"/>
    </row>
    <row r="526" spans="2:11" x14ac:dyDescent="0.3">
      <c r="B526" s="39"/>
      <c r="C526" s="41" t="s">
        <v>279</v>
      </c>
      <c r="D526" s="41"/>
      <c r="E526" s="41"/>
      <c r="F526" s="41"/>
      <c r="G526" s="41"/>
      <c r="H526" s="41"/>
      <c r="I526" s="41"/>
      <c r="J526" s="259">
        <f>IF(J525&lt;=0,0,IF(J525&lt;=1,1,IF(J525&lt;=5,2,IF(J525&lt;=10,3,4))))</f>
        <v>2</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6">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30" customHeight="1" x14ac:dyDescent="0.3">
      <c r="B535" s="39"/>
      <c r="C535" s="343" t="s">
        <v>628</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1.7142857142857142</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f>J546</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41"/>
      <c r="D550" s="41"/>
      <c r="E550" s="41"/>
      <c r="F550" s="41"/>
      <c r="G550" s="41"/>
      <c r="H550" s="41"/>
      <c r="I550" s="41"/>
      <c r="J550" s="262"/>
      <c r="K550" s="42"/>
    </row>
    <row r="551" spans="2:14" ht="9.75" customHeight="1" x14ac:dyDescent="0.3">
      <c r="B551" s="39"/>
      <c r="C551" s="41"/>
      <c r="D551" s="41"/>
      <c r="E551" s="41"/>
      <c r="F551" s="41"/>
      <c r="G551" s="41"/>
      <c r="H551" s="41"/>
      <c r="I551" s="41"/>
      <c r="J551" s="262"/>
      <c r="K551" s="42"/>
    </row>
    <row r="552" spans="2:14" ht="9.75" customHeight="1" x14ac:dyDescent="0.3">
      <c r="B552" s="39"/>
      <c r="C552" s="41"/>
      <c r="D552" s="41"/>
      <c r="E552" s="41"/>
      <c r="F552" s="41"/>
      <c r="G552" s="41"/>
      <c r="H552" s="41"/>
      <c r="I552" s="41"/>
      <c r="J552" s="262"/>
      <c r="K552" s="42"/>
    </row>
    <row r="553" spans="2:14" ht="9.75" customHeight="1" x14ac:dyDescent="0.3">
      <c r="B553" s="39"/>
      <c r="C553" s="41"/>
      <c r="D553" s="41"/>
      <c r="E553" s="41"/>
      <c r="F553" s="41"/>
      <c r="G553" s="41"/>
      <c r="H553" s="41"/>
      <c r="I553" s="41"/>
      <c r="J553" s="262"/>
      <c r="K553" s="42"/>
    </row>
    <row r="554" spans="2:14" ht="9.75" customHeight="1" x14ac:dyDescent="0.3">
      <c r="B554" s="39"/>
      <c r="C554" s="41"/>
      <c r="D554" s="41"/>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629</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'Community Characteristics'!H117*(0.5)</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60" customHeight="1" x14ac:dyDescent="0.3">
      <c r="B583" s="39"/>
      <c r="C583" s="343" t="s">
        <v>1202</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f>J508</f>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1019</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4</v>
      </c>
      <c r="K597" s="42"/>
    </row>
    <row r="598" spans="2:11" x14ac:dyDescent="0.3">
      <c r="B598" s="39"/>
      <c r="C598" s="41" t="s">
        <v>1038</v>
      </c>
      <c r="D598" s="41"/>
      <c r="E598" s="41"/>
      <c r="F598" s="41"/>
      <c r="G598" s="41"/>
      <c r="H598" s="41"/>
      <c r="I598" s="41"/>
      <c r="J598" s="41"/>
      <c r="K598" s="42"/>
    </row>
    <row r="599" spans="2:11" ht="30" customHeight="1" x14ac:dyDescent="0.3">
      <c r="B599" s="39"/>
      <c r="C599" s="343" t="s">
        <v>1203</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3000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30" customHeight="1" x14ac:dyDescent="0.3">
      <c r="B633" s="39"/>
      <c r="C633" s="343" t="s">
        <v>630</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1019</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4</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631</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41"/>
      <c r="D667" s="41"/>
      <c r="E667" s="305"/>
      <c r="F667" s="305"/>
      <c r="G667" s="305"/>
      <c r="H667" s="305"/>
      <c r="I667" s="305"/>
      <c r="J667" s="256"/>
      <c r="K667" s="42"/>
    </row>
    <row r="668" spans="2:14" ht="9.75" customHeight="1" x14ac:dyDescent="0.3">
      <c r="B668" s="39"/>
      <c r="C668" s="41"/>
      <c r="D668" s="41"/>
      <c r="E668" s="305"/>
      <c r="F668" s="305"/>
      <c r="G668" s="305"/>
      <c r="H668" s="305"/>
      <c r="I668" s="305"/>
      <c r="J668" s="256"/>
      <c r="K668" s="42"/>
    </row>
    <row r="669" spans="2:14" ht="9.75" customHeight="1" x14ac:dyDescent="0.3">
      <c r="B669" s="39"/>
      <c r="C669" s="41"/>
      <c r="D669" s="41"/>
      <c r="E669" s="305"/>
      <c r="F669" s="305"/>
      <c r="G669" s="305"/>
      <c r="H669" s="305"/>
      <c r="I669" s="305"/>
      <c r="J669" s="256"/>
      <c r="K669" s="42"/>
    </row>
    <row r="670" spans="2:14" ht="9.75" customHeight="1" x14ac:dyDescent="0.3">
      <c r="B670" s="39"/>
      <c r="C670" s="41"/>
      <c r="D670" s="41"/>
      <c r="E670" s="305"/>
      <c r="F670" s="305"/>
      <c r="G670" s="305"/>
      <c r="H670" s="305"/>
      <c r="I670" s="305"/>
      <c r="J670" s="256"/>
      <c r="K670" s="42"/>
    </row>
    <row r="671" spans="2:14" ht="9.75" customHeight="1" x14ac:dyDescent="0.3">
      <c r="B671" s="39"/>
      <c r="C671" s="41"/>
      <c r="D671" s="41"/>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198</v>
      </c>
      <c r="H719" s="375"/>
      <c r="I719" s="60"/>
      <c r="J719" s="271">
        <f t="shared" si="0"/>
        <v>1</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198</v>
      </c>
      <c r="H723" s="375"/>
      <c r="I723" s="60"/>
      <c r="J723" s="271">
        <f t="shared" si="0"/>
        <v>1</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198</v>
      </c>
      <c r="H725" s="375"/>
      <c r="I725" s="60"/>
      <c r="J725" s="271">
        <f t="shared" si="0"/>
        <v>1</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198</v>
      </c>
      <c r="H748" s="375"/>
      <c r="I748" s="60"/>
      <c r="J748" s="271">
        <f t="shared" ref="J748:J755" si="2">IF(G748=$B$994,$A$994,IF(G748=$B$995,$A$995,"Not Calculated"))</f>
        <v>1</v>
      </c>
      <c r="K748" s="62"/>
    </row>
    <row r="749" spans="2:11" ht="15" customHeight="1" x14ac:dyDescent="0.3">
      <c r="B749" s="58"/>
      <c r="C749" s="198" t="s">
        <v>33</v>
      </c>
      <c r="D749" s="60"/>
      <c r="E749" s="60"/>
      <c r="F749" s="60"/>
      <c r="G749" s="375" t="s">
        <v>198</v>
      </c>
      <c r="H749" s="375"/>
      <c r="I749" s="60"/>
      <c r="J749" s="271">
        <f t="shared" si="2"/>
        <v>1</v>
      </c>
      <c r="K749" s="62"/>
    </row>
    <row r="750" spans="2:11" x14ac:dyDescent="0.3">
      <c r="B750" s="58"/>
      <c r="C750" s="198" t="s">
        <v>34</v>
      </c>
      <c r="D750" s="60"/>
      <c r="E750" s="60"/>
      <c r="F750" s="60"/>
      <c r="G750" s="375" t="s">
        <v>198</v>
      </c>
      <c r="H750" s="375"/>
      <c r="I750" s="60"/>
      <c r="J750" s="271">
        <f t="shared" si="2"/>
        <v>1</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198</v>
      </c>
      <c r="H752" s="375"/>
      <c r="I752" s="60"/>
      <c r="J752" s="271">
        <f t="shared" si="2"/>
        <v>1</v>
      </c>
      <c r="K752" s="62"/>
    </row>
    <row r="753" spans="2:11" x14ac:dyDescent="0.3">
      <c r="B753" s="58"/>
      <c r="C753" s="198" t="s">
        <v>37</v>
      </c>
      <c r="D753" s="60"/>
      <c r="E753" s="60"/>
      <c r="F753" s="60"/>
      <c r="G753" s="375" t="s">
        <v>198</v>
      </c>
      <c r="H753" s="375"/>
      <c r="I753" s="60"/>
      <c r="J753" s="271">
        <f t="shared" si="2"/>
        <v>1</v>
      </c>
      <c r="K753" s="62"/>
    </row>
    <row r="754" spans="2:11" x14ac:dyDescent="0.3">
      <c r="B754" s="58"/>
      <c r="C754" s="198" t="s">
        <v>38</v>
      </c>
      <c r="D754" s="60"/>
      <c r="E754" s="60"/>
      <c r="F754" s="60"/>
      <c r="G754" s="375" t="s">
        <v>198</v>
      </c>
      <c r="H754" s="375"/>
      <c r="I754" s="60"/>
      <c r="J754" s="271">
        <f t="shared" si="2"/>
        <v>1</v>
      </c>
      <c r="K754" s="62"/>
    </row>
    <row r="755" spans="2:11" x14ac:dyDescent="0.3">
      <c r="B755" s="58"/>
      <c r="C755" s="198" t="s">
        <v>39</v>
      </c>
      <c r="D755" s="60"/>
      <c r="E755" s="60"/>
      <c r="F755" s="60"/>
      <c r="G755" s="375" t="s">
        <v>198</v>
      </c>
      <c r="H755" s="375"/>
      <c r="I755" s="60"/>
      <c r="J755" s="271">
        <f t="shared" si="2"/>
        <v>1</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4</v>
      </c>
      <c r="K779" s="62"/>
    </row>
    <row r="780" spans="2:11" x14ac:dyDescent="0.3">
      <c r="B780" s="58"/>
      <c r="C780" s="60"/>
      <c r="D780" s="198" t="s">
        <v>392</v>
      </c>
      <c r="E780" s="60"/>
      <c r="F780" s="60"/>
      <c r="G780" s="60"/>
      <c r="H780" s="60"/>
      <c r="I780" s="60"/>
      <c r="J780" s="61">
        <f>AVERAGE(J778,J779)</f>
        <v>2</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4</v>
      </c>
      <c r="K783" s="62"/>
    </row>
    <row r="784" spans="2:11" x14ac:dyDescent="0.3">
      <c r="B784" s="58"/>
      <c r="C784" s="60"/>
      <c r="D784" s="198" t="s">
        <v>392</v>
      </c>
      <c r="E784" s="60"/>
      <c r="F784" s="60"/>
      <c r="G784" s="60"/>
      <c r="H784" s="60"/>
      <c r="I784" s="60"/>
      <c r="J784" s="61">
        <f>AVERAGE(J782,J783)</f>
        <v>2</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4</v>
      </c>
      <c r="K787" s="62"/>
    </row>
    <row r="788" spans="2:11" x14ac:dyDescent="0.3">
      <c r="B788" s="58"/>
      <c r="C788" s="60"/>
      <c r="D788" s="198" t="s">
        <v>392</v>
      </c>
      <c r="E788" s="60"/>
      <c r="F788" s="60"/>
      <c r="G788" s="60"/>
      <c r="H788" s="60"/>
      <c r="I788" s="60"/>
      <c r="J788" s="61">
        <f>AVERAGE(J786,J787)</f>
        <v>2</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3</v>
      </c>
      <c r="K795" s="62"/>
    </row>
    <row r="796" spans="2:11" x14ac:dyDescent="0.3">
      <c r="B796" s="58"/>
      <c r="C796" s="60"/>
      <c r="D796" s="198" t="s">
        <v>392</v>
      </c>
      <c r="E796" s="60"/>
      <c r="F796" s="60"/>
      <c r="G796" s="60"/>
      <c r="H796" s="60"/>
      <c r="I796" s="60"/>
      <c r="J796" s="61">
        <f>AVERAGE(J794,J795)</f>
        <v>1.5</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4</v>
      </c>
      <c r="K799" s="62"/>
    </row>
    <row r="800" spans="2:11" x14ac:dyDescent="0.3">
      <c r="B800" s="58"/>
      <c r="C800" s="60"/>
      <c r="D800" s="198" t="s">
        <v>392</v>
      </c>
      <c r="E800" s="60"/>
      <c r="F800" s="60"/>
      <c r="G800" s="60"/>
      <c r="H800" s="60"/>
      <c r="I800" s="60"/>
      <c r="J800" s="61">
        <f>AVERAGE(J798,J799)</f>
        <v>2</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4</v>
      </c>
      <c r="K803" s="62"/>
    </row>
    <row r="804" spans="2:11" x14ac:dyDescent="0.3">
      <c r="B804" s="58"/>
      <c r="C804" s="60"/>
      <c r="D804" s="198" t="s">
        <v>392</v>
      </c>
      <c r="E804" s="60"/>
      <c r="F804" s="60"/>
      <c r="G804" s="60"/>
      <c r="H804" s="60"/>
      <c r="I804" s="60"/>
      <c r="J804" s="61">
        <f>AVERAGE(J802,J803)</f>
        <v>2</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4</v>
      </c>
      <c r="K807" s="62"/>
    </row>
    <row r="808" spans="2:11" x14ac:dyDescent="0.3">
      <c r="B808" s="58"/>
      <c r="C808" s="60"/>
      <c r="D808" s="198" t="s">
        <v>392</v>
      </c>
      <c r="E808" s="60"/>
      <c r="F808" s="60"/>
      <c r="G808" s="60"/>
      <c r="H808" s="60"/>
      <c r="I808" s="60"/>
      <c r="J808" s="61">
        <f>AVERAGE(J806,J807)</f>
        <v>2</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1.8333333333333333</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253</v>
      </c>
      <c r="H850" s="351"/>
      <c r="I850" s="86"/>
      <c r="J850" s="84">
        <f>IF(G850=$B$998,$A$998,IF(G850=$B$999,$A$999,IF(G850=$B$1000,$A$1000,IF(G850=$B$1001,$A$1001,IF(G850=$B$1002,$A$1002,"Not Calculated")))))</f>
        <v>4</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253</v>
      </c>
      <c r="H862" s="351"/>
      <c r="I862" s="86"/>
      <c r="J862" s="84">
        <f>IF(G862=$B$998,$A$998,IF(G862=$B$999,$A$999,IF(G862=$B$1000,$A$1000,IF(G862=$B$1001,$A$1001,IF(G862=$B$1002,$A$1002,"Not Calculated")))))</f>
        <v>4</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253</v>
      </c>
      <c r="H870" s="351"/>
      <c r="I870" s="86"/>
      <c r="J870" s="84">
        <f>IF(G870=$B$998,$A$998,IF(G870=$B$999,$A$999,IF(G870=$B$1000,$A$1000,IF(G870=$B$1001,$A$1001,IF(G870=$B$1002,$A$1002,"Not Calculated")))))</f>
        <v>4</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253</v>
      </c>
      <c r="H874" s="351"/>
      <c r="I874" s="86"/>
      <c r="J874" s="84">
        <f>IF(G874=$B$998,$A$998,IF(G874=$B$999,$A$999,IF(G874=$B$1000,$A$1000,IF(G874=$B$1001,$A$1001,IF(G874=$B$1002,$A$1002,"Not Calculated")))))</f>
        <v>4</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253</v>
      </c>
      <c r="H878" s="351"/>
      <c r="I878" s="86"/>
      <c r="J878" s="84">
        <f>IF(G878=$B$998,$A$998,IF(G878=$B$999,$A$999,IF(G878=$B$1000,$A$1000,IF(G878=$B$1001,$A$1001,IF(G878=$B$1002,$A$1002,"Not Calculated")))))</f>
        <v>4</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253</v>
      </c>
      <c r="H882" s="351"/>
      <c r="I882" s="86"/>
      <c r="J882" s="84">
        <f>IF(G882=$B$998,$A$998,IF(G882=$B$999,$A$999,IF(G882=$B$1000,$A$1000,IF(G882=$B$1001,$A$1001,IF(G882=$B$1002,$A$1002,"Not Calculated")))))</f>
        <v>4</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253</v>
      </c>
      <c r="H886" s="351"/>
      <c r="I886" s="86"/>
      <c r="J886" s="84">
        <f>IF(G886=$B$998,$A$998,IF(G886=$B$999,$A$999,IF(G886=$B$1000,$A$1000,IF(G886=$B$1001,$A$1001,IF(G886=$B$1002,$A$1002,"Not Calculated")))))</f>
        <v>4</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253</v>
      </c>
      <c r="H890" s="351"/>
      <c r="I890" s="86"/>
      <c r="J890" s="84">
        <f>IF(G890=$B$998,$A$998,IF(G890=$B$999,$A$999,IF(G890=$B$1000,$A$1000,IF(G890=$B$1001,$A$1001,IF(G890=$B$1002,$A$1002,"Not Calculated")))))</f>
        <v>4</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253</v>
      </c>
      <c r="H916" s="351"/>
      <c r="I916" s="86"/>
      <c r="J916" s="84">
        <f>IF(G916=$B$998,$A$998,IF(G916=$B$999,$A$999,IF(G916=$B$1000,$A$1000,IF(G916=$B$1001,$A$1001,IF(G916=$B$1002,$A$1002,"Not Calculated")))))</f>
        <v>4</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253</v>
      </c>
      <c r="H924" s="351"/>
      <c r="I924" s="86"/>
      <c r="J924" s="84">
        <f>IF(G924=$B$998,$A$998,IF(G924=$B$999,$A$999,IF(G924=$B$1000,$A$1000,IF(G924=$B$1001,$A$1001,IF(G924=$B$1002,$A$1002,"Not Calculated")))))</f>
        <v>4</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253</v>
      </c>
      <c r="H928" s="351"/>
      <c r="I928" s="86"/>
      <c r="J928" s="84">
        <f>IF(G928=$B$998,$A$998,IF(G928=$B$999,$A$999,IF(G928=$B$1000,$A$1000,IF(G928=$B$1001,$A$1001,IF(G928=$B$1002,$A$1002,"Not Calculated")))))</f>
        <v>4</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253</v>
      </c>
      <c r="H932" s="351"/>
      <c r="I932" s="86"/>
      <c r="J932" s="84">
        <f>IF(G932=$B$998,$A$998,IF(G932=$B$999,$A$999,IF(G932=$B$1000,$A$1000,IF(G932=$B$1001,$A$1001,IF(G932=$B$1002,$A$1002,"Not Calculated")))))</f>
        <v>4</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98" t="s">
        <v>810</v>
      </c>
      <c r="C1004" s="399"/>
      <c r="D1004" s="399"/>
      <c r="E1004" s="399"/>
      <c r="F1004" s="399"/>
      <c r="G1004" s="399"/>
      <c r="H1004" s="399"/>
      <c r="I1004" s="399"/>
      <c r="J1004" s="399"/>
      <c r="K1004" s="400"/>
    </row>
    <row r="1005" spans="1:11" ht="15" customHeight="1" x14ac:dyDescent="0.3">
      <c r="B1005" s="401"/>
      <c r="C1005" s="402"/>
      <c r="D1005" s="402"/>
      <c r="E1005" s="402"/>
      <c r="F1005" s="402"/>
      <c r="G1005" s="402"/>
      <c r="H1005" s="402"/>
      <c r="I1005" s="402"/>
      <c r="J1005" s="402"/>
      <c r="K1005" s="403"/>
    </row>
    <row r="1006" spans="1:11" ht="15" customHeight="1" x14ac:dyDescent="0.3">
      <c r="B1006" s="401" t="s">
        <v>813</v>
      </c>
      <c r="C1006" s="402"/>
      <c r="D1006" s="402"/>
      <c r="E1006" s="402"/>
      <c r="F1006" s="402"/>
      <c r="G1006" s="402"/>
      <c r="H1006" s="402"/>
      <c r="I1006" s="402"/>
      <c r="J1006" s="402"/>
      <c r="K1006" s="403"/>
    </row>
    <row r="1007" spans="1:11" ht="15" customHeight="1" x14ac:dyDescent="0.3">
      <c r="B1007" s="401"/>
      <c r="C1007" s="402"/>
      <c r="D1007" s="402"/>
      <c r="E1007" s="402"/>
      <c r="F1007" s="402"/>
      <c r="G1007" s="402"/>
      <c r="H1007" s="402"/>
      <c r="I1007" s="402"/>
      <c r="J1007" s="402"/>
      <c r="K1007" s="403"/>
    </row>
    <row r="1008" spans="1:11" ht="30" customHeight="1" x14ac:dyDescent="0.3">
      <c r="B1008" s="401" t="s">
        <v>850</v>
      </c>
      <c r="C1008" s="402"/>
      <c r="D1008" s="402"/>
      <c r="E1008" s="402"/>
      <c r="F1008" s="402"/>
      <c r="G1008" s="402"/>
      <c r="H1008" s="402"/>
      <c r="I1008" s="402"/>
      <c r="J1008" s="402"/>
      <c r="K1008" s="403"/>
    </row>
    <row r="1009" spans="2:11" ht="15" customHeight="1" x14ac:dyDescent="0.3">
      <c r="B1009" s="401"/>
      <c r="C1009" s="402"/>
      <c r="D1009" s="402"/>
      <c r="E1009" s="402"/>
      <c r="F1009" s="402"/>
      <c r="G1009" s="402"/>
      <c r="H1009" s="402"/>
      <c r="I1009" s="402"/>
      <c r="J1009" s="402"/>
      <c r="K1009" s="403"/>
    </row>
    <row r="1010" spans="2:11" ht="45" customHeight="1" x14ac:dyDescent="0.3">
      <c r="B1010" s="401" t="s">
        <v>851</v>
      </c>
      <c r="C1010" s="402"/>
      <c r="D1010" s="402"/>
      <c r="E1010" s="402"/>
      <c r="F1010" s="402"/>
      <c r="G1010" s="402"/>
      <c r="H1010" s="402"/>
      <c r="I1010" s="402"/>
      <c r="J1010" s="402"/>
      <c r="K1010" s="403"/>
    </row>
    <row r="1011" spans="2:11" ht="15" customHeight="1" x14ac:dyDescent="0.3">
      <c r="B1011" s="401"/>
      <c r="C1011" s="402"/>
      <c r="D1011" s="402"/>
      <c r="E1011" s="402"/>
      <c r="F1011" s="402"/>
      <c r="G1011" s="402"/>
      <c r="H1011" s="402"/>
      <c r="I1011" s="402"/>
      <c r="J1011" s="402"/>
      <c r="K1011" s="403"/>
    </row>
    <row r="1012" spans="2:11" ht="30" customHeight="1" x14ac:dyDescent="0.3">
      <c r="B1012" s="401" t="s">
        <v>807</v>
      </c>
      <c r="C1012" s="402"/>
      <c r="D1012" s="402"/>
      <c r="E1012" s="402"/>
      <c r="F1012" s="402"/>
      <c r="G1012" s="402"/>
      <c r="H1012" s="402"/>
      <c r="I1012" s="402"/>
      <c r="J1012" s="402"/>
      <c r="K1012" s="403"/>
    </row>
    <row r="1013" spans="2:11" ht="15" customHeight="1" x14ac:dyDescent="0.3">
      <c r="B1013" s="401"/>
      <c r="C1013" s="402"/>
      <c r="D1013" s="402"/>
      <c r="E1013" s="402"/>
      <c r="F1013" s="402"/>
      <c r="G1013" s="402"/>
      <c r="H1013" s="402"/>
      <c r="I1013" s="402"/>
      <c r="J1013" s="402"/>
      <c r="K1013" s="403"/>
    </row>
    <row r="1014" spans="2:11" ht="30" customHeight="1" x14ac:dyDescent="0.3">
      <c r="B1014" s="401" t="s">
        <v>1192</v>
      </c>
      <c r="C1014" s="402"/>
      <c r="D1014" s="402"/>
      <c r="E1014" s="402"/>
      <c r="F1014" s="402"/>
      <c r="G1014" s="402"/>
      <c r="H1014" s="402"/>
      <c r="I1014" s="402"/>
      <c r="J1014" s="402"/>
      <c r="K1014" s="403"/>
    </row>
    <row r="1015" spans="2:11" ht="15" customHeight="1" x14ac:dyDescent="0.3">
      <c r="B1015" s="401"/>
      <c r="C1015" s="402"/>
      <c r="D1015" s="402"/>
      <c r="E1015" s="402"/>
      <c r="F1015" s="402"/>
      <c r="G1015" s="402"/>
      <c r="H1015" s="402"/>
      <c r="I1015" s="402"/>
      <c r="J1015" s="402"/>
      <c r="K1015" s="403"/>
    </row>
    <row r="1016" spans="2:11" ht="30" customHeight="1" x14ac:dyDescent="0.3">
      <c r="B1016" s="401" t="s">
        <v>1193</v>
      </c>
      <c r="C1016" s="402"/>
      <c r="D1016" s="402"/>
      <c r="E1016" s="402"/>
      <c r="F1016" s="402"/>
      <c r="G1016" s="402"/>
      <c r="H1016" s="402"/>
      <c r="I1016" s="402"/>
      <c r="J1016" s="402"/>
      <c r="K1016" s="403"/>
    </row>
    <row r="1017" spans="2:11" ht="15" customHeight="1" x14ac:dyDescent="0.3">
      <c r="B1017" s="401"/>
      <c r="C1017" s="402"/>
      <c r="D1017" s="402"/>
      <c r="E1017" s="402"/>
      <c r="F1017" s="402"/>
      <c r="G1017" s="402"/>
      <c r="H1017" s="402"/>
      <c r="I1017" s="402"/>
      <c r="J1017" s="402"/>
      <c r="K1017" s="403"/>
    </row>
    <row r="1018" spans="2:11" ht="45" customHeight="1" x14ac:dyDescent="0.3">
      <c r="B1018" s="401" t="s">
        <v>1194</v>
      </c>
      <c r="C1018" s="402"/>
      <c r="D1018" s="402"/>
      <c r="E1018" s="402"/>
      <c r="F1018" s="402"/>
      <c r="G1018" s="402"/>
      <c r="H1018" s="402"/>
      <c r="I1018" s="402"/>
      <c r="J1018" s="402"/>
      <c r="K1018" s="403"/>
    </row>
    <row r="1019" spans="2:11" ht="15" customHeight="1" x14ac:dyDescent="0.3">
      <c r="B1019" s="401"/>
      <c r="C1019" s="402"/>
      <c r="D1019" s="402"/>
      <c r="E1019" s="402"/>
      <c r="F1019" s="402"/>
      <c r="G1019" s="402"/>
      <c r="H1019" s="402"/>
      <c r="I1019" s="402"/>
      <c r="J1019" s="402"/>
      <c r="K1019" s="403"/>
    </row>
    <row r="1020" spans="2:11" ht="45" customHeight="1" x14ac:dyDescent="0.3">
      <c r="B1020" s="401" t="s">
        <v>852</v>
      </c>
      <c r="C1020" s="402"/>
      <c r="D1020" s="402"/>
      <c r="E1020" s="402"/>
      <c r="F1020" s="402"/>
      <c r="G1020" s="402"/>
      <c r="H1020" s="402"/>
      <c r="I1020" s="402"/>
      <c r="J1020" s="402"/>
      <c r="K1020" s="403"/>
    </row>
    <row r="1021" spans="2:11" ht="15" customHeight="1" x14ac:dyDescent="0.3">
      <c r="B1021" s="401"/>
      <c r="C1021" s="402"/>
      <c r="D1021" s="402"/>
      <c r="E1021" s="402"/>
      <c r="F1021" s="402"/>
      <c r="G1021" s="402"/>
      <c r="H1021" s="402"/>
      <c r="I1021" s="402"/>
      <c r="J1021" s="402"/>
      <c r="K1021" s="403"/>
    </row>
    <row r="1022" spans="2:11" ht="30" customHeight="1" x14ac:dyDescent="0.3">
      <c r="B1022" s="401" t="s">
        <v>1195</v>
      </c>
      <c r="C1022" s="402"/>
      <c r="D1022" s="402"/>
      <c r="E1022" s="402"/>
      <c r="F1022" s="402"/>
      <c r="G1022" s="402"/>
      <c r="H1022" s="402"/>
      <c r="I1022" s="402"/>
      <c r="J1022" s="402"/>
      <c r="K1022" s="403"/>
    </row>
    <row r="1023" spans="2:11" ht="15" customHeight="1" x14ac:dyDescent="0.3">
      <c r="B1023" s="401"/>
      <c r="C1023" s="402"/>
      <c r="D1023" s="402"/>
      <c r="E1023" s="402"/>
      <c r="F1023" s="402"/>
      <c r="G1023" s="402"/>
      <c r="H1023" s="402"/>
      <c r="I1023" s="402"/>
      <c r="J1023" s="402"/>
      <c r="K1023" s="403"/>
    </row>
    <row r="1024" spans="2:11" ht="15" customHeight="1" x14ac:dyDescent="0.3">
      <c r="B1024" s="401" t="s">
        <v>1196</v>
      </c>
      <c r="C1024" s="402"/>
      <c r="D1024" s="402"/>
      <c r="E1024" s="402"/>
      <c r="F1024" s="402"/>
      <c r="G1024" s="402"/>
      <c r="H1024" s="402"/>
      <c r="I1024" s="402"/>
      <c r="J1024" s="402"/>
      <c r="K1024" s="403"/>
    </row>
    <row r="1025" spans="2:11" ht="15" customHeight="1" x14ac:dyDescent="0.3">
      <c r="B1025" s="401"/>
      <c r="C1025" s="402"/>
      <c r="D1025" s="402"/>
      <c r="E1025" s="402"/>
      <c r="F1025" s="402"/>
      <c r="G1025" s="402"/>
      <c r="H1025" s="402"/>
      <c r="I1025" s="402"/>
      <c r="J1025" s="402"/>
      <c r="K1025" s="403"/>
    </row>
    <row r="1026" spans="2:11" ht="15" customHeight="1" x14ac:dyDescent="0.3">
      <c r="B1026" s="401"/>
      <c r="C1026" s="402"/>
      <c r="D1026" s="402"/>
      <c r="E1026" s="402"/>
      <c r="F1026" s="402"/>
      <c r="G1026" s="402"/>
      <c r="H1026" s="402"/>
      <c r="I1026" s="402"/>
      <c r="J1026" s="402"/>
      <c r="K1026" s="403"/>
    </row>
    <row r="1027" spans="2:11" ht="15" customHeight="1" x14ac:dyDescent="0.3">
      <c r="B1027" s="401"/>
      <c r="C1027" s="402"/>
      <c r="D1027" s="402"/>
      <c r="E1027" s="402"/>
      <c r="F1027" s="402"/>
      <c r="G1027" s="402"/>
      <c r="H1027" s="402"/>
      <c r="I1027" s="402"/>
      <c r="J1027" s="402"/>
      <c r="K1027" s="403"/>
    </row>
    <row r="1028" spans="2:11" ht="15" customHeight="1" x14ac:dyDescent="0.3">
      <c r="B1028" s="401"/>
      <c r="C1028" s="402"/>
      <c r="D1028" s="402"/>
      <c r="E1028" s="402"/>
      <c r="F1028" s="402"/>
      <c r="G1028" s="402"/>
      <c r="H1028" s="402"/>
      <c r="I1028" s="402"/>
      <c r="J1028" s="402"/>
      <c r="K1028" s="403"/>
    </row>
    <row r="1029" spans="2:11" ht="15" customHeight="1" x14ac:dyDescent="0.3">
      <c r="B1029" s="404"/>
      <c r="C1029" s="405"/>
      <c r="D1029" s="405"/>
      <c r="E1029" s="405"/>
      <c r="F1029" s="405"/>
      <c r="G1029" s="405"/>
      <c r="H1029" s="405"/>
      <c r="I1029" s="405"/>
      <c r="J1029" s="405"/>
      <c r="K1029" s="406"/>
    </row>
  </sheetData>
  <mergeCells count="152">
    <mergeCell ref="C95:J95"/>
    <mergeCell ref="C114:J114"/>
    <mergeCell ref="E15:J15"/>
    <mergeCell ref="C38:J38"/>
    <mergeCell ref="C57:J57"/>
    <mergeCell ref="C76:J76"/>
    <mergeCell ref="C385:J385"/>
    <mergeCell ref="C324:J324"/>
    <mergeCell ref="B5:K5"/>
    <mergeCell ref="B6:K6"/>
    <mergeCell ref="B7:K7"/>
    <mergeCell ref="B8:K8"/>
    <mergeCell ref="B9:K9"/>
    <mergeCell ref="B10:K10"/>
    <mergeCell ref="C292:I293"/>
    <mergeCell ref="C311:I312"/>
    <mergeCell ref="C340:I341"/>
    <mergeCell ref="C305:J305"/>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420:I421"/>
    <mergeCell ref="C365:J365"/>
    <mergeCell ref="C371:I372"/>
    <mergeCell ref="C330:I331"/>
    <mergeCell ref="C347:J347"/>
    <mergeCell ref="D343:I344"/>
    <mergeCell ref="C391:I39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900-000000000000}">
      <formula1>$C$966:$C$970</formula1>
    </dataValidation>
    <dataValidation type="list" allowBlank="1" showInputMessage="1" showErrorMessage="1" sqref="G834:H834 G932:H932 G908:H908 G916:H916 G920:H920 G912:H912 G924:H924 G928:H928 G904:H904 G890:H890 G838:H838 G846:H846 G850:H850 G854:H854 G858:H858 G842:H842 G862:H862 G870:H870 G866:H866 G874:H874 G878:H878 G882:H882 G886:H886" xr:uid="{00000000-0002-0000-1900-000001000000}">
      <formula1>$B$998:$B$1002</formula1>
    </dataValidation>
    <dataValidation type="list" allowBlank="1" showInputMessage="1" showErrorMessage="1" sqref="G732:H740 G747:H755 G717:H725 G762:H770" xr:uid="{00000000-0002-0000-1900-000002000000}">
      <formula1>$B$994:$B$995</formula1>
    </dataValidation>
    <dataValidation type="list" allowBlank="1" showInputMessage="1" showErrorMessage="1" sqref="J302 J362" xr:uid="{00000000-0002-0000-1900-000003000000}">
      <formula1>$B$980:$B$984</formula1>
    </dataValidation>
    <dataValidation type="list" allowBlank="1" showInputMessage="1" showErrorMessage="1" sqref="C123:J124" xr:uid="{00000000-0002-0000-1900-000004000000}">
      <formula1>$B$987:$B$991</formula1>
    </dataValidation>
    <dataValidation type="list" allowBlank="1" showInputMessage="1" showErrorMessage="1" sqref="J35 J234 J630 J674 J596 J580 J557 J532 J515 J499 J468 J452 J435 J254 J73 J92 J111 J126 J152 J173 J193 J54 J213 J652 J283" xr:uid="{00000000-0002-0000-1900-000005000000}">
      <formula1>$B$973:$B$977</formula1>
    </dataValidation>
    <dataValidation type="list" allowBlank="1" showInputMessage="1" showErrorMessage="1" sqref="J33" xr:uid="{00000000-0002-0000-1900-000006000000}">
      <formula1>$N$32:$N$37</formula1>
    </dataValidation>
    <dataValidation type="list" allowBlank="1" showInputMessage="1" showErrorMessage="1" sqref="J52" xr:uid="{00000000-0002-0000-1900-000007000000}">
      <formula1>$N$51:$N$56</formula1>
    </dataValidation>
    <dataValidation type="list" allowBlank="1" showInputMessage="1" showErrorMessage="1" sqref="J71" xr:uid="{00000000-0002-0000-1900-000008000000}">
      <formula1>$N$70:$N$75</formula1>
    </dataValidation>
    <dataValidation type="list" allowBlank="1" showInputMessage="1" showErrorMessage="1" sqref="J90" xr:uid="{00000000-0002-0000-1900-000009000000}">
      <formula1>$N$89:$N$94</formula1>
    </dataValidation>
    <dataValidation type="list" allowBlank="1" showInputMessage="1" showErrorMessage="1" sqref="J109" xr:uid="{00000000-0002-0000-1900-00000A000000}">
      <formula1>$N$108:$N$113</formula1>
    </dataValidation>
    <dataValidation type="list" allowBlank="1" showInputMessage="1" showErrorMessage="1" sqref="J150" xr:uid="{00000000-0002-0000-1900-00000B000000}">
      <formula1>$N$149:$N$154</formula1>
    </dataValidation>
    <dataValidation type="list" allowBlank="1" showInputMessage="1" showErrorMessage="1" sqref="J171" xr:uid="{00000000-0002-0000-1900-00000C000000}">
      <formula1>$N$170:$N$175</formula1>
    </dataValidation>
    <dataValidation type="list" allowBlank="1" showInputMessage="1" showErrorMessage="1" sqref="J191" xr:uid="{00000000-0002-0000-1900-00000D000000}">
      <formula1>$N$190:$N$195</formula1>
    </dataValidation>
    <dataValidation type="list" allowBlank="1" showInputMessage="1" showErrorMessage="1" sqref="J211" xr:uid="{00000000-0002-0000-1900-00000E000000}">
      <formula1>$N$210:$N$215</formula1>
    </dataValidation>
    <dataValidation type="list" allowBlank="1" showInputMessage="1" showErrorMessage="1" sqref="J232" xr:uid="{00000000-0002-0000-1900-00000F000000}">
      <formula1>$N$231:$N$236</formula1>
    </dataValidation>
    <dataValidation type="list" allowBlank="1" showInputMessage="1" showErrorMessage="1" sqref="J252" xr:uid="{00000000-0002-0000-1900-000010000000}">
      <formula1>$N$251:$N$256</formula1>
    </dataValidation>
    <dataValidation type="list" allowBlank="1" showInputMessage="1" showErrorMessage="1" sqref="J281" xr:uid="{00000000-0002-0000-1900-000011000000}">
      <formula1>$N$280:$N$285</formula1>
    </dataValidation>
    <dataValidation type="list" allowBlank="1" showInputMessage="1" showErrorMessage="1" sqref="J555" xr:uid="{00000000-0002-0000-1900-000012000000}">
      <formula1>$N$554:$N$559</formula1>
    </dataValidation>
    <dataValidation type="list" allowBlank="1" showInputMessage="1" showErrorMessage="1" sqref="J578" xr:uid="{00000000-0002-0000-1900-000013000000}">
      <formula1>$N$577:$N$582</formula1>
    </dataValidation>
    <dataValidation type="list" allowBlank="1" showInputMessage="1" showErrorMessage="1" sqref="J628" xr:uid="{00000000-0002-0000-1900-000014000000}">
      <formula1>$N$627:$N$632</formula1>
    </dataValidation>
    <dataValidation type="list" allowBlank="1" showInputMessage="1" showErrorMessage="1" sqref="J650" xr:uid="{00000000-0002-0000-1900-000015000000}">
      <formula1>$N$649:$N$654</formula1>
    </dataValidation>
    <dataValidation type="list" allowBlank="1" showInputMessage="1" showErrorMessage="1" sqref="J672" xr:uid="{00000000-0002-0000-1900-000016000000}">
      <formula1>$N$671:$N$676</formula1>
    </dataValidation>
  </dataValidations>
  <pageMargins left="0.7" right="0.7" top="0.75" bottom="0.75" header="0.3" footer="0.3"/>
  <pageSetup scale="7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6</v>
      </c>
      <c r="I3" s="30"/>
      <c r="L3" s="160"/>
      <c r="M3" s="160"/>
    </row>
    <row r="4" spans="2:13" x14ac:dyDescent="0.3">
      <c r="G4" s="99"/>
      <c r="I4" s="30"/>
      <c r="L4" s="161"/>
      <c r="M4" s="160"/>
    </row>
    <row r="5" spans="2:13" ht="105" customHeight="1" x14ac:dyDescent="0.3">
      <c r="B5" s="370" t="s">
        <v>790</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45" customHeight="1" x14ac:dyDescent="0.3">
      <c r="B10" s="378" t="s">
        <v>1163</v>
      </c>
      <c r="C10" s="379"/>
      <c r="D10" s="379"/>
      <c r="E10" s="379"/>
      <c r="F10" s="379"/>
      <c r="G10" s="379"/>
      <c r="H10" s="379"/>
      <c r="I10" s="379"/>
      <c r="J10" s="379"/>
      <c r="K10" s="380"/>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J25*0.85</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1017</v>
      </c>
      <c r="K35" s="42"/>
      <c r="N35" s="12" t="s">
        <v>1043</v>
      </c>
    </row>
    <row r="36" spans="2:14" x14ac:dyDescent="0.3">
      <c r="B36" s="39"/>
      <c r="C36" s="41" t="s">
        <v>280</v>
      </c>
      <c r="D36" s="41"/>
      <c r="E36" s="41"/>
      <c r="F36" s="41"/>
      <c r="G36" s="41"/>
      <c r="H36" s="41"/>
      <c r="I36" s="41"/>
      <c r="J36" s="256">
        <f>IF(J35=$B$973,$A$973,IF(J35=$B$974,$A$974,IF(J35=$B$975,$A$975,IF(J35=$B$976,$A$976,IF(J35=$B$977,$A$977,"Not Calculated")))))</f>
        <v>2</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632</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2</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J44*0.67</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1017</v>
      </c>
      <c r="K54" s="42"/>
      <c r="N54" s="12" t="s">
        <v>1043</v>
      </c>
    </row>
    <row r="55" spans="2:14" x14ac:dyDescent="0.3">
      <c r="B55" s="39"/>
      <c r="C55" s="41" t="s">
        <v>280</v>
      </c>
      <c r="D55" s="41"/>
      <c r="E55" s="41"/>
      <c r="F55" s="41"/>
      <c r="G55" s="41"/>
      <c r="H55" s="41"/>
      <c r="I55" s="41"/>
      <c r="J55" s="256">
        <f>IF(J54=$B$973,$A$973,IF(J54=$B$974,$A$974,IF(J54=$B$975,$A$975,IF(J54=$B$976,$A$976,IF(J54=$B$977,$A$977,"Not Calculated")))))</f>
        <v>2</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633</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2</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'Baseline Health'!G6*0.00122</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6">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45" customHeight="1" x14ac:dyDescent="0.3">
      <c r="B76" s="178"/>
      <c r="C76" s="359" t="s">
        <v>634</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15" customHeight="1" x14ac:dyDescent="0.3">
      <c r="B114" s="178"/>
      <c r="C114" s="359"/>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264</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0</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0</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1015</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0</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f>J182*0.034</f>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1019</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4</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635</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1015</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0</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15" customHeight="1" x14ac:dyDescent="0.3">
      <c r="B257" s="39"/>
      <c r="C257" s="343"/>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1019</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4</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2</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62">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3">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v>1</v>
      </c>
      <c r="K428" s="42"/>
    </row>
    <row r="429" spans="2:11" x14ac:dyDescent="0.3">
      <c r="B429" s="39"/>
      <c r="C429" s="41" t="s">
        <v>279</v>
      </c>
      <c r="D429" s="41"/>
      <c r="E429" s="41"/>
      <c r="F429" s="41"/>
      <c r="G429" s="41"/>
      <c r="H429" s="41"/>
      <c r="I429" s="41"/>
      <c r="J429" s="259">
        <f>IF(J428&lt;=0,0,IF(J428&lt;=1,1,IF(J428&lt;=5,2,IF(J428&lt;=10,3,4))))</f>
        <v>1</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1027</v>
      </c>
      <c r="K435" s="42"/>
    </row>
    <row r="436" spans="2:11" x14ac:dyDescent="0.3">
      <c r="B436" s="39"/>
      <c r="C436" s="41" t="s">
        <v>280</v>
      </c>
      <c r="D436" s="41"/>
      <c r="E436" s="41"/>
      <c r="F436" s="41"/>
      <c r="G436" s="41"/>
      <c r="H436" s="41"/>
      <c r="I436" s="41"/>
      <c r="J436" s="256">
        <f>IF(J435=$B$973,$A$973,IF(J435=$B$974,$A$974,IF(J435=$B$975,$A$975,IF(J435=$B$976,$A$976,IF(J435=$B$977,$A$977,"Not Calculated")))))</f>
        <v>1</v>
      </c>
      <c r="K436" s="42"/>
    </row>
    <row r="437" spans="2:11" x14ac:dyDescent="0.3">
      <c r="B437" s="39"/>
      <c r="C437" s="41" t="s">
        <v>1038</v>
      </c>
      <c r="D437" s="41"/>
      <c r="E437" s="41"/>
      <c r="F437" s="41"/>
      <c r="G437" s="41"/>
      <c r="H437" s="41"/>
      <c r="I437" s="41"/>
      <c r="J437" s="41"/>
      <c r="K437" s="42"/>
    </row>
    <row r="438" spans="2:11" ht="30" customHeight="1" x14ac:dyDescent="0.3">
      <c r="B438" s="39"/>
      <c r="C438" s="343" t="s">
        <v>636</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1.5</v>
      </c>
      <c r="K461" s="42"/>
    </row>
    <row r="462" spans="2:11" x14ac:dyDescent="0.3">
      <c r="B462" s="39"/>
      <c r="C462" s="41" t="s">
        <v>279</v>
      </c>
      <c r="D462" s="41"/>
      <c r="E462" s="41"/>
      <c r="F462" s="41"/>
      <c r="G462" s="41"/>
      <c r="H462" s="41"/>
      <c r="I462" s="41"/>
      <c r="J462" s="259">
        <f>IF(J461&lt;=0,0,IF(J461&lt;=1,1,IF(J461&lt;=5,2,IF(J461&lt;=10,3,4))))</f>
        <v>2</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1027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1</v>
      </c>
      <c r="K469" s="42"/>
    </row>
    <row r="470" spans="2:11" x14ac:dyDescent="0.3">
      <c r="B470" s="39"/>
      <c r="C470" s="41" t="s">
        <v>1038</v>
      </c>
      <c r="D470" s="41"/>
      <c r="E470" s="41"/>
      <c r="F470" s="41"/>
      <c r="G470" s="41"/>
      <c r="H470" s="41"/>
      <c r="I470" s="41"/>
      <c r="J470" s="41"/>
      <c r="K470" s="42"/>
    </row>
    <row r="471" spans="2:11" ht="45" customHeight="1" x14ac:dyDescent="0.3">
      <c r="B471" s="39"/>
      <c r="C471" s="343" t="s">
        <v>637</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1.5</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1</v>
      </c>
      <c r="K478" s="42"/>
    </row>
    <row r="479" spans="2:11" x14ac:dyDescent="0.3">
      <c r="B479" s="39"/>
      <c r="C479" s="41" t="s">
        <v>280</v>
      </c>
      <c r="D479" s="41"/>
      <c r="E479" s="41"/>
      <c r="F479" s="41"/>
      <c r="G479" s="41"/>
      <c r="H479" s="41"/>
      <c r="I479" s="41"/>
      <c r="J479" s="256">
        <f>IF(J478&lt;=0,0,IF(J478&lt;=1,1,IF(J478&lt;=7,2,IF(J478&lt;=14,3,4))))</f>
        <v>1</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638</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1</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1</v>
      </c>
      <c r="K492" s="42"/>
    </row>
    <row r="493" spans="2:11" x14ac:dyDescent="0.3">
      <c r="B493" s="39"/>
      <c r="C493" s="41" t="s">
        <v>279</v>
      </c>
      <c r="D493" s="41"/>
      <c r="E493" s="41"/>
      <c r="F493" s="41"/>
      <c r="G493" s="41"/>
      <c r="H493" s="41"/>
      <c r="I493" s="41"/>
      <c r="J493" s="259">
        <f>IF(J492&lt;=0,0,IF(J492&lt;=1,1,IF(J492&lt;=5,2,IF(J492&lt;=10,3,4))))</f>
        <v>1</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6">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30" customHeight="1" x14ac:dyDescent="0.3">
      <c r="B502" s="39"/>
      <c r="C502" s="386" t="s">
        <v>639</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1.5</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6">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5" customHeight="1" x14ac:dyDescent="0.3">
      <c r="B535" s="39"/>
      <c r="C535" s="343"/>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0.7142857142857143</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1015</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0</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J568*0.5</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1018</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3</v>
      </c>
      <c r="K581" s="42"/>
      <c r="N581" s="12" t="s">
        <v>1044</v>
      </c>
    </row>
    <row r="582" spans="2:14" x14ac:dyDescent="0.3">
      <c r="B582" s="39"/>
      <c r="C582" s="41" t="s">
        <v>1038</v>
      </c>
      <c r="D582" s="41"/>
      <c r="E582" s="41"/>
      <c r="F582" s="41"/>
      <c r="G582" s="41"/>
      <c r="H582" s="41"/>
      <c r="I582" s="41"/>
      <c r="J582" s="41"/>
      <c r="K582" s="42"/>
      <c r="N582" s="12" t="s">
        <v>1045</v>
      </c>
    </row>
    <row r="583" spans="2:14" ht="45" customHeight="1" x14ac:dyDescent="0.3">
      <c r="B583" s="39"/>
      <c r="C583" s="343" t="s">
        <v>640</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12</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1017</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2</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641</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2</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3</v>
      </c>
      <c r="K779" s="62"/>
    </row>
    <row r="780" spans="2:11" x14ac:dyDescent="0.3">
      <c r="B780" s="58"/>
      <c r="C780" s="60"/>
      <c r="D780" s="198" t="s">
        <v>392</v>
      </c>
      <c r="E780" s="60"/>
      <c r="F780" s="60"/>
      <c r="G780" s="60"/>
      <c r="H780" s="60"/>
      <c r="I780" s="60"/>
      <c r="J780" s="61">
        <f>AVERAGE(J778,J779)</f>
        <v>1.5</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2</v>
      </c>
      <c r="K783" s="62"/>
    </row>
    <row r="784" spans="2:11" x14ac:dyDescent="0.3">
      <c r="B784" s="58"/>
      <c r="C784" s="60"/>
      <c r="D784" s="198" t="s">
        <v>392</v>
      </c>
      <c r="E784" s="60"/>
      <c r="F784" s="60"/>
      <c r="G784" s="60"/>
      <c r="H784" s="60"/>
      <c r="I784" s="60"/>
      <c r="J784" s="61">
        <f>AVERAGE(J782,J783)</f>
        <v>1</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3</v>
      </c>
      <c r="K787" s="62"/>
    </row>
    <row r="788" spans="2:11" x14ac:dyDescent="0.3">
      <c r="B788" s="58"/>
      <c r="C788" s="60"/>
      <c r="D788" s="198" t="s">
        <v>392</v>
      </c>
      <c r="E788" s="60"/>
      <c r="F788" s="60"/>
      <c r="G788" s="60"/>
      <c r="H788" s="60"/>
      <c r="I788" s="60"/>
      <c r="J788" s="61">
        <f>AVERAGE(J786,J787)</f>
        <v>1.5</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2</v>
      </c>
      <c r="K799" s="62"/>
    </row>
    <row r="800" spans="2:11" x14ac:dyDescent="0.3">
      <c r="B800" s="58"/>
      <c r="C800" s="60"/>
      <c r="D800" s="198" t="s">
        <v>392</v>
      </c>
      <c r="E800" s="60"/>
      <c r="F800" s="60"/>
      <c r="G800" s="60"/>
      <c r="H800" s="60"/>
      <c r="I800" s="60"/>
      <c r="J800" s="61">
        <f>AVERAGE(J798,J799)</f>
        <v>1</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3</v>
      </c>
      <c r="K803" s="62"/>
    </row>
    <row r="804" spans="2:11" x14ac:dyDescent="0.3">
      <c r="B804" s="58"/>
      <c r="C804" s="60"/>
      <c r="D804" s="198" t="s">
        <v>392</v>
      </c>
      <c r="E804" s="60"/>
      <c r="F804" s="60"/>
      <c r="G804" s="60"/>
      <c r="H804" s="60"/>
      <c r="I804" s="60"/>
      <c r="J804" s="61">
        <f>AVERAGE(J802,J803)</f>
        <v>1.5</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2</v>
      </c>
      <c r="K807" s="62"/>
    </row>
    <row r="808" spans="2:11" x14ac:dyDescent="0.3">
      <c r="B808" s="58"/>
      <c r="C808" s="60"/>
      <c r="D808" s="198" t="s">
        <v>392</v>
      </c>
      <c r="E808" s="60"/>
      <c r="F808" s="60"/>
      <c r="G808" s="60"/>
      <c r="H808" s="60"/>
      <c r="I808" s="60"/>
      <c r="J808" s="61">
        <f>AVERAGE(J806,J807)</f>
        <v>1</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1.2777777777777777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254</v>
      </c>
      <c r="H838" s="351"/>
      <c r="I838" s="86"/>
      <c r="J838" s="84">
        <f>IF(G838=$B$998,$A$998,IF(G838=$B$999,$A$999,IF(G838=$B$1000,$A$1000,IF(G838=$B$1001,$A$1001,IF(G838=$B$1002,$A$1002,"Not Calculated")))))</f>
        <v>2</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257</v>
      </c>
      <c r="H850" s="351"/>
      <c r="I850" s="86"/>
      <c r="J850" s="84">
        <f>IF(G850=$B$998,$A$998,IF(G850=$B$999,$A$999,IF(G850=$B$1000,$A$1000,IF(G850=$B$1001,$A$1001,IF(G850=$B$1002,$A$1002,"Not Calculated")))))</f>
        <v>3</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254</v>
      </c>
      <c r="H858" s="351"/>
      <c r="I858" s="86"/>
      <c r="J858" s="84">
        <f>IF(G858=$B$998,$A$998,IF(G858=$B$999,$A$999,IF(G858=$B$1000,$A$1000,IF(G858=$B$1001,$A$1001,IF(G858=$B$1002,$A$1002,"Not Calculated")))))</f>
        <v>2</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256</v>
      </c>
      <c r="H866" s="351"/>
      <c r="I866" s="86"/>
      <c r="J866" s="84">
        <f>IF(G866=$B$998,$A$998,IF(G866=$B$999,$A$999,IF(G866=$B$1000,$A$1000,IF(G866=$B$1001,$A$1001,IF(G866=$B$1002,$A$1002,"Not Calculated")))))</f>
        <v>1</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256</v>
      </c>
      <c r="H886" s="351"/>
      <c r="I886" s="86"/>
      <c r="J886" s="84">
        <f>IF(G886=$B$998,$A$998,IF(G886=$B$999,$A$999,IF(G886=$B$1000,$A$1000,IF(G886=$B$1001,$A$1001,IF(G886=$B$1002,$A$1002,"Not Calculated")))))</f>
        <v>1</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254</v>
      </c>
      <c r="H890" s="351"/>
      <c r="I890" s="86"/>
      <c r="J890" s="84">
        <f>IF(G890=$B$998,$A$998,IF(G890=$B$999,$A$999,IF(G890=$B$1000,$A$1000,IF(G890=$B$1001,$A$1001,IF(G890=$B$1002,$A$1002,"Not Calculated")))))</f>
        <v>2</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254</v>
      </c>
      <c r="H908" s="351"/>
      <c r="I908" s="86"/>
      <c r="J908" s="84">
        <f>IF(G908=$B$998,$A$998,IF(G908=$B$999,$A$999,IF(G908=$B$1000,$A$1000,IF(G908=$B$1001,$A$1001,IF(G908=$B$1002,$A$1002,"Not Calculated")))))</f>
        <v>2</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257</v>
      </c>
      <c r="H916" s="351"/>
      <c r="I916" s="86"/>
      <c r="J916" s="84">
        <f>IF(G916=$B$998,$A$998,IF(G916=$B$999,$A$999,IF(G916=$B$1000,$A$1000,IF(G916=$B$1001,$A$1001,IF(G916=$B$1002,$A$1002,"Not Calculated")))))</f>
        <v>3</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256</v>
      </c>
      <c r="H928" s="351"/>
      <c r="I928" s="86"/>
      <c r="J928" s="84">
        <f>IF(G928=$B$998,$A$998,IF(G928=$B$999,$A$999,IF(G928=$B$1000,$A$1000,IF(G928=$B$1001,$A$1001,IF(G928=$B$1002,$A$1002,"Not Calculated")))))</f>
        <v>1</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254</v>
      </c>
      <c r="H932" s="351"/>
      <c r="I932" s="86"/>
      <c r="J932" s="84">
        <f>IF(G932=$B$998,$A$998,IF(G932=$B$999,$A$999,IF(G932=$B$1000,$A$1000,IF(G932=$B$1001,$A$1001,IF(G932=$B$1002,$A$1002,"Not Calculated")))))</f>
        <v>2</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855</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30" customHeight="1" x14ac:dyDescent="0.3">
      <c r="B1006" s="340" t="s">
        <v>858</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t="s">
        <v>810</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45" customHeight="1" x14ac:dyDescent="0.3">
      <c r="B1010" s="340" t="s">
        <v>856</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857</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t="s">
        <v>853</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30" customHeight="1" x14ac:dyDescent="0.3">
      <c r="B1016" s="340" t="s">
        <v>854</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95:J95"/>
    <mergeCell ref="C114:J114"/>
    <mergeCell ref="E15:J15"/>
    <mergeCell ref="C38:J38"/>
    <mergeCell ref="C57:J57"/>
    <mergeCell ref="C76:J76"/>
    <mergeCell ref="C385:J385"/>
    <mergeCell ref="C324:J324"/>
    <mergeCell ref="B5:K5"/>
    <mergeCell ref="B6:K6"/>
    <mergeCell ref="B7:K7"/>
    <mergeCell ref="B8:K8"/>
    <mergeCell ref="B9:K9"/>
    <mergeCell ref="B10:K10"/>
    <mergeCell ref="C292:I293"/>
    <mergeCell ref="C311:I312"/>
    <mergeCell ref="C340:I341"/>
    <mergeCell ref="C305:J305"/>
    <mergeCell ref="C257:J257"/>
    <mergeCell ref="C237:J237"/>
    <mergeCell ref="C216:J216"/>
    <mergeCell ref="C176:J176"/>
    <mergeCell ref="C196:J196"/>
    <mergeCell ref="C155:J155"/>
    <mergeCell ref="C120:J122"/>
    <mergeCell ref="C123:J124"/>
    <mergeCell ref="C129:J129"/>
    <mergeCell ref="C455:J455"/>
    <mergeCell ref="C402:J402"/>
    <mergeCell ref="C416:J416"/>
    <mergeCell ref="C438:J438"/>
    <mergeCell ref="C444:I445"/>
    <mergeCell ref="C420:I421"/>
    <mergeCell ref="C365:J365"/>
    <mergeCell ref="C371:I372"/>
    <mergeCell ref="C330:I331"/>
    <mergeCell ref="C347:J347"/>
    <mergeCell ref="D343:I344"/>
    <mergeCell ref="C391:I39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A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A00-000001000000}">
      <formula1>$B$998:$B$1002</formula1>
    </dataValidation>
    <dataValidation type="list" allowBlank="1" showInputMessage="1" showErrorMessage="1" sqref="G717:H725 G762:H770 G747:H755 G732:H740" xr:uid="{00000000-0002-0000-1A00-000002000000}">
      <formula1>$B$994:$B$995</formula1>
    </dataValidation>
    <dataValidation type="list" allowBlank="1" showInputMessage="1" showErrorMessage="1" sqref="J302 J362" xr:uid="{00000000-0002-0000-1A00-000003000000}">
      <formula1>$B$980:$B$984</formula1>
    </dataValidation>
    <dataValidation type="list" allowBlank="1" showInputMessage="1" showErrorMessage="1" sqref="C123:J124" xr:uid="{00000000-0002-0000-1A00-000004000000}">
      <formula1>$B$987:$B$991</formula1>
    </dataValidation>
    <dataValidation type="list" allowBlank="1" showInputMessage="1" showErrorMessage="1" sqref="J35 J213 J283 J652 J234 J54 J193 J173 J152 J126 J111 J92 J73 J254 J435 J452 J468 J499 J515 J532 J557 J580 J596 J674 J630" xr:uid="{00000000-0002-0000-1A00-000005000000}">
      <formula1>$B$973:$B$977</formula1>
    </dataValidation>
    <dataValidation type="list" allowBlank="1" showInputMessage="1" showErrorMessage="1" sqref="J33" xr:uid="{00000000-0002-0000-1A00-000006000000}">
      <formula1>$N$32:$N$37</formula1>
    </dataValidation>
    <dataValidation type="list" allowBlank="1" showInputMessage="1" showErrorMessage="1" sqref="J52" xr:uid="{00000000-0002-0000-1A00-000007000000}">
      <formula1>$N$51:$N$56</formula1>
    </dataValidation>
    <dataValidation type="list" allowBlank="1" showInputMessage="1" showErrorMessage="1" sqref="J71" xr:uid="{00000000-0002-0000-1A00-000008000000}">
      <formula1>$N$70:$N$75</formula1>
    </dataValidation>
    <dataValidation type="list" allowBlank="1" showInputMessage="1" showErrorMessage="1" sqref="J90" xr:uid="{00000000-0002-0000-1A00-000009000000}">
      <formula1>$N$89:$N$94</formula1>
    </dataValidation>
    <dataValidation type="list" allowBlank="1" showInputMessage="1" showErrorMessage="1" sqref="J109" xr:uid="{00000000-0002-0000-1A00-00000A000000}">
      <formula1>$N$108:$N$113</formula1>
    </dataValidation>
    <dataValidation type="list" allowBlank="1" showInputMessage="1" showErrorMessage="1" sqref="J150" xr:uid="{00000000-0002-0000-1A00-00000B000000}">
      <formula1>$N$149:$N$154</formula1>
    </dataValidation>
    <dataValidation type="list" allowBlank="1" showInputMessage="1" showErrorMessage="1" sqref="J171" xr:uid="{00000000-0002-0000-1A00-00000C000000}">
      <formula1>$N$170:$N$175</formula1>
    </dataValidation>
    <dataValidation type="list" allowBlank="1" showInputMessage="1" showErrorMessage="1" sqref="J191" xr:uid="{00000000-0002-0000-1A00-00000D000000}">
      <formula1>$N$190:$N$195</formula1>
    </dataValidation>
    <dataValidation type="list" allowBlank="1" showInputMessage="1" showErrorMessage="1" sqref="J211" xr:uid="{00000000-0002-0000-1A00-00000E000000}">
      <formula1>$N$210:$N$215</formula1>
    </dataValidation>
    <dataValidation type="list" allowBlank="1" showInputMessage="1" showErrorMessage="1" sqref="J232" xr:uid="{00000000-0002-0000-1A00-00000F000000}">
      <formula1>$N$231:$N$236</formula1>
    </dataValidation>
    <dataValidation type="list" allowBlank="1" showInputMessage="1" showErrorMessage="1" sqref="J252" xr:uid="{00000000-0002-0000-1A00-000010000000}">
      <formula1>$N$251:$N$256</formula1>
    </dataValidation>
    <dataValidation type="list" allowBlank="1" showInputMessage="1" showErrorMessage="1" sqref="J281" xr:uid="{00000000-0002-0000-1A00-000011000000}">
      <formula1>$N$280:$N$285</formula1>
    </dataValidation>
    <dataValidation type="list" allowBlank="1" showInputMessage="1" showErrorMessage="1" sqref="J555" xr:uid="{00000000-0002-0000-1A00-000012000000}">
      <formula1>$N$554:$N$559</formula1>
    </dataValidation>
    <dataValidation type="list" allowBlank="1" showInputMessage="1" showErrorMessage="1" sqref="J578" xr:uid="{00000000-0002-0000-1A00-000013000000}">
      <formula1>$N$577:$N$582</formula1>
    </dataValidation>
    <dataValidation type="list" allowBlank="1" showInputMessage="1" showErrorMessage="1" sqref="J628" xr:uid="{00000000-0002-0000-1A00-000014000000}">
      <formula1>$N$627:$N$632</formula1>
    </dataValidation>
    <dataValidation type="list" allowBlank="1" showInputMessage="1" showErrorMessage="1" sqref="J650" xr:uid="{00000000-0002-0000-1A00-000015000000}">
      <formula1>$N$649:$N$654</formula1>
    </dataValidation>
    <dataValidation type="list" allowBlank="1" showInputMessage="1" showErrorMessage="1" sqref="J672" xr:uid="{00000000-0002-0000-1A00-000016000000}">
      <formula1>$N$671:$N$676</formula1>
    </dataValidation>
  </dataValidations>
  <pageMargins left="0.7" right="0.7" top="0.75" bottom="0.75" header="0.3" footer="0.3"/>
  <pageSetup scale="7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7</v>
      </c>
      <c r="I3" s="30"/>
      <c r="L3" s="160"/>
      <c r="M3" s="160"/>
    </row>
    <row r="4" spans="2:13" x14ac:dyDescent="0.3">
      <c r="G4" s="99"/>
      <c r="I4" s="30"/>
      <c r="L4" s="161"/>
      <c r="M4" s="160"/>
    </row>
    <row r="5" spans="2:13" ht="45" customHeight="1" x14ac:dyDescent="0.3">
      <c r="B5" s="370" t="s">
        <v>791</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45" customHeight="1" x14ac:dyDescent="0.3">
      <c r="B10" s="343" t="s">
        <v>795</v>
      </c>
      <c r="C10" s="344"/>
      <c r="D10" s="344"/>
      <c r="E10" s="344"/>
      <c r="F10" s="344"/>
      <c r="G10" s="344"/>
      <c r="H10" s="344"/>
      <c r="I10" s="344"/>
      <c r="J10" s="344"/>
      <c r="K10" s="34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261</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2</v>
      </c>
      <c r="F17" s="166"/>
      <c r="G17" s="166"/>
      <c r="H17" s="166"/>
      <c r="I17" s="166"/>
      <c r="J17" s="166"/>
      <c r="K17" s="168"/>
    </row>
    <row r="18" spans="2:14" x14ac:dyDescent="0.3">
      <c r="B18" s="165"/>
      <c r="C18" s="166"/>
      <c r="D18" s="166"/>
      <c r="E18" s="170" t="str">
        <f>IF(E15=$C$966,$B$966,IF(E15=$C$967,$B$967,IF(E15=$C$968,$B$968,IF(E15=$C$969,$B$969,IF(E15=$C$970,$B$970,"Not Calculated")))))</f>
        <v>Occasional</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4</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6">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15" customHeight="1" x14ac:dyDescent="0.3">
      <c r="B38" s="178"/>
      <c r="C38" s="359" t="s">
        <v>642</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J44*3</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1027</v>
      </c>
      <c r="K54" s="42"/>
      <c r="N54" s="12" t="s">
        <v>1043</v>
      </c>
    </row>
    <row r="55" spans="2:14" x14ac:dyDescent="0.3">
      <c r="B55" s="39"/>
      <c r="C55" s="41" t="s">
        <v>280</v>
      </c>
      <c r="D55" s="41"/>
      <c r="E55" s="41"/>
      <c r="F55" s="41"/>
      <c r="G55" s="41"/>
      <c r="H55" s="41"/>
      <c r="I55" s="41"/>
      <c r="J55" s="256">
        <f>IF(J54=$B$973,$A$973,IF(J54=$B$974,$A$974,IF(J54=$B$975,$A$975,IF(J54=$B$976,$A$976,IF(J54=$B$977,$A$977,"Not Calculated")))))</f>
        <v>1</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643</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1</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v>200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1027</v>
      </c>
      <c r="K73" s="42"/>
      <c r="N73" s="12" t="s">
        <v>1043</v>
      </c>
    </row>
    <row r="74" spans="2:14" x14ac:dyDescent="0.3">
      <c r="B74" s="39"/>
      <c r="C74" s="41" t="s">
        <v>280</v>
      </c>
      <c r="D74" s="41"/>
      <c r="E74" s="41"/>
      <c r="F74" s="41"/>
      <c r="G74" s="41"/>
      <c r="H74" s="41"/>
      <c r="I74" s="41"/>
      <c r="J74" s="256">
        <f>IF(J73=$B$973,$A$973,IF(J73=$B$974,$A$974,IF(J73=$B$975,$A$975,IF(J73=$B$976,$A$976,IF(J73=$B$977,$A$977,"Not Calculated")))))</f>
        <v>1</v>
      </c>
      <c r="K74" s="42"/>
      <c r="N74" s="12" t="s">
        <v>1044</v>
      </c>
    </row>
    <row r="75" spans="2:14" x14ac:dyDescent="0.3">
      <c r="B75" s="39"/>
      <c r="C75" s="41" t="s">
        <v>1038</v>
      </c>
      <c r="D75" s="41"/>
      <c r="E75" s="41"/>
      <c r="F75" s="41"/>
      <c r="G75" s="41"/>
      <c r="H75" s="41"/>
      <c r="I75" s="41"/>
      <c r="J75" s="177"/>
      <c r="K75" s="42"/>
      <c r="N75" s="12" t="s">
        <v>1045</v>
      </c>
    </row>
    <row r="76" spans="2:14" s="180" customFormat="1" ht="30" customHeight="1" x14ac:dyDescent="0.3">
      <c r="B76" s="178"/>
      <c r="C76" s="359" t="s">
        <v>644</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1</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5</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1027</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1</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645</v>
      </c>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1</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266</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2</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45" customHeight="1" x14ac:dyDescent="0.3">
      <c r="B129" s="178"/>
      <c r="C129" s="359" t="s">
        <v>646</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1</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0.83333333333333337</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J140*0.3</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30" customHeight="1" x14ac:dyDescent="0.3">
      <c r="B155" s="39"/>
      <c r="C155" s="343" t="s">
        <v>866</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v>0</v>
      </c>
      <c r="K162" s="42"/>
    </row>
    <row r="163" spans="2:14" x14ac:dyDescent="0.3">
      <c r="B163" s="39"/>
      <c r="C163" s="41" t="s">
        <v>493</v>
      </c>
      <c r="D163" s="41"/>
      <c r="E163" s="41"/>
      <c r="F163" s="41"/>
      <c r="G163" s="41"/>
      <c r="H163" s="41"/>
      <c r="I163" s="41"/>
      <c r="J163" s="262">
        <f>(J64)/4.5</f>
        <v>44.444444444444443</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v>0</v>
      </c>
      <c r="K183" s="42"/>
    </row>
    <row r="184" spans="2:14" x14ac:dyDescent="0.3">
      <c r="B184" s="39"/>
      <c r="C184" s="41" t="s">
        <v>374</v>
      </c>
      <c r="D184" s="41"/>
      <c r="E184" s="41"/>
      <c r="F184" s="41"/>
      <c r="G184" s="41"/>
      <c r="H184" s="41"/>
      <c r="I184" s="41"/>
      <c r="J184" s="275">
        <v>40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1017</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2</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647</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J202*0.3</f>
        <v>0</v>
      </c>
      <c r="K203" s="42"/>
    </row>
    <row r="204" spans="2:14" x14ac:dyDescent="0.3">
      <c r="B204" s="39"/>
      <c r="C204" s="41" t="s">
        <v>375</v>
      </c>
      <c r="D204" s="41"/>
      <c r="E204" s="41"/>
      <c r="F204" s="41"/>
      <c r="G204" s="41"/>
      <c r="H204" s="41"/>
      <c r="I204" s="41"/>
      <c r="J204" s="275">
        <f>J202*0.1</f>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1017</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2</v>
      </c>
      <c r="K214" s="42"/>
      <c r="N214" s="12" t="s">
        <v>1048</v>
      </c>
    </row>
    <row r="215" spans="2:14" x14ac:dyDescent="0.3">
      <c r="B215" s="39"/>
      <c r="C215" s="41" t="s">
        <v>1038</v>
      </c>
      <c r="D215" s="41"/>
      <c r="E215" s="41"/>
      <c r="F215" s="41"/>
      <c r="G215" s="41"/>
      <c r="H215" s="41"/>
      <c r="I215" s="41"/>
      <c r="J215" s="41"/>
      <c r="K215" s="42"/>
      <c r="N215" s="12" t="s">
        <v>1049</v>
      </c>
    </row>
    <row r="216" spans="2:14" ht="75" customHeight="1" x14ac:dyDescent="0.3">
      <c r="B216" s="39"/>
      <c r="C216" s="343" t="s">
        <v>867</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5</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1027</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1</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v>0</v>
      </c>
      <c r="K244" s="42"/>
    </row>
    <row r="245" spans="2:14" x14ac:dyDescent="0.3">
      <c r="B245" s="39"/>
      <c r="C245" s="41" t="s">
        <v>380</v>
      </c>
      <c r="D245" s="305"/>
      <c r="E245" s="305"/>
      <c r="F245" s="305"/>
      <c r="G245" s="305"/>
      <c r="H245" s="305"/>
      <c r="I245" s="305"/>
      <c r="J245" s="275">
        <f>'Community Characteristics'!H21*40/250</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1019</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4</v>
      </c>
      <c r="K255" s="42"/>
      <c r="N255" s="12" t="s">
        <v>1048</v>
      </c>
    </row>
    <row r="256" spans="2:14" x14ac:dyDescent="0.3">
      <c r="B256" s="39"/>
      <c r="C256" s="41" t="s">
        <v>1038</v>
      </c>
      <c r="D256" s="41"/>
      <c r="E256" s="41"/>
      <c r="F256" s="41"/>
      <c r="G256" s="41"/>
      <c r="H256" s="41"/>
      <c r="I256" s="41"/>
      <c r="J256" s="41"/>
      <c r="K256" s="42"/>
      <c r="N256" s="12" t="s">
        <v>1049</v>
      </c>
    </row>
    <row r="257" spans="2:11" ht="45" customHeight="1" x14ac:dyDescent="0.3">
      <c r="B257" s="39"/>
      <c r="C257" s="343" t="s">
        <v>648</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40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1017</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2</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ht="15" customHeight="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ht="15" customHeight="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ht="15" customHeight="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ht="15" customHeight="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3">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ht="15" customHeight="1" x14ac:dyDescent="0.3">
      <c r="B392" s="39"/>
      <c r="C392" s="324"/>
      <c r="D392" s="324"/>
      <c r="E392" s="324"/>
      <c r="F392" s="324"/>
      <c r="G392" s="324"/>
      <c r="H392" s="324"/>
      <c r="I392" s="324"/>
      <c r="J392" s="275">
        <v>0</v>
      </c>
      <c r="K392" s="42"/>
    </row>
    <row r="393" spans="2:11" ht="15" customHeight="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6">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30" customHeight="1" x14ac:dyDescent="0.3">
      <c r="B438" s="39"/>
      <c r="C438" s="343" t="s">
        <v>649</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45" customHeight="1" x14ac:dyDescent="0.3">
      <c r="B455" s="39"/>
      <c r="C455" s="343" t="s">
        <v>650</v>
      </c>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30</v>
      </c>
      <c r="K461" s="42"/>
    </row>
    <row r="462" spans="2:11" x14ac:dyDescent="0.3">
      <c r="B462" s="39"/>
      <c r="C462" s="41" t="s">
        <v>279</v>
      </c>
      <c r="D462" s="41"/>
      <c r="E462" s="41"/>
      <c r="F462" s="41"/>
      <c r="G462" s="41"/>
      <c r="H462" s="41"/>
      <c r="I462" s="41"/>
      <c r="J462" s="259">
        <f>IF(J461&lt;=0,0,IF(J461&lt;=1,1,IF(J461&lt;=5,2,IF(J461&lt;=10,3,4))))</f>
        <v>4</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2</v>
      </c>
      <c r="K469" s="42"/>
    </row>
    <row r="470" spans="2:11" x14ac:dyDescent="0.3">
      <c r="B470" s="39"/>
      <c r="C470" s="41" t="s">
        <v>1038</v>
      </c>
      <c r="D470" s="41"/>
      <c r="E470" s="41"/>
      <c r="F470" s="41"/>
      <c r="G470" s="41"/>
      <c r="H470" s="41"/>
      <c r="I470" s="41"/>
      <c r="J470" s="41"/>
      <c r="K470" s="42"/>
    </row>
    <row r="471" spans="2:11" ht="60" customHeight="1" x14ac:dyDescent="0.3">
      <c r="B471" s="39"/>
      <c r="C471" s="343" t="s">
        <v>868</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3</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4</v>
      </c>
      <c r="K478" s="42"/>
    </row>
    <row r="479" spans="2:11" x14ac:dyDescent="0.3">
      <c r="B479" s="39"/>
      <c r="C479" s="41" t="s">
        <v>280</v>
      </c>
      <c r="D479" s="41"/>
      <c r="E479" s="41"/>
      <c r="F479" s="41"/>
      <c r="G479" s="41"/>
      <c r="H479" s="41"/>
      <c r="I479" s="41"/>
      <c r="J479" s="256">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651</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30</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1027</v>
      </c>
      <c r="K499" s="42"/>
    </row>
    <row r="500" spans="2:11" x14ac:dyDescent="0.3">
      <c r="B500" s="39"/>
      <c r="C500" s="41" t="s">
        <v>280</v>
      </c>
      <c r="D500" s="41"/>
      <c r="E500" s="41"/>
      <c r="F500" s="41"/>
      <c r="G500" s="41"/>
      <c r="H500" s="41"/>
      <c r="I500" s="41"/>
      <c r="J500" s="256">
        <f>IF(J499=$B$973,$A$973,IF(J499=$B$974,$A$974,IF(J499=$B$975,$A$975,IF(J499=$B$976,$A$976,IF(J499=$B$977,$A$977,"Not Calculated")))))</f>
        <v>1</v>
      </c>
      <c r="K500" s="42"/>
    </row>
    <row r="501" spans="2:11" x14ac:dyDescent="0.3">
      <c r="B501" s="39"/>
      <c r="C501" s="41" t="s">
        <v>1038</v>
      </c>
      <c r="D501" s="41"/>
      <c r="E501" s="41"/>
      <c r="F501" s="41"/>
      <c r="G501" s="41"/>
      <c r="H501" s="41"/>
      <c r="I501" s="41"/>
      <c r="J501" s="41"/>
      <c r="K501" s="42"/>
    </row>
    <row r="502" spans="2:11" ht="30" customHeight="1" x14ac:dyDescent="0.3">
      <c r="B502" s="39"/>
      <c r="C502" s="386" t="s">
        <v>869</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2.5</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1600</v>
      </c>
      <c r="K508" s="42"/>
    </row>
    <row r="509" spans="2:11" x14ac:dyDescent="0.3">
      <c r="B509" s="39"/>
      <c r="C509" s="41" t="s">
        <v>279</v>
      </c>
      <c r="D509" s="41"/>
      <c r="E509" s="41"/>
      <c r="F509" s="41"/>
      <c r="G509" s="41"/>
      <c r="H509" s="41"/>
      <c r="I509" s="41"/>
      <c r="J509" s="259">
        <f>IF(J508&lt;=0,0,IF(J508&lt;=1000,1,IF(J508&lt;=5000,2,IF(J508&lt;=25000,3,4))))</f>
        <v>2</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1019</v>
      </c>
      <c r="K515" s="42"/>
    </row>
    <row r="516" spans="2:11" x14ac:dyDescent="0.3">
      <c r="B516" s="39"/>
      <c r="C516" s="41" t="s">
        <v>280</v>
      </c>
      <c r="D516" s="41"/>
      <c r="E516" s="41"/>
      <c r="F516" s="41"/>
      <c r="G516" s="41"/>
      <c r="H516" s="41"/>
      <c r="I516" s="41"/>
      <c r="J516" s="256">
        <f>IF(J515=$B$973,$A$973,IF(J515=$B$974,$A$974,IF(J515=$B$975,$A$975,IF(J515=$B$976,$A$976,IF(J515=$B$977,$A$977,"Not Calculated")))))</f>
        <v>4</v>
      </c>
      <c r="K516" s="42"/>
    </row>
    <row r="517" spans="2:11" x14ac:dyDescent="0.3">
      <c r="B517" s="39"/>
      <c r="C517" s="41" t="s">
        <v>1038</v>
      </c>
      <c r="D517" s="41"/>
      <c r="E517" s="41"/>
      <c r="F517" s="41"/>
      <c r="G517" s="41"/>
      <c r="H517" s="41"/>
      <c r="I517" s="41"/>
      <c r="J517" s="41"/>
      <c r="K517" s="42"/>
    </row>
    <row r="518" spans="2:11" ht="30" customHeight="1" x14ac:dyDescent="0.3">
      <c r="B518" s="39"/>
      <c r="C518" s="343" t="s">
        <v>652</v>
      </c>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3</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2.5</v>
      </c>
      <c r="K525" s="42"/>
    </row>
    <row r="526" spans="2:11" x14ac:dyDescent="0.3">
      <c r="B526" s="39"/>
      <c r="C526" s="41" t="s">
        <v>279</v>
      </c>
      <c r="D526" s="41"/>
      <c r="E526" s="41"/>
      <c r="F526" s="41"/>
      <c r="G526" s="41"/>
      <c r="H526" s="41"/>
      <c r="I526" s="41"/>
      <c r="J526" s="259">
        <f>IF(J525&lt;=0,0,IF(J525&lt;=1,1,IF(J525&lt;=5,2,IF(J525&lt;=10,3,4))))</f>
        <v>2</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1019</v>
      </c>
      <c r="K532" s="42"/>
    </row>
    <row r="533" spans="2:11" x14ac:dyDescent="0.3">
      <c r="B533" s="39"/>
      <c r="C533" s="41" t="s">
        <v>280</v>
      </c>
      <c r="D533" s="41"/>
      <c r="E533" s="41"/>
      <c r="F533" s="41"/>
      <c r="G533" s="41"/>
      <c r="H533" s="41"/>
      <c r="I533" s="41"/>
      <c r="J533" s="256">
        <f>IF(J532=$B$973,$A$973,IF(J532=$B$974,$A$974,IF(J532=$B$975,$A$975,IF(J532=$B$976,$A$976,IF(J532=$B$977,$A$977,"Not Calculated")))))</f>
        <v>4</v>
      </c>
      <c r="K533" s="42"/>
    </row>
    <row r="534" spans="2:11" x14ac:dyDescent="0.3">
      <c r="B534" s="39"/>
      <c r="C534" s="41" t="s">
        <v>1038</v>
      </c>
      <c r="D534" s="41"/>
      <c r="E534" s="41"/>
      <c r="F534" s="41"/>
      <c r="G534" s="41"/>
      <c r="H534" s="41"/>
      <c r="I534" s="41"/>
      <c r="J534" s="41"/>
      <c r="K534" s="42"/>
    </row>
    <row r="535" spans="2:11" ht="60" customHeight="1" x14ac:dyDescent="0.3">
      <c r="B535" s="39"/>
      <c r="C535" s="343" t="s">
        <v>653</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3</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2.0714285714285716</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v>0</v>
      </c>
      <c r="K547" s="42"/>
    </row>
    <row r="548" spans="2:14" x14ac:dyDescent="0.3">
      <c r="B548" s="39"/>
      <c r="C548" s="41" t="s">
        <v>467</v>
      </c>
      <c r="D548" s="41"/>
      <c r="E548" s="41"/>
      <c r="F548" s="41"/>
      <c r="G548" s="41"/>
      <c r="H548" s="41"/>
      <c r="I548" s="41"/>
      <c r="J548" s="275">
        <f>J546*0.5</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1019</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4</v>
      </c>
      <c r="K558" s="42"/>
      <c r="N558" s="12" t="s">
        <v>1048</v>
      </c>
    </row>
    <row r="559" spans="2:14" x14ac:dyDescent="0.3">
      <c r="B559" s="39"/>
      <c r="C559" s="41" t="s">
        <v>1038</v>
      </c>
      <c r="D559" s="41"/>
      <c r="E559" s="41"/>
      <c r="F559" s="41"/>
      <c r="G559" s="41"/>
      <c r="H559" s="41"/>
      <c r="I559" s="41"/>
      <c r="J559" s="41"/>
      <c r="K559" s="42"/>
      <c r="N559" s="12" t="s">
        <v>1049</v>
      </c>
    </row>
    <row r="560" spans="2:14" ht="45" customHeight="1" x14ac:dyDescent="0.3">
      <c r="B560" s="39"/>
      <c r="C560" s="343" t="s">
        <v>654</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J568*0.5</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1019</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4</v>
      </c>
      <c r="K581" s="42"/>
      <c r="N581" s="12" t="s">
        <v>1044</v>
      </c>
    </row>
    <row r="582" spans="2:14" x14ac:dyDescent="0.3">
      <c r="B582" s="39"/>
      <c r="C582" s="41" t="s">
        <v>1038</v>
      </c>
      <c r="D582" s="41"/>
      <c r="E582" s="41"/>
      <c r="F582" s="41"/>
      <c r="G582" s="41"/>
      <c r="H582" s="41"/>
      <c r="I582" s="41"/>
      <c r="J582" s="41"/>
      <c r="K582" s="42"/>
      <c r="N582" s="12" t="s">
        <v>1045</v>
      </c>
    </row>
    <row r="583" spans="2:14" ht="30" customHeight="1" x14ac:dyDescent="0.3">
      <c r="B583" s="39"/>
      <c r="C583" s="343" t="s">
        <v>655</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400</v>
      </c>
      <c r="K589" s="42"/>
    </row>
    <row r="590" spans="2:14" x14ac:dyDescent="0.3">
      <c r="B590" s="39"/>
      <c r="C590" s="41" t="s">
        <v>279</v>
      </c>
      <c r="D590" s="41"/>
      <c r="E590" s="41"/>
      <c r="F590" s="41"/>
      <c r="G590" s="41"/>
      <c r="H590" s="41"/>
      <c r="I590" s="41"/>
      <c r="J590" s="266">
        <f>IF(J589&lt;=0,0,IF(J589&lt;=1000,1,IF(J589&lt;=5000,2,IF(J589&lt;=25000,3,4))))</f>
        <v>1</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1019</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4</v>
      </c>
      <c r="K597" s="42"/>
    </row>
    <row r="598" spans="2:11" x14ac:dyDescent="0.3">
      <c r="B598" s="39"/>
      <c r="C598" s="41" t="s">
        <v>1038</v>
      </c>
      <c r="D598" s="41"/>
      <c r="E598" s="41"/>
      <c r="F598" s="41"/>
      <c r="G598" s="41"/>
      <c r="H598" s="41"/>
      <c r="I598" s="41"/>
      <c r="J598" s="41"/>
      <c r="K598" s="42"/>
    </row>
    <row r="599" spans="2:11" ht="45" customHeight="1" x14ac:dyDescent="0.3">
      <c r="B599" s="39"/>
      <c r="C599" s="343" t="s">
        <v>658</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2.5</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f>J619*0.5</f>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1018</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3</v>
      </c>
      <c r="K631" s="42"/>
      <c r="N631" s="12" t="s">
        <v>1044</v>
      </c>
    </row>
    <row r="632" spans="2:14" x14ac:dyDescent="0.3">
      <c r="B632" s="39"/>
      <c r="C632" s="41" t="s">
        <v>1038</v>
      </c>
      <c r="D632" s="41"/>
      <c r="E632" s="41"/>
      <c r="F632" s="41"/>
      <c r="G632" s="41"/>
      <c r="H632" s="41"/>
      <c r="I632" s="41"/>
      <c r="J632" s="41"/>
      <c r="K632" s="42"/>
      <c r="N632" s="12" t="s">
        <v>1045</v>
      </c>
    </row>
    <row r="633" spans="2:14" ht="30" customHeight="1" x14ac:dyDescent="0.3">
      <c r="B633" s="39"/>
      <c r="C633" s="343" t="s">
        <v>656</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112.5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1018</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3</v>
      </c>
      <c r="K653" s="42"/>
      <c r="N653" s="12" t="s">
        <v>1044</v>
      </c>
    </row>
    <row r="654" spans="2:14" x14ac:dyDescent="0.3">
      <c r="B654" s="39"/>
      <c r="C654" s="41" t="s">
        <v>1038</v>
      </c>
      <c r="D654" s="41"/>
      <c r="E654" s="41"/>
      <c r="F654" s="41"/>
      <c r="G654" s="41"/>
      <c r="H654" s="41"/>
      <c r="I654" s="41"/>
      <c r="J654" s="41"/>
      <c r="K654" s="42"/>
      <c r="N654" s="12" t="s">
        <v>1045</v>
      </c>
    </row>
    <row r="655" spans="2:14" ht="60" customHeight="1" x14ac:dyDescent="0.3">
      <c r="B655" s="39"/>
      <c r="C655" s="343" t="s">
        <v>657</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4</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198</v>
      </c>
      <c r="H719" s="375"/>
      <c r="I719" s="60"/>
      <c r="J719" s="271">
        <f t="shared" si="0"/>
        <v>1</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198</v>
      </c>
      <c r="H723" s="375"/>
      <c r="I723" s="60"/>
      <c r="J723" s="271">
        <f t="shared" si="0"/>
        <v>1</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198</v>
      </c>
      <c r="H725" s="375"/>
      <c r="I725" s="60"/>
      <c r="J725" s="271">
        <f t="shared" si="0"/>
        <v>1</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198</v>
      </c>
      <c r="H732" s="375"/>
      <c r="I732" s="60"/>
      <c r="J732" s="271">
        <f>IF(G732=$B$994,$A$994,IF(G732=$B$995,$A$995,"Not Calculated"))</f>
        <v>1</v>
      </c>
      <c r="K732" s="62"/>
    </row>
    <row r="733" spans="2:11" x14ac:dyDescent="0.3">
      <c r="B733" s="58"/>
      <c r="C733" s="198" t="s">
        <v>32</v>
      </c>
      <c r="D733" s="60"/>
      <c r="E733" s="60"/>
      <c r="F733" s="60"/>
      <c r="G733" s="375" t="s">
        <v>198</v>
      </c>
      <c r="H733" s="375"/>
      <c r="I733" s="60"/>
      <c r="J733" s="271">
        <f t="shared" ref="J733:J740" si="1">IF(G733=$B$994,$A$994,IF(G733=$B$995,$A$995,"Not Calculated"))</f>
        <v>1</v>
      </c>
      <c r="K733" s="62"/>
    </row>
    <row r="734" spans="2:11" ht="15" customHeight="1" x14ac:dyDescent="0.3">
      <c r="B734" s="58"/>
      <c r="C734" s="198" t="s">
        <v>33</v>
      </c>
      <c r="D734" s="60"/>
      <c r="E734" s="60"/>
      <c r="F734" s="60"/>
      <c r="G734" s="375" t="s">
        <v>198</v>
      </c>
      <c r="H734" s="375"/>
      <c r="I734" s="60"/>
      <c r="J734" s="271">
        <f t="shared" si="1"/>
        <v>1</v>
      </c>
      <c r="K734" s="62"/>
    </row>
    <row r="735" spans="2:11" x14ac:dyDescent="0.3">
      <c r="B735" s="58"/>
      <c r="C735" s="198" t="s">
        <v>34</v>
      </c>
      <c r="D735" s="60"/>
      <c r="E735" s="60"/>
      <c r="F735" s="60"/>
      <c r="G735" s="375" t="s">
        <v>198</v>
      </c>
      <c r="H735" s="375"/>
      <c r="I735" s="60"/>
      <c r="J735" s="271">
        <f t="shared" si="1"/>
        <v>1</v>
      </c>
      <c r="K735" s="62"/>
    </row>
    <row r="736" spans="2:11" x14ac:dyDescent="0.3">
      <c r="B736" s="58"/>
      <c r="C736" s="198" t="s">
        <v>35</v>
      </c>
      <c r="D736" s="60"/>
      <c r="E736" s="60"/>
      <c r="F736" s="60"/>
      <c r="G736" s="375" t="s">
        <v>198</v>
      </c>
      <c r="H736" s="375"/>
      <c r="I736" s="60"/>
      <c r="J736" s="271">
        <f t="shared" si="1"/>
        <v>1</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198</v>
      </c>
      <c r="H739" s="375"/>
      <c r="I739" s="60"/>
      <c r="J739" s="271">
        <f t="shared" si="1"/>
        <v>1</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3</v>
      </c>
      <c r="K775" s="62"/>
    </row>
    <row r="776" spans="2:11" x14ac:dyDescent="0.3">
      <c r="B776" s="58"/>
      <c r="C776" s="60"/>
      <c r="D776" s="198" t="s">
        <v>392</v>
      </c>
      <c r="E776" s="60"/>
      <c r="F776" s="60"/>
      <c r="G776" s="60"/>
      <c r="H776" s="60"/>
      <c r="I776" s="60"/>
      <c r="J776" s="61">
        <f>AVERAGE(J774,J775)</f>
        <v>1.5</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3</v>
      </c>
      <c r="K779" s="62"/>
    </row>
    <row r="780" spans="2:11" x14ac:dyDescent="0.3">
      <c r="B780" s="58"/>
      <c r="C780" s="60"/>
      <c r="D780" s="198" t="s">
        <v>392</v>
      </c>
      <c r="E780" s="60"/>
      <c r="F780" s="60"/>
      <c r="G780" s="60"/>
      <c r="H780" s="60"/>
      <c r="I780" s="60"/>
      <c r="J780" s="61">
        <f>AVERAGE(J778,J779)</f>
        <v>1.5</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3</v>
      </c>
      <c r="K783" s="62"/>
    </row>
    <row r="784" spans="2:11" x14ac:dyDescent="0.3">
      <c r="B784" s="58"/>
      <c r="C784" s="60"/>
      <c r="D784" s="198" t="s">
        <v>392</v>
      </c>
      <c r="E784" s="60"/>
      <c r="F784" s="60"/>
      <c r="G784" s="60"/>
      <c r="H784" s="60"/>
      <c r="I784" s="60"/>
      <c r="J784" s="61">
        <f>AVERAGE(J782,J783)</f>
        <v>1.5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3</v>
      </c>
      <c r="K787" s="62"/>
    </row>
    <row r="788" spans="2:11" x14ac:dyDescent="0.3">
      <c r="B788" s="58"/>
      <c r="C788" s="60"/>
      <c r="D788" s="198" t="s">
        <v>392</v>
      </c>
      <c r="E788" s="60"/>
      <c r="F788" s="60"/>
      <c r="G788" s="60"/>
      <c r="H788" s="60"/>
      <c r="I788" s="60"/>
      <c r="J788" s="61">
        <f>AVERAGE(J786,J787)</f>
        <v>1.5</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3</v>
      </c>
      <c r="K791" s="62"/>
    </row>
    <row r="792" spans="2:11" x14ac:dyDescent="0.3">
      <c r="B792" s="58"/>
      <c r="C792" s="60"/>
      <c r="D792" s="198" t="s">
        <v>392</v>
      </c>
      <c r="E792" s="60"/>
      <c r="F792" s="60"/>
      <c r="G792" s="60"/>
      <c r="H792" s="60"/>
      <c r="I792" s="60"/>
      <c r="J792" s="61">
        <f>AVERAGE(J790,J791)</f>
        <v>1.5</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3</v>
      </c>
      <c r="K803" s="62"/>
    </row>
    <row r="804" spans="2:11" x14ac:dyDescent="0.3">
      <c r="B804" s="58"/>
      <c r="C804" s="60"/>
      <c r="D804" s="198" t="s">
        <v>392</v>
      </c>
      <c r="E804" s="60"/>
      <c r="F804" s="60"/>
      <c r="G804" s="60"/>
      <c r="H804" s="60"/>
      <c r="I804" s="60"/>
      <c r="J804" s="61">
        <f>AVERAGE(J802,J803)</f>
        <v>1.5</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1.4444444444444444</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254</v>
      </c>
      <c r="H850" s="351"/>
      <c r="I850" s="86"/>
      <c r="J850" s="84">
        <f>IF(G850=$B$998,$A$998,IF(G850=$B$999,$A$999,IF(G850=$B$1000,$A$1000,IF(G850=$B$1001,$A$1001,IF(G850=$B$1002,$A$1002,"Not Calculated")))))</f>
        <v>2</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257</v>
      </c>
      <c r="H858" s="351"/>
      <c r="I858" s="86"/>
      <c r="J858" s="84">
        <f>IF(G858=$B$998,$A$998,IF(G858=$B$999,$A$999,IF(G858=$B$1000,$A$1000,IF(G858=$B$1001,$A$1001,IF(G858=$B$1002,$A$1002,"Not Calculated")))))</f>
        <v>3</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253</v>
      </c>
      <c r="H866" s="351"/>
      <c r="I866" s="86"/>
      <c r="J866" s="84">
        <f>IF(G866=$B$998,$A$998,IF(G866=$B$999,$A$999,IF(G866=$B$1000,$A$1000,IF(G866=$B$1001,$A$1001,IF(G866=$B$1002,$A$1002,"Not Calculated")))))</f>
        <v>4</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257</v>
      </c>
      <c r="H870" s="351"/>
      <c r="I870" s="86"/>
      <c r="J870" s="84">
        <f>IF(G870=$B$998,$A$998,IF(G870=$B$999,$A$999,IF(G870=$B$1000,$A$1000,IF(G870=$B$1001,$A$1001,IF(G870=$B$1002,$A$1002,"Not Calculated")))))</f>
        <v>3</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256</v>
      </c>
      <c r="H878" s="351"/>
      <c r="I878" s="86"/>
      <c r="J878" s="84">
        <f>IF(G878=$B$998,$A$998,IF(G878=$B$999,$A$999,IF(G878=$B$1000,$A$1000,IF(G878=$B$1001,$A$1001,IF(G878=$B$1002,$A$1002,"Not Calculated")))))</f>
        <v>1</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257</v>
      </c>
      <c r="H886" s="351"/>
      <c r="I886" s="86"/>
      <c r="J886" s="84">
        <f>IF(G886=$B$998,$A$998,IF(G886=$B$999,$A$999,IF(G886=$B$1000,$A$1000,IF(G886=$B$1001,$A$1001,IF(G886=$B$1002,$A$1002,"Not Calculated")))))</f>
        <v>3</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257</v>
      </c>
      <c r="H890" s="351"/>
      <c r="I890" s="86"/>
      <c r="J890" s="84">
        <f>IF(G890=$B$998,$A$998,IF(G890=$B$999,$A$999,IF(G890=$B$1000,$A$1000,IF(G890=$B$1001,$A$1001,IF(G890=$B$1002,$A$1002,"Not Calculated")))))</f>
        <v>3</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254</v>
      </c>
      <c r="H916" s="351"/>
      <c r="I916" s="86"/>
      <c r="J916" s="84">
        <f>IF(G916=$B$998,$A$998,IF(G916=$B$999,$A$999,IF(G916=$B$1000,$A$1000,IF(G916=$B$1001,$A$1001,IF(G916=$B$1002,$A$1002,"Not Calculated")))))</f>
        <v>2</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257</v>
      </c>
      <c r="H924" s="351"/>
      <c r="I924" s="86"/>
      <c r="J924" s="84">
        <f>IF(G924=$B$998,$A$998,IF(G924=$B$999,$A$999,IF(G924=$B$1000,$A$1000,IF(G924=$B$1001,$A$1001,IF(G924=$B$1002,$A$1002,"Not Calculated")))))</f>
        <v>3</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257</v>
      </c>
      <c r="H928" s="351"/>
      <c r="I928" s="86"/>
      <c r="J928" s="84">
        <f>IF(G928=$B$998,$A$998,IF(G928=$B$999,$A$999,IF(G928=$B$1000,$A$1000,IF(G928=$B$1001,$A$1001,IF(G928=$B$1002,$A$1002,"Not Calculated")))))</f>
        <v>3</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257</v>
      </c>
      <c r="H932" s="351"/>
      <c r="I932" s="86"/>
      <c r="J932" s="84">
        <f>IF(G932=$B$998,$A$998,IF(G932=$B$999,$A$999,IF(G932=$B$1000,$A$1000,IF(G932=$B$1001,$A$1001,IF(G932=$B$1002,$A$1002,"Not Calculated")))))</f>
        <v>3</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861</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30" customHeight="1" x14ac:dyDescent="0.3">
      <c r="B1006" s="340" t="s">
        <v>870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30" customHeight="1" x14ac:dyDescent="0.3">
      <c r="B1008" s="340" t="s">
        <v>862</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15" customHeight="1" x14ac:dyDescent="0.3">
      <c r="B1010" s="340" t="s">
        <v>810</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859</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30" customHeight="1" x14ac:dyDescent="0.3">
      <c r="B1014" s="340" t="s">
        <v>860</v>
      </c>
      <c r="C1014" s="341"/>
      <c r="D1014" s="341"/>
      <c r="E1014" s="341"/>
      <c r="F1014" s="341"/>
      <c r="G1014" s="341"/>
      <c r="H1014" s="341"/>
      <c r="I1014" s="341"/>
      <c r="J1014" s="341"/>
      <c r="K1014" s="342"/>
    </row>
    <row r="1015" spans="2:11" ht="30" customHeight="1" x14ac:dyDescent="0.3">
      <c r="B1015" s="340" t="s">
        <v>848</v>
      </c>
      <c r="C1015" s="341"/>
      <c r="D1015" s="341"/>
      <c r="E1015" s="341"/>
      <c r="F1015" s="341"/>
      <c r="G1015" s="341"/>
      <c r="H1015" s="341"/>
      <c r="I1015" s="341"/>
      <c r="J1015" s="341"/>
      <c r="K1015" s="342"/>
    </row>
    <row r="1016" spans="2:11" ht="30" customHeight="1" x14ac:dyDescent="0.3">
      <c r="B1016" s="340" t="s">
        <v>871</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30" customHeight="1" x14ac:dyDescent="0.3">
      <c r="B1018" s="340" t="s">
        <v>807</v>
      </c>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30" customHeight="1" x14ac:dyDescent="0.3">
      <c r="B1020" s="340" t="s">
        <v>873</v>
      </c>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30" customHeight="1" x14ac:dyDescent="0.3">
      <c r="B1022" s="340" t="s">
        <v>864</v>
      </c>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45" customHeight="1" x14ac:dyDescent="0.3">
      <c r="B1024" s="340" t="s">
        <v>872</v>
      </c>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30" customHeight="1" x14ac:dyDescent="0.3">
      <c r="B1026" s="340" t="s">
        <v>865</v>
      </c>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45" customHeight="1" x14ac:dyDescent="0.3">
      <c r="B1028" s="340" t="s">
        <v>863</v>
      </c>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E15:J15"/>
    <mergeCell ref="C38:J38"/>
    <mergeCell ref="C57:J57"/>
    <mergeCell ref="B5:K5"/>
    <mergeCell ref="B6:K6"/>
    <mergeCell ref="B7:K7"/>
    <mergeCell ref="B8:K8"/>
    <mergeCell ref="B9:K9"/>
    <mergeCell ref="B10:K10"/>
    <mergeCell ref="C176:J176"/>
    <mergeCell ref="C196:J196"/>
    <mergeCell ref="C155:J155"/>
    <mergeCell ref="C120:J122"/>
    <mergeCell ref="C123:J124"/>
    <mergeCell ref="C129:J129"/>
    <mergeCell ref="C95:J95"/>
    <mergeCell ref="C114:J114"/>
    <mergeCell ref="C76:J76"/>
    <mergeCell ref="C455:J455"/>
    <mergeCell ref="C416:J416"/>
    <mergeCell ref="C438:J438"/>
    <mergeCell ref="C444:I445"/>
    <mergeCell ref="C402:J402"/>
    <mergeCell ref="C420:I421"/>
    <mergeCell ref="C257:J257"/>
    <mergeCell ref="C237:J237"/>
    <mergeCell ref="C216:J216"/>
    <mergeCell ref="C292:I293"/>
    <mergeCell ref="C311:I312"/>
    <mergeCell ref="C340:I341"/>
    <mergeCell ref="C305:J305"/>
    <mergeCell ref="C324:J324"/>
    <mergeCell ref="C330:I331"/>
    <mergeCell ref="D343:I344"/>
    <mergeCell ref="C385:J385"/>
    <mergeCell ref="C391:I392"/>
    <mergeCell ref="C347:J347"/>
    <mergeCell ref="C365:J365"/>
    <mergeCell ref="C371:I372"/>
    <mergeCell ref="C286:J286"/>
    <mergeCell ref="C613:J613"/>
    <mergeCell ref="C560:J560"/>
    <mergeCell ref="C566:I568"/>
    <mergeCell ref="C569:I571"/>
    <mergeCell ref="C583:J583"/>
    <mergeCell ref="C524:I525"/>
    <mergeCell ref="C535:J535"/>
    <mergeCell ref="C518:J518"/>
    <mergeCell ref="C471:J471"/>
    <mergeCell ref="C477:I478"/>
    <mergeCell ref="C486:J486"/>
    <mergeCell ref="C502:J502"/>
    <mergeCell ref="C599:J599"/>
    <mergeCell ref="G717:H717"/>
    <mergeCell ref="G718:H718"/>
    <mergeCell ref="C729:J731"/>
    <mergeCell ref="G732:H732"/>
    <mergeCell ref="G733:H733"/>
    <mergeCell ref="C620:I621"/>
    <mergeCell ref="C633:J633"/>
    <mergeCell ref="C639:I640"/>
    <mergeCell ref="C641:I643"/>
    <mergeCell ref="C714:J716"/>
    <mergeCell ref="C655:J655"/>
    <mergeCell ref="D664:I665"/>
    <mergeCell ref="C677:J677"/>
    <mergeCell ref="G737:H737"/>
    <mergeCell ref="G738:H738"/>
    <mergeCell ref="G734:H734"/>
    <mergeCell ref="G735:H735"/>
    <mergeCell ref="G724:H724"/>
    <mergeCell ref="G725:H725"/>
    <mergeCell ref="G719:H719"/>
    <mergeCell ref="G720:H720"/>
    <mergeCell ref="G721:H721"/>
    <mergeCell ref="G846:H846"/>
    <mergeCell ref="C830:J831"/>
    <mergeCell ref="G834:H834"/>
    <mergeCell ref="G838:H838"/>
    <mergeCell ref="G842:H842"/>
    <mergeCell ref="G769:H769"/>
    <mergeCell ref="G770:H770"/>
    <mergeCell ref="G767:H767"/>
    <mergeCell ref="G768:H768"/>
    <mergeCell ref="G766:H766"/>
    <mergeCell ref="G754:H754"/>
    <mergeCell ref="G755:H755"/>
    <mergeCell ref="G752:H752"/>
    <mergeCell ref="G753:H753"/>
    <mergeCell ref="C759:J761"/>
    <mergeCell ref="G762:H762"/>
    <mergeCell ref="G763:H763"/>
    <mergeCell ref="G764:H764"/>
    <mergeCell ref="G878:H878"/>
    <mergeCell ref="G722:H722"/>
    <mergeCell ref="G723:H723"/>
    <mergeCell ref="G850:H850"/>
    <mergeCell ref="G862:H862"/>
    <mergeCell ref="G866:H866"/>
    <mergeCell ref="G854:H854"/>
    <mergeCell ref="G858:H858"/>
    <mergeCell ref="F959:H960"/>
    <mergeCell ref="G736:H736"/>
    <mergeCell ref="C744:J746"/>
    <mergeCell ref="G747:H747"/>
    <mergeCell ref="G748:H748"/>
    <mergeCell ref="G749:H749"/>
    <mergeCell ref="G886:H886"/>
    <mergeCell ref="G890:H890"/>
    <mergeCell ref="G882:H882"/>
    <mergeCell ref="G870:H870"/>
    <mergeCell ref="G874:H874"/>
    <mergeCell ref="G765:H765"/>
    <mergeCell ref="G750:H750"/>
    <mergeCell ref="G751:H751"/>
    <mergeCell ref="G739:H739"/>
    <mergeCell ref="G740:H740"/>
    <mergeCell ref="B1004:K1004"/>
    <mergeCell ref="B1005:K1005"/>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 ref="G928:H928"/>
    <mergeCell ref="G932:H932"/>
    <mergeCell ref="G924:H924"/>
    <mergeCell ref="G916:H916"/>
    <mergeCell ref="G920:H920"/>
    <mergeCell ref="C900:J901"/>
    <mergeCell ref="G904:H904"/>
    <mergeCell ref="G908:H908"/>
    <mergeCell ref="G912:H912"/>
  </mergeCells>
  <dataValidations count="23">
    <dataValidation type="list" allowBlank="1" showInputMessage="1" showErrorMessage="1" sqref="E15:J15" xr:uid="{00000000-0002-0000-1B00-000000000000}">
      <formula1>$C$966:$C$970</formula1>
    </dataValidation>
    <dataValidation type="list" allowBlank="1" showInputMessage="1" showErrorMessage="1" sqref="G834:H834 G890:H890 G886:H886 G882:H882 G878:H878 G874:H874 G870:H870 G866:H866 G862:H862 G858:H858 G854:H854 G850:H850 G846:H846 G838:H838 G842:H842 G904:H904 G932:H932 G928:H928 G924:H924 G920:H920 G916:H916 G908:H908 G912:H912" xr:uid="{00000000-0002-0000-1B00-000001000000}">
      <formula1>$B$998:$B$1002</formula1>
    </dataValidation>
    <dataValidation type="list" allowBlank="1" showInputMessage="1" showErrorMessage="1" sqref="G747:H755 G762:H770 G717:H725 G732:H740" xr:uid="{00000000-0002-0000-1B00-000002000000}">
      <formula1>$B$994:$B$995</formula1>
    </dataValidation>
    <dataValidation type="list" allowBlank="1" showInputMessage="1" showErrorMessage="1" sqref="J302 J362" xr:uid="{00000000-0002-0000-1B00-000003000000}">
      <formula1>$B$980:$B$984</formula1>
    </dataValidation>
    <dataValidation type="list" allowBlank="1" showInputMessage="1" showErrorMessage="1" sqref="C123:J124" xr:uid="{00000000-0002-0000-1B00-000004000000}">
      <formula1>$B$987:$B$991</formula1>
    </dataValidation>
    <dataValidation type="list" allowBlank="1" showInputMessage="1" showErrorMessage="1" sqref="J35 J213 J283 J652 J234 J54 J193 J173 J152 J126 J111 J92 J73 J254 J435 J452 J468 J499 J515 J532 J557 J580 J596 J674 J630" xr:uid="{00000000-0002-0000-1B00-000005000000}">
      <formula1>$B$973:$B$977</formula1>
    </dataValidation>
    <dataValidation type="list" allowBlank="1" showInputMessage="1" showErrorMessage="1" sqref="J33" xr:uid="{00000000-0002-0000-1B00-000006000000}">
      <formula1>$N$32:$N$37</formula1>
    </dataValidation>
    <dataValidation type="list" allowBlank="1" showInputMessage="1" showErrorMessage="1" sqref="J52" xr:uid="{00000000-0002-0000-1B00-000007000000}">
      <formula1>$N$51:$N$56</formula1>
    </dataValidation>
    <dataValidation type="list" allowBlank="1" showInputMessage="1" showErrorMessage="1" sqref="J71" xr:uid="{00000000-0002-0000-1B00-000008000000}">
      <formula1>$N$70:$N$75</formula1>
    </dataValidation>
    <dataValidation type="list" allowBlank="1" showInputMessage="1" showErrorMessage="1" sqref="J90" xr:uid="{00000000-0002-0000-1B00-000009000000}">
      <formula1>$N$89:$N$94</formula1>
    </dataValidation>
    <dataValidation type="list" allowBlank="1" showInputMessage="1" showErrorMessage="1" sqref="J109" xr:uid="{00000000-0002-0000-1B00-00000A000000}">
      <formula1>$N$108:$N$113</formula1>
    </dataValidation>
    <dataValidation type="list" allowBlank="1" showInputMessage="1" showErrorMessage="1" sqref="J150" xr:uid="{00000000-0002-0000-1B00-00000B000000}">
      <formula1>$N$149:$N$154</formula1>
    </dataValidation>
    <dataValidation type="list" allowBlank="1" showInputMessage="1" showErrorMessage="1" sqref="J171" xr:uid="{00000000-0002-0000-1B00-00000C000000}">
      <formula1>$N$170:$N$175</formula1>
    </dataValidation>
    <dataValidation type="list" allowBlank="1" showInputMessage="1" showErrorMessage="1" sqref="J191" xr:uid="{00000000-0002-0000-1B00-00000D000000}">
      <formula1>$N$190:$N$195</formula1>
    </dataValidation>
    <dataValidation type="list" allowBlank="1" showInputMessage="1" showErrorMessage="1" sqref="J211" xr:uid="{00000000-0002-0000-1B00-00000E000000}">
      <formula1>$N$210:$N$215</formula1>
    </dataValidation>
    <dataValidation type="list" allowBlank="1" showInputMessage="1" showErrorMessage="1" sqref="J232" xr:uid="{00000000-0002-0000-1B00-00000F000000}">
      <formula1>$N$231:$N$236</formula1>
    </dataValidation>
    <dataValidation type="list" allowBlank="1" showInputMessage="1" showErrorMessage="1" sqref="J252" xr:uid="{00000000-0002-0000-1B00-000010000000}">
      <formula1>$N$251:$N$256</formula1>
    </dataValidation>
    <dataValidation type="list" allowBlank="1" showInputMessage="1" showErrorMessage="1" sqref="J281" xr:uid="{00000000-0002-0000-1B00-000011000000}">
      <formula1>$N$280:$N$285</formula1>
    </dataValidation>
    <dataValidation type="list" allowBlank="1" showInputMessage="1" showErrorMessage="1" sqref="J555" xr:uid="{00000000-0002-0000-1B00-000012000000}">
      <formula1>$N$554:$N$559</formula1>
    </dataValidation>
    <dataValidation type="list" allowBlank="1" showInputMessage="1" showErrorMessage="1" sqref="J578" xr:uid="{00000000-0002-0000-1B00-000013000000}">
      <formula1>$N$577:$N$582</formula1>
    </dataValidation>
    <dataValidation type="list" allowBlank="1" showInputMessage="1" showErrorMessage="1" sqref="J628" xr:uid="{00000000-0002-0000-1B00-000014000000}">
      <formula1>$N$627:$N$632</formula1>
    </dataValidation>
    <dataValidation type="list" allowBlank="1" showInputMessage="1" showErrorMessage="1" sqref="J650" xr:uid="{00000000-0002-0000-1B00-000015000000}">
      <formula1>$N$649:$N$654</formula1>
    </dataValidation>
    <dataValidation type="list" allowBlank="1" showInputMessage="1" showErrorMessage="1" sqref="J672" xr:uid="{00000000-0002-0000-1B00-000016000000}">
      <formula1>$N$671:$N$676</formula1>
    </dataValidation>
  </dataValidations>
  <pageMargins left="0.7" right="0.7" top="0.75" bottom="0.75" header="0.3" footer="0.3"/>
  <pageSetup scale="7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13</v>
      </c>
      <c r="I3" s="30"/>
      <c r="L3" s="160"/>
      <c r="M3" s="160"/>
    </row>
    <row r="4" spans="2:13" x14ac:dyDescent="0.3">
      <c r="G4" s="99"/>
      <c r="I4" s="30"/>
      <c r="L4" s="161"/>
      <c r="M4" s="160"/>
    </row>
    <row r="5" spans="2:13" ht="75" customHeight="1" x14ac:dyDescent="0.3">
      <c r="B5" s="370" t="s">
        <v>792</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60.75" customHeight="1" x14ac:dyDescent="0.3">
      <c r="B10" s="378" t="s">
        <v>793</v>
      </c>
      <c r="C10" s="379"/>
      <c r="D10" s="379"/>
      <c r="E10" s="379"/>
      <c r="F10" s="379"/>
      <c r="G10" s="379"/>
      <c r="H10" s="379"/>
      <c r="I10" s="379"/>
      <c r="J10" s="379"/>
      <c r="K10" s="380"/>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246</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3</v>
      </c>
      <c r="F17" s="166"/>
      <c r="G17" s="166"/>
      <c r="H17" s="166"/>
      <c r="I17" s="166"/>
      <c r="J17" s="166"/>
      <c r="K17" s="168"/>
    </row>
    <row r="18" spans="2:14" x14ac:dyDescent="0.3">
      <c r="B18" s="165"/>
      <c r="C18" s="166"/>
      <c r="D18" s="166"/>
      <c r="E18" s="170" t="str">
        <f>IF(E15=$C$966,$B$966,IF(E15=$C$967,$B$967,IF(E15=$C$968,$B$968,IF(E15=$C$969,$B$969,IF(E15=$C$970,$B$970,"Not Calculated")))))</f>
        <v>Probable</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v>2</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1027</v>
      </c>
      <c r="K35" s="42"/>
      <c r="N35" s="12" t="s">
        <v>1043</v>
      </c>
    </row>
    <row r="36" spans="2:14" x14ac:dyDescent="0.3">
      <c r="B36" s="39"/>
      <c r="C36" s="41" t="s">
        <v>280</v>
      </c>
      <c r="D36" s="41"/>
      <c r="E36" s="41"/>
      <c r="F36" s="41"/>
      <c r="G36" s="41"/>
      <c r="H36" s="41"/>
      <c r="I36" s="41"/>
      <c r="J36" s="256">
        <f>IF(J35=$B$973,$A$973,IF(J35=$B$974,$A$974,IF(J35=$B$975,$A$975,IF(J35=$B$976,$A$976,IF(J35=$B$977,$A$977,"Not Calculated")))))</f>
        <v>1</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659</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1</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J44*0.09</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1017</v>
      </c>
      <c r="K54" s="42"/>
      <c r="N54" s="12" t="s">
        <v>1043</v>
      </c>
    </row>
    <row r="55" spans="2:14" x14ac:dyDescent="0.3">
      <c r="B55" s="39"/>
      <c r="C55" s="41" t="s">
        <v>280</v>
      </c>
      <c r="D55" s="41"/>
      <c r="E55" s="41"/>
      <c r="F55" s="41"/>
      <c r="G55" s="41"/>
      <c r="H55" s="41"/>
      <c r="I55" s="41"/>
      <c r="J55" s="256">
        <f>IF(J54=$B$973,$A$973,IF(J54=$B$974,$A$974,IF(J54=$B$975,$A$975,IF(J54=$B$976,$A$976,IF(J54=$B$977,$A$977,"Not Calculated")))))</f>
        <v>2</v>
      </c>
      <c r="K55" s="42"/>
      <c r="N55" s="12" t="s">
        <v>1044</v>
      </c>
    </row>
    <row r="56" spans="2:14" x14ac:dyDescent="0.3">
      <c r="B56" s="39"/>
      <c r="C56" s="41" t="s">
        <v>1038</v>
      </c>
      <c r="D56" s="41"/>
      <c r="E56" s="41"/>
      <c r="F56" s="41"/>
      <c r="G56" s="41"/>
      <c r="H56" s="41"/>
      <c r="I56" s="41"/>
      <c r="J56" s="177"/>
      <c r="K56" s="42"/>
      <c r="N56" s="12" t="s">
        <v>1045</v>
      </c>
    </row>
    <row r="57" spans="2:14" s="180" customFormat="1" ht="30" customHeight="1" x14ac:dyDescent="0.3">
      <c r="B57" s="178"/>
      <c r="C57" s="359" t="s">
        <v>660</v>
      </c>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2</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J63</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1017</v>
      </c>
      <c r="K73" s="42"/>
      <c r="N73" s="12" t="s">
        <v>1043</v>
      </c>
    </row>
    <row r="74" spans="2:14" x14ac:dyDescent="0.3">
      <c r="B74" s="39"/>
      <c r="C74" s="41" t="s">
        <v>280</v>
      </c>
      <c r="D74" s="41"/>
      <c r="E74" s="41"/>
      <c r="F74" s="41"/>
      <c r="G74" s="41"/>
      <c r="H74" s="41"/>
      <c r="I74" s="41"/>
      <c r="J74" s="256">
        <f>IF(J73=$B$973,$A$973,IF(J73=$B$974,$A$974,IF(J73=$B$975,$A$975,IF(J73=$B$976,$A$976,IF(J73=$B$977,$A$977,"Not Calculated")))))</f>
        <v>2</v>
      </c>
      <c r="K74" s="42"/>
      <c r="N74" s="12" t="s">
        <v>1044</v>
      </c>
    </row>
    <row r="75" spans="2:14" x14ac:dyDescent="0.3">
      <c r="B75" s="39"/>
      <c r="C75" s="41" t="s">
        <v>1038</v>
      </c>
      <c r="D75" s="41"/>
      <c r="E75" s="41"/>
      <c r="F75" s="41"/>
      <c r="G75" s="41"/>
      <c r="H75" s="41"/>
      <c r="I75" s="41"/>
      <c r="J75" s="177"/>
      <c r="K75" s="42"/>
      <c r="N75" s="12" t="s">
        <v>1045</v>
      </c>
    </row>
    <row r="76" spans="2:14" s="180" customFormat="1" ht="45" customHeight="1" x14ac:dyDescent="0.3">
      <c r="B76" s="178"/>
      <c r="C76" s="359" t="s">
        <v>661</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2</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15" customHeight="1" x14ac:dyDescent="0.3">
      <c r="B95" s="178"/>
      <c r="C95" s="359"/>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1015</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0</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662</v>
      </c>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0</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266</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2</v>
      </c>
      <c r="K125" s="42"/>
    </row>
    <row r="126" spans="2:14" ht="15" customHeight="1" x14ac:dyDescent="0.3">
      <c r="B126" s="39"/>
      <c r="C126" s="41" t="s">
        <v>276</v>
      </c>
      <c r="D126" s="41"/>
      <c r="E126" s="41"/>
      <c r="F126" s="41"/>
      <c r="G126" s="41"/>
      <c r="H126" s="41"/>
      <c r="I126" s="41"/>
      <c r="J126" s="277" t="s">
        <v>1018</v>
      </c>
      <c r="K126" s="42"/>
    </row>
    <row r="127" spans="2:14" x14ac:dyDescent="0.3">
      <c r="B127" s="39"/>
      <c r="C127" s="41" t="s">
        <v>280</v>
      </c>
      <c r="D127" s="41"/>
      <c r="E127" s="41"/>
      <c r="F127" s="41"/>
      <c r="G127" s="41"/>
      <c r="H127" s="41"/>
      <c r="I127" s="41"/>
      <c r="J127" s="256">
        <f>IF(J126=$B$973,$A$973,IF(J126=$B$974,$A$974,IF(J126=$B$975,$A$975,IF(J126=$B$976,$A$976,IF(J126=$B$977,$A$977,"Not Calculated")))))</f>
        <v>3</v>
      </c>
      <c r="K127" s="42"/>
    </row>
    <row r="128" spans="2:14" ht="15" customHeight="1" x14ac:dyDescent="0.3">
      <c r="B128" s="39"/>
      <c r="C128" s="41" t="s">
        <v>1038</v>
      </c>
      <c r="D128" s="41"/>
      <c r="E128" s="41"/>
      <c r="F128" s="41"/>
      <c r="G128" s="41"/>
      <c r="H128" s="41"/>
      <c r="I128" s="41"/>
      <c r="J128" s="177"/>
      <c r="K128" s="42"/>
    </row>
    <row r="129" spans="2:11" s="180" customFormat="1" ht="45" customHeight="1" x14ac:dyDescent="0.3">
      <c r="B129" s="178"/>
      <c r="C129" s="359" t="s">
        <v>663</v>
      </c>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2.5</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1.25</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30" customHeight="1" x14ac:dyDescent="0.3">
      <c r="B155" s="39"/>
      <c r="C155" s="343" t="s">
        <v>664</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'Community Characteristics'!H28+'Community Characteristics'!H37</f>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1027</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1</v>
      </c>
      <c r="K174" s="42"/>
      <c r="N174" s="12" t="s">
        <v>1048</v>
      </c>
    </row>
    <row r="175" spans="2:14" x14ac:dyDescent="0.3">
      <c r="B175" s="39"/>
      <c r="C175" s="41" t="s">
        <v>1038</v>
      </c>
      <c r="D175" s="41"/>
      <c r="E175" s="41"/>
      <c r="F175" s="41"/>
      <c r="G175" s="41"/>
      <c r="H175" s="41"/>
      <c r="I175" s="41"/>
      <c r="J175" s="41"/>
      <c r="K175" s="42"/>
      <c r="N175" s="12" t="s">
        <v>1049</v>
      </c>
    </row>
    <row r="176" spans="2:14" ht="60" customHeight="1" x14ac:dyDescent="0.3">
      <c r="B176" s="39"/>
      <c r="C176" s="343" t="s">
        <v>665</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'Community Characteristics'!H30+'Community Characteristics'!H39</f>
        <v>0</v>
      </c>
      <c r="K183" s="42"/>
    </row>
    <row r="184" spans="2:14" x14ac:dyDescent="0.3">
      <c r="B184" s="39"/>
      <c r="C184" s="41" t="s">
        <v>374</v>
      </c>
      <c r="D184" s="41"/>
      <c r="E184" s="41"/>
      <c r="F184" s="41"/>
      <c r="G184" s="41"/>
      <c r="H184" s="41"/>
      <c r="I184" s="41"/>
      <c r="J184" s="275">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1027</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1</v>
      </c>
      <c r="K194" s="42"/>
      <c r="N194" s="12" t="s">
        <v>1048</v>
      </c>
    </row>
    <row r="195" spans="2:14" x14ac:dyDescent="0.3">
      <c r="B195" s="39"/>
      <c r="C195" s="41" t="s">
        <v>1038</v>
      </c>
      <c r="D195" s="41"/>
      <c r="E195" s="41"/>
      <c r="F195" s="41"/>
      <c r="G195" s="41"/>
      <c r="H195" s="41"/>
      <c r="I195" s="41"/>
      <c r="J195" s="41"/>
      <c r="K195" s="42"/>
      <c r="N195" s="12" t="s">
        <v>1049</v>
      </c>
    </row>
    <row r="196" spans="2:14" ht="75" customHeight="1" x14ac:dyDescent="0.3">
      <c r="B196" s="39"/>
      <c r="C196" s="343" t="s">
        <v>978</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f>J202</f>
        <v>0</v>
      </c>
      <c r="K203" s="42"/>
    </row>
    <row r="204" spans="2:14" x14ac:dyDescent="0.3">
      <c r="B204" s="39"/>
      <c r="C204" s="41" t="s">
        <v>375</v>
      </c>
      <c r="D204" s="41"/>
      <c r="E204" s="41"/>
      <c r="F204" s="41"/>
      <c r="G204" s="41"/>
      <c r="H204" s="41"/>
      <c r="I204" s="41"/>
      <c r="J204" s="275">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1027</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1</v>
      </c>
      <c r="K214" s="42"/>
      <c r="N214" s="12" t="s">
        <v>1048</v>
      </c>
    </row>
    <row r="215" spans="2:14" x14ac:dyDescent="0.3">
      <c r="B215" s="39"/>
      <c r="C215" s="41" t="s">
        <v>1038</v>
      </c>
      <c r="D215" s="41"/>
      <c r="E215" s="41"/>
      <c r="F215" s="41"/>
      <c r="G215" s="41"/>
      <c r="H215" s="41"/>
      <c r="I215" s="41"/>
      <c r="J215" s="41"/>
      <c r="K215" s="42"/>
      <c r="N215" s="12" t="s">
        <v>1049</v>
      </c>
    </row>
    <row r="216" spans="2:14" ht="30" customHeight="1" x14ac:dyDescent="0.3">
      <c r="B216" s="39"/>
      <c r="C216" s="343" t="s">
        <v>666</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f>'Community Characteristics'!H33+'Community Characteristics'!H42</f>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1015</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0</v>
      </c>
      <c r="K235" s="42"/>
      <c r="N235" s="12" t="s">
        <v>1048</v>
      </c>
    </row>
    <row r="236" spans="2:14" x14ac:dyDescent="0.3">
      <c r="B236" s="39"/>
      <c r="C236" s="41" t="s">
        <v>1038</v>
      </c>
      <c r="D236" s="41"/>
      <c r="E236" s="41"/>
      <c r="F236" s="41"/>
      <c r="G236" s="41"/>
      <c r="H236" s="41"/>
      <c r="I236" s="41"/>
      <c r="J236" s="41"/>
      <c r="K236" s="42"/>
      <c r="N236" s="12" t="s">
        <v>1049</v>
      </c>
    </row>
    <row r="237" spans="2:14" ht="60" customHeight="1" x14ac:dyDescent="0.3">
      <c r="B237" s="39"/>
      <c r="C237" s="343" t="s">
        <v>665</v>
      </c>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J243/2</f>
        <v>0</v>
      </c>
      <c r="K244" s="42"/>
    </row>
    <row r="245" spans="2:14" x14ac:dyDescent="0.3">
      <c r="B245" s="39"/>
      <c r="C245" s="41" t="s">
        <v>380</v>
      </c>
      <c r="D245" s="305"/>
      <c r="E245" s="305"/>
      <c r="F245" s="305"/>
      <c r="G245" s="305"/>
      <c r="H245" s="305"/>
      <c r="I245" s="305"/>
      <c r="J245" s="275">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1017</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2</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667</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1017</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2</v>
      </c>
      <c r="K284" s="42"/>
      <c r="N284" s="12" t="s">
        <v>1053</v>
      </c>
    </row>
    <row r="285" spans="2:14" x14ac:dyDescent="0.3">
      <c r="B285" s="39"/>
      <c r="C285" s="41" t="s">
        <v>1038</v>
      </c>
      <c r="D285" s="41"/>
      <c r="E285" s="41"/>
      <c r="F285" s="41"/>
      <c r="G285" s="41"/>
      <c r="H285" s="41"/>
      <c r="I285" s="41"/>
      <c r="J285" s="41"/>
      <c r="K285" s="42"/>
      <c r="N285" s="12" t="s">
        <v>1054</v>
      </c>
    </row>
    <row r="286" spans="2:14" ht="15" customHeight="1" x14ac:dyDescent="0.3">
      <c r="B286" s="39"/>
      <c r="C286" s="343"/>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1</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ht="15" customHeight="1" x14ac:dyDescent="0.3">
      <c r="B292" s="39"/>
      <c r="C292" s="324" t="s">
        <v>1000</v>
      </c>
      <c r="D292" s="324"/>
      <c r="E292" s="324"/>
      <c r="F292" s="324"/>
      <c r="G292" s="324"/>
      <c r="H292" s="324"/>
      <c r="I292" s="324"/>
      <c r="J292" s="41"/>
      <c r="K292" s="42"/>
    </row>
    <row r="293" spans="2:11" ht="15" customHeight="1" x14ac:dyDescent="0.3">
      <c r="B293" s="39"/>
      <c r="C293" s="324"/>
      <c r="D293" s="324"/>
      <c r="E293" s="324"/>
      <c r="F293" s="324"/>
      <c r="G293" s="324"/>
      <c r="H293" s="324"/>
      <c r="I293" s="324"/>
      <c r="J293" s="275">
        <v>0</v>
      </c>
      <c r="K293" s="42"/>
    </row>
    <row r="294" spans="2:11" ht="15" customHeight="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f>'Baseline Health'!$G$102</f>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72</v>
      </c>
      <c r="K321" s="42"/>
    </row>
    <row r="322" spans="2:11" x14ac:dyDescent="0.3">
      <c r="B322" s="39"/>
      <c r="C322" s="41" t="s">
        <v>280</v>
      </c>
      <c r="D322" s="41"/>
      <c r="E322" s="41"/>
      <c r="F322" s="41"/>
      <c r="G322" s="41"/>
      <c r="H322" s="41"/>
      <c r="I322" s="41"/>
      <c r="J322" s="256">
        <f>IF(J321&lt;=0,0,IF(J321&lt;=2,1,IF(J321&lt;=6,2,IF(J321&lt;=12,3,4))))</f>
        <v>4</v>
      </c>
      <c r="K322" s="42"/>
    </row>
    <row r="323" spans="2:11" x14ac:dyDescent="0.3">
      <c r="B323" s="39"/>
      <c r="C323" s="41" t="s">
        <v>1038</v>
      </c>
      <c r="D323" s="41"/>
      <c r="E323" s="41"/>
      <c r="F323" s="41"/>
      <c r="G323" s="41"/>
      <c r="H323" s="41"/>
      <c r="I323" s="41"/>
      <c r="J323" s="41"/>
      <c r="K323" s="42"/>
    </row>
    <row r="324" spans="2:11" ht="15" customHeight="1" x14ac:dyDescent="0.3">
      <c r="B324" s="39"/>
      <c r="C324" s="343"/>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4</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f>'Baseline Health'!$G$102</f>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72</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4</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4</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f>J183</f>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1028</v>
      </c>
      <c r="K362" s="42"/>
    </row>
    <row r="363" spans="2:11" x14ac:dyDescent="0.3">
      <c r="B363" s="39"/>
      <c r="C363" s="41" t="s">
        <v>280</v>
      </c>
      <c r="D363" s="41"/>
      <c r="E363" s="41"/>
      <c r="F363" s="41"/>
      <c r="G363" s="41"/>
      <c r="H363" s="41"/>
      <c r="I363" s="41"/>
      <c r="J363" s="256">
        <f>IF(J362=$B$980,$A$980,IF(J362=$B$981,$A$981,IF(J362=$B$982,$A$982,IF(J362=$B$983,$A$983,IF(J362=$B$984,$A$984,"Not Calculated")))))</f>
        <v>1</v>
      </c>
      <c r="K363" s="42"/>
    </row>
    <row r="364" spans="2:11" x14ac:dyDescent="0.3">
      <c r="B364" s="39"/>
      <c r="C364" s="41" t="s">
        <v>1038</v>
      </c>
      <c r="D364" s="41"/>
      <c r="E364" s="41"/>
      <c r="F364" s="41"/>
      <c r="G364" s="41"/>
      <c r="H364" s="41"/>
      <c r="I364" s="41"/>
      <c r="J364" s="41"/>
      <c r="K364" s="42"/>
    </row>
    <row r="365" spans="2:11" ht="60" customHeight="1" x14ac:dyDescent="0.3">
      <c r="B365" s="39"/>
      <c r="C365" s="343" t="s">
        <v>979</v>
      </c>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0.5</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3">
        <f>'Baseline Health'!G114</f>
        <v>0</v>
      </c>
      <c r="K381" s="42"/>
    </row>
    <row r="382" spans="2:11" x14ac:dyDescent="0.3">
      <c r="B382" s="39"/>
      <c r="C382" s="41" t="s">
        <v>316</v>
      </c>
      <c r="D382" s="41"/>
      <c r="E382" s="41"/>
      <c r="F382" s="41"/>
      <c r="G382" s="41"/>
      <c r="H382" s="41"/>
      <c r="I382" s="41"/>
      <c r="J382" s="277">
        <v>0</v>
      </c>
      <c r="K382" s="42"/>
    </row>
    <row r="383" spans="2:11" x14ac:dyDescent="0.3">
      <c r="B383" s="39"/>
      <c r="C383" s="41" t="s">
        <v>280</v>
      </c>
      <c r="D383" s="41"/>
      <c r="E383" s="41"/>
      <c r="F383" s="41"/>
      <c r="G383" s="41"/>
      <c r="H383" s="41"/>
      <c r="I383" s="41"/>
      <c r="J383" s="259">
        <f>IF((J382-J381)&lt;1,0,IF((J382-J381)&lt;3,1,IF((J382-J381)&lt;5,2,IF((J382-J381)&lt;7,3,4))))</f>
        <v>0</v>
      </c>
      <c r="K383" s="42"/>
    </row>
    <row r="384" spans="2:11" x14ac:dyDescent="0.3">
      <c r="B384" s="39"/>
      <c r="C384" s="41" t="s">
        <v>1038</v>
      </c>
      <c r="D384" s="41"/>
      <c r="E384" s="41"/>
      <c r="F384" s="41"/>
      <c r="G384" s="41"/>
      <c r="H384" s="41"/>
      <c r="I384" s="41"/>
      <c r="J384" s="41"/>
      <c r="K384" s="42"/>
    </row>
    <row r="385" spans="2:11" ht="15" customHeight="1" x14ac:dyDescent="0.3">
      <c r="B385" s="39"/>
      <c r="C385" s="343"/>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291"/>
      <c r="F410" s="41"/>
      <c r="G410" s="41"/>
      <c r="H410" s="41"/>
      <c r="I410" s="41"/>
      <c r="J410" s="295"/>
      <c r="K410" s="42"/>
    </row>
    <row r="411" spans="2:11" ht="9.75" customHeight="1" x14ac:dyDescent="0.3">
      <c r="B411" s="39"/>
      <c r="C411" s="293" t="str">
        <f>"1:"</f>
        <v>1:</v>
      </c>
      <c r="D411" s="291" t="s">
        <v>1089</v>
      </c>
      <c r="E411" s="291"/>
      <c r="F411" s="41"/>
      <c r="G411" s="41"/>
      <c r="H411" s="41"/>
      <c r="I411" s="41"/>
      <c r="J411" s="295"/>
      <c r="K411" s="42"/>
    </row>
    <row r="412" spans="2:11" ht="9.75" customHeight="1" x14ac:dyDescent="0.3">
      <c r="B412" s="39"/>
      <c r="C412" s="293" t="str">
        <f>"2:"</f>
        <v>2:</v>
      </c>
      <c r="D412" s="291" t="s">
        <v>1090</v>
      </c>
      <c r="E412" s="291"/>
      <c r="F412" s="41"/>
      <c r="G412" s="41"/>
      <c r="H412" s="41"/>
      <c r="I412" s="41"/>
      <c r="J412" s="295"/>
      <c r="K412" s="42"/>
    </row>
    <row r="413" spans="2:11" ht="9.75" customHeight="1" x14ac:dyDescent="0.3">
      <c r="B413" s="39"/>
      <c r="C413" s="293" t="str">
        <f>"3:"</f>
        <v>3:</v>
      </c>
      <c r="D413" s="291" t="s">
        <v>1091</v>
      </c>
      <c r="E413" s="291"/>
      <c r="F413" s="41"/>
      <c r="G413" s="41"/>
      <c r="H413" s="41"/>
      <c r="I413" s="41"/>
      <c r="J413" s="295"/>
      <c r="K413" s="42"/>
    </row>
    <row r="414" spans="2:11" ht="9.75" customHeight="1" x14ac:dyDescent="0.3">
      <c r="B414" s="39"/>
      <c r="C414" s="293" t="str">
        <f>"4:"</f>
        <v>4:</v>
      </c>
      <c r="D414" s="291" t="s">
        <v>1092</v>
      </c>
      <c r="E414" s="29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1.9375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6">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30" customHeight="1" x14ac:dyDescent="0.3">
      <c r="B438" s="39"/>
      <c r="C438" s="343" t="s">
        <v>649</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100</v>
      </c>
      <c r="K445" s="42"/>
    </row>
    <row r="446" spans="2:11" x14ac:dyDescent="0.3">
      <c r="B446" s="39"/>
      <c r="C446" s="41" t="s">
        <v>279</v>
      </c>
      <c r="D446" s="41"/>
      <c r="E446" s="41"/>
      <c r="F446" s="41"/>
      <c r="G446" s="41"/>
      <c r="H446" s="41"/>
      <c r="I446" s="41"/>
      <c r="J446" s="259">
        <f>IF(J445&lt;=0,0,IF(J445&lt;=1,1,IF(J445&lt;=5,2,IF(J445&lt;=10,3,4))))</f>
        <v>4</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1017</v>
      </c>
      <c r="K452" s="42"/>
    </row>
    <row r="453" spans="2:11" x14ac:dyDescent="0.3">
      <c r="B453" s="39"/>
      <c r="C453" s="41" t="s">
        <v>280</v>
      </c>
      <c r="D453" s="41"/>
      <c r="E453" s="41"/>
      <c r="F453" s="41"/>
      <c r="G453" s="41"/>
      <c r="H453" s="41"/>
      <c r="I453" s="41"/>
      <c r="J453" s="256">
        <f>IF(J452=$B$973,$A$973,IF(J452=$B$974,$A$974,IF(J452=$B$975,$A$975,IF(J452=$B$976,$A$976,IF(J452=$B$977,$A$977,"Not Calculated")))))</f>
        <v>2</v>
      </c>
      <c r="K453" s="42"/>
    </row>
    <row r="454" spans="2:11" x14ac:dyDescent="0.3">
      <c r="B454" s="39"/>
      <c r="C454" s="41" t="s">
        <v>1038</v>
      </c>
      <c r="D454" s="41"/>
      <c r="E454" s="41"/>
      <c r="F454" s="41"/>
      <c r="G454" s="41"/>
      <c r="H454" s="41"/>
      <c r="I454" s="41"/>
      <c r="J454" s="41"/>
      <c r="K454" s="42"/>
    </row>
    <row r="455" spans="2:11" ht="30" customHeight="1" x14ac:dyDescent="0.3">
      <c r="B455" s="39"/>
      <c r="C455" s="343" t="s">
        <v>668</v>
      </c>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3</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100</v>
      </c>
      <c r="K461" s="42"/>
    </row>
    <row r="462" spans="2:11" x14ac:dyDescent="0.3">
      <c r="B462" s="39"/>
      <c r="C462" s="41" t="s">
        <v>279</v>
      </c>
      <c r="D462" s="41"/>
      <c r="E462" s="41"/>
      <c r="F462" s="41"/>
      <c r="G462" s="41"/>
      <c r="H462" s="41"/>
      <c r="I462" s="41"/>
      <c r="J462" s="259">
        <f>IF(J461&lt;=0,0,IF(J461&lt;=1,1,IF(J461&lt;=5,2,IF(J461&lt;=10,3,4))))</f>
        <v>4</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2</v>
      </c>
      <c r="K469" s="42"/>
    </row>
    <row r="470" spans="2:11" x14ac:dyDescent="0.3">
      <c r="B470" s="39"/>
      <c r="C470" s="41" t="s">
        <v>1038</v>
      </c>
      <c r="D470" s="41"/>
      <c r="E470" s="41"/>
      <c r="F470" s="41"/>
      <c r="G470" s="41"/>
      <c r="H470" s="41"/>
      <c r="I470" s="41"/>
      <c r="J470" s="41"/>
      <c r="K470" s="42"/>
    </row>
    <row r="471" spans="2:11" ht="15" customHeight="1" x14ac:dyDescent="0.3">
      <c r="B471" s="39"/>
      <c r="C471" s="343"/>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3</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3</v>
      </c>
      <c r="K478" s="42"/>
    </row>
    <row r="479" spans="2:11" x14ac:dyDescent="0.3">
      <c r="B479" s="39"/>
      <c r="C479" s="41" t="s">
        <v>280</v>
      </c>
      <c r="D479" s="41"/>
      <c r="E479" s="41"/>
      <c r="F479" s="41"/>
      <c r="G479" s="41"/>
      <c r="H479" s="41"/>
      <c r="I479" s="41"/>
      <c r="J479" s="256">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15" customHeight="1" x14ac:dyDescent="0.3">
      <c r="B486" s="39"/>
      <c r="C486" s="343" t="s">
        <v>669</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100</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6">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15" customHeight="1" x14ac:dyDescent="0.3">
      <c r="B502" s="39"/>
      <c r="C502" s="386"/>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3</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1</v>
      </c>
      <c r="K525" s="42"/>
    </row>
    <row r="526" spans="2:11" x14ac:dyDescent="0.3">
      <c r="B526" s="39"/>
      <c r="C526" s="41" t="s">
        <v>279</v>
      </c>
      <c r="D526" s="41"/>
      <c r="E526" s="41"/>
      <c r="F526" s="41"/>
      <c r="G526" s="41"/>
      <c r="H526" s="41"/>
      <c r="I526" s="41"/>
      <c r="J526" s="259">
        <f>IF(J525&lt;=0,0,IF(J525&lt;=1,1,IF(J525&lt;=5,2,IF(J525&lt;=10,3,4))))</f>
        <v>1</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1017</v>
      </c>
      <c r="K532" s="42"/>
    </row>
    <row r="533" spans="2:11" x14ac:dyDescent="0.3">
      <c r="B533" s="39"/>
      <c r="C533" s="41" t="s">
        <v>280</v>
      </c>
      <c r="D533" s="41"/>
      <c r="E533" s="41"/>
      <c r="F533" s="41"/>
      <c r="G533" s="41"/>
      <c r="H533" s="41"/>
      <c r="I533" s="41"/>
      <c r="J533" s="256">
        <f>IF(J532=$B$973,$A$973,IF(J532=$B$974,$A$974,IF(J532=$B$975,$A$975,IF(J532=$B$976,$A$976,IF(J532=$B$977,$A$977,"Not Calculated")))))</f>
        <v>2</v>
      </c>
      <c r="K533" s="42"/>
    </row>
    <row r="534" spans="2:11" x14ac:dyDescent="0.3">
      <c r="B534" s="39"/>
      <c r="C534" s="41" t="s">
        <v>1038</v>
      </c>
      <c r="D534" s="41"/>
      <c r="E534" s="41"/>
      <c r="F534" s="41"/>
      <c r="G534" s="41"/>
      <c r="H534" s="41"/>
      <c r="I534" s="41"/>
      <c r="J534" s="41"/>
      <c r="K534" s="42"/>
    </row>
    <row r="535" spans="2:11" ht="45" customHeight="1" x14ac:dyDescent="0.3">
      <c r="B535" s="39"/>
      <c r="C535" s="343" t="s">
        <v>670</v>
      </c>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1.5</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1.9285714285714286</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f>J546*0.1</f>
        <v>0</v>
      </c>
      <c r="K547" s="42"/>
    </row>
    <row r="548" spans="2:14" x14ac:dyDescent="0.3">
      <c r="B548" s="39"/>
      <c r="C548" s="41" t="s">
        <v>467</v>
      </c>
      <c r="D548" s="41"/>
      <c r="E548" s="41"/>
      <c r="F548" s="41"/>
      <c r="G548" s="41"/>
      <c r="H548" s="41"/>
      <c r="I548" s="41"/>
      <c r="J548" s="275">
        <f>J546*0.5</f>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1017</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2</v>
      </c>
      <c r="K558" s="42"/>
      <c r="N558" s="12" t="s">
        <v>1048</v>
      </c>
    </row>
    <row r="559" spans="2:14" x14ac:dyDescent="0.3">
      <c r="B559" s="39"/>
      <c r="C559" s="41" t="s">
        <v>1038</v>
      </c>
      <c r="D559" s="41"/>
      <c r="E559" s="41"/>
      <c r="F559" s="41"/>
      <c r="G559" s="41"/>
      <c r="H559" s="41"/>
      <c r="I559" s="41"/>
      <c r="J559" s="41"/>
      <c r="K559" s="42"/>
      <c r="N559" s="12" t="s">
        <v>1049</v>
      </c>
    </row>
    <row r="560" spans="2:14" ht="75" customHeight="1" x14ac:dyDescent="0.3">
      <c r="B560" s="39"/>
      <c r="C560" s="343" t="s">
        <v>671</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f>J568</f>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1017</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2</v>
      </c>
      <c r="K581" s="42"/>
      <c r="N581" s="12" t="s">
        <v>1044</v>
      </c>
    </row>
    <row r="582" spans="2:14" x14ac:dyDescent="0.3">
      <c r="B582" s="39"/>
      <c r="C582" s="41" t="s">
        <v>1038</v>
      </c>
      <c r="D582" s="41"/>
      <c r="E582" s="41"/>
      <c r="F582" s="41"/>
      <c r="G582" s="41"/>
      <c r="H582" s="41"/>
      <c r="I582" s="41"/>
      <c r="J582" s="41"/>
      <c r="K582" s="42"/>
      <c r="N582" s="12" t="s">
        <v>1045</v>
      </c>
    </row>
    <row r="583" spans="2:14" ht="75" customHeight="1" x14ac:dyDescent="0.3">
      <c r="B583" s="39"/>
      <c r="C583" s="343" t="s">
        <v>672</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f>'Baseline Health'!G6*0.001</f>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1017</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2</v>
      </c>
      <c r="K597" s="42"/>
    </row>
    <row r="598" spans="2:11" x14ac:dyDescent="0.3">
      <c r="B598" s="39"/>
      <c r="C598" s="41" t="s">
        <v>1038</v>
      </c>
      <c r="D598" s="41"/>
      <c r="E598" s="41"/>
      <c r="F598" s="41"/>
      <c r="G598" s="41"/>
      <c r="H598" s="41"/>
      <c r="I598" s="41"/>
      <c r="J598" s="41"/>
      <c r="K598" s="42"/>
    </row>
    <row r="599" spans="2:11" ht="45" customHeight="1" x14ac:dyDescent="0.3">
      <c r="B599" s="39"/>
      <c r="C599" s="343" t="s">
        <v>673</v>
      </c>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1</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50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1017</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2</v>
      </c>
      <c r="K631" s="42"/>
      <c r="N631" s="12" t="s">
        <v>1044</v>
      </c>
    </row>
    <row r="632" spans="2:14" x14ac:dyDescent="0.3">
      <c r="B632" s="39"/>
      <c r="C632" s="41" t="s">
        <v>1038</v>
      </c>
      <c r="D632" s="41"/>
      <c r="E632" s="41"/>
      <c r="F632" s="41"/>
      <c r="G632" s="41"/>
      <c r="H632" s="41"/>
      <c r="I632" s="41"/>
      <c r="J632" s="41"/>
      <c r="K632" s="42"/>
      <c r="N632" s="12" t="s">
        <v>1045</v>
      </c>
    </row>
    <row r="633" spans="2:14" ht="30" customHeight="1" x14ac:dyDescent="0.3">
      <c r="B633" s="39"/>
      <c r="C633" s="343" t="s">
        <v>674</v>
      </c>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37.5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1017</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2</v>
      </c>
      <c r="K653" s="42"/>
      <c r="N653" s="12" t="s">
        <v>1044</v>
      </c>
    </row>
    <row r="654" spans="2:14" x14ac:dyDescent="0.3">
      <c r="B654" s="39"/>
      <c r="C654" s="41" t="s">
        <v>1038</v>
      </c>
      <c r="D654" s="41"/>
      <c r="E654" s="41"/>
      <c r="F654" s="41"/>
      <c r="G654" s="41"/>
      <c r="H654" s="41"/>
      <c r="I654" s="41"/>
      <c r="J654" s="41"/>
      <c r="K654" s="42"/>
      <c r="N654" s="12" t="s">
        <v>1045</v>
      </c>
    </row>
    <row r="655" spans="2:14" ht="60" customHeight="1" x14ac:dyDescent="0.3">
      <c r="B655" s="39"/>
      <c r="C655" s="343" t="s">
        <v>675</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2</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1027</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1</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198</v>
      </c>
      <c r="H719" s="375"/>
      <c r="I719" s="60"/>
      <c r="J719" s="271">
        <f t="shared" si="0"/>
        <v>1</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198</v>
      </c>
      <c r="H723" s="375"/>
      <c r="I723" s="60"/>
      <c r="J723" s="271">
        <f t="shared" si="0"/>
        <v>1</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198</v>
      </c>
      <c r="H725" s="375"/>
      <c r="I725" s="60"/>
      <c r="J725" s="271">
        <f t="shared" si="0"/>
        <v>1</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ht="15" customHeight="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198</v>
      </c>
      <c r="H738" s="375"/>
      <c r="I738" s="60"/>
      <c r="J738" s="271">
        <f t="shared" si="1"/>
        <v>1</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198</v>
      </c>
      <c r="H740" s="375"/>
      <c r="I740" s="60"/>
      <c r="J740" s="271">
        <f t="shared" si="1"/>
        <v>1</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2</v>
      </c>
      <c r="K783" s="62"/>
    </row>
    <row r="784" spans="2:11" x14ac:dyDescent="0.3">
      <c r="B784" s="58"/>
      <c r="C784" s="60"/>
      <c r="D784" s="198" t="s">
        <v>392</v>
      </c>
      <c r="E784" s="60"/>
      <c r="F784" s="60"/>
      <c r="G784" s="60"/>
      <c r="H784" s="60"/>
      <c r="I784" s="60"/>
      <c r="J784" s="61">
        <f>AVERAGE(J782,J783)</f>
        <v>1</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3</v>
      </c>
      <c r="K799" s="62"/>
    </row>
    <row r="800" spans="2:11" x14ac:dyDescent="0.3">
      <c r="B800" s="58"/>
      <c r="C800" s="60"/>
      <c r="D800" s="198" t="s">
        <v>392</v>
      </c>
      <c r="E800" s="60"/>
      <c r="F800" s="60"/>
      <c r="G800" s="60"/>
      <c r="H800" s="60"/>
      <c r="I800" s="60"/>
      <c r="J800" s="61">
        <f>AVERAGE(J798,J799)</f>
        <v>1.5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3</v>
      </c>
      <c r="K807" s="62"/>
    </row>
    <row r="808" spans="2:11" x14ac:dyDescent="0.3">
      <c r="B808" s="58"/>
      <c r="C808" s="60"/>
      <c r="D808" s="198" t="s">
        <v>392</v>
      </c>
      <c r="E808" s="60"/>
      <c r="F808" s="60"/>
      <c r="G808" s="60"/>
      <c r="H808" s="60"/>
      <c r="I808" s="60"/>
      <c r="J808" s="61">
        <f>AVERAGE(J806,J807)</f>
        <v>1.5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1.1111111111111112</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253</v>
      </c>
      <c r="H838" s="351"/>
      <c r="I838" s="86"/>
      <c r="J838" s="84">
        <f>IF(G838=$B$998,$A$998,IF(G838=$B$999,$A$999,IF(G838=$B$1000,$A$1000,IF(G838=$B$1001,$A$1001,IF(G838=$B$1002,$A$1002,"Not Calculated")))))</f>
        <v>4</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254</v>
      </c>
      <c r="H850" s="351"/>
      <c r="I850" s="86"/>
      <c r="J850" s="84">
        <f>IF(G850=$B$998,$A$998,IF(G850=$B$999,$A$999,IF(G850=$B$1000,$A$1000,IF(G850=$B$1001,$A$1001,IF(G850=$B$1002,$A$1002,"Not Calculated")))))</f>
        <v>2</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254</v>
      </c>
      <c r="H858" s="351"/>
      <c r="I858" s="86"/>
      <c r="J858" s="84">
        <f>IF(G858=$B$998,$A$998,IF(G858=$B$999,$A$999,IF(G858=$B$1000,$A$1000,IF(G858=$B$1001,$A$1001,IF(G858=$B$1002,$A$1002,"Not Calculated")))))</f>
        <v>2</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254</v>
      </c>
      <c r="H862" s="351"/>
      <c r="I862" s="86"/>
      <c r="J862" s="84">
        <f>IF(G862=$B$998,$A$998,IF(G862=$B$999,$A$999,IF(G862=$B$1000,$A$1000,IF(G862=$B$1001,$A$1001,IF(G862=$B$1002,$A$1002,"Not Calculated")))))</f>
        <v>2</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254</v>
      </c>
      <c r="H870" s="351"/>
      <c r="I870" s="86"/>
      <c r="J870" s="84">
        <f>IF(G870=$B$998,$A$998,IF(G870=$B$999,$A$999,IF(G870=$B$1000,$A$1000,IF(G870=$B$1001,$A$1001,IF(G870=$B$1002,$A$1002,"Not Calculated")))))</f>
        <v>2</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256</v>
      </c>
      <c r="H878" s="351"/>
      <c r="I878" s="86"/>
      <c r="J878" s="84">
        <f>IF(G878=$B$998,$A$998,IF(G878=$B$999,$A$999,IF(G878=$B$1000,$A$1000,IF(G878=$B$1001,$A$1001,IF(G878=$B$1002,$A$1002,"Not Calculated")))))</f>
        <v>1</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254</v>
      </c>
      <c r="H882" s="351"/>
      <c r="I882" s="86"/>
      <c r="J882" s="84">
        <f>IF(G882=$B$998,$A$998,IF(G882=$B$999,$A$999,IF(G882=$B$1000,$A$1000,IF(G882=$B$1001,$A$1001,IF(G882=$B$1002,$A$1002,"Not Calculated")))))</f>
        <v>2</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256</v>
      </c>
      <c r="H886" s="351"/>
      <c r="I886" s="86"/>
      <c r="J886" s="84">
        <f>IF(G886=$B$998,$A$998,IF(G886=$B$999,$A$999,IF(G886=$B$1000,$A$1000,IF(G886=$B$1001,$A$1001,IF(G886=$B$1002,$A$1002,"Not Calculated")))))</f>
        <v>1</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254</v>
      </c>
      <c r="H890" s="351"/>
      <c r="I890" s="86"/>
      <c r="J890" s="84">
        <f>IF(G890=$B$998,$A$998,IF(G890=$B$999,$A$999,IF(G890=$B$1000,$A$1000,IF(G890=$B$1001,$A$1001,IF(G890=$B$1002,$A$1002,"Not Calculated")))))</f>
        <v>2</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253</v>
      </c>
      <c r="H908" s="351"/>
      <c r="I908" s="86"/>
      <c r="J908" s="84">
        <f>IF(G908=$B$998,$A$998,IF(G908=$B$999,$A$999,IF(G908=$B$1000,$A$1000,IF(G908=$B$1001,$A$1001,IF(G908=$B$1002,$A$1002,"Not Calculated")))))</f>
        <v>4</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254</v>
      </c>
      <c r="H916" s="351"/>
      <c r="I916" s="86"/>
      <c r="J916" s="84">
        <f>IF(G916=$B$998,$A$998,IF(G916=$B$999,$A$999,IF(G916=$B$1000,$A$1000,IF(G916=$B$1001,$A$1001,IF(G916=$B$1002,$A$1002,"Not Calculated")))))</f>
        <v>2</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254</v>
      </c>
      <c r="H924" s="351"/>
      <c r="I924" s="86"/>
      <c r="J924" s="84">
        <f>IF(G924=$B$998,$A$998,IF(G924=$B$999,$A$999,IF(G924=$B$1000,$A$1000,IF(G924=$B$1001,$A$1001,IF(G924=$B$1002,$A$1002,"Not Calculated")))))</f>
        <v>2</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256</v>
      </c>
      <c r="H928" s="351"/>
      <c r="I928" s="86"/>
      <c r="J928" s="84">
        <f>IF(G928=$B$998,$A$998,IF(G928=$B$999,$A$999,IF(G928=$B$1000,$A$1000,IF(G928=$B$1001,$A$1001,IF(G928=$B$1002,$A$1002,"Not Calculated")))))</f>
        <v>1</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254</v>
      </c>
      <c r="H932" s="351"/>
      <c r="I932" s="86"/>
      <c r="J932" s="84">
        <f>IF(G932=$B$998,$A$998,IF(G932=$B$999,$A$999,IF(G932=$B$1000,$A$1000,IF(G932=$B$1001,$A$1001,IF(G932=$B$1002,$A$1002,"Not Calculated")))))</f>
        <v>2</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30" customHeight="1" x14ac:dyDescent="0.3">
      <c r="B1004" s="346" t="s">
        <v>874</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45" customHeight="1" x14ac:dyDescent="0.3">
      <c r="B1008" s="340" t="s">
        <v>877</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45" customHeight="1" x14ac:dyDescent="0.3">
      <c r="B1010" s="340" t="s">
        <v>876</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45" customHeight="1" x14ac:dyDescent="0.3">
      <c r="B1012" s="340" t="s">
        <v>875</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15" customHeight="1" x14ac:dyDescent="0.3">
      <c r="B1016" s="340"/>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385:J385"/>
    <mergeCell ref="C324:J324"/>
    <mergeCell ref="C330:I331"/>
    <mergeCell ref="C455:J455"/>
    <mergeCell ref="C402:J402"/>
    <mergeCell ref="C416:J416"/>
    <mergeCell ref="B5:K5"/>
    <mergeCell ref="B6:K6"/>
    <mergeCell ref="B7:K7"/>
    <mergeCell ref="B8:K8"/>
    <mergeCell ref="B9:K9"/>
    <mergeCell ref="B10:K10"/>
    <mergeCell ref="C76:J76"/>
    <mergeCell ref="E15:J15"/>
    <mergeCell ref="C38:J38"/>
    <mergeCell ref="C420:I421"/>
    <mergeCell ref="C176:J176"/>
    <mergeCell ref="C196:J196"/>
    <mergeCell ref="C155:J155"/>
    <mergeCell ref="C120:J122"/>
    <mergeCell ref="C123:J124"/>
    <mergeCell ref="C129:J129"/>
    <mergeCell ref="C95:J95"/>
    <mergeCell ref="C114:J114"/>
    <mergeCell ref="C57:J57"/>
    <mergeCell ref="C292:I293"/>
    <mergeCell ref="C347:J347"/>
    <mergeCell ref="C365:J365"/>
    <mergeCell ref="C371:I372"/>
    <mergeCell ref="C305:J305"/>
    <mergeCell ref="C257:J257"/>
    <mergeCell ref="C286:J286"/>
    <mergeCell ref="C311:I312"/>
    <mergeCell ref="C216:J216"/>
    <mergeCell ref="C237:J237"/>
    <mergeCell ref="C340:I341"/>
    <mergeCell ref="D343:I344"/>
    <mergeCell ref="C613:J613"/>
    <mergeCell ref="C560:J560"/>
    <mergeCell ref="C566:I568"/>
    <mergeCell ref="C569:I571"/>
    <mergeCell ref="C583:J583"/>
    <mergeCell ref="C524:I525"/>
    <mergeCell ref="C535:J535"/>
    <mergeCell ref="C391:I392"/>
    <mergeCell ref="C518:J518"/>
    <mergeCell ref="C471:J471"/>
    <mergeCell ref="C477:I478"/>
    <mergeCell ref="C486:J486"/>
    <mergeCell ref="C502:J502"/>
    <mergeCell ref="C438:J438"/>
    <mergeCell ref="C444:I445"/>
    <mergeCell ref="G717:H717"/>
    <mergeCell ref="G718:H718"/>
    <mergeCell ref="C729:J731"/>
    <mergeCell ref="G732:H732"/>
    <mergeCell ref="G733:H733"/>
    <mergeCell ref="C620:I621"/>
    <mergeCell ref="C633:J633"/>
    <mergeCell ref="C639:I640"/>
    <mergeCell ref="C641:I643"/>
    <mergeCell ref="G739:H739"/>
    <mergeCell ref="G740:H740"/>
    <mergeCell ref="G737:H737"/>
    <mergeCell ref="G738:H738"/>
    <mergeCell ref="G734:H734"/>
    <mergeCell ref="G735:H735"/>
    <mergeCell ref="G724:H724"/>
    <mergeCell ref="G725:H725"/>
    <mergeCell ref="G719:H719"/>
    <mergeCell ref="G720:H720"/>
    <mergeCell ref="G721:H721"/>
    <mergeCell ref="G722:H722"/>
    <mergeCell ref="G723:H723"/>
    <mergeCell ref="G752:H752"/>
    <mergeCell ref="G753:H753"/>
    <mergeCell ref="C759:J761"/>
    <mergeCell ref="G762:H762"/>
    <mergeCell ref="G763:H763"/>
    <mergeCell ref="G764:H764"/>
    <mergeCell ref="G765:H765"/>
    <mergeCell ref="G750:H750"/>
    <mergeCell ref="G751:H751"/>
    <mergeCell ref="G838:H838"/>
    <mergeCell ref="G842:H842"/>
    <mergeCell ref="G769:H769"/>
    <mergeCell ref="G770:H770"/>
    <mergeCell ref="G767:H767"/>
    <mergeCell ref="G768:H768"/>
    <mergeCell ref="G766:H766"/>
    <mergeCell ref="G754:H754"/>
    <mergeCell ref="G755:H755"/>
    <mergeCell ref="G850:H850"/>
    <mergeCell ref="G862:H862"/>
    <mergeCell ref="G866:H866"/>
    <mergeCell ref="G854:H854"/>
    <mergeCell ref="C599:J599"/>
    <mergeCell ref="F959:H960"/>
    <mergeCell ref="G736:H736"/>
    <mergeCell ref="C744:J746"/>
    <mergeCell ref="G747:H747"/>
    <mergeCell ref="G748:H748"/>
    <mergeCell ref="G749:H749"/>
    <mergeCell ref="G886:H886"/>
    <mergeCell ref="G890:H890"/>
    <mergeCell ref="G882:H882"/>
    <mergeCell ref="G870:H870"/>
    <mergeCell ref="C714:J716"/>
    <mergeCell ref="C655:J655"/>
    <mergeCell ref="D664:I665"/>
    <mergeCell ref="C677:J677"/>
    <mergeCell ref="G846:H846"/>
    <mergeCell ref="C830:J831"/>
    <mergeCell ref="G834:H834"/>
    <mergeCell ref="G858:H858"/>
    <mergeCell ref="G874:H874"/>
    <mergeCell ref="B1004:K1004"/>
    <mergeCell ref="B1005:K1005"/>
    <mergeCell ref="B1006:K1006"/>
    <mergeCell ref="B1007:K1007"/>
    <mergeCell ref="B1008:K1008"/>
    <mergeCell ref="B1009:K1009"/>
    <mergeCell ref="B1010:K1010"/>
    <mergeCell ref="C900:J901"/>
    <mergeCell ref="G904:H904"/>
    <mergeCell ref="G908:H908"/>
    <mergeCell ref="G912:H912"/>
    <mergeCell ref="G924:H924"/>
    <mergeCell ref="G878:H878"/>
    <mergeCell ref="G916:H916"/>
    <mergeCell ref="G920:H920"/>
    <mergeCell ref="G928:H928"/>
    <mergeCell ref="G932:H932"/>
    <mergeCell ref="B1029:K1029"/>
    <mergeCell ref="B1013:K1013"/>
    <mergeCell ref="B1014:K1014"/>
    <mergeCell ref="B1015:K1015"/>
    <mergeCell ref="B1016:K1016"/>
    <mergeCell ref="B1017:K1017"/>
    <mergeCell ref="B1018:K1018"/>
    <mergeCell ref="B1019:K1019"/>
    <mergeCell ref="B1020:K1020"/>
    <mergeCell ref="B1021:K1021"/>
    <mergeCell ref="B1011:K1011"/>
    <mergeCell ref="B1012:K1012"/>
    <mergeCell ref="B1022:K1022"/>
    <mergeCell ref="B1023:K1023"/>
    <mergeCell ref="B1024:K1024"/>
    <mergeCell ref="B1025:K1025"/>
    <mergeCell ref="B1026:K1026"/>
    <mergeCell ref="B1027:K1027"/>
    <mergeCell ref="B1028:K1028"/>
  </mergeCells>
  <dataValidations count="23">
    <dataValidation type="list" allowBlank="1" showInputMessage="1" showErrorMessage="1" sqref="E15:J15" xr:uid="{00000000-0002-0000-1C00-000000000000}">
      <formula1>$C$966:$C$970</formula1>
    </dataValidation>
    <dataValidation type="list" allowBlank="1" showInputMessage="1" showErrorMessage="1" sqref="G834:H834 G912:H912 G908:H908 G916:H916 G920:H920 G924:H924 G928:H928 G932:H932 G904:H904 G842:H842 G838:H838 G846:H846 G850:H850 G854:H854 G858:H858 G862:H862 G866:H866 G870:H870 G874:H874 G878:H878 G882:H882 G886:H886 G890:H890" xr:uid="{00000000-0002-0000-1C00-000001000000}">
      <formula1>$B$998:$B$1002</formula1>
    </dataValidation>
    <dataValidation type="list" allowBlank="1" showInputMessage="1" showErrorMessage="1" sqref="G747:H755 G732:H740 G717:H725 G762:H770" xr:uid="{00000000-0002-0000-1C00-000002000000}">
      <formula1>$B$994:$B$995</formula1>
    </dataValidation>
    <dataValidation type="list" allowBlank="1" showInputMessage="1" showErrorMessage="1" sqref="J302 J362" xr:uid="{00000000-0002-0000-1C00-000003000000}">
      <formula1>$B$980:$B$984</formula1>
    </dataValidation>
    <dataValidation type="list" allowBlank="1" showInputMessage="1" showErrorMessage="1" sqref="C123:J124" xr:uid="{00000000-0002-0000-1C00-000004000000}">
      <formula1>$B$987:$B$991</formula1>
    </dataValidation>
    <dataValidation type="list" allowBlank="1" showInputMessage="1" showErrorMessage="1" sqref="J35 J234 J630 J674 J596 J580 J557 J532 J515 J499 J468 J452 J435 J254 J73 J92 J111 J126 J152 J173 J193 J54 J213 J652 J283" xr:uid="{00000000-0002-0000-1C00-000005000000}">
      <formula1>$B$973:$B$977</formula1>
    </dataValidation>
    <dataValidation type="list" allowBlank="1" showInputMessage="1" showErrorMessage="1" sqref="J33" xr:uid="{00000000-0002-0000-1C00-000006000000}">
      <formula1>$N$32:$N$37</formula1>
    </dataValidation>
    <dataValidation type="list" allowBlank="1" showInputMessage="1" showErrorMessage="1" sqref="J52" xr:uid="{00000000-0002-0000-1C00-000007000000}">
      <formula1>$N$51:$N$56</formula1>
    </dataValidation>
    <dataValidation type="list" allowBlank="1" showInputMessage="1" showErrorMessage="1" sqref="J71" xr:uid="{00000000-0002-0000-1C00-000008000000}">
      <formula1>$N$70:$N$75</formula1>
    </dataValidation>
    <dataValidation type="list" allowBlank="1" showInputMessage="1" showErrorMessage="1" sqref="J90" xr:uid="{00000000-0002-0000-1C00-000009000000}">
      <formula1>$N$89:$N$94</formula1>
    </dataValidation>
    <dataValidation type="list" allowBlank="1" showInputMessage="1" showErrorMessage="1" sqref="J109" xr:uid="{00000000-0002-0000-1C00-00000A000000}">
      <formula1>$N$108:$N$113</formula1>
    </dataValidation>
    <dataValidation type="list" allowBlank="1" showInputMessage="1" showErrorMessage="1" sqref="J150" xr:uid="{00000000-0002-0000-1C00-00000B000000}">
      <formula1>$N$149:$N$154</formula1>
    </dataValidation>
    <dataValidation type="list" allowBlank="1" showInputMessage="1" showErrorMessage="1" sqref="J171" xr:uid="{00000000-0002-0000-1C00-00000C000000}">
      <formula1>$N$170:$N$175</formula1>
    </dataValidation>
    <dataValidation type="list" allowBlank="1" showInputMessage="1" showErrorMessage="1" sqref="J191" xr:uid="{00000000-0002-0000-1C00-00000D000000}">
      <formula1>$N$190:$N$195</formula1>
    </dataValidation>
    <dataValidation type="list" allowBlank="1" showInputMessage="1" showErrorMessage="1" sqref="J211" xr:uid="{00000000-0002-0000-1C00-00000E000000}">
      <formula1>$N$210:$N$215</formula1>
    </dataValidation>
    <dataValidation type="list" allowBlank="1" showInputMessage="1" showErrorMessage="1" sqref="J232" xr:uid="{00000000-0002-0000-1C00-00000F000000}">
      <formula1>$N$231:$N$236</formula1>
    </dataValidation>
    <dataValidation type="list" allowBlank="1" showInputMessage="1" showErrorMessage="1" sqref="J252" xr:uid="{00000000-0002-0000-1C00-000010000000}">
      <formula1>$N$251:$N$256</formula1>
    </dataValidation>
    <dataValidation type="list" allowBlank="1" showInputMessage="1" showErrorMessage="1" sqref="J281" xr:uid="{00000000-0002-0000-1C00-000011000000}">
      <formula1>$N$280:$N$285</formula1>
    </dataValidation>
    <dataValidation type="list" allowBlank="1" showInputMessage="1" showErrorMessage="1" sqref="J555" xr:uid="{00000000-0002-0000-1C00-000012000000}">
      <formula1>$N$554:$N$559</formula1>
    </dataValidation>
    <dataValidation type="list" allowBlank="1" showInputMessage="1" showErrorMessage="1" sqref="J578" xr:uid="{00000000-0002-0000-1C00-000013000000}">
      <formula1>$N$577:$N$582</formula1>
    </dataValidation>
    <dataValidation type="list" allowBlank="1" showInputMessage="1" showErrorMessage="1" sqref="J628" xr:uid="{00000000-0002-0000-1C00-000014000000}">
      <formula1>$N$627:$N$632</formula1>
    </dataValidation>
    <dataValidation type="list" allowBlank="1" showInputMessage="1" showErrorMessage="1" sqref="J650" xr:uid="{00000000-0002-0000-1C00-000015000000}">
      <formula1>$N$649:$N$654</formula1>
    </dataValidation>
    <dataValidation type="list" allowBlank="1" showInputMessage="1" showErrorMessage="1" sqref="J672" xr:uid="{00000000-0002-0000-1C00-000016000000}">
      <formula1>$N$671:$N$676</formula1>
    </dataValidation>
  </dataValidations>
  <pageMargins left="0.7" right="0.7" top="0.75" bottom="0.75" header="0.3" footer="0.3"/>
  <pageSetup scale="7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dimension ref="A1:N1029"/>
  <sheetViews>
    <sheetView showGridLines="0" showRowColHeaders="0" zoomScale="85" zoomScaleNormal="85" workbookViewId="0">
      <selection activeCell="B10" sqref="B10:K10"/>
    </sheetView>
  </sheetViews>
  <sheetFormatPr defaultColWidth="9.109375" defaultRowHeight="14.4" x14ac:dyDescent="0.3"/>
  <cols>
    <col min="1" max="1" width="9.109375" style="12"/>
    <col min="2" max="3" width="9.109375" style="12" customWidth="1"/>
    <col min="4" max="4" width="9.109375" style="12"/>
    <col min="5" max="5" width="9.109375" style="12" customWidth="1"/>
    <col min="6" max="9" width="9.109375" style="12"/>
    <col min="10" max="10" width="25.6640625" style="12" customWidth="1"/>
    <col min="11" max="12" width="9.109375" style="12"/>
    <col min="13" max="13" width="9.109375" style="12" customWidth="1"/>
    <col min="14" max="14" width="9.109375" style="12" hidden="1" customWidth="1"/>
    <col min="15" max="16384" width="9.109375" style="12"/>
  </cols>
  <sheetData>
    <row r="1" spans="2:13" x14ac:dyDescent="0.3">
      <c r="I1" s="30"/>
    </row>
    <row r="2" spans="2:13" ht="30" x14ac:dyDescent="0.3">
      <c r="G2" s="318" t="s">
        <v>1204</v>
      </c>
      <c r="I2" s="30"/>
    </row>
    <row r="3" spans="2:13" ht="22.8" x14ac:dyDescent="0.4">
      <c r="G3" s="31" t="s">
        <v>5</v>
      </c>
      <c r="I3" s="30"/>
      <c r="L3" s="160"/>
      <c r="M3" s="160"/>
    </row>
    <row r="4" spans="2:13" x14ac:dyDescent="0.3">
      <c r="G4" s="99"/>
      <c r="I4" s="30"/>
      <c r="L4" s="161"/>
      <c r="M4" s="160"/>
    </row>
    <row r="5" spans="2:13" ht="75" customHeight="1" x14ac:dyDescent="0.3">
      <c r="B5" s="370" t="s">
        <v>794</v>
      </c>
      <c r="C5" s="371"/>
      <c r="D5" s="371"/>
      <c r="E5" s="371"/>
      <c r="F5" s="371"/>
      <c r="G5" s="371"/>
      <c r="H5" s="371"/>
      <c r="I5" s="371"/>
      <c r="J5" s="371"/>
      <c r="K5" s="371"/>
      <c r="L5" s="161"/>
      <c r="M5" s="160"/>
    </row>
    <row r="6" spans="2:13" x14ac:dyDescent="0.3">
      <c r="B6" s="370"/>
      <c r="C6" s="370"/>
      <c r="D6" s="370"/>
      <c r="E6" s="370"/>
      <c r="F6" s="370"/>
      <c r="G6" s="370"/>
      <c r="H6" s="370"/>
      <c r="I6" s="370"/>
      <c r="J6" s="370"/>
      <c r="K6" s="370"/>
      <c r="L6" s="161"/>
    </row>
    <row r="7" spans="2:13" ht="60" customHeight="1" x14ac:dyDescent="0.3">
      <c r="B7" s="369" t="s">
        <v>772</v>
      </c>
      <c r="C7" s="319"/>
      <c r="D7" s="319"/>
      <c r="E7" s="319"/>
      <c r="F7" s="319"/>
      <c r="G7" s="319"/>
      <c r="H7" s="319"/>
      <c r="I7" s="319"/>
      <c r="J7" s="319"/>
      <c r="K7" s="319"/>
    </row>
    <row r="8" spans="2:13" x14ac:dyDescent="0.3">
      <c r="B8" s="370"/>
      <c r="C8" s="370"/>
      <c r="D8" s="370"/>
      <c r="E8" s="370"/>
      <c r="F8" s="370"/>
      <c r="G8" s="370"/>
      <c r="H8" s="370"/>
      <c r="I8" s="370"/>
      <c r="J8" s="370"/>
      <c r="K8" s="370"/>
    </row>
    <row r="9" spans="2:13" ht="30" customHeight="1" x14ac:dyDescent="0.3">
      <c r="B9" s="376" t="s">
        <v>774</v>
      </c>
      <c r="C9" s="377"/>
      <c r="D9" s="377"/>
      <c r="E9" s="377"/>
      <c r="F9" s="377"/>
      <c r="G9" s="377"/>
      <c r="H9" s="377"/>
      <c r="I9" s="377"/>
      <c r="J9" s="377"/>
      <c r="K9" s="377"/>
    </row>
    <row r="10" spans="2:13" ht="121.5" customHeight="1" x14ac:dyDescent="0.3">
      <c r="B10" s="383" t="s">
        <v>1040</v>
      </c>
      <c r="C10" s="384"/>
      <c r="D10" s="384"/>
      <c r="E10" s="384"/>
      <c r="F10" s="384"/>
      <c r="G10" s="384"/>
      <c r="H10" s="384"/>
      <c r="I10" s="384"/>
      <c r="J10" s="384"/>
      <c r="K10" s="385"/>
    </row>
    <row r="11" spans="2:13" ht="15" thickBot="1" x14ac:dyDescent="0.35"/>
    <row r="12" spans="2:13" x14ac:dyDescent="0.3">
      <c r="B12" s="162"/>
      <c r="C12" s="163"/>
      <c r="D12" s="163"/>
      <c r="E12" s="163"/>
      <c r="F12" s="163"/>
      <c r="G12" s="163"/>
      <c r="H12" s="163"/>
      <c r="I12" s="163"/>
      <c r="J12" s="163"/>
      <c r="K12" s="164"/>
    </row>
    <row r="13" spans="2:13" ht="20.399999999999999" x14ac:dyDescent="0.35">
      <c r="B13" s="165"/>
      <c r="C13" s="166"/>
      <c r="D13" s="166"/>
      <c r="E13" s="166"/>
      <c r="F13" s="166"/>
      <c r="G13" s="167" t="s">
        <v>245</v>
      </c>
      <c r="H13" s="166"/>
      <c r="I13" s="166"/>
      <c r="J13" s="166"/>
      <c r="K13" s="168"/>
    </row>
    <row r="14" spans="2:13" ht="20.399999999999999" x14ac:dyDescent="0.35">
      <c r="B14" s="165"/>
      <c r="C14" s="166"/>
      <c r="D14" s="166"/>
      <c r="E14" s="166"/>
      <c r="F14" s="166"/>
      <c r="G14" s="167"/>
      <c r="H14" s="166"/>
      <c r="I14" s="166"/>
      <c r="J14" s="166"/>
      <c r="K14" s="168"/>
    </row>
    <row r="15" spans="2:13" ht="26.25" customHeight="1" x14ac:dyDescent="0.3">
      <c r="B15" s="165"/>
      <c r="C15" s="166" t="s">
        <v>274</v>
      </c>
      <c r="D15" s="166"/>
      <c r="E15" s="356" t="s">
        <v>262</v>
      </c>
      <c r="F15" s="381"/>
      <c r="G15" s="381"/>
      <c r="H15" s="381"/>
      <c r="I15" s="381"/>
      <c r="J15" s="382"/>
      <c r="K15" s="168"/>
    </row>
    <row r="16" spans="2:13" x14ac:dyDescent="0.3">
      <c r="B16" s="165"/>
      <c r="C16" s="166"/>
      <c r="D16" s="166"/>
      <c r="E16" s="166"/>
      <c r="F16" s="166"/>
      <c r="G16" s="166"/>
      <c r="H16" s="166"/>
      <c r="I16" s="166"/>
      <c r="J16" s="166"/>
      <c r="K16" s="168"/>
    </row>
    <row r="17" spans="2:14" x14ac:dyDescent="0.3">
      <c r="B17" s="165"/>
      <c r="C17" s="169" t="s">
        <v>275</v>
      </c>
      <c r="D17" s="166"/>
      <c r="E17" s="170">
        <f>IF(E15=$C$966,$A$966,IF(E15=$C$967,$A$967,IF(E15=$C$968,$A$968,IF(E15=$C$969,$A$969,IF(E15=$C$970,$A$970,"Not Calculated")))))</f>
        <v>4</v>
      </c>
      <c r="F17" s="166"/>
      <c r="G17" s="166"/>
      <c r="H17" s="166"/>
      <c r="I17" s="166"/>
      <c r="J17" s="166"/>
      <c r="K17" s="168"/>
    </row>
    <row r="18" spans="2:14" x14ac:dyDescent="0.3">
      <c r="B18" s="165"/>
      <c r="C18" s="166"/>
      <c r="D18" s="166"/>
      <c r="E18" s="170" t="str">
        <f>IF(E15=$C$966,$B$966,IF(E15=$C$967,$B$967,IF(E15=$C$968,$B$968,IF(E15=$C$969,$B$969,IF(E15=$C$970,$B$970,"Not Calculated")))))</f>
        <v>Frequent</v>
      </c>
      <c r="F18" s="166"/>
      <c r="G18" s="166"/>
      <c r="H18" s="166"/>
      <c r="I18" s="166"/>
      <c r="J18" s="166"/>
      <c r="K18" s="168"/>
    </row>
    <row r="19" spans="2:14" ht="15" thickBot="1" x14ac:dyDescent="0.35">
      <c r="B19" s="171"/>
      <c r="C19" s="172"/>
      <c r="D19" s="172"/>
      <c r="E19" s="172"/>
      <c r="F19" s="172"/>
      <c r="G19" s="172"/>
      <c r="H19" s="172"/>
      <c r="I19" s="172"/>
      <c r="J19" s="172"/>
      <c r="K19" s="173"/>
    </row>
    <row r="20" spans="2:14" ht="15" thickBot="1" x14ac:dyDescent="0.35"/>
    <row r="21" spans="2:14" x14ac:dyDescent="0.3">
      <c r="B21" s="34"/>
      <c r="C21" s="35"/>
      <c r="D21" s="35"/>
      <c r="E21" s="35"/>
      <c r="F21" s="35"/>
      <c r="G21" s="35"/>
      <c r="H21" s="35"/>
      <c r="I21" s="35"/>
      <c r="J21" s="35"/>
      <c r="K21" s="38"/>
    </row>
    <row r="22" spans="2:14" ht="20.399999999999999" x14ac:dyDescent="0.35">
      <c r="B22" s="39"/>
      <c r="C22" s="174"/>
      <c r="D22" s="41"/>
      <c r="E22" s="41"/>
      <c r="F22" s="41"/>
      <c r="G22" s="175" t="s">
        <v>27</v>
      </c>
      <c r="H22" s="41"/>
      <c r="I22" s="41"/>
      <c r="J22" s="41"/>
      <c r="K22" s="42"/>
    </row>
    <row r="23" spans="2:14" x14ac:dyDescent="0.3">
      <c r="B23" s="39"/>
      <c r="C23" s="41"/>
      <c r="D23" s="41"/>
      <c r="E23" s="41"/>
      <c r="F23" s="41"/>
      <c r="G23" s="41"/>
      <c r="H23" s="41"/>
      <c r="I23" s="41"/>
      <c r="J23" s="41"/>
      <c r="K23" s="42"/>
    </row>
    <row r="24" spans="2:14" ht="15.6" x14ac:dyDescent="0.3">
      <c r="B24" s="39"/>
      <c r="C24" s="46" t="s">
        <v>56</v>
      </c>
      <c r="D24" s="41"/>
      <c r="E24" s="41"/>
      <c r="F24" s="41"/>
      <c r="G24" s="41"/>
      <c r="H24" s="41"/>
      <c r="I24" s="41"/>
      <c r="J24" s="41"/>
      <c r="K24" s="42"/>
    </row>
    <row r="25" spans="2:14" x14ac:dyDescent="0.3">
      <c r="B25" s="39"/>
      <c r="C25" s="41" t="s">
        <v>485</v>
      </c>
      <c r="D25" s="41"/>
      <c r="E25" s="41"/>
      <c r="F25" s="41"/>
      <c r="G25" s="41"/>
      <c r="H25" s="41"/>
      <c r="I25" s="41"/>
      <c r="J25" s="263">
        <f>'Baseline Health'!G11</f>
        <v>0</v>
      </c>
      <c r="K25" s="42"/>
    </row>
    <row r="26" spans="2:14" x14ac:dyDescent="0.3">
      <c r="B26" s="39"/>
      <c r="C26" s="41" t="s">
        <v>307</v>
      </c>
      <c r="D26" s="41"/>
      <c r="E26" s="41"/>
      <c r="F26" s="41"/>
      <c r="G26" s="41"/>
      <c r="H26" s="41"/>
      <c r="I26" s="41"/>
      <c r="J26" s="275">
        <f>'Baseline Health'!G6*0.00002</f>
        <v>0</v>
      </c>
      <c r="K26" s="42"/>
    </row>
    <row r="27" spans="2:14" x14ac:dyDescent="0.3">
      <c r="B27" s="39"/>
      <c r="C27" s="41" t="s">
        <v>279</v>
      </c>
      <c r="D27" s="41"/>
      <c r="E27" s="41"/>
      <c r="F27" s="41"/>
      <c r="G27" s="41"/>
      <c r="H27" s="41"/>
      <c r="I27" s="41"/>
      <c r="J27" s="259" t="str">
        <f>IF(OR(J25=0,J25="Not Calculated")=TRUE,"Not Calculated",(IF(((J26+J25)/J25)&lt;=1,0,IF(((J26+J25)/J25)&lt;=1.05,1,IF(((J26+J25)/J25)&lt;=1.5, 2,IF(((J26+J25)/J25)&lt;=2,3,4))))))</f>
        <v>Not Calculated</v>
      </c>
      <c r="K27" s="42"/>
    </row>
    <row r="28" spans="2:14" ht="9.75" customHeight="1" x14ac:dyDescent="0.3">
      <c r="B28" s="39"/>
      <c r="C28" s="292" t="str">
        <f>"0:"</f>
        <v>0:</v>
      </c>
      <c r="D28" s="294" t="s">
        <v>1067</v>
      </c>
      <c r="E28" s="41"/>
      <c r="F28" s="41"/>
      <c r="G28" s="41"/>
      <c r="H28" s="41"/>
      <c r="I28" s="41"/>
      <c r="J28" s="41"/>
      <c r="K28" s="42"/>
    </row>
    <row r="29" spans="2:14" ht="9.75" customHeight="1" x14ac:dyDescent="0.3">
      <c r="B29" s="39"/>
      <c r="C29" s="293" t="str">
        <f>"1:"</f>
        <v>1:</v>
      </c>
      <c r="D29" s="294" t="s">
        <v>1068</v>
      </c>
      <c r="E29" s="41"/>
      <c r="F29" s="41"/>
      <c r="G29" s="41"/>
      <c r="H29" s="41"/>
      <c r="I29" s="41"/>
      <c r="J29" s="41"/>
      <c r="K29" s="42"/>
    </row>
    <row r="30" spans="2:14" ht="9.75" customHeight="1" x14ac:dyDescent="0.3">
      <c r="B30" s="39"/>
      <c r="C30" s="293" t="str">
        <f>"2:"</f>
        <v>2:</v>
      </c>
      <c r="D30" s="294" t="s">
        <v>1069</v>
      </c>
      <c r="E30" s="41"/>
      <c r="F30" s="41"/>
      <c r="G30" s="41"/>
      <c r="H30" s="41"/>
      <c r="I30" s="41"/>
      <c r="J30" s="41"/>
      <c r="K30" s="42"/>
    </row>
    <row r="31" spans="2:14" ht="9.75" customHeight="1" x14ac:dyDescent="0.3">
      <c r="B31" s="39"/>
      <c r="C31" s="293" t="str">
        <f>"3:"</f>
        <v>3:</v>
      </c>
      <c r="D31" s="294" t="s">
        <v>1070</v>
      </c>
      <c r="E31" s="41"/>
      <c r="F31" s="41"/>
      <c r="G31" s="41"/>
      <c r="H31" s="41"/>
      <c r="I31" s="41"/>
      <c r="J31" s="41"/>
      <c r="K31" s="42"/>
    </row>
    <row r="32" spans="2:14" ht="9.75" customHeight="1" x14ac:dyDescent="0.3">
      <c r="B32" s="39"/>
      <c r="C32" s="293" t="str">
        <f>"4:"</f>
        <v>4:</v>
      </c>
      <c r="D32" s="294" t="s">
        <v>1071</v>
      </c>
      <c r="E32" s="41"/>
      <c r="F32" s="41"/>
      <c r="G32" s="41"/>
      <c r="H32" s="41"/>
      <c r="I32" s="41"/>
      <c r="J32" s="41"/>
      <c r="K32" s="42"/>
      <c r="N32" s="12" t="s">
        <v>769</v>
      </c>
    </row>
    <row r="33" spans="2:14" x14ac:dyDescent="0.3">
      <c r="B33" s="39"/>
      <c r="C33" s="176" t="s">
        <v>770</v>
      </c>
      <c r="D33" s="41"/>
      <c r="E33" s="41"/>
      <c r="F33" s="41"/>
      <c r="G33" s="41"/>
      <c r="H33" s="41"/>
      <c r="I33" s="41"/>
      <c r="J33" s="276" t="s">
        <v>769</v>
      </c>
      <c r="K33" s="42"/>
      <c r="N33" s="12" t="s">
        <v>1041</v>
      </c>
    </row>
    <row r="34" spans="2:14" x14ac:dyDescent="0.3">
      <c r="B34" s="39"/>
      <c r="C34" s="176" t="s">
        <v>768</v>
      </c>
      <c r="D34" s="41"/>
      <c r="E34" s="41"/>
      <c r="F34" s="41"/>
      <c r="G34" s="41"/>
      <c r="H34" s="41"/>
      <c r="I34" s="41"/>
      <c r="J34" s="257" t="str">
        <f>IF(J33=N32,"N/A",IF(J33=N33,0,IF(J33=N34,1,IF(J33=N35,2,IF(J33=N36,3,IF(J33=N37,4,"N/A"))))))</f>
        <v>N/A</v>
      </c>
      <c r="K34" s="42"/>
      <c r="N34" s="12" t="s">
        <v>1042</v>
      </c>
    </row>
    <row r="35" spans="2:14" x14ac:dyDescent="0.3">
      <c r="B35" s="39"/>
      <c r="C35" s="41" t="s">
        <v>276</v>
      </c>
      <c r="D35" s="41"/>
      <c r="E35" s="41"/>
      <c r="F35" s="41"/>
      <c r="G35" s="41"/>
      <c r="H35" s="41"/>
      <c r="I35" s="41"/>
      <c r="J35" s="277" t="s">
        <v>1017</v>
      </c>
      <c r="K35" s="42"/>
      <c r="N35" s="12" t="s">
        <v>1043</v>
      </c>
    </row>
    <row r="36" spans="2:14" x14ac:dyDescent="0.3">
      <c r="B36" s="39"/>
      <c r="C36" s="41" t="s">
        <v>280</v>
      </c>
      <c r="D36" s="41"/>
      <c r="E36" s="41"/>
      <c r="F36" s="41"/>
      <c r="G36" s="41"/>
      <c r="H36" s="41"/>
      <c r="I36" s="41"/>
      <c r="J36" s="256">
        <f>IF(J35=$B$973,$A$973,IF(J35=$B$974,$A$974,IF(J35=$B$975,$A$975,IF(J35=$B$976,$A$976,IF(J35=$B$977,$A$977,"Not Calculated")))))</f>
        <v>2</v>
      </c>
      <c r="K36" s="42"/>
      <c r="N36" s="12" t="s">
        <v>1044</v>
      </c>
    </row>
    <row r="37" spans="2:14" x14ac:dyDescent="0.3">
      <c r="B37" s="39"/>
      <c r="C37" s="41" t="s">
        <v>1038</v>
      </c>
      <c r="D37" s="41"/>
      <c r="E37" s="41"/>
      <c r="F37" s="41"/>
      <c r="G37" s="41"/>
      <c r="H37" s="41"/>
      <c r="I37" s="41"/>
      <c r="J37" s="177"/>
      <c r="K37" s="42"/>
      <c r="N37" s="12" t="s">
        <v>1045</v>
      </c>
    </row>
    <row r="38" spans="2:14" s="180" customFormat="1" ht="30" customHeight="1" x14ac:dyDescent="0.3">
      <c r="B38" s="178"/>
      <c r="C38" s="359" t="s">
        <v>676</v>
      </c>
      <c r="D38" s="344"/>
      <c r="E38" s="344"/>
      <c r="F38" s="344"/>
      <c r="G38" s="344"/>
      <c r="H38" s="344"/>
      <c r="I38" s="344"/>
      <c r="J38" s="345"/>
      <c r="K38" s="179"/>
    </row>
    <row r="39" spans="2:14" x14ac:dyDescent="0.3">
      <c r="B39" s="39"/>
      <c r="C39" s="41"/>
      <c r="D39" s="41"/>
      <c r="E39" s="41"/>
      <c r="F39" s="41"/>
      <c r="G39" s="41"/>
      <c r="H39" s="41"/>
      <c r="I39" s="41"/>
      <c r="J39" s="41"/>
      <c r="K39" s="42"/>
    </row>
    <row r="40" spans="2:14" x14ac:dyDescent="0.3">
      <c r="B40" s="39"/>
      <c r="C40" s="181" t="s">
        <v>277</v>
      </c>
      <c r="D40" s="41"/>
      <c r="E40" s="41"/>
      <c r="F40" s="41"/>
      <c r="G40" s="41"/>
      <c r="H40" s="41"/>
      <c r="I40" s="41"/>
      <c r="J40" s="256">
        <f>IF(J34="N/A",IF(OR(J32="Not Calculated",J36="Not Calculated")=TRUE,"Not Calculated",AVERAGE(J32,J36)),AVERAGE(J34,J36))</f>
        <v>2</v>
      </c>
      <c r="K40" s="42"/>
    </row>
    <row r="41" spans="2:14" x14ac:dyDescent="0.3">
      <c r="B41" s="39"/>
      <c r="C41" s="181"/>
      <c r="D41" s="41"/>
      <c r="E41" s="41"/>
      <c r="F41" s="41"/>
      <c r="G41" s="41"/>
      <c r="H41" s="41"/>
      <c r="I41" s="41"/>
      <c r="J41" s="256"/>
      <c r="K41" s="42"/>
    </row>
    <row r="42" spans="2:14" x14ac:dyDescent="0.3">
      <c r="B42" s="39"/>
      <c r="C42" s="41"/>
      <c r="D42" s="41"/>
      <c r="E42" s="41"/>
      <c r="F42" s="41"/>
      <c r="G42" s="41"/>
      <c r="H42" s="41"/>
      <c r="I42" s="41"/>
      <c r="J42" s="41"/>
      <c r="K42" s="42"/>
    </row>
    <row r="43" spans="2:14" ht="15.6" x14ac:dyDescent="0.3">
      <c r="B43" s="39"/>
      <c r="C43" s="46" t="s">
        <v>46</v>
      </c>
      <c r="D43" s="41"/>
      <c r="E43" s="41"/>
      <c r="F43" s="41"/>
      <c r="G43" s="41"/>
      <c r="H43" s="41"/>
      <c r="I43" s="41"/>
      <c r="J43" s="41"/>
      <c r="K43" s="42"/>
    </row>
    <row r="44" spans="2:14" x14ac:dyDescent="0.3">
      <c r="B44" s="39"/>
      <c r="C44" s="41" t="s">
        <v>486</v>
      </c>
      <c r="D44" s="41"/>
      <c r="E44" s="41"/>
      <c r="F44" s="41"/>
      <c r="G44" s="41"/>
      <c r="H44" s="41"/>
      <c r="I44" s="41"/>
      <c r="J44" s="263">
        <f>'Baseline Health'!G17</f>
        <v>0</v>
      </c>
      <c r="K44" s="42"/>
    </row>
    <row r="45" spans="2:14" x14ac:dyDescent="0.3">
      <c r="B45" s="39"/>
      <c r="C45" s="41" t="s">
        <v>306</v>
      </c>
      <c r="D45" s="41"/>
      <c r="E45" s="41"/>
      <c r="F45" s="41"/>
      <c r="G45" s="41"/>
      <c r="H45" s="41"/>
      <c r="I45" s="41"/>
      <c r="J45" s="275">
        <f>J44*0.1</f>
        <v>0</v>
      </c>
      <c r="K45" s="42"/>
    </row>
    <row r="46" spans="2:14" x14ac:dyDescent="0.3">
      <c r="B46" s="39"/>
      <c r="C46" s="41" t="s">
        <v>279</v>
      </c>
      <c r="D46" s="41"/>
      <c r="E46" s="41"/>
      <c r="F46" s="41"/>
      <c r="G46" s="41"/>
      <c r="H46" s="41"/>
      <c r="I46" s="41"/>
      <c r="J46" s="259" t="str">
        <f>IF(OR(J44=0,J44="Not Calculated")=TRUE,"Not Calculated",(IF(((J45+J44)/J44)&lt;=1,0,IF(((J45+J44)/J44)&lt;=1.05,1,IF(((J45+J44)/J44)&lt;=1.5, 2,IF(((J45+J44)/J44)&lt;=2,3,4))))))</f>
        <v>Not Calculated</v>
      </c>
      <c r="K46" s="42"/>
    </row>
    <row r="47" spans="2:14" ht="9.75" customHeight="1" x14ac:dyDescent="0.3">
      <c r="B47" s="39"/>
      <c r="C47" s="292" t="str">
        <f>"0:"</f>
        <v>0:</v>
      </c>
      <c r="D47" s="294" t="s">
        <v>1067</v>
      </c>
      <c r="E47" s="41"/>
      <c r="F47" s="41"/>
      <c r="G47" s="41"/>
      <c r="H47" s="41"/>
      <c r="I47" s="41"/>
      <c r="J47" s="41"/>
      <c r="K47" s="42"/>
    </row>
    <row r="48" spans="2:14" ht="9.75" customHeight="1" x14ac:dyDescent="0.3">
      <c r="B48" s="39"/>
      <c r="C48" s="293" t="str">
        <f>"1:"</f>
        <v>1:</v>
      </c>
      <c r="D48" s="294" t="s">
        <v>1068</v>
      </c>
      <c r="E48" s="41"/>
      <c r="F48" s="41"/>
      <c r="G48" s="41"/>
      <c r="H48" s="41"/>
      <c r="I48" s="41"/>
      <c r="J48" s="41"/>
      <c r="K48" s="42"/>
    </row>
    <row r="49" spans="2:14" ht="9.75" customHeight="1" x14ac:dyDescent="0.3">
      <c r="B49" s="39"/>
      <c r="C49" s="293" t="str">
        <f>"2:"</f>
        <v>2:</v>
      </c>
      <c r="D49" s="294" t="s">
        <v>1069</v>
      </c>
      <c r="E49" s="41"/>
      <c r="F49" s="41"/>
      <c r="G49" s="41"/>
      <c r="H49" s="41"/>
      <c r="I49" s="41"/>
      <c r="J49" s="41"/>
      <c r="K49" s="42"/>
    </row>
    <row r="50" spans="2:14" ht="9.75" customHeight="1" x14ac:dyDescent="0.3">
      <c r="B50" s="39"/>
      <c r="C50" s="293" t="str">
        <f>"3:"</f>
        <v>3:</v>
      </c>
      <c r="D50" s="294" t="s">
        <v>1070</v>
      </c>
      <c r="E50" s="41"/>
      <c r="F50" s="41"/>
      <c r="G50" s="41"/>
      <c r="H50" s="41"/>
      <c r="I50" s="41"/>
      <c r="J50" s="41"/>
      <c r="K50" s="42"/>
    </row>
    <row r="51" spans="2:14" ht="9.75" customHeight="1" x14ac:dyDescent="0.3">
      <c r="B51" s="39"/>
      <c r="C51" s="293" t="str">
        <f>"4:"</f>
        <v>4:</v>
      </c>
      <c r="D51" s="294" t="s">
        <v>1071</v>
      </c>
      <c r="E51" s="41"/>
      <c r="F51" s="41"/>
      <c r="G51" s="41"/>
      <c r="H51" s="41"/>
      <c r="I51" s="41"/>
      <c r="J51" s="41"/>
      <c r="K51" s="42"/>
      <c r="N51" s="12" t="s">
        <v>769</v>
      </c>
    </row>
    <row r="52" spans="2:14" x14ac:dyDescent="0.3">
      <c r="B52" s="39"/>
      <c r="C52" s="176" t="s">
        <v>770</v>
      </c>
      <c r="D52" s="41"/>
      <c r="E52" s="41"/>
      <c r="F52" s="41"/>
      <c r="G52" s="41"/>
      <c r="H52" s="41"/>
      <c r="I52" s="41"/>
      <c r="J52" s="276" t="s">
        <v>769</v>
      </c>
      <c r="K52" s="42"/>
      <c r="N52" s="12" t="s">
        <v>1041</v>
      </c>
    </row>
    <row r="53" spans="2:14" x14ac:dyDescent="0.3">
      <c r="B53" s="39"/>
      <c r="C53" s="176" t="s">
        <v>768</v>
      </c>
      <c r="D53" s="41"/>
      <c r="E53" s="41"/>
      <c r="F53" s="41"/>
      <c r="G53" s="41"/>
      <c r="H53" s="41"/>
      <c r="I53" s="41"/>
      <c r="J53" s="257" t="str">
        <f>IF(J52=N51,"N/A",IF(J52=N52,0,IF(J52=N53,1,IF(J52=N54,2,IF(J52=N55,3,IF(J52=N56,4,"N/A"))))))</f>
        <v>N/A</v>
      </c>
      <c r="K53" s="42"/>
      <c r="N53" s="12" t="s">
        <v>1042</v>
      </c>
    </row>
    <row r="54" spans="2:14" x14ac:dyDescent="0.3">
      <c r="B54" s="39"/>
      <c r="C54" s="41" t="s">
        <v>276</v>
      </c>
      <c r="D54" s="41"/>
      <c r="E54" s="41"/>
      <c r="F54" s="41"/>
      <c r="G54" s="41"/>
      <c r="H54" s="41"/>
      <c r="I54" s="41"/>
      <c r="J54" s="277" t="s">
        <v>1017</v>
      </c>
      <c r="K54" s="42"/>
      <c r="N54" s="12" t="s">
        <v>1043</v>
      </c>
    </row>
    <row r="55" spans="2:14" x14ac:dyDescent="0.3">
      <c r="B55" s="39"/>
      <c r="C55" s="41" t="s">
        <v>280</v>
      </c>
      <c r="D55" s="41"/>
      <c r="E55" s="41"/>
      <c r="F55" s="41"/>
      <c r="G55" s="41"/>
      <c r="H55" s="41"/>
      <c r="I55" s="41"/>
      <c r="J55" s="256">
        <f>IF(J54=$B$973,$A$973,IF(J54=$B$974,$A$974,IF(J54=$B$975,$A$975,IF(J54=$B$976,$A$976,IF(J54=$B$977,$A$977,"Not Calculated")))))</f>
        <v>2</v>
      </c>
      <c r="K55" s="42"/>
      <c r="N55" s="12" t="s">
        <v>1044</v>
      </c>
    </row>
    <row r="56" spans="2:14" x14ac:dyDescent="0.3">
      <c r="B56" s="39"/>
      <c r="C56" s="41" t="s">
        <v>1038</v>
      </c>
      <c r="D56" s="41"/>
      <c r="E56" s="41"/>
      <c r="F56" s="41"/>
      <c r="G56" s="41"/>
      <c r="H56" s="41"/>
      <c r="I56" s="41"/>
      <c r="J56" s="177"/>
      <c r="K56" s="42"/>
      <c r="N56" s="12" t="s">
        <v>1045</v>
      </c>
    </row>
    <row r="57" spans="2:14" s="180" customFormat="1" ht="15" customHeight="1" x14ac:dyDescent="0.3">
      <c r="B57" s="178"/>
      <c r="C57" s="359"/>
      <c r="D57" s="344"/>
      <c r="E57" s="344"/>
      <c r="F57" s="344"/>
      <c r="G57" s="344"/>
      <c r="H57" s="344"/>
      <c r="I57" s="344"/>
      <c r="J57" s="345"/>
      <c r="K57" s="179"/>
    </row>
    <row r="58" spans="2:14" x14ac:dyDescent="0.3">
      <c r="B58" s="39"/>
      <c r="C58" s="41"/>
      <c r="D58" s="41"/>
      <c r="E58" s="41"/>
      <c r="F58" s="41"/>
      <c r="G58" s="41"/>
      <c r="H58" s="41"/>
      <c r="I58" s="41"/>
      <c r="J58" s="41"/>
      <c r="K58" s="42"/>
    </row>
    <row r="59" spans="2:14" x14ac:dyDescent="0.3">
      <c r="B59" s="39"/>
      <c r="C59" s="181" t="s">
        <v>282</v>
      </c>
      <c r="D59" s="41"/>
      <c r="E59" s="41"/>
      <c r="F59" s="41"/>
      <c r="G59" s="41"/>
      <c r="H59" s="41"/>
      <c r="I59" s="41"/>
      <c r="J59" s="256">
        <f>IF(J53="N/A",IF(OR(J51="Not Calculated",J55="Not Calculated")=TRUE,"Not Calculated",AVERAGE(J51,J55)),AVERAGE(J53,J55))</f>
        <v>2</v>
      </c>
      <c r="K59" s="42"/>
    </row>
    <row r="60" spans="2:14" x14ac:dyDescent="0.3">
      <c r="B60" s="39"/>
      <c r="C60" s="41"/>
      <c r="D60" s="41"/>
      <c r="E60" s="41"/>
      <c r="F60" s="41"/>
      <c r="G60" s="41"/>
      <c r="H60" s="41"/>
      <c r="I60" s="41"/>
      <c r="J60" s="41"/>
      <c r="K60" s="42"/>
    </row>
    <row r="61" spans="2:14" x14ac:dyDescent="0.3">
      <c r="B61" s="39"/>
      <c r="C61" s="41"/>
      <c r="D61" s="41"/>
      <c r="E61" s="41"/>
      <c r="F61" s="41"/>
      <c r="G61" s="41"/>
      <c r="H61" s="41"/>
      <c r="I61" s="41"/>
      <c r="J61" s="41"/>
      <c r="K61" s="42"/>
    </row>
    <row r="62" spans="2:14" ht="15.6" x14ac:dyDescent="0.3">
      <c r="B62" s="39"/>
      <c r="C62" s="46" t="s">
        <v>49</v>
      </c>
      <c r="D62" s="41"/>
      <c r="E62" s="41"/>
      <c r="F62" s="41"/>
      <c r="G62" s="41"/>
      <c r="H62" s="41"/>
      <c r="I62" s="41"/>
      <c r="J62" s="41"/>
      <c r="K62" s="42"/>
    </row>
    <row r="63" spans="2:14" x14ac:dyDescent="0.3">
      <c r="B63" s="39"/>
      <c r="C63" s="41" t="s">
        <v>487</v>
      </c>
      <c r="D63" s="41"/>
      <c r="E63" s="41"/>
      <c r="F63" s="41"/>
      <c r="G63" s="41"/>
      <c r="H63" s="41"/>
      <c r="I63" s="41"/>
      <c r="J63" s="263">
        <f>'Baseline Health'!G23</f>
        <v>0</v>
      </c>
      <c r="K63" s="42"/>
    </row>
    <row r="64" spans="2:14" x14ac:dyDescent="0.3">
      <c r="B64" s="39"/>
      <c r="C64" s="41" t="s">
        <v>308</v>
      </c>
      <c r="D64" s="41"/>
      <c r="E64" s="41"/>
      <c r="F64" s="41"/>
      <c r="G64" s="41"/>
      <c r="H64" s="41"/>
      <c r="I64" s="41"/>
      <c r="J64" s="275">
        <f>-J63*0.6</f>
        <v>0</v>
      </c>
      <c r="K64" s="42"/>
    </row>
    <row r="65" spans="2:14" x14ac:dyDescent="0.3">
      <c r="B65" s="39"/>
      <c r="C65" s="41" t="s">
        <v>279</v>
      </c>
      <c r="D65" s="41"/>
      <c r="E65" s="41"/>
      <c r="F65" s="41"/>
      <c r="G65" s="41"/>
      <c r="H65" s="41"/>
      <c r="I65" s="41"/>
      <c r="J65" s="259" t="str">
        <f>IF(OR(J63=0,J63="Not Calculated")=TRUE,"Not Calculated",(IF(((J64+J63)/J63)&lt;=1,0,IF(((J64+J63)/J63)&lt;=1.05,1,IF(((J64+J63)/J63)&lt;=1.5, 2,IF(((J64+J63)/J63)&lt;=2,3,4))))))</f>
        <v>Not Calculated</v>
      </c>
      <c r="K65" s="42"/>
    </row>
    <row r="66" spans="2:14" ht="9.75" customHeight="1" x14ac:dyDescent="0.3">
      <c r="B66" s="39"/>
      <c r="C66" s="292" t="str">
        <f>"0:"</f>
        <v>0:</v>
      </c>
      <c r="D66" s="294" t="s">
        <v>1067</v>
      </c>
      <c r="E66" s="41"/>
      <c r="F66" s="41"/>
      <c r="G66" s="41"/>
      <c r="H66" s="41"/>
      <c r="I66" s="41"/>
      <c r="J66" s="41"/>
      <c r="K66" s="42"/>
    </row>
    <row r="67" spans="2:14" ht="9.75" customHeight="1" x14ac:dyDescent="0.3">
      <c r="B67" s="39"/>
      <c r="C67" s="293" t="str">
        <f>"1:"</f>
        <v>1:</v>
      </c>
      <c r="D67" s="294" t="s">
        <v>1068</v>
      </c>
      <c r="E67" s="41"/>
      <c r="F67" s="41"/>
      <c r="G67" s="41"/>
      <c r="H67" s="41"/>
      <c r="I67" s="41"/>
      <c r="J67" s="41"/>
      <c r="K67" s="42"/>
    </row>
    <row r="68" spans="2:14" ht="9.75" customHeight="1" x14ac:dyDescent="0.3">
      <c r="B68" s="39"/>
      <c r="C68" s="293" t="str">
        <f>"2:"</f>
        <v>2:</v>
      </c>
      <c r="D68" s="294" t="s">
        <v>1069</v>
      </c>
      <c r="E68" s="41"/>
      <c r="F68" s="41"/>
      <c r="G68" s="41"/>
      <c r="H68" s="41"/>
      <c r="I68" s="41"/>
      <c r="J68" s="41"/>
      <c r="K68" s="42"/>
    </row>
    <row r="69" spans="2:14" ht="9.75" customHeight="1" x14ac:dyDescent="0.3">
      <c r="B69" s="39"/>
      <c r="C69" s="293" t="str">
        <f>"3:"</f>
        <v>3:</v>
      </c>
      <c r="D69" s="294" t="s">
        <v>1070</v>
      </c>
      <c r="E69" s="41"/>
      <c r="F69" s="41"/>
      <c r="G69" s="41"/>
      <c r="H69" s="41"/>
      <c r="I69" s="41"/>
      <c r="J69" s="41"/>
      <c r="K69" s="42"/>
    </row>
    <row r="70" spans="2:14" ht="9.75" customHeight="1" x14ac:dyDescent="0.3">
      <c r="B70" s="39"/>
      <c r="C70" s="293" t="str">
        <f>"4:"</f>
        <v>4:</v>
      </c>
      <c r="D70" s="294" t="s">
        <v>1071</v>
      </c>
      <c r="E70" s="41"/>
      <c r="F70" s="41"/>
      <c r="G70" s="41"/>
      <c r="H70" s="41"/>
      <c r="I70" s="41"/>
      <c r="J70" s="41"/>
      <c r="K70" s="42"/>
      <c r="N70" s="12" t="s">
        <v>769</v>
      </c>
    </row>
    <row r="71" spans="2:14" x14ac:dyDescent="0.3">
      <c r="B71" s="39"/>
      <c r="C71" s="176" t="s">
        <v>770</v>
      </c>
      <c r="D71" s="41"/>
      <c r="E71" s="41"/>
      <c r="F71" s="41"/>
      <c r="G71" s="41"/>
      <c r="H71" s="41"/>
      <c r="I71" s="41"/>
      <c r="J71" s="276" t="s">
        <v>769</v>
      </c>
      <c r="K71" s="42"/>
      <c r="N71" s="12" t="s">
        <v>1041</v>
      </c>
    </row>
    <row r="72" spans="2:14" x14ac:dyDescent="0.3">
      <c r="B72" s="39"/>
      <c r="C72" s="176" t="s">
        <v>768</v>
      </c>
      <c r="D72" s="41"/>
      <c r="E72" s="41"/>
      <c r="F72" s="41"/>
      <c r="G72" s="41"/>
      <c r="H72" s="41"/>
      <c r="I72" s="41"/>
      <c r="J72" s="257" t="str">
        <f>IF(J71=N70,"N/A",IF(J71=N71,0,IF(J71=N72,1,IF(J71=N73,2,IF(J71=N74,3,IF(J71=N75,4,"N/A"))))))</f>
        <v>N/A</v>
      </c>
      <c r="K72" s="42"/>
      <c r="N72" s="12" t="s">
        <v>1042</v>
      </c>
    </row>
    <row r="73" spans="2:14" x14ac:dyDescent="0.3">
      <c r="B73" s="39"/>
      <c r="C73" s="41" t="s">
        <v>276</v>
      </c>
      <c r="D73" s="41"/>
      <c r="E73" s="41"/>
      <c r="F73" s="41"/>
      <c r="G73" s="41"/>
      <c r="H73" s="41"/>
      <c r="I73" s="41"/>
      <c r="J73" s="277" t="s">
        <v>1015</v>
      </c>
      <c r="K73" s="42"/>
      <c r="N73" s="12" t="s">
        <v>1043</v>
      </c>
    </row>
    <row r="74" spans="2:14" x14ac:dyDescent="0.3">
      <c r="B74" s="39"/>
      <c r="C74" s="41" t="s">
        <v>280</v>
      </c>
      <c r="D74" s="41"/>
      <c r="E74" s="41"/>
      <c r="F74" s="41"/>
      <c r="G74" s="41"/>
      <c r="H74" s="41"/>
      <c r="I74" s="41"/>
      <c r="J74" s="256">
        <f>IF(J73=$B$973,$A$973,IF(J73=$B$974,$A$974,IF(J73=$B$975,$A$975,IF(J73=$B$976,$A$976,IF(J73=$B$977,$A$977,"Not Calculated")))))</f>
        <v>0</v>
      </c>
      <c r="K74" s="42"/>
      <c r="N74" s="12" t="s">
        <v>1044</v>
      </c>
    </row>
    <row r="75" spans="2:14" x14ac:dyDescent="0.3">
      <c r="B75" s="39"/>
      <c r="C75" s="41" t="s">
        <v>1038</v>
      </c>
      <c r="D75" s="41"/>
      <c r="E75" s="41"/>
      <c r="F75" s="41"/>
      <c r="G75" s="41"/>
      <c r="H75" s="41"/>
      <c r="I75" s="41"/>
      <c r="J75" s="177"/>
      <c r="K75" s="42"/>
      <c r="N75" s="12" t="s">
        <v>1045</v>
      </c>
    </row>
    <row r="76" spans="2:14" s="180" customFormat="1" ht="15" customHeight="1" x14ac:dyDescent="0.3">
      <c r="B76" s="178"/>
      <c r="C76" s="359" t="s">
        <v>677</v>
      </c>
      <c r="D76" s="344"/>
      <c r="E76" s="344"/>
      <c r="F76" s="344"/>
      <c r="G76" s="344"/>
      <c r="H76" s="344"/>
      <c r="I76" s="344"/>
      <c r="J76" s="345"/>
      <c r="K76" s="179"/>
    </row>
    <row r="77" spans="2:14" x14ac:dyDescent="0.3">
      <c r="B77" s="39"/>
      <c r="C77" s="41"/>
      <c r="D77" s="41"/>
      <c r="E77" s="41"/>
      <c r="F77" s="41"/>
      <c r="G77" s="41"/>
      <c r="H77" s="41"/>
      <c r="I77" s="41"/>
      <c r="J77" s="41"/>
      <c r="K77" s="42"/>
    </row>
    <row r="78" spans="2:14" x14ac:dyDescent="0.3">
      <c r="B78" s="39"/>
      <c r="C78" s="181" t="s">
        <v>283</v>
      </c>
      <c r="D78" s="41"/>
      <c r="E78" s="41"/>
      <c r="F78" s="41"/>
      <c r="G78" s="41"/>
      <c r="H78" s="41"/>
      <c r="I78" s="41"/>
      <c r="J78" s="256">
        <f>IF(J72="N/A",IF(OR(J70="Not Calculated",J74="Not Calculated")=TRUE,"Not Calculated",AVERAGE(J70,J74)),AVERAGE(J72,J74))</f>
        <v>0</v>
      </c>
      <c r="K78" s="42"/>
    </row>
    <row r="79" spans="2:14" x14ac:dyDescent="0.3">
      <c r="B79" s="39"/>
      <c r="C79" s="41"/>
      <c r="D79" s="41"/>
      <c r="E79" s="41"/>
      <c r="F79" s="41"/>
      <c r="G79" s="41"/>
      <c r="H79" s="41"/>
      <c r="I79" s="41"/>
      <c r="J79" s="41"/>
      <c r="K79" s="42"/>
    </row>
    <row r="80" spans="2:14" x14ac:dyDescent="0.3">
      <c r="B80" s="39"/>
      <c r="C80" s="41"/>
      <c r="D80" s="41"/>
      <c r="E80" s="41"/>
      <c r="F80" s="41"/>
      <c r="G80" s="41"/>
      <c r="H80" s="41"/>
      <c r="I80" s="41"/>
      <c r="J80" s="41"/>
      <c r="K80" s="42"/>
    </row>
    <row r="81" spans="2:14" ht="15.6" x14ac:dyDescent="0.3">
      <c r="B81" s="39"/>
      <c r="C81" s="46" t="s">
        <v>52</v>
      </c>
      <c r="D81" s="41"/>
      <c r="E81" s="41"/>
      <c r="F81" s="41"/>
      <c r="G81" s="41"/>
      <c r="H81" s="41"/>
      <c r="I81" s="41"/>
      <c r="J81" s="41"/>
      <c r="K81" s="42"/>
    </row>
    <row r="82" spans="2:14" x14ac:dyDescent="0.3">
      <c r="B82" s="39"/>
      <c r="C82" s="41" t="s">
        <v>488</v>
      </c>
      <c r="D82" s="41"/>
      <c r="E82" s="41"/>
      <c r="F82" s="41"/>
      <c r="G82" s="41"/>
      <c r="H82" s="41"/>
      <c r="I82" s="41"/>
      <c r="J82" s="263">
        <f>'Baseline Health'!G29</f>
        <v>0</v>
      </c>
      <c r="K82" s="42"/>
    </row>
    <row r="83" spans="2:14" x14ac:dyDescent="0.3">
      <c r="B83" s="39"/>
      <c r="C83" s="41" t="s">
        <v>309</v>
      </c>
      <c r="D83" s="41"/>
      <c r="E83" s="41"/>
      <c r="F83" s="41"/>
      <c r="G83" s="41"/>
      <c r="H83" s="41"/>
      <c r="I83" s="41"/>
      <c r="J83" s="275">
        <f>-J82*0.6</f>
        <v>0</v>
      </c>
      <c r="K83" s="42"/>
    </row>
    <row r="84" spans="2:14" x14ac:dyDescent="0.3">
      <c r="B84" s="39"/>
      <c r="C84" s="41" t="s">
        <v>279</v>
      </c>
      <c r="D84" s="41"/>
      <c r="E84" s="41"/>
      <c r="F84" s="41"/>
      <c r="G84" s="41"/>
      <c r="H84" s="41"/>
      <c r="I84" s="41"/>
      <c r="J84" s="259" t="str">
        <f>IF(OR(J82=0,J82="Not Calculated")=TRUE,"Not Calculated",(IF(((J83+J82)/J82)&lt;=1,0,IF(((J83+J82)/J82)&lt;=1.05,1,IF(((J83+J82)/J82)&lt;=1.5, 2,IF(((J83+J82)/J82)&lt;=2,3,4))))))</f>
        <v>Not Calculated</v>
      </c>
      <c r="K84" s="42"/>
    </row>
    <row r="85" spans="2:14" ht="9.75" customHeight="1" x14ac:dyDescent="0.3">
      <c r="B85" s="39"/>
      <c r="C85" s="292" t="str">
        <f>"0:"</f>
        <v>0:</v>
      </c>
      <c r="D85" s="294" t="s">
        <v>1067</v>
      </c>
      <c r="E85" s="41"/>
      <c r="F85" s="41"/>
      <c r="G85" s="41"/>
      <c r="H85" s="41"/>
      <c r="I85" s="41"/>
      <c r="J85" s="41"/>
      <c r="K85" s="42"/>
    </row>
    <row r="86" spans="2:14" ht="9.75" customHeight="1" x14ac:dyDescent="0.3">
      <c r="B86" s="39"/>
      <c r="C86" s="293" t="str">
        <f>"1:"</f>
        <v>1:</v>
      </c>
      <c r="D86" s="294" t="s">
        <v>1068</v>
      </c>
      <c r="E86" s="41"/>
      <c r="F86" s="41"/>
      <c r="G86" s="41"/>
      <c r="H86" s="41"/>
      <c r="I86" s="41"/>
      <c r="J86" s="41"/>
      <c r="K86" s="42"/>
    </row>
    <row r="87" spans="2:14" ht="9.75" customHeight="1" x14ac:dyDescent="0.3">
      <c r="B87" s="39"/>
      <c r="C87" s="293" t="str">
        <f>"2:"</f>
        <v>2:</v>
      </c>
      <c r="D87" s="294" t="s">
        <v>1069</v>
      </c>
      <c r="E87" s="41"/>
      <c r="F87" s="41"/>
      <c r="G87" s="41"/>
      <c r="H87" s="41"/>
      <c r="I87" s="41"/>
      <c r="J87" s="41"/>
      <c r="K87" s="42"/>
    </row>
    <row r="88" spans="2:14" ht="9.75" customHeight="1" x14ac:dyDescent="0.3">
      <c r="B88" s="39"/>
      <c r="C88" s="293" t="str">
        <f>"3:"</f>
        <v>3:</v>
      </c>
      <c r="D88" s="294" t="s">
        <v>1070</v>
      </c>
      <c r="E88" s="41"/>
      <c r="F88" s="41"/>
      <c r="G88" s="41"/>
      <c r="H88" s="41"/>
      <c r="I88" s="41"/>
      <c r="J88" s="41"/>
      <c r="K88" s="42"/>
    </row>
    <row r="89" spans="2:14" ht="9.75" customHeight="1" x14ac:dyDescent="0.3">
      <c r="B89" s="39"/>
      <c r="C89" s="293" t="str">
        <f>"4:"</f>
        <v>4:</v>
      </c>
      <c r="D89" s="294" t="s">
        <v>1071</v>
      </c>
      <c r="E89" s="41"/>
      <c r="F89" s="41"/>
      <c r="G89" s="41"/>
      <c r="H89" s="41"/>
      <c r="I89" s="41"/>
      <c r="J89" s="41"/>
      <c r="K89" s="42"/>
      <c r="N89" s="12" t="s">
        <v>769</v>
      </c>
    </row>
    <row r="90" spans="2:14" x14ac:dyDescent="0.3">
      <c r="B90" s="39"/>
      <c r="C90" s="176" t="s">
        <v>770</v>
      </c>
      <c r="D90" s="41"/>
      <c r="E90" s="41"/>
      <c r="F90" s="41"/>
      <c r="G90" s="41"/>
      <c r="H90" s="41"/>
      <c r="I90" s="41"/>
      <c r="J90" s="276" t="s">
        <v>769</v>
      </c>
      <c r="K90" s="42"/>
      <c r="N90" s="12" t="s">
        <v>1041</v>
      </c>
    </row>
    <row r="91" spans="2:14" x14ac:dyDescent="0.3">
      <c r="B91" s="39"/>
      <c r="C91" s="176" t="s">
        <v>768</v>
      </c>
      <c r="D91" s="41"/>
      <c r="E91" s="41"/>
      <c r="F91" s="41"/>
      <c r="G91" s="41"/>
      <c r="H91" s="41"/>
      <c r="I91" s="41"/>
      <c r="J91" s="257" t="str">
        <f>IF(J90=N89,"N/A",IF(J90=N90,0,IF(J90=N91,1,IF(J90=N92,2,IF(J90=N93,3,IF(J90=N94,4,"N/A"))))))</f>
        <v>N/A</v>
      </c>
      <c r="K91" s="42"/>
      <c r="N91" s="12" t="s">
        <v>1042</v>
      </c>
    </row>
    <row r="92" spans="2:14" x14ac:dyDescent="0.3">
      <c r="B92" s="39"/>
      <c r="C92" s="41" t="s">
        <v>276</v>
      </c>
      <c r="D92" s="41"/>
      <c r="E92" s="41"/>
      <c r="F92" s="41"/>
      <c r="G92" s="41"/>
      <c r="H92" s="41"/>
      <c r="I92" s="41"/>
      <c r="J92" s="277" t="s">
        <v>1015</v>
      </c>
      <c r="K92" s="42"/>
      <c r="N92" s="12" t="s">
        <v>1043</v>
      </c>
    </row>
    <row r="93" spans="2:14" x14ac:dyDescent="0.3">
      <c r="B93" s="39"/>
      <c r="C93" s="41" t="s">
        <v>280</v>
      </c>
      <c r="D93" s="41"/>
      <c r="E93" s="41"/>
      <c r="F93" s="41"/>
      <c r="G93" s="41"/>
      <c r="H93" s="41"/>
      <c r="I93" s="41"/>
      <c r="J93" s="256">
        <f>IF(J92=$B$973,$A$973,IF(J92=$B$974,$A$974,IF(J92=$B$975,$A$975,IF(J92=$B$976,$A$976,IF(J92=$B$977,$A$977,"Not Calculated")))))</f>
        <v>0</v>
      </c>
      <c r="K93" s="42"/>
      <c r="N93" s="12" t="s">
        <v>1044</v>
      </c>
    </row>
    <row r="94" spans="2:14" x14ac:dyDescent="0.3">
      <c r="B94" s="39"/>
      <c r="C94" s="41" t="s">
        <v>1038</v>
      </c>
      <c r="D94" s="41"/>
      <c r="E94" s="41"/>
      <c r="F94" s="41"/>
      <c r="G94" s="41"/>
      <c r="H94" s="41"/>
      <c r="I94" s="41"/>
      <c r="J94" s="177"/>
      <c r="K94" s="42"/>
      <c r="N94" s="12" t="s">
        <v>1045</v>
      </c>
    </row>
    <row r="95" spans="2:14" s="180" customFormat="1" ht="30" customHeight="1" x14ac:dyDescent="0.3">
      <c r="B95" s="178"/>
      <c r="C95" s="359" t="s">
        <v>678</v>
      </c>
      <c r="D95" s="344"/>
      <c r="E95" s="344"/>
      <c r="F95" s="344"/>
      <c r="G95" s="344"/>
      <c r="H95" s="344"/>
      <c r="I95" s="344"/>
      <c r="J95" s="345"/>
      <c r="K95" s="179"/>
    </row>
    <row r="96" spans="2:14" x14ac:dyDescent="0.3">
      <c r="B96" s="39"/>
      <c r="C96" s="41"/>
      <c r="D96" s="41"/>
      <c r="E96" s="41"/>
      <c r="F96" s="41"/>
      <c r="G96" s="41"/>
      <c r="H96" s="41"/>
      <c r="I96" s="41"/>
      <c r="J96" s="41"/>
      <c r="K96" s="42"/>
    </row>
    <row r="97" spans="2:14" x14ac:dyDescent="0.3">
      <c r="B97" s="39"/>
      <c r="C97" s="181" t="s">
        <v>284</v>
      </c>
      <c r="D97" s="41"/>
      <c r="E97" s="41"/>
      <c r="F97" s="41"/>
      <c r="G97" s="41"/>
      <c r="H97" s="41"/>
      <c r="I97" s="41"/>
      <c r="J97" s="256">
        <f>IF(J91="N/A",IF(OR(J89="Not Calculated",J93="Not Calculated")=TRUE,"Not Calculated",AVERAGE(J89,J93)),AVERAGE(J91,J93))</f>
        <v>0</v>
      </c>
      <c r="K97" s="42"/>
    </row>
    <row r="98" spans="2:14" x14ac:dyDescent="0.3">
      <c r="B98" s="39"/>
      <c r="C98" s="41"/>
      <c r="D98" s="41"/>
      <c r="E98" s="41"/>
      <c r="F98" s="41"/>
      <c r="G98" s="41"/>
      <c r="H98" s="41"/>
      <c r="I98" s="41"/>
      <c r="J98" s="41"/>
      <c r="K98" s="42"/>
    </row>
    <row r="99" spans="2:14" x14ac:dyDescent="0.3">
      <c r="B99" s="39"/>
      <c r="C99" s="41"/>
      <c r="D99" s="41"/>
      <c r="E99" s="41"/>
      <c r="F99" s="41"/>
      <c r="G99" s="41"/>
      <c r="H99" s="41"/>
      <c r="I99" s="41"/>
      <c r="J99" s="41"/>
      <c r="K99" s="42"/>
    </row>
    <row r="100" spans="2:14" ht="15.6" x14ac:dyDescent="0.3">
      <c r="B100" s="39"/>
      <c r="C100" s="46" t="s">
        <v>55</v>
      </c>
      <c r="D100" s="41"/>
      <c r="E100" s="41"/>
      <c r="F100" s="41"/>
      <c r="G100" s="41"/>
      <c r="H100" s="41"/>
      <c r="I100" s="41"/>
      <c r="J100" s="41"/>
      <c r="K100" s="42"/>
    </row>
    <row r="101" spans="2:14" x14ac:dyDescent="0.3">
      <c r="B101" s="39"/>
      <c r="C101" s="41" t="s">
        <v>489</v>
      </c>
      <c r="D101" s="41"/>
      <c r="E101" s="41"/>
      <c r="F101" s="41"/>
      <c r="G101" s="41"/>
      <c r="H101" s="41"/>
      <c r="I101" s="41"/>
      <c r="J101" s="263">
        <f>'Baseline Health'!G35</f>
        <v>0</v>
      </c>
      <c r="K101" s="42"/>
    </row>
    <row r="102" spans="2:14" x14ac:dyDescent="0.3">
      <c r="B102" s="39"/>
      <c r="C102" s="41" t="s">
        <v>310</v>
      </c>
      <c r="D102" s="41"/>
      <c r="E102" s="41"/>
      <c r="F102" s="41"/>
      <c r="G102" s="41"/>
      <c r="H102" s="41"/>
      <c r="I102" s="41"/>
      <c r="J102" s="275">
        <f>J101*0.5</f>
        <v>0</v>
      </c>
      <c r="K102" s="42"/>
    </row>
    <row r="103" spans="2:14" x14ac:dyDescent="0.3">
      <c r="B103" s="39"/>
      <c r="C103" s="41" t="s">
        <v>279</v>
      </c>
      <c r="D103" s="41"/>
      <c r="E103" s="41"/>
      <c r="F103" s="41"/>
      <c r="G103" s="41"/>
      <c r="H103" s="41"/>
      <c r="I103" s="41"/>
      <c r="J103" s="259" t="str">
        <f>IF(OR(J101=0,J101="Not Calculated")=TRUE,"Not Calculated",(IF(((J102+J101)/J101)&lt;=1,0,IF(((J102+J101)/J101)&lt;=1.05,1,IF(((J102+J101)/J101)&lt;=1.5, 2,IF(((J102+J101)/J101)&lt;=2,3,4))))))</f>
        <v>Not Calculated</v>
      </c>
      <c r="K103" s="42"/>
    </row>
    <row r="104" spans="2:14" ht="9.75" customHeight="1" x14ac:dyDescent="0.3">
      <c r="B104" s="39"/>
      <c r="C104" s="292" t="str">
        <f>"0:"</f>
        <v>0:</v>
      </c>
      <c r="D104" s="294" t="s">
        <v>1067</v>
      </c>
      <c r="E104" s="41"/>
      <c r="F104" s="41"/>
      <c r="G104" s="41"/>
      <c r="H104" s="41"/>
      <c r="I104" s="41"/>
      <c r="J104" s="41"/>
      <c r="K104" s="42"/>
    </row>
    <row r="105" spans="2:14" ht="9.75" customHeight="1" x14ac:dyDescent="0.3">
      <c r="B105" s="39"/>
      <c r="C105" s="293" t="str">
        <f>"1:"</f>
        <v>1:</v>
      </c>
      <c r="D105" s="294" t="s">
        <v>1068</v>
      </c>
      <c r="E105" s="41"/>
      <c r="F105" s="41"/>
      <c r="G105" s="41"/>
      <c r="H105" s="41"/>
      <c r="I105" s="41"/>
      <c r="J105" s="41"/>
      <c r="K105" s="42"/>
    </row>
    <row r="106" spans="2:14" ht="9.75" customHeight="1" x14ac:dyDescent="0.3">
      <c r="B106" s="39"/>
      <c r="C106" s="293" t="str">
        <f>"2:"</f>
        <v>2:</v>
      </c>
      <c r="D106" s="294" t="s">
        <v>1069</v>
      </c>
      <c r="E106" s="41"/>
      <c r="F106" s="41"/>
      <c r="G106" s="41"/>
      <c r="H106" s="41"/>
      <c r="I106" s="41"/>
      <c r="J106" s="41"/>
      <c r="K106" s="42"/>
    </row>
    <row r="107" spans="2:14" ht="9.75" customHeight="1" x14ac:dyDescent="0.3">
      <c r="B107" s="39"/>
      <c r="C107" s="293" t="str">
        <f>"3:"</f>
        <v>3:</v>
      </c>
      <c r="D107" s="294" t="s">
        <v>1070</v>
      </c>
      <c r="E107" s="41"/>
      <c r="F107" s="41"/>
      <c r="G107" s="41"/>
      <c r="H107" s="41"/>
      <c r="I107" s="41"/>
      <c r="J107" s="41"/>
      <c r="K107" s="42"/>
    </row>
    <row r="108" spans="2:14" ht="9.75" customHeight="1" x14ac:dyDescent="0.3">
      <c r="B108" s="39"/>
      <c r="C108" s="293" t="str">
        <f>"4:"</f>
        <v>4:</v>
      </c>
      <c r="D108" s="294" t="s">
        <v>1071</v>
      </c>
      <c r="E108" s="41"/>
      <c r="F108" s="41"/>
      <c r="G108" s="41"/>
      <c r="H108" s="41"/>
      <c r="I108" s="41"/>
      <c r="J108" s="41"/>
      <c r="K108" s="42"/>
      <c r="N108" s="12" t="s">
        <v>769</v>
      </c>
    </row>
    <row r="109" spans="2:14" x14ac:dyDescent="0.3">
      <c r="B109" s="39"/>
      <c r="C109" s="176" t="s">
        <v>770</v>
      </c>
      <c r="D109" s="41"/>
      <c r="E109" s="41"/>
      <c r="F109" s="41"/>
      <c r="G109" s="41"/>
      <c r="H109" s="41"/>
      <c r="I109" s="41"/>
      <c r="J109" s="276" t="s">
        <v>769</v>
      </c>
      <c r="K109" s="42"/>
      <c r="N109" s="12" t="s">
        <v>1041</v>
      </c>
    </row>
    <row r="110" spans="2:14" x14ac:dyDescent="0.3">
      <c r="B110" s="39"/>
      <c r="C110" s="176" t="s">
        <v>768</v>
      </c>
      <c r="D110" s="41"/>
      <c r="E110" s="41"/>
      <c r="F110" s="41"/>
      <c r="G110" s="41"/>
      <c r="H110" s="41"/>
      <c r="I110" s="41"/>
      <c r="J110" s="257" t="str">
        <f>IF(J109=N108,"N/A",IF(J109=N109,0,IF(J109=N110,1,IF(J109=N111,2,IF(J109=N112,3,IF(J109=N113,4,"N/A"))))))</f>
        <v>N/A</v>
      </c>
      <c r="K110" s="42"/>
      <c r="N110" s="12" t="s">
        <v>1042</v>
      </c>
    </row>
    <row r="111" spans="2:14" x14ac:dyDescent="0.3">
      <c r="B111" s="39"/>
      <c r="C111" s="41" t="s">
        <v>276</v>
      </c>
      <c r="D111" s="41"/>
      <c r="E111" s="41"/>
      <c r="F111" s="41"/>
      <c r="G111" s="41"/>
      <c r="H111" s="41"/>
      <c r="I111" s="41"/>
      <c r="J111" s="277" t="s">
        <v>1017</v>
      </c>
      <c r="K111" s="42"/>
      <c r="N111" s="12" t="s">
        <v>1043</v>
      </c>
    </row>
    <row r="112" spans="2:14" x14ac:dyDescent="0.3">
      <c r="B112" s="39"/>
      <c r="C112" s="41" t="s">
        <v>280</v>
      </c>
      <c r="D112" s="41"/>
      <c r="E112" s="41"/>
      <c r="F112" s="41"/>
      <c r="G112" s="41"/>
      <c r="H112" s="41"/>
      <c r="I112" s="41"/>
      <c r="J112" s="256">
        <f>IF(J111=$B$973,$A$973,IF(J111=$B$974,$A$974,IF(J111=$B$975,$A$975,IF(J111=$B$976,$A$976,IF(J111=$B$977,$A$977,"Not Calculated")))))</f>
        <v>2</v>
      </c>
      <c r="K112" s="42"/>
      <c r="N112" s="12" t="s">
        <v>1044</v>
      </c>
    </row>
    <row r="113" spans="2:14" x14ac:dyDescent="0.3">
      <c r="B113" s="39"/>
      <c r="C113" s="41" t="s">
        <v>1038</v>
      </c>
      <c r="D113" s="41"/>
      <c r="E113" s="41"/>
      <c r="F113" s="41"/>
      <c r="G113" s="41"/>
      <c r="H113" s="41"/>
      <c r="I113" s="41"/>
      <c r="J113" s="177"/>
      <c r="K113" s="42"/>
      <c r="N113" s="12" t="s">
        <v>1045</v>
      </c>
    </row>
    <row r="114" spans="2:14" s="180" customFormat="1" ht="30" customHeight="1" x14ac:dyDescent="0.3">
      <c r="B114" s="178"/>
      <c r="C114" s="359" t="s">
        <v>679</v>
      </c>
      <c r="D114" s="344"/>
      <c r="E114" s="344"/>
      <c r="F114" s="344"/>
      <c r="G114" s="344"/>
      <c r="H114" s="344"/>
      <c r="I114" s="344"/>
      <c r="J114" s="344"/>
      <c r="K114" s="179"/>
    </row>
    <row r="115" spans="2:14" x14ac:dyDescent="0.3">
      <c r="B115" s="39"/>
      <c r="C115" s="41"/>
      <c r="D115" s="41"/>
      <c r="E115" s="41"/>
      <c r="F115" s="41"/>
      <c r="G115" s="41"/>
      <c r="H115" s="41"/>
      <c r="I115" s="41"/>
      <c r="J115" s="41"/>
      <c r="K115" s="42"/>
    </row>
    <row r="116" spans="2:14" x14ac:dyDescent="0.3">
      <c r="B116" s="39"/>
      <c r="C116" s="181" t="s">
        <v>285</v>
      </c>
      <c r="D116" s="41"/>
      <c r="E116" s="41"/>
      <c r="F116" s="41"/>
      <c r="G116" s="41"/>
      <c r="H116" s="41"/>
      <c r="I116" s="41"/>
      <c r="J116" s="256">
        <f>IF(J110="N/A",IF(OR(J108="Not Calculated",J112="Not Calculated")=TRUE,"Not Calculated",AVERAGE(J108,J112)),AVERAGE(J110,J112))</f>
        <v>2</v>
      </c>
      <c r="K116" s="42"/>
    </row>
    <row r="117" spans="2:14" x14ac:dyDescent="0.3">
      <c r="B117" s="39"/>
      <c r="C117" s="41"/>
      <c r="D117" s="41"/>
      <c r="E117" s="41"/>
      <c r="F117" s="41"/>
      <c r="G117" s="41"/>
      <c r="H117" s="41"/>
      <c r="I117" s="41"/>
      <c r="J117" s="41"/>
      <c r="K117" s="42"/>
    </row>
    <row r="118" spans="2:14" x14ac:dyDescent="0.3">
      <c r="B118" s="39"/>
      <c r="C118" s="41"/>
      <c r="D118" s="41"/>
      <c r="E118" s="41"/>
      <c r="F118" s="41"/>
      <c r="G118" s="41"/>
      <c r="H118" s="41"/>
      <c r="I118" s="41"/>
      <c r="J118" s="41"/>
      <c r="K118" s="42"/>
    </row>
    <row r="119" spans="2:14" ht="15.6" x14ac:dyDescent="0.3">
      <c r="B119" s="39"/>
      <c r="C119" s="46" t="s">
        <v>281</v>
      </c>
      <c r="D119" s="41"/>
      <c r="E119" s="41"/>
      <c r="F119" s="41"/>
      <c r="G119" s="41"/>
      <c r="H119" s="41"/>
      <c r="I119" s="41"/>
      <c r="J119" s="41"/>
      <c r="K119" s="42"/>
    </row>
    <row r="120" spans="2:14" ht="15" customHeight="1" x14ac:dyDescent="0.3">
      <c r="B120" s="39"/>
      <c r="C120" s="366" t="s">
        <v>287</v>
      </c>
      <c r="D120" s="366"/>
      <c r="E120" s="366"/>
      <c r="F120" s="366"/>
      <c r="G120" s="366"/>
      <c r="H120" s="366"/>
      <c r="I120" s="366"/>
      <c r="J120" s="366"/>
      <c r="K120" s="42"/>
    </row>
    <row r="121" spans="2:14" x14ac:dyDescent="0.3">
      <c r="B121" s="39"/>
      <c r="C121" s="366"/>
      <c r="D121" s="366"/>
      <c r="E121" s="366"/>
      <c r="F121" s="366"/>
      <c r="G121" s="366"/>
      <c r="H121" s="366"/>
      <c r="I121" s="366"/>
      <c r="J121" s="366"/>
      <c r="K121" s="42"/>
    </row>
    <row r="122" spans="2:14" x14ac:dyDescent="0.3">
      <c r="B122" s="39"/>
      <c r="C122" s="367"/>
      <c r="D122" s="367"/>
      <c r="E122" s="367"/>
      <c r="F122" s="367"/>
      <c r="G122" s="367"/>
      <c r="H122" s="367"/>
      <c r="I122" s="367"/>
      <c r="J122" s="367"/>
      <c r="K122" s="42"/>
    </row>
    <row r="123" spans="2:14" ht="15" customHeight="1" x14ac:dyDescent="0.3">
      <c r="B123" s="39"/>
      <c r="C123" s="360" t="s">
        <v>264</v>
      </c>
      <c r="D123" s="361"/>
      <c r="E123" s="361"/>
      <c r="F123" s="361"/>
      <c r="G123" s="361"/>
      <c r="H123" s="361"/>
      <c r="I123" s="361"/>
      <c r="J123" s="362"/>
      <c r="K123" s="42"/>
    </row>
    <row r="124" spans="2:14" x14ac:dyDescent="0.3">
      <c r="B124" s="39"/>
      <c r="C124" s="363"/>
      <c r="D124" s="364"/>
      <c r="E124" s="364"/>
      <c r="F124" s="364"/>
      <c r="G124" s="364"/>
      <c r="H124" s="364"/>
      <c r="I124" s="364"/>
      <c r="J124" s="365"/>
      <c r="K124" s="42"/>
    </row>
    <row r="125" spans="2:14" ht="15" customHeight="1" x14ac:dyDescent="0.3">
      <c r="B125" s="39"/>
      <c r="C125" s="41" t="s">
        <v>279</v>
      </c>
      <c r="D125" s="41"/>
      <c r="E125" s="41"/>
      <c r="F125" s="41"/>
      <c r="G125" s="41"/>
      <c r="H125" s="41"/>
      <c r="I125" s="41"/>
      <c r="J125" s="258">
        <f>IF(C123=B987,A987,IF(C123=B988,A988,IF(C123=B989,A989,IF(C123=B990,A990,IF(C123=B991,A991,"Not Calculated")))))</f>
        <v>0</v>
      </c>
      <c r="K125" s="42"/>
    </row>
    <row r="126" spans="2:14" ht="15" customHeight="1" x14ac:dyDescent="0.3">
      <c r="B126" s="39"/>
      <c r="C126" s="41" t="s">
        <v>276</v>
      </c>
      <c r="D126" s="41"/>
      <c r="E126" s="41"/>
      <c r="F126" s="41"/>
      <c r="G126" s="41"/>
      <c r="H126" s="41"/>
      <c r="I126" s="41"/>
      <c r="J126" s="277" t="s">
        <v>1015</v>
      </c>
      <c r="K126" s="42"/>
    </row>
    <row r="127" spans="2:14" x14ac:dyDescent="0.3">
      <c r="B127" s="39"/>
      <c r="C127" s="41" t="s">
        <v>280</v>
      </c>
      <c r="D127" s="41"/>
      <c r="E127" s="41"/>
      <c r="F127" s="41"/>
      <c r="G127" s="41"/>
      <c r="H127" s="41"/>
      <c r="I127" s="41"/>
      <c r="J127" s="256">
        <f>IF(J126=$B$973,$A$973,IF(J126=$B$974,$A$974,IF(J126=$B$975,$A$975,IF(J126=$B$976,$A$976,IF(J126=$B$977,$A$977,"Not Calculated")))))</f>
        <v>0</v>
      </c>
      <c r="K127" s="42"/>
    </row>
    <row r="128" spans="2:14" ht="15" customHeight="1" x14ac:dyDescent="0.3">
      <c r="B128" s="39"/>
      <c r="C128" s="41" t="s">
        <v>1038</v>
      </c>
      <c r="D128" s="41"/>
      <c r="E128" s="41"/>
      <c r="F128" s="41"/>
      <c r="G128" s="41"/>
      <c r="H128" s="41"/>
      <c r="I128" s="41"/>
      <c r="J128" s="177"/>
      <c r="K128" s="42"/>
    </row>
    <row r="129" spans="2:11" s="180" customFormat="1" ht="15" customHeight="1" x14ac:dyDescent="0.3">
      <c r="B129" s="178"/>
      <c r="C129" s="359"/>
      <c r="D129" s="344"/>
      <c r="E129" s="344"/>
      <c r="F129" s="344"/>
      <c r="G129" s="344"/>
      <c r="H129" s="344"/>
      <c r="I129" s="344"/>
      <c r="J129" s="345"/>
      <c r="K129" s="179"/>
    </row>
    <row r="130" spans="2:11" x14ac:dyDescent="0.3">
      <c r="B130" s="39"/>
      <c r="C130" s="41"/>
      <c r="D130" s="41"/>
      <c r="E130" s="41"/>
      <c r="F130" s="41"/>
      <c r="G130" s="41"/>
      <c r="H130" s="41"/>
      <c r="I130" s="41"/>
      <c r="J130" s="41"/>
      <c r="K130" s="42"/>
    </row>
    <row r="131" spans="2:11" x14ac:dyDescent="0.3">
      <c r="B131" s="39"/>
      <c r="C131" s="181" t="s">
        <v>286</v>
      </c>
      <c r="D131" s="41"/>
      <c r="E131" s="41"/>
      <c r="F131" s="41"/>
      <c r="G131" s="41"/>
      <c r="H131" s="41"/>
      <c r="I131" s="41"/>
      <c r="J131" s="256">
        <f>IF(OR(J125="Not Calculated",J127="Not Calculated")=TRUE,"Not Calculated",AVERAGE(J125,J127))</f>
        <v>0</v>
      </c>
      <c r="K131" s="42"/>
    </row>
    <row r="132" spans="2:11" x14ac:dyDescent="0.3">
      <c r="B132" s="39"/>
      <c r="C132" s="181"/>
      <c r="D132" s="41"/>
      <c r="E132" s="41"/>
      <c r="F132" s="41"/>
      <c r="G132" s="41"/>
      <c r="H132" s="41"/>
      <c r="I132" s="41"/>
      <c r="J132" s="256"/>
      <c r="K132" s="42"/>
    </row>
    <row r="133" spans="2:11" ht="17.399999999999999" x14ac:dyDescent="0.3">
      <c r="B133" s="39"/>
      <c r="C133" s="182" t="s">
        <v>288</v>
      </c>
      <c r="D133" s="41"/>
      <c r="E133" s="41"/>
      <c r="F133" s="41"/>
      <c r="G133" s="41"/>
      <c r="H133" s="41"/>
      <c r="I133" s="41"/>
      <c r="J133" s="255">
        <f>IF(OR(J40="Not Calculated",J59="Not Calculated",J78="Not Calculated",J97="Not Calculated",J116="Not Calculated",J131="Not Calculated",)=TRUE,"Not Calculated",AVERAGE(J40,J59,J78,J97,J116,J131))</f>
        <v>1</v>
      </c>
      <c r="K133" s="42"/>
    </row>
    <row r="134" spans="2:11" ht="15" thickBot="1" x14ac:dyDescent="0.35">
      <c r="B134" s="47"/>
      <c r="C134" s="48"/>
      <c r="D134" s="48"/>
      <c r="E134" s="48"/>
      <c r="F134" s="48"/>
      <c r="G134" s="48"/>
      <c r="H134" s="48"/>
      <c r="I134" s="48"/>
      <c r="J134" s="48"/>
      <c r="K134" s="50"/>
    </row>
    <row r="135" spans="2:11" ht="15" thickBot="1" x14ac:dyDescent="0.35"/>
    <row r="136" spans="2:11" x14ac:dyDescent="0.3">
      <c r="B136" s="34"/>
      <c r="C136" s="35"/>
      <c r="D136" s="35"/>
      <c r="E136" s="35"/>
      <c r="F136" s="35"/>
      <c r="G136" s="35"/>
      <c r="H136" s="35"/>
      <c r="I136" s="35"/>
      <c r="J136" s="35"/>
      <c r="K136" s="38"/>
    </row>
    <row r="137" spans="2:11" ht="20.399999999999999" x14ac:dyDescent="0.35">
      <c r="B137" s="39"/>
      <c r="C137" s="174"/>
      <c r="D137" s="41"/>
      <c r="E137" s="41"/>
      <c r="F137" s="41"/>
      <c r="G137" s="175" t="s">
        <v>28</v>
      </c>
      <c r="H137" s="41"/>
      <c r="I137" s="41"/>
      <c r="J137" s="41"/>
      <c r="K137" s="42"/>
    </row>
    <row r="138" spans="2:11" x14ac:dyDescent="0.3">
      <c r="B138" s="39"/>
      <c r="C138" s="41"/>
      <c r="D138" s="41"/>
      <c r="E138" s="41"/>
      <c r="F138" s="41"/>
      <c r="G138" s="41"/>
      <c r="H138" s="41"/>
      <c r="I138" s="41"/>
      <c r="J138" s="41"/>
      <c r="K138" s="42"/>
    </row>
    <row r="139" spans="2:11" ht="15.6" x14ac:dyDescent="0.3">
      <c r="B139" s="39"/>
      <c r="C139" s="46" t="s">
        <v>67</v>
      </c>
      <c r="D139" s="41"/>
      <c r="E139" s="41"/>
      <c r="F139" s="41"/>
      <c r="G139" s="41"/>
      <c r="H139" s="41"/>
      <c r="I139" s="41"/>
      <c r="J139" s="41"/>
      <c r="K139" s="42"/>
    </row>
    <row r="140" spans="2:11" x14ac:dyDescent="0.3">
      <c r="B140" s="39"/>
      <c r="C140" s="41" t="s">
        <v>491</v>
      </c>
      <c r="D140" s="41"/>
      <c r="E140" s="41"/>
      <c r="F140" s="41"/>
      <c r="G140" s="41"/>
      <c r="H140" s="41"/>
      <c r="I140" s="41"/>
      <c r="J140" s="263">
        <f>'Baseline Health'!G45</f>
        <v>0</v>
      </c>
      <c r="K140" s="42"/>
    </row>
    <row r="141" spans="2:11" x14ac:dyDescent="0.3">
      <c r="B141" s="39"/>
      <c r="C141" s="41" t="s">
        <v>289</v>
      </c>
      <c r="D141" s="41"/>
      <c r="E141" s="41"/>
      <c r="F141" s="41"/>
      <c r="G141" s="41"/>
      <c r="H141" s="41"/>
      <c r="I141" s="41"/>
      <c r="J141" s="275">
        <f>J140*0.6</f>
        <v>0</v>
      </c>
      <c r="K141" s="42"/>
    </row>
    <row r="142" spans="2:11" x14ac:dyDescent="0.3">
      <c r="B142" s="39"/>
      <c r="C142" s="41" t="s">
        <v>490</v>
      </c>
      <c r="D142" s="41"/>
      <c r="E142" s="41"/>
      <c r="F142" s="41"/>
      <c r="G142" s="41"/>
      <c r="H142" s="41"/>
      <c r="I142" s="41"/>
      <c r="J142" s="262">
        <f>J83/20</f>
        <v>0</v>
      </c>
      <c r="K142" s="42"/>
    </row>
    <row r="143" spans="2:11" x14ac:dyDescent="0.3">
      <c r="B143" s="39"/>
      <c r="C143" s="41"/>
      <c r="D143" s="41" t="s">
        <v>371</v>
      </c>
      <c r="E143" s="41"/>
      <c r="F143" s="41"/>
      <c r="G143" s="41"/>
      <c r="H143" s="41"/>
      <c r="I143" s="41"/>
      <c r="J143" s="41"/>
      <c r="K143" s="42"/>
    </row>
    <row r="144" spans="2:11" x14ac:dyDescent="0.3">
      <c r="B144" s="39"/>
      <c r="C144" s="41" t="s">
        <v>279</v>
      </c>
      <c r="D144" s="41"/>
      <c r="E144" s="41"/>
      <c r="F144" s="41"/>
      <c r="G144" s="41"/>
      <c r="H144" s="41"/>
      <c r="I144" s="41"/>
      <c r="J144" s="256" t="str">
        <f>IF(OR(J140=0,J140="Not Calculated")=TRUE,"Not Calculated",IF((J140-J141)&lt;=0,4,IF(((J140+J142)/(J140-J141))&lt;=1,0,IF(((J140+J142)/(J140-J141))&lt;=1.05,1,IF(((J140+J142)/(J140-J141))&lt;=1.5, 2,IF(((J140+J142)/(J140-J141))&lt;=2,3,4))))))</f>
        <v>Not Calculated</v>
      </c>
      <c r="K144" s="42"/>
    </row>
    <row r="145" spans="2:14" ht="9.75" customHeight="1" x14ac:dyDescent="0.3">
      <c r="B145" s="39"/>
      <c r="C145" s="292" t="str">
        <f>"0:"</f>
        <v>0:</v>
      </c>
      <c r="D145" s="291" t="s">
        <v>1067</v>
      </c>
      <c r="E145" s="41"/>
      <c r="F145" s="41"/>
      <c r="G145" s="41"/>
      <c r="H145" s="41"/>
      <c r="I145" s="41"/>
      <c r="J145" s="41"/>
      <c r="K145" s="42"/>
    </row>
    <row r="146" spans="2:14" ht="9.75" customHeight="1" x14ac:dyDescent="0.3">
      <c r="B146" s="39"/>
      <c r="C146" s="293" t="str">
        <f>"1:"</f>
        <v>1:</v>
      </c>
      <c r="D146" s="291" t="s">
        <v>1072</v>
      </c>
      <c r="E146" s="41"/>
      <c r="F146" s="41"/>
      <c r="G146" s="41"/>
      <c r="H146" s="41"/>
      <c r="I146" s="41"/>
      <c r="J146" s="41"/>
      <c r="K146" s="42"/>
    </row>
    <row r="147" spans="2:14" ht="9.75" customHeight="1" x14ac:dyDescent="0.3">
      <c r="B147" s="39"/>
      <c r="C147" s="293" t="str">
        <f>"2:"</f>
        <v>2:</v>
      </c>
      <c r="D147" s="291" t="s">
        <v>1073</v>
      </c>
      <c r="E147" s="41"/>
      <c r="F147" s="41"/>
      <c r="G147" s="41"/>
      <c r="H147" s="41"/>
      <c r="I147" s="41"/>
      <c r="J147" s="41"/>
      <c r="K147" s="42"/>
    </row>
    <row r="148" spans="2:14" ht="9.75" customHeight="1" x14ac:dyDescent="0.3">
      <c r="B148" s="39"/>
      <c r="C148" s="293" t="str">
        <f>"3:"</f>
        <v>3:</v>
      </c>
      <c r="D148" s="291" t="s">
        <v>1074</v>
      </c>
      <c r="E148" s="41"/>
      <c r="F148" s="41"/>
      <c r="G148" s="41"/>
      <c r="H148" s="41"/>
      <c r="I148" s="41"/>
      <c r="J148" s="41"/>
      <c r="K148" s="42"/>
    </row>
    <row r="149" spans="2:14" ht="9.75" customHeight="1" x14ac:dyDescent="0.3">
      <c r="B149" s="39"/>
      <c r="C149" s="293" t="str">
        <f>"4:"</f>
        <v>4:</v>
      </c>
      <c r="D149" s="291" t="s">
        <v>1075</v>
      </c>
      <c r="E149" s="41"/>
      <c r="F149" s="41"/>
      <c r="G149" s="41"/>
      <c r="H149" s="41"/>
      <c r="I149" s="41"/>
      <c r="J149" s="41"/>
      <c r="K149" s="42"/>
      <c r="N149" s="12" t="s">
        <v>769</v>
      </c>
    </row>
    <row r="150" spans="2:14" x14ac:dyDescent="0.3">
      <c r="B150" s="39"/>
      <c r="C150" s="176" t="s">
        <v>770</v>
      </c>
      <c r="D150" s="41"/>
      <c r="E150" s="41"/>
      <c r="F150" s="41"/>
      <c r="G150" s="41"/>
      <c r="H150" s="41"/>
      <c r="I150" s="41"/>
      <c r="J150" s="276" t="s">
        <v>769</v>
      </c>
      <c r="K150" s="42"/>
      <c r="N150" s="12" t="s">
        <v>1041</v>
      </c>
    </row>
    <row r="151" spans="2:14" x14ac:dyDescent="0.3">
      <c r="B151" s="39"/>
      <c r="C151" s="176" t="s">
        <v>768</v>
      </c>
      <c r="D151" s="41"/>
      <c r="E151" s="41"/>
      <c r="F151" s="41"/>
      <c r="G151" s="41"/>
      <c r="H151" s="41"/>
      <c r="I151" s="41"/>
      <c r="J151" s="257" t="str">
        <f>IF(J150=N149,"N/A",IF(J150=N150,0,IF(J150=N151,1,IF(J150=N152,2,IF(J150=N153,3,IF(J150=N154,4,"N/A"))))))</f>
        <v>N/A</v>
      </c>
      <c r="K151" s="42"/>
      <c r="N151" s="12" t="s">
        <v>1046</v>
      </c>
    </row>
    <row r="152" spans="2:14" x14ac:dyDescent="0.3">
      <c r="B152" s="39"/>
      <c r="C152" s="41" t="s">
        <v>276</v>
      </c>
      <c r="D152" s="41"/>
      <c r="E152" s="41"/>
      <c r="F152" s="41"/>
      <c r="G152" s="41"/>
      <c r="H152" s="41"/>
      <c r="I152" s="41"/>
      <c r="J152" s="277" t="s">
        <v>1017</v>
      </c>
      <c r="K152" s="42"/>
      <c r="N152" s="12" t="s">
        <v>1047</v>
      </c>
    </row>
    <row r="153" spans="2:14" x14ac:dyDescent="0.3">
      <c r="B153" s="39"/>
      <c r="C153" s="41" t="s">
        <v>280</v>
      </c>
      <c r="D153" s="41"/>
      <c r="E153" s="41"/>
      <c r="F153" s="41"/>
      <c r="G153" s="41"/>
      <c r="H153" s="41"/>
      <c r="I153" s="41"/>
      <c r="J153" s="256">
        <f>IF(J152=$B$973,$A$973,IF(J152=$B$974,$A$974,IF(J152=$B$975,$A$975,IF(J152=$B$976,$A$976,IF(J152=$B$977,$A$977,"Not Calculated")))))</f>
        <v>2</v>
      </c>
      <c r="K153" s="42"/>
      <c r="N153" s="12" t="s">
        <v>1048</v>
      </c>
    </row>
    <row r="154" spans="2:14" x14ac:dyDescent="0.3">
      <c r="B154" s="39"/>
      <c r="C154" s="41" t="s">
        <v>1038</v>
      </c>
      <c r="D154" s="41"/>
      <c r="E154" s="41"/>
      <c r="F154" s="41"/>
      <c r="G154" s="41"/>
      <c r="H154" s="41"/>
      <c r="I154" s="41"/>
      <c r="J154" s="41"/>
      <c r="K154" s="42"/>
      <c r="N154" s="12" t="s">
        <v>1049</v>
      </c>
    </row>
    <row r="155" spans="2:14" ht="15" customHeight="1" x14ac:dyDescent="0.3">
      <c r="B155" s="39"/>
      <c r="C155" s="343" t="s">
        <v>680</v>
      </c>
      <c r="D155" s="344"/>
      <c r="E155" s="344"/>
      <c r="F155" s="344"/>
      <c r="G155" s="344"/>
      <c r="H155" s="344"/>
      <c r="I155" s="344"/>
      <c r="J155" s="345"/>
      <c r="K155" s="42"/>
    </row>
    <row r="156" spans="2:14" x14ac:dyDescent="0.3">
      <c r="B156" s="39"/>
      <c r="C156" s="41"/>
      <c r="D156" s="41"/>
      <c r="E156" s="41"/>
      <c r="F156" s="41"/>
      <c r="G156" s="41"/>
      <c r="H156" s="41"/>
      <c r="I156" s="41"/>
      <c r="J156" s="41"/>
      <c r="K156" s="42"/>
    </row>
    <row r="157" spans="2:14" x14ac:dyDescent="0.3">
      <c r="B157" s="39"/>
      <c r="C157" s="181" t="s">
        <v>290</v>
      </c>
      <c r="D157" s="41"/>
      <c r="E157" s="41"/>
      <c r="F157" s="41"/>
      <c r="G157" s="41"/>
      <c r="H157" s="41"/>
      <c r="I157" s="41"/>
      <c r="J157" s="256" t="str">
        <f>IF(J151="N/A",IF(OR(J144="Not Calculated",J153="Not Calculated")=TRUE,"Not Calculated",AVERAGE(J144,J153)),AVERAGE(J151,J153))</f>
        <v>Not Calculated</v>
      </c>
      <c r="K157" s="42"/>
    </row>
    <row r="158" spans="2:14" x14ac:dyDescent="0.3">
      <c r="B158" s="39"/>
      <c r="C158" s="41"/>
      <c r="D158" s="41"/>
      <c r="E158" s="41"/>
      <c r="F158" s="41"/>
      <c r="G158" s="41"/>
      <c r="H158" s="41"/>
      <c r="I158" s="41"/>
      <c r="J158" s="41"/>
      <c r="K158" s="42"/>
    </row>
    <row r="159" spans="2:14" x14ac:dyDescent="0.3">
      <c r="B159" s="39"/>
      <c r="C159" s="41"/>
      <c r="D159" s="41"/>
      <c r="E159" s="41"/>
      <c r="F159" s="41"/>
      <c r="G159" s="41"/>
      <c r="H159" s="41"/>
      <c r="I159" s="41"/>
      <c r="J159" s="41"/>
      <c r="K159" s="42"/>
    </row>
    <row r="160" spans="2:14" ht="15.6" x14ac:dyDescent="0.3">
      <c r="B160" s="39"/>
      <c r="C160" s="46" t="s">
        <v>292</v>
      </c>
      <c r="D160" s="41"/>
      <c r="E160" s="41"/>
      <c r="F160" s="41"/>
      <c r="G160" s="41"/>
      <c r="H160" s="41"/>
      <c r="I160" s="41"/>
      <c r="J160" s="41"/>
      <c r="K160" s="42"/>
    </row>
    <row r="161" spans="2:14" x14ac:dyDescent="0.3">
      <c r="B161" s="39"/>
      <c r="C161" s="41" t="s">
        <v>492</v>
      </c>
      <c r="D161" s="41"/>
      <c r="E161" s="41"/>
      <c r="F161" s="41"/>
      <c r="G161" s="41"/>
      <c r="H161" s="41"/>
      <c r="I161" s="41"/>
      <c r="J161" s="263">
        <f>'Baseline Health'!G51</f>
        <v>0</v>
      </c>
      <c r="K161" s="42"/>
    </row>
    <row r="162" spans="2:14" x14ac:dyDescent="0.3">
      <c r="B162" s="39"/>
      <c r="C162" s="41" t="s">
        <v>299</v>
      </c>
      <c r="D162" s="41"/>
      <c r="E162" s="41"/>
      <c r="F162" s="41"/>
      <c r="G162" s="41"/>
      <c r="H162" s="41"/>
      <c r="I162" s="41"/>
      <c r="J162" s="275">
        <f>J161*0.05</f>
        <v>0</v>
      </c>
      <c r="K162" s="42"/>
    </row>
    <row r="163" spans="2:14" x14ac:dyDescent="0.3">
      <c r="B163" s="39"/>
      <c r="C163" s="41" t="s">
        <v>493</v>
      </c>
      <c r="D163" s="41"/>
      <c r="E163" s="41"/>
      <c r="F163" s="41"/>
      <c r="G163" s="41"/>
      <c r="H163" s="41"/>
      <c r="I163" s="41"/>
      <c r="J163" s="262">
        <f>(J64)/4.5</f>
        <v>0</v>
      </c>
      <c r="K163" s="42"/>
    </row>
    <row r="164" spans="2:14" x14ac:dyDescent="0.3">
      <c r="B164" s="39"/>
      <c r="C164" s="41"/>
      <c r="D164" s="41" t="s">
        <v>373</v>
      </c>
      <c r="E164" s="41"/>
      <c r="F164" s="41"/>
      <c r="G164" s="41"/>
      <c r="H164" s="41"/>
      <c r="I164" s="41"/>
      <c r="J164" s="41"/>
      <c r="K164" s="42"/>
    </row>
    <row r="165" spans="2:14" x14ac:dyDescent="0.3">
      <c r="B165" s="39"/>
      <c r="C165" s="41" t="s">
        <v>279</v>
      </c>
      <c r="D165" s="41"/>
      <c r="E165" s="41"/>
      <c r="F165" s="41"/>
      <c r="G165" s="41"/>
      <c r="H165" s="41"/>
      <c r="I165" s="41"/>
      <c r="J165" s="256" t="str">
        <f>IF(OR(J161=0,J161="Not Calculated")=TRUE,"Not Calculated",IF((J161-J162)&lt;=0,4,IF(((J161+J163)/(J161-J162))&lt;=1,0,IF(((J161+J163)/(J161-J162))&lt;=1.05,1,IF(((J161+J163)/(J161-J162))&lt;=1.5, 2,IF(((J161+J163)/(J161-J162))&lt;=2,3,4))))))</f>
        <v>Not Calculated</v>
      </c>
      <c r="K165" s="42"/>
    </row>
    <row r="166" spans="2:14" ht="9.75" customHeight="1" x14ac:dyDescent="0.3">
      <c r="B166" s="39"/>
      <c r="C166" s="292" t="str">
        <f>"0:"</f>
        <v>0:</v>
      </c>
      <c r="D166" s="291" t="s">
        <v>1067</v>
      </c>
      <c r="E166" s="41"/>
      <c r="F166" s="41"/>
      <c r="G166" s="41"/>
      <c r="H166" s="41"/>
      <c r="I166" s="41"/>
      <c r="J166" s="41"/>
      <c r="K166" s="42"/>
    </row>
    <row r="167" spans="2:14" ht="9.75" customHeight="1" x14ac:dyDescent="0.3">
      <c r="B167" s="39"/>
      <c r="C167" s="293" t="str">
        <f>"1:"</f>
        <v>1:</v>
      </c>
      <c r="D167" s="291" t="s">
        <v>1072</v>
      </c>
      <c r="E167" s="41"/>
      <c r="F167" s="41"/>
      <c r="G167" s="41"/>
      <c r="H167" s="41"/>
      <c r="I167" s="41"/>
      <c r="J167" s="41"/>
      <c r="K167" s="42"/>
    </row>
    <row r="168" spans="2:14" ht="9.75" customHeight="1" x14ac:dyDescent="0.3">
      <c r="B168" s="39"/>
      <c r="C168" s="293" t="str">
        <f>"2:"</f>
        <v>2:</v>
      </c>
      <c r="D168" s="291" t="s">
        <v>1073</v>
      </c>
      <c r="E168" s="41"/>
      <c r="F168" s="41"/>
      <c r="G168" s="41"/>
      <c r="H168" s="41"/>
      <c r="I168" s="41"/>
      <c r="J168" s="41"/>
      <c r="K168" s="42"/>
    </row>
    <row r="169" spans="2:14" ht="9.75" customHeight="1" x14ac:dyDescent="0.3">
      <c r="B169" s="39"/>
      <c r="C169" s="293" t="str">
        <f>"3:"</f>
        <v>3:</v>
      </c>
      <c r="D169" s="291" t="s">
        <v>1074</v>
      </c>
      <c r="E169" s="41"/>
      <c r="F169" s="41"/>
      <c r="G169" s="41"/>
      <c r="H169" s="41"/>
      <c r="I169" s="41"/>
      <c r="J169" s="41"/>
      <c r="K169" s="42"/>
    </row>
    <row r="170" spans="2:14" ht="9.75" customHeight="1" x14ac:dyDescent="0.3">
      <c r="B170" s="39"/>
      <c r="C170" s="293" t="str">
        <f>"4:"</f>
        <v>4:</v>
      </c>
      <c r="D170" s="291" t="s">
        <v>1075</v>
      </c>
      <c r="E170" s="41"/>
      <c r="F170" s="41"/>
      <c r="G170" s="41"/>
      <c r="H170" s="41"/>
      <c r="I170" s="41"/>
      <c r="J170" s="41"/>
      <c r="K170" s="42"/>
      <c r="N170" s="12" t="s">
        <v>769</v>
      </c>
    </row>
    <row r="171" spans="2:14" x14ac:dyDescent="0.3">
      <c r="B171" s="39"/>
      <c r="C171" s="176" t="s">
        <v>770</v>
      </c>
      <c r="D171" s="41"/>
      <c r="E171" s="41"/>
      <c r="F171" s="41"/>
      <c r="G171" s="41"/>
      <c r="H171" s="41"/>
      <c r="I171" s="41"/>
      <c r="J171" s="276" t="s">
        <v>769</v>
      </c>
      <c r="K171" s="42"/>
      <c r="N171" s="12" t="s">
        <v>1041</v>
      </c>
    </row>
    <row r="172" spans="2:14" x14ac:dyDescent="0.3">
      <c r="B172" s="39"/>
      <c r="C172" s="176" t="s">
        <v>768</v>
      </c>
      <c r="D172" s="41"/>
      <c r="E172" s="41"/>
      <c r="F172" s="41"/>
      <c r="G172" s="41"/>
      <c r="H172" s="41"/>
      <c r="I172" s="41"/>
      <c r="J172" s="257" t="str">
        <f>IF(J171=N170,"N/A",IF(J171=N171,0,IF(J171=N172,1,IF(J171=N173,2,IF(J171=N174,3,IF(J171=N175,4,"N/A"))))))</f>
        <v>N/A</v>
      </c>
      <c r="K172" s="42"/>
      <c r="N172" s="12" t="s">
        <v>1046</v>
      </c>
    </row>
    <row r="173" spans="2:14" x14ac:dyDescent="0.3">
      <c r="B173" s="39"/>
      <c r="C173" s="41" t="s">
        <v>276</v>
      </c>
      <c r="D173" s="41"/>
      <c r="E173" s="41"/>
      <c r="F173" s="41"/>
      <c r="G173" s="41"/>
      <c r="H173" s="41"/>
      <c r="I173" s="41"/>
      <c r="J173" s="277" t="s">
        <v>1015</v>
      </c>
      <c r="K173" s="42"/>
      <c r="N173" s="12" t="s">
        <v>1047</v>
      </c>
    </row>
    <row r="174" spans="2:14" x14ac:dyDescent="0.3">
      <c r="B174" s="39"/>
      <c r="C174" s="41" t="s">
        <v>280</v>
      </c>
      <c r="D174" s="41"/>
      <c r="E174" s="41"/>
      <c r="F174" s="41"/>
      <c r="G174" s="41"/>
      <c r="H174" s="41"/>
      <c r="I174" s="41"/>
      <c r="J174" s="256">
        <f>IF(J173=$B$973,$A$973,IF(J173=$B$974,$A$974,IF(J173=$B$975,$A$975,IF(J173=$B$976,$A$976,IF(J173=$B$977,$A$977,"Not Calculated")))))</f>
        <v>0</v>
      </c>
      <c r="K174" s="42"/>
      <c r="N174" s="12" t="s">
        <v>1048</v>
      </c>
    </row>
    <row r="175" spans="2:14" x14ac:dyDescent="0.3">
      <c r="B175" s="39"/>
      <c r="C175" s="41" t="s">
        <v>1038</v>
      </c>
      <c r="D175" s="41"/>
      <c r="E175" s="41"/>
      <c r="F175" s="41"/>
      <c r="G175" s="41"/>
      <c r="H175" s="41"/>
      <c r="I175" s="41"/>
      <c r="J175" s="41"/>
      <c r="K175" s="42"/>
      <c r="N175" s="12" t="s">
        <v>1049</v>
      </c>
    </row>
    <row r="176" spans="2:14" ht="15" customHeight="1" x14ac:dyDescent="0.3">
      <c r="B176" s="39"/>
      <c r="C176" s="343" t="s">
        <v>681</v>
      </c>
      <c r="D176" s="344"/>
      <c r="E176" s="344"/>
      <c r="F176" s="344"/>
      <c r="G176" s="344"/>
      <c r="H176" s="344"/>
      <c r="I176" s="344"/>
      <c r="J176" s="345"/>
      <c r="K176" s="42"/>
    </row>
    <row r="177" spans="2:14" x14ac:dyDescent="0.3">
      <c r="B177" s="39"/>
      <c r="C177" s="41"/>
      <c r="D177" s="41"/>
      <c r="E177" s="41"/>
      <c r="F177" s="41"/>
      <c r="G177" s="41"/>
      <c r="H177" s="41"/>
      <c r="I177" s="41"/>
      <c r="J177" s="41"/>
      <c r="K177" s="42"/>
    </row>
    <row r="178" spans="2:14" x14ac:dyDescent="0.3">
      <c r="B178" s="39"/>
      <c r="C178" s="181" t="s">
        <v>293</v>
      </c>
      <c r="D178" s="41"/>
      <c r="E178" s="41"/>
      <c r="F178" s="41"/>
      <c r="G178" s="41"/>
      <c r="H178" s="41"/>
      <c r="I178" s="41"/>
      <c r="J178" s="256" t="str">
        <f>IF(J172="N/A",IF(OR(J165="Not Calculated",J174="Not Calculated")=TRUE,"Not Calculated",AVERAGE(J165,J174)),AVERAGE(J172,J174))</f>
        <v>Not Calculated</v>
      </c>
      <c r="K178" s="42"/>
    </row>
    <row r="179" spans="2:14" x14ac:dyDescent="0.3">
      <c r="B179" s="39"/>
      <c r="C179" s="41"/>
      <c r="D179" s="41"/>
      <c r="E179" s="41"/>
      <c r="F179" s="41"/>
      <c r="G179" s="41"/>
      <c r="H179" s="41"/>
      <c r="I179" s="41"/>
      <c r="J179" s="41"/>
      <c r="K179" s="42"/>
    </row>
    <row r="180" spans="2:14" x14ac:dyDescent="0.3">
      <c r="B180" s="39"/>
      <c r="C180" s="41"/>
      <c r="D180" s="41"/>
      <c r="E180" s="41"/>
      <c r="F180" s="41"/>
      <c r="G180" s="41"/>
      <c r="H180" s="41"/>
      <c r="I180" s="41"/>
      <c r="J180" s="41"/>
      <c r="K180" s="42"/>
    </row>
    <row r="181" spans="2:14" ht="15.6" x14ac:dyDescent="0.3">
      <c r="B181" s="39"/>
      <c r="C181" s="46" t="s">
        <v>69</v>
      </c>
      <c r="D181" s="41"/>
      <c r="E181" s="41"/>
      <c r="F181" s="41"/>
      <c r="G181" s="41"/>
      <c r="H181" s="41"/>
      <c r="I181" s="41"/>
      <c r="J181" s="41"/>
      <c r="K181" s="42"/>
    </row>
    <row r="182" spans="2:14" x14ac:dyDescent="0.3">
      <c r="B182" s="39"/>
      <c r="C182" s="41" t="s">
        <v>494</v>
      </c>
      <c r="D182" s="41"/>
      <c r="E182" s="41"/>
      <c r="F182" s="41"/>
      <c r="G182" s="41"/>
      <c r="H182" s="41"/>
      <c r="I182" s="41"/>
      <c r="J182" s="263">
        <f>'Baseline Health'!G59</f>
        <v>0</v>
      </c>
      <c r="K182" s="42"/>
    </row>
    <row r="183" spans="2:14" x14ac:dyDescent="0.3">
      <c r="B183" s="39"/>
      <c r="C183" s="41" t="s">
        <v>300</v>
      </c>
      <c r="D183" s="41"/>
      <c r="E183" s="41"/>
      <c r="F183" s="41"/>
      <c r="G183" s="41"/>
      <c r="H183" s="41"/>
      <c r="I183" s="41"/>
      <c r="J183" s="275">
        <f>J182*0.05</f>
        <v>0</v>
      </c>
      <c r="K183" s="42"/>
    </row>
    <row r="184" spans="2:14" x14ac:dyDescent="0.3">
      <c r="B184" s="39"/>
      <c r="C184" s="41" t="s">
        <v>374</v>
      </c>
      <c r="D184" s="41"/>
      <c r="E184" s="41"/>
      <c r="F184" s="41"/>
      <c r="G184" s="41"/>
      <c r="H184" s="41"/>
      <c r="I184" s="41"/>
      <c r="J184" s="275">
        <f>-J182*0.6</f>
        <v>0</v>
      </c>
      <c r="K184" s="42"/>
    </row>
    <row r="185" spans="2:14" x14ac:dyDescent="0.3">
      <c r="B185" s="39"/>
      <c r="C185" s="41" t="s">
        <v>279</v>
      </c>
      <c r="D185" s="41"/>
      <c r="E185" s="41"/>
      <c r="F185" s="41"/>
      <c r="G185" s="41"/>
      <c r="H185" s="41"/>
      <c r="I185" s="41"/>
      <c r="J185" s="256" t="str">
        <f>IF(OR(J182=0,J182="Not Calculated")=TRUE,"Not Calculated",IF(J182-J183=0,4,IF(((J182+J184)/(J182-J183))&lt;=1,0,IF(((J182+J184)/(J182-J183))&lt;=1.05,1,IF(((J182+J184)/(J182-J183))&lt;=1.5, 2,IF(((J182+J184)/(J182-J183))&lt;=2,3,4))))))</f>
        <v>Not Calculated</v>
      </c>
      <c r="K185" s="42"/>
    </row>
    <row r="186" spans="2:14" ht="9.75" customHeight="1" x14ac:dyDescent="0.3">
      <c r="B186" s="39"/>
      <c r="C186" s="292" t="str">
        <f>"0:"</f>
        <v>0:</v>
      </c>
      <c r="D186" s="291" t="s">
        <v>1067</v>
      </c>
      <c r="E186" s="41"/>
      <c r="F186" s="41"/>
      <c r="G186" s="41"/>
      <c r="H186" s="41"/>
      <c r="I186" s="41"/>
      <c r="J186" s="41"/>
      <c r="K186" s="42"/>
    </row>
    <row r="187" spans="2:14" ht="9.75" customHeight="1" x14ac:dyDescent="0.3">
      <c r="B187" s="39"/>
      <c r="C187" s="293" t="str">
        <f>"1:"</f>
        <v>1:</v>
      </c>
      <c r="D187" s="291" t="s">
        <v>1072</v>
      </c>
      <c r="E187" s="41"/>
      <c r="F187" s="41"/>
      <c r="G187" s="41"/>
      <c r="H187" s="41"/>
      <c r="I187" s="41"/>
      <c r="J187" s="41"/>
      <c r="K187" s="42"/>
    </row>
    <row r="188" spans="2:14" ht="9.75" customHeight="1" x14ac:dyDescent="0.3">
      <c r="B188" s="39"/>
      <c r="C188" s="293" t="str">
        <f>"2:"</f>
        <v>2:</v>
      </c>
      <c r="D188" s="291" t="s">
        <v>1073</v>
      </c>
      <c r="E188" s="41"/>
      <c r="F188" s="41"/>
      <c r="G188" s="41"/>
      <c r="H188" s="41"/>
      <c r="I188" s="41"/>
      <c r="J188" s="41"/>
      <c r="K188" s="42"/>
    </row>
    <row r="189" spans="2:14" ht="9.75" customHeight="1" x14ac:dyDescent="0.3">
      <c r="B189" s="39"/>
      <c r="C189" s="293" t="str">
        <f>"3:"</f>
        <v>3:</v>
      </c>
      <c r="D189" s="291" t="s">
        <v>1074</v>
      </c>
      <c r="E189" s="41"/>
      <c r="F189" s="41"/>
      <c r="G189" s="41"/>
      <c r="H189" s="41"/>
      <c r="I189" s="41"/>
      <c r="J189" s="41"/>
      <c r="K189" s="42"/>
    </row>
    <row r="190" spans="2:14" ht="9.75" customHeight="1" x14ac:dyDescent="0.3">
      <c r="B190" s="39"/>
      <c r="C190" s="293" t="str">
        <f>"4:"</f>
        <v>4:</v>
      </c>
      <c r="D190" s="291" t="s">
        <v>1075</v>
      </c>
      <c r="E190" s="41"/>
      <c r="F190" s="41"/>
      <c r="G190" s="41"/>
      <c r="H190" s="41"/>
      <c r="I190" s="41"/>
      <c r="J190" s="41"/>
      <c r="K190" s="42"/>
      <c r="N190" s="12" t="s">
        <v>769</v>
      </c>
    </row>
    <row r="191" spans="2:14" x14ac:dyDescent="0.3">
      <c r="B191" s="39"/>
      <c r="C191" s="176" t="s">
        <v>770</v>
      </c>
      <c r="D191" s="41"/>
      <c r="E191" s="41"/>
      <c r="F191" s="41"/>
      <c r="G191" s="41"/>
      <c r="H191" s="41"/>
      <c r="I191" s="41"/>
      <c r="J191" s="276" t="s">
        <v>769</v>
      </c>
      <c r="K191" s="42"/>
      <c r="N191" s="12" t="s">
        <v>1041</v>
      </c>
    </row>
    <row r="192" spans="2:14" x14ac:dyDescent="0.3">
      <c r="B192" s="39"/>
      <c r="C192" s="176" t="s">
        <v>768</v>
      </c>
      <c r="D192" s="41"/>
      <c r="E192" s="41"/>
      <c r="F192" s="41"/>
      <c r="G192" s="41"/>
      <c r="H192" s="41"/>
      <c r="I192" s="41"/>
      <c r="J192" s="257" t="str">
        <f>IF(J191=N190,"N/A",IF(J191=N191,0,IF(J191=N192,1,IF(J191=N193,2,IF(J191=N194,3,IF(J191=N195,4,"N/A"))))))</f>
        <v>N/A</v>
      </c>
      <c r="K192" s="42"/>
      <c r="N192" s="12" t="s">
        <v>1046</v>
      </c>
    </row>
    <row r="193" spans="2:14" x14ac:dyDescent="0.3">
      <c r="B193" s="39"/>
      <c r="C193" s="41" t="s">
        <v>276</v>
      </c>
      <c r="D193" s="41"/>
      <c r="E193" s="41"/>
      <c r="F193" s="41"/>
      <c r="G193" s="41"/>
      <c r="H193" s="41"/>
      <c r="I193" s="41"/>
      <c r="J193" s="277" t="s">
        <v>1015</v>
      </c>
      <c r="K193" s="42"/>
      <c r="N193" s="12" t="s">
        <v>1047</v>
      </c>
    </row>
    <row r="194" spans="2:14" x14ac:dyDescent="0.3">
      <c r="B194" s="39"/>
      <c r="C194" s="41" t="s">
        <v>280</v>
      </c>
      <c r="D194" s="41"/>
      <c r="E194" s="41"/>
      <c r="F194" s="41"/>
      <c r="G194" s="41"/>
      <c r="H194" s="41"/>
      <c r="I194" s="41"/>
      <c r="J194" s="256">
        <f>IF(J193=$B$973,$A$973,IF(J193=$B$974,$A$974,IF(J193=$B$975,$A$975,IF(J193=$B$976,$A$976,IF(J193=$B$977,$A$977,"Not Calculated")))))</f>
        <v>0</v>
      </c>
      <c r="K194" s="42"/>
      <c r="N194" s="12" t="s">
        <v>1048</v>
      </c>
    </row>
    <row r="195" spans="2:14" x14ac:dyDescent="0.3">
      <c r="B195" s="39"/>
      <c r="C195" s="41" t="s">
        <v>1038</v>
      </c>
      <c r="D195" s="41"/>
      <c r="E195" s="41"/>
      <c r="F195" s="41"/>
      <c r="G195" s="41"/>
      <c r="H195" s="41"/>
      <c r="I195" s="41"/>
      <c r="J195" s="41"/>
      <c r="K195" s="42"/>
      <c r="N195" s="12" t="s">
        <v>1049</v>
      </c>
    </row>
    <row r="196" spans="2:14" ht="30" customHeight="1" x14ac:dyDescent="0.3">
      <c r="B196" s="39"/>
      <c r="C196" s="343" t="s">
        <v>682</v>
      </c>
      <c r="D196" s="344"/>
      <c r="E196" s="344"/>
      <c r="F196" s="344"/>
      <c r="G196" s="344"/>
      <c r="H196" s="344"/>
      <c r="I196" s="344"/>
      <c r="J196" s="345"/>
      <c r="K196" s="42"/>
    </row>
    <row r="197" spans="2:14" x14ac:dyDescent="0.3">
      <c r="B197" s="39"/>
      <c r="C197" s="41"/>
      <c r="D197" s="41"/>
      <c r="E197" s="41"/>
      <c r="F197" s="41"/>
      <c r="G197" s="41"/>
      <c r="H197" s="41"/>
      <c r="I197" s="41"/>
      <c r="J197" s="41"/>
      <c r="K197" s="42"/>
    </row>
    <row r="198" spans="2:14" x14ac:dyDescent="0.3">
      <c r="B198" s="39"/>
      <c r="C198" s="181" t="s">
        <v>294</v>
      </c>
      <c r="D198" s="41"/>
      <c r="E198" s="41"/>
      <c r="F198" s="41"/>
      <c r="G198" s="41"/>
      <c r="H198" s="41"/>
      <c r="I198" s="41"/>
      <c r="J198" s="256" t="str">
        <f>IF(J192="N/A",IF(OR(J185="Not Calculated",J194="Not Calculated")=TRUE,"Not Calculated",AVERAGE(J185,J194)),AVERAGE(J192,J194))</f>
        <v>Not Calculated</v>
      </c>
      <c r="K198" s="42"/>
    </row>
    <row r="199" spans="2:14" x14ac:dyDescent="0.3">
      <c r="B199" s="39"/>
      <c r="C199" s="41"/>
      <c r="D199" s="41"/>
      <c r="E199" s="41"/>
      <c r="F199" s="41"/>
      <c r="G199" s="41"/>
      <c r="H199" s="41"/>
      <c r="I199" s="41"/>
      <c r="J199" s="41"/>
      <c r="K199" s="42"/>
    </row>
    <row r="200" spans="2:14" x14ac:dyDescent="0.3">
      <c r="B200" s="39"/>
      <c r="C200" s="41"/>
      <c r="D200" s="41"/>
      <c r="E200" s="41"/>
      <c r="F200" s="41"/>
      <c r="G200" s="41"/>
      <c r="H200" s="41"/>
      <c r="I200" s="41"/>
      <c r="J200" s="41"/>
      <c r="K200" s="42"/>
    </row>
    <row r="201" spans="2:14" ht="15.6" x14ac:dyDescent="0.3">
      <c r="B201" s="39"/>
      <c r="C201" s="46" t="s">
        <v>70</v>
      </c>
      <c r="D201" s="41"/>
      <c r="E201" s="41"/>
      <c r="F201" s="41"/>
      <c r="G201" s="41"/>
      <c r="H201" s="41"/>
      <c r="I201" s="41"/>
      <c r="J201" s="41"/>
      <c r="K201" s="42"/>
    </row>
    <row r="202" spans="2:14" x14ac:dyDescent="0.3">
      <c r="B202" s="39"/>
      <c r="C202" s="41" t="s">
        <v>495</v>
      </c>
      <c r="D202" s="41"/>
      <c r="E202" s="41"/>
      <c r="F202" s="41"/>
      <c r="G202" s="41"/>
      <c r="H202" s="41"/>
      <c r="I202" s="41"/>
      <c r="J202" s="263">
        <f>'Baseline Health'!G65</f>
        <v>0</v>
      </c>
      <c r="K202" s="42"/>
    </row>
    <row r="203" spans="2:14" x14ac:dyDescent="0.3">
      <c r="B203" s="39"/>
      <c r="C203" s="41" t="s">
        <v>301</v>
      </c>
      <c r="D203" s="41"/>
      <c r="E203" s="41"/>
      <c r="F203" s="41"/>
      <c r="G203" s="41"/>
      <c r="H203" s="41"/>
      <c r="I203" s="41"/>
      <c r="J203" s="275">
        <v>0</v>
      </c>
      <c r="K203" s="42"/>
    </row>
    <row r="204" spans="2:14" x14ac:dyDescent="0.3">
      <c r="B204" s="39"/>
      <c r="C204" s="41" t="s">
        <v>375</v>
      </c>
      <c r="D204" s="41"/>
      <c r="E204" s="41"/>
      <c r="F204" s="41"/>
      <c r="G204" s="41"/>
      <c r="H204" s="41"/>
      <c r="I204" s="41"/>
      <c r="J204" s="275">
        <f>J202*0.2</f>
        <v>0</v>
      </c>
      <c r="K204" s="42"/>
    </row>
    <row r="205" spans="2:14" x14ac:dyDescent="0.3">
      <c r="B205" s="39"/>
      <c r="C205" s="41" t="s">
        <v>279</v>
      </c>
      <c r="D205" s="41"/>
      <c r="E205" s="41"/>
      <c r="F205" s="41"/>
      <c r="G205" s="41"/>
      <c r="H205" s="41"/>
      <c r="I205" s="41"/>
      <c r="J205" s="256" t="str">
        <f>IF(OR(J202=0,J202="Not Calculated")=TRUE,"Not Calculated",IF(J202-J203=0,4,IF(((J202+J204)/(J202-J203))&lt;=1,0,IF(((J202+J204)/(J202-J203))&lt;=1.05,1,IF(((J202+J204)/(J202-J203))&lt;=1.5, 2,IF(((J202+J204)/(J202-J203))&lt;=2,3,4))))))</f>
        <v>Not Calculated</v>
      </c>
      <c r="K205" s="42"/>
    </row>
    <row r="206" spans="2:14" ht="9.75" customHeight="1" x14ac:dyDescent="0.3">
      <c r="B206" s="39"/>
      <c r="C206" s="292" t="str">
        <f>"0:"</f>
        <v>0:</v>
      </c>
      <c r="D206" s="291" t="s">
        <v>1067</v>
      </c>
      <c r="E206" s="41"/>
      <c r="F206" s="41"/>
      <c r="G206" s="41"/>
      <c r="H206" s="41"/>
      <c r="I206" s="41"/>
      <c r="J206" s="41"/>
      <c r="K206" s="42"/>
    </row>
    <row r="207" spans="2:14" ht="9.75" customHeight="1" x14ac:dyDescent="0.3">
      <c r="B207" s="39"/>
      <c r="C207" s="293" t="str">
        <f>"1:"</f>
        <v>1:</v>
      </c>
      <c r="D207" s="291" t="s">
        <v>1072</v>
      </c>
      <c r="E207" s="41"/>
      <c r="F207" s="41"/>
      <c r="G207" s="41"/>
      <c r="H207" s="41"/>
      <c r="I207" s="41"/>
      <c r="J207" s="41"/>
      <c r="K207" s="42"/>
    </row>
    <row r="208" spans="2:14" ht="9.75" customHeight="1" x14ac:dyDescent="0.3">
      <c r="B208" s="39"/>
      <c r="C208" s="293" t="str">
        <f>"2:"</f>
        <v>2:</v>
      </c>
      <c r="D208" s="291" t="s">
        <v>1073</v>
      </c>
      <c r="E208" s="41"/>
      <c r="F208" s="41"/>
      <c r="G208" s="41"/>
      <c r="H208" s="41"/>
      <c r="I208" s="41"/>
      <c r="J208" s="41"/>
      <c r="K208" s="42"/>
    </row>
    <row r="209" spans="2:14" ht="9.75" customHeight="1" x14ac:dyDescent="0.3">
      <c r="B209" s="39"/>
      <c r="C209" s="293" t="str">
        <f>"3:"</f>
        <v>3:</v>
      </c>
      <c r="D209" s="291" t="s">
        <v>1074</v>
      </c>
      <c r="E209" s="41"/>
      <c r="F209" s="41"/>
      <c r="G209" s="41"/>
      <c r="H209" s="41"/>
      <c r="I209" s="41"/>
      <c r="J209" s="41"/>
      <c r="K209" s="42"/>
    </row>
    <row r="210" spans="2:14" ht="9.75" customHeight="1" x14ac:dyDescent="0.3">
      <c r="B210" s="39"/>
      <c r="C210" s="293" t="str">
        <f>"4:"</f>
        <v>4:</v>
      </c>
      <c r="D210" s="291" t="s">
        <v>1075</v>
      </c>
      <c r="E210" s="41"/>
      <c r="F210" s="41"/>
      <c r="G210" s="41"/>
      <c r="H210" s="41"/>
      <c r="I210" s="41"/>
      <c r="J210" s="41"/>
      <c r="K210" s="42"/>
      <c r="N210" s="12" t="s">
        <v>769</v>
      </c>
    </row>
    <row r="211" spans="2:14" x14ac:dyDescent="0.3">
      <c r="B211" s="39"/>
      <c r="C211" s="176" t="s">
        <v>770</v>
      </c>
      <c r="D211" s="41"/>
      <c r="E211" s="41"/>
      <c r="F211" s="41"/>
      <c r="G211" s="41"/>
      <c r="H211" s="41"/>
      <c r="I211" s="41"/>
      <c r="J211" s="276" t="s">
        <v>769</v>
      </c>
      <c r="K211" s="42"/>
      <c r="N211" s="12" t="s">
        <v>1041</v>
      </c>
    </row>
    <row r="212" spans="2:14" x14ac:dyDescent="0.3">
      <c r="B212" s="39"/>
      <c r="C212" s="176" t="s">
        <v>768</v>
      </c>
      <c r="D212" s="41"/>
      <c r="E212" s="41"/>
      <c r="F212" s="41"/>
      <c r="G212" s="41"/>
      <c r="H212" s="41"/>
      <c r="I212" s="41"/>
      <c r="J212" s="257" t="str">
        <f>IF(J211=N210,"N/A",IF(J211=N211,0,IF(J211=N212,1,IF(J211=N213,2,IF(J211=N214,3,IF(J211=N215,4,"N/A"))))))</f>
        <v>N/A</v>
      </c>
      <c r="K212" s="42"/>
      <c r="N212" s="12" t="s">
        <v>1046</v>
      </c>
    </row>
    <row r="213" spans="2:14" x14ac:dyDescent="0.3">
      <c r="B213" s="39"/>
      <c r="C213" s="41" t="s">
        <v>276</v>
      </c>
      <c r="D213" s="41"/>
      <c r="E213" s="41"/>
      <c r="F213" s="41"/>
      <c r="G213" s="41"/>
      <c r="H213" s="41"/>
      <c r="I213" s="41"/>
      <c r="J213" s="277" t="s">
        <v>1017</v>
      </c>
      <c r="K213" s="42"/>
      <c r="N213" s="12" t="s">
        <v>1047</v>
      </c>
    </row>
    <row r="214" spans="2:14" x14ac:dyDescent="0.3">
      <c r="B214" s="39"/>
      <c r="C214" s="41" t="s">
        <v>280</v>
      </c>
      <c r="D214" s="41"/>
      <c r="E214" s="41"/>
      <c r="F214" s="41"/>
      <c r="G214" s="41"/>
      <c r="H214" s="41"/>
      <c r="I214" s="41"/>
      <c r="J214" s="256">
        <f>IF(J213=$B$973,$A$973,IF(J213=$B$974,$A$974,IF(J213=$B$975,$A$975,IF(J213=$B$976,$A$976,IF(J213=$B$977,$A$977,"Not Calculated")))))</f>
        <v>2</v>
      </c>
      <c r="K214" s="42"/>
      <c r="N214" s="12" t="s">
        <v>1048</v>
      </c>
    </row>
    <row r="215" spans="2:14" x14ac:dyDescent="0.3">
      <c r="B215" s="39"/>
      <c r="C215" s="41" t="s">
        <v>1038</v>
      </c>
      <c r="D215" s="41"/>
      <c r="E215" s="41"/>
      <c r="F215" s="41"/>
      <c r="G215" s="41"/>
      <c r="H215" s="41"/>
      <c r="I215" s="41"/>
      <c r="J215" s="41"/>
      <c r="K215" s="42"/>
      <c r="N215" s="12" t="s">
        <v>1049</v>
      </c>
    </row>
    <row r="216" spans="2:14" ht="15" customHeight="1" x14ac:dyDescent="0.3">
      <c r="B216" s="39"/>
      <c r="C216" s="343" t="s">
        <v>683</v>
      </c>
      <c r="D216" s="344"/>
      <c r="E216" s="344"/>
      <c r="F216" s="344"/>
      <c r="G216" s="344"/>
      <c r="H216" s="344"/>
      <c r="I216" s="344"/>
      <c r="J216" s="345"/>
      <c r="K216" s="42"/>
    </row>
    <row r="217" spans="2:14" x14ac:dyDescent="0.3">
      <c r="B217" s="39"/>
      <c r="C217" s="41"/>
      <c r="D217" s="41"/>
      <c r="E217" s="41"/>
      <c r="F217" s="41"/>
      <c r="G217" s="41"/>
      <c r="H217" s="41"/>
      <c r="I217" s="41"/>
      <c r="J217" s="41"/>
      <c r="K217" s="42"/>
    </row>
    <row r="218" spans="2:14" x14ac:dyDescent="0.3">
      <c r="B218" s="39"/>
      <c r="C218" s="181" t="s">
        <v>295</v>
      </c>
      <c r="D218" s="41"/>
      <c r="E218" s="41"/>
      <c r="F218" s="41"/>
      <c r="G218" s="41"/>
      <c r="H218" s="41"/>
      <c r="I218" s="41"/>
      <c r="J218" s="256" t="str">
        <f>IF(J212="N/A",IF(OR(J205="Not Calculated",J214="Not Calculated")=TRUE,"Not Calculated",AVERAGE(J205,J214)),AVERAGE(J212,J214))</f>
        <v>Not Calculated</v>
      </c>
      <c r="K218" s="42"/>
    </row>
    <row r="219" spans="2:14" x14ac:dyDescent="0.3">
      <c r="B219" s="39"/>
      <c r="C219" s="41"/>
      <c r="D219" s="41"/>
      <c r="E219" s="41"/>
      <c r="F219" s="41"/>
      <c r="G219" s="41"/>
      <c r="H219" s="41"/>
      <c r="I219" s="41"/>
      <c r="J219" s="41"/>
      <c r="K219" s="42"/>
    </row>
    <row r="220" spans="2:14" x14ac:dyDescent="0.3">
      <c r="B220" s="39"/>
      <c r="C220" s="41"/>
      <c r="D220" s="41"/>
      <c r="E220" s="41"/>
      <c r="F220" s="41"/>
      <c r="G220" s="41"/>
      <c r="H220" s="41"/>
      <c r="I220" s="41"/>
      <c r="J220" s="41"/>
      <c r="K220" s="42"/>
    </row>
    <row r="221" spans="2:14" ht="15.6" x14ac:dyDescent="0.3">
      <c r="B221" s="39"/>
      <c r="C221" s="46" t="s">
        <v>71</v>
      </c>
      <c r="D221" s="41"/>
      <c r="E221" s="41"/>
      <c r="F221" s="41"/>
      <c r="G221" s="41"/>
      <c r="H221" s="41"/>
      <c r="I221" s="41"/>
      <c r="J221" s="41"/>
      <c r="K221" s="42"/>
    </row>
    <row r="222" spans="2:14" ht="15" customHeight="1" x14ac:dyDescent="0.3">
      <c r="B222" s="39"/>
      <c r="C222" s="41" t="s">
        <v>376</v>
      </c>
      <c r="D222" s="41"/>
      <c r="E222" s="41"/>
      <c r="F222" s="41"/>
      <c r="G222" s="41"/>
      <c r="H222" s="41"/>
      <c r="I222" s="41"/>
      <c r="J222" s="263">
        <f>'Baseline Health'!G71</f>
        <v>0</v>
      </c>
      <c r="K222" s="42"/>
    </row>
    <row r="223" spans="2:14" x14ac:dyDescent="0.3">
      <c r="B223" s="39"/>
      <c r="C223" s="41" t="s">
        <v>377</v>
      </c>
      <c r="D223" s="41"/>
      <c r="E223" s="41"/>
      <c r="F223" s="41"/>
      <c r="G223" s="41"/>
      <c r="H223" s="41"/>
      <c r="I223" s="41"/>
      <c r="J223" s="275">
        <v>0</v>
      </c>
      <c r="K223" s="42"/>
    </row>
    <row r="224" spans="2:14" x14ac:dyDescent="0.3">
      <c r="B224" s="39"/>
      <c r="C224" s="41" t="s">
        <v>496</v>
      </c>
      <c r="D224" s="41"/>
      <c r="E224" s="41"/>
      <c r="F224" s="41"/>
      <c r="G224" s="41"/>
      <c r="H224" s="41"/>
      <c r="I224" s="41"/>
      <c r="J224" s="262">
        <f>J102</f>
        <v>0</v>
      </c>
      <c r="K224" s="42"/>
    </row>
    <row r="225" spans="2:14" x14ac:dyDescent="0.3">
      <c r="B225" s="39"/>
      <c r="C225" s="41"/>
      <c r="D225" s="41" t="s">
        <v>497</v>
      </c>
      <c r="E225" s="41"/>
      <c r="F225" s="41"/>
      <c r="G225" s="41"/>
      <c r="H225" s="41"/>
      <c r="I225" s="41"/>
      <c r="J225" s="41"/>
      <c r="K225" s="42"/>
    </row>
    <row r="226" spans="2:14" x14ac:dyDescent="0.3">
      <c r="B226" s="39"/>
      <c r="C226" s="41" t="s">
        <v>279</v>
      </c>
      <c r="D226" s="41"/>
      <c r="E226" s="41"/>
      <c r="F226" s="41"/>
      <c r="G226" s="41"/>
      <c r="H226" s="41"/>
      <c r="I226" s="41"/>
      <c r="J226" s="256" t="str">
        <f>IF(OR(J222=0,J222="Not Calculated")=TRUE,"Not Calculated",IF(J222-J223=0,4,IF(((J222+J224)/(J222-J223))&lt;=1,0,IF(((J222+J224)/(J222-J223))&lt;=1.05,1,IF(((J222+J224)/(J222-J223))&lt;=1.5, 2,IF(((J222+J224)/(J222-J223))&lt;=2,3,4))))))</f>
        <v>Not Calculated</v>
      </c>
      <c r="K226" s="42"/>
    </row>
    <row r="227" spans="2:14" ht="9.75" customHeight="1" x14ac:dyDescent="0.3">
      <c r="B227" s="39"/>
      <c r="C227" s="292" t="str">
        <f>"0:"</f>
        <v>0:</v>
      </c>
      <c r="D227" s="291" t="s">
        <v>1067</v>
      </c>
      <c r="E227" s="41"/>
      <c r="F227" s="41"/>
      <c r="G227" s="41"/>
      <c r="H227" s="41"/>
      <c r="I227" s="41"/>
      <c r="J227" s="41"/>
      <c r="K227" s="42"/>
    </row>
    <row r="228" spans="2:14" ht="9.75" customHeight="1" x14ac:dyDescent="0.3">
      <c r="B228" s="39"/>
      <c r="C228" s="293" t="str">
        <f>"1:"</f>
        <v>1:</v>
      </c>
      <c r="D228" s="291" t="s">
        <v>1072</v>
      </c>
      <c r="E228" s="41"/>
      <c r="F228" s="41"/>
      <c r="G228" s="41"/>
      <c r="H228" s="41"/>
      <c r="I228" s="41"/>
      <c r="J228" s="41"/>
      <c r="K228" s="42"/>
    </row>
    <row r="229" spans="2:14" ht="9.75" customHeight="1" x14ac:dyDescent="0.3">
      <c r="B229" s="39"/>
      <c r="C229" s="293" t="str">
        <f>"2:"</f>
        <v>2:</v>
      </c>
      <c r="D229" s="291" t="s">
        <v>1073</v>
      </c>
      <c r="E229" s="41"/>
      <c r="F229" s="41"/>
      <c r="G229" s="41"/>
      <c r="H229" s="41"/>
      <c r="I229" s="41"/>
      <c r="J229" s="41"/>
      <c r="K229" s="42"/>
    </row>
    <row r="230" spans="2:14" ht="9.75" customHeight="1" x14ac:dyDescent="0.3">
      <c r="B230" s="39"/>
      <c r="C230" s="293" t="str">
        <f>"3:"</f>
        <v>3:</v>
      </c>
      <c r="D230" s="291" t="s">
        <v>1074</v>
      </c>
      <c r="E230" s="41"/>
      <c r="F230" s="41"/>
      <c r="G230" s="41"/>
      <c r="H230" s="41"/>
      <c r="I230" s="41"/>
      <c r="J230" s="41"/>
      <c r="K230" s="42"/>
    </row>
    <row r="231" spans="2:14" ht="9.75" customHeight="1" x14ac:dyDescent="0.3">
      <c r="B231" s="39"/>
      <c r="C231" s="293" t="str">
        <f>"4:"</f>
        <v>4:</v>
      </c>
      <c r="D231" s="291" t="s">
        <v>1075</v>
      </c>
      <c r="E231" s="41"/>
      <c r="F231" s="41"/>
      <c r="G231" s="41"/>
      <c r="H231" s="41"/>
      <c r="I231" s="41"/>
      <c r="J231" s="41"/>
      <c r="K231" s="42"/>
      <c r="N231" s="12" t="s">
        <v>769</v>
      </c>
    </row>
    <row r="232" spans="2:14" x14ac:dyDescent="0.3">
      <c r="B232" s="39"/>
      <c r="C232" s="176" t="s">
        <v>770</v>
      </c>
      <c r="D232" s="41"/>
      <c r="E232" s="41"/>
      <c r="F232" s="41"/>
      <c r="G232" s="41"/>
      <c r="H232" s="41"/>
      <c r="I232" s="41"/>
      <c r="J232" s="276" t="s">
        <v>769</v>
      </c>
      <c r="K232" s="42"/>
      <c r="N232" s="12" t="s">
        <v>1041</v>
      </c>
    </row>
    <row r="233" spans="2:14" x14ac:dyDescent="0.3">
      <c r="B233" s="39"/>
      <c r="C233" s="176" t="s">
        <v>768</v>
      </c>
      <c r="D233" s="41"/>
      <c r="E233" s="41"/>
      <c r="F233" s="41"/>
      <c r="G233" s="41"/>
      <c r="H233" s="41"/>
      <c r="I233" s="41"/>
      <c r="J233" s="257" t="str">
        <f>IF(J232=N231,"N/A",IF(J232=N232,0,IF(J232=N233,1,IF(J232=N234,2,IF(J232=N235,3,IF(J232=N236,4,"N/A"))))))</f>
        <v>N/A</v>
      </c>
      <c r="K233" s="42"/>
      <c r="N233" s="12" t="s">
        <v>1046</v>
      </c>
    </row>
    <row r="234" spans="2:14" x14ac:dyDescent="0.3">
      <c r="B234" s="39"/>
      <c r="C234" s="41" t="s">
        <v>276</v>
      </c>
      <c r="D234" s="41"/>
      <c r="E234" s="41"/>
      <c r="F234" s="41"/>
      <c r="G234" s="41"/>
      <c r="H234" s="41"/>
      <c r="I234" s="41"/>
      <c r="J234" s="277" t="s">
        <v>1017</v>
      </c>
      <c r="K234" s="42"/>
      <c r="N234" s="12" t="s">
        <v>1047</v>
      </c>
    </row>
    <row r="235" spans="2:14" x14ac:dyDescent="0.3">
      <c r="B235" s="39"/>
      <c r="C235" s="41" t="s">
        <v>280</v>
      </c>
      <c r="D235" s="41"/>
      <c r="E235" s="41"/>
      <c r="F235" s="41"/>
      <c r="G235" s="41"/>
      <c r="H235" s="41"/>
      <c r="I235" s="41"/>
      <c r="J235" s="256">
        <f>IF(J234=$B$973,$A$973,IF(J234=$B$974,$A$974,IF(J234=$B$975,$A$975,IF(J234=$B$976,$A$976,IF(J234=$B$977,$A$977,"Not Calculated")))))</f>
        <v>2</v>
      </c>
      <c r="K235" s="42"/>
      <c r="N235" s="12" t="s">
        <v>1048</v>
      </c>
    </row>
    <row r="236" spans="2:14" x14ac:dyDescent="0.3">
      <c r="B236" s="39"/>
      <c r="C236" s="41" t="s">
        <v>1038</v>
      </c>
      <c r="D236" s="41"/>
      <c r="E236" s="41"/>
      <c r="F236" s="41"/>
      <c r="G236" s="41"/>
      <c r="H236" s="41"/>
      <c r="I236" s="41"/>
      <c r="J236" s="41"/>
      <c r="K236" s="42"/>
      <c r="N236" s="12" t="s">
        <v>1049</v>
      </c>
    </row>
    <row r="237" spans="2:14" ht="15" customHeight="1" x14ac:dyDescent="0.3">
      <c r="B237" s="39"/>
      <c r="C237" s="343"/>
      <c r="D237" s="344"/>
      <c r="E237" s="344"/>
      <c r="F237" s="344"/>
      <c r="G237" s="344"/>
      <c r="H237" s="344"/>
      <c r="I237" s="344"/>
      <c r="J237" s="345"/>
      <c r="K237" s="42"/>
    </row>
    <row r="238" spans="2:14" x14ac:dyDescent="0.3">
      <c r="B238" s="39"/>
      <c r="C238" s="41"/>
      <c r="D238" s="41"/>
      <c r="E238" s="41"/>
      <c r="F238" s="41"/>
      <c r="G238" s="41"/>
      <c r="H238" s="41"/>
      <c r="I238" s="41"/>
      <c r="J238" s="41"/>
      <c r="K238" s="42"/>
    </row>
    <row r="239" spans="2:14" x14ac:dyDescent="0.3">
      <c r="B239" s="39"/>
      <c r="C239" s="181" t="s">
        <v>296</v>
      </c>
      <c r="D239" s="41"/>
      <c r="E239" s="41"/>
      <c r="F239" s="41"/>
      <c r="G239" s="41"/>
      <c r="H239" s="41"/>
      <c r="I239" s="41"/>
      <c r="J239" s="256" t="str">
        <f>IF(J233="N/A",IF(OR(J226="Not Calculated",J235="Not Calculated")=TRUE,"Not Calculated",AVERAGE(J226,J235)),AVERAGE(J233,J235))</f>
        <v>Not Calculated</v>
      </c>
      <c r="K239" s="42"/>
    </row>
    <row r="240" spans="2:14" x14ac:dyDescent="0.3">
      <c r="B240" s="39"/>
      <c r="C240" s="41"/>
      <c r="D240" s="41"/>
      <c r="E240" s="41"/>
      <c r="F240" s="41"/>
      <c r="G240" s="41"/>
      <c r="H240" s="41"/>
      <c r="I240" s="41"/>
      <c r="J240" s="41"/>
      <c r="K240" s="42"/>
    </row>
    <row r="241" spans="2:14" x14ac:dyDescent="0.3">
      <c r="B241" s="39"/>
      <c r="C241" s="41"/>
      <c r="D241" s="41"/>
      <c r="E241" s="41"/>
      <c r="F241" s="41"/>
      <c r="G241" s="41"/>
      <c r="H241" s="41"/>
      <c r="I241" s="41"/>
      <c r="J241" s="41"/>
      <c r="K241" s="42"/>
    </row>
    <row r="242" spans="2:14" ht="15.6" x14ac:dyDescent="0.3">
      <c r="B242" s="39"/>
      <c r="C242" s="46" t="s">
        <v>297</v>
      </c>
      <c r="D242" s="41"/>
      <c r="E242" s="41"/>
      <c r="F242" s="41"/>
      <c r="G242" s="41"/>
      <c r="H242" s="41"/>
      <c r="I242" s="41"/>
      <c r="J242" s="41"/>
      <c r="K242" s="42"/>
    </row>
    <row r="243" spans="2:14" ht="15" customHeight="1" x14ac:dyDescent="0.3">
      <c r="B243" s="39"/>
      <c r="C243" s="41" t="s">
        <v>498</v>
      </c>
      <c r="D243" s="41"/>
      <c r="E243" s="41"/>
      <c r="F243" s="41"/>
      <c r="G243" s="41"/>
      <c r="H243" s="41"/>
      <c r="I243" s="41"/>
      <c r="J243" s="265">
        <f>'Baseline Health'!G77</f>
        <v>0</v>
      </c>
      <c r="K243" s="42"/>
    </row>
    <row r="244" spans="2:14" x14ac:dyDescent="0.3">
      <c r="B244" s="39"/>
      <c r="C244" s="41" t="s">
        <v>378</v>
      </c>
      <c r="D244" s="41"/>
      <c r="E244" s="41"/>
      <c r="F244" s="41"/>
      <c r="G244" s="41"/>
      <c r="H244" s="41"/>
      <c r="I244" s="41"/>
      <c r="J244" s="275">
        <f>J243*0.6</f>
        <v>0</v>
      </c>
      <c r="K244" s="42"/>
    </row>
    <row r="245" spans="2:14" x14ac:dyDescent="0.3">
      <c r="B245" s="39"/>
      <c r="C245" s="41" t="s">
        <v>380</v>
      </c>
      <c r="D245" s="305"/>
      <c r="E245" s="305"/>
      <c r="F245" s="305"/>
      <c r="G245" s="305"/>
      <c r="H245" s="305"/>
      <c r="I245" s="305"/>
      <c r="J245" s="275">
        <f>-J243*0.6</f>
        <v>0</v>
      </c>
      <c r="K245" s="42"/>
    </row>
    <row r="246" spans="2:14" x14ac:dyDescent="0.3">
      <c r="B246" s="39"/>
      <c r="C246" s="41" t="s">
        <v>279</v>
      </c>
      <c r="D246" s="41"/>
      <c r="E246" s="41"/>
      <c r="F246" s="41"/>
      <c r="G246" s="41"/>
      <c r="H246" s="41"/>
      <c r="I246" s="41"/>
      <c r="J246" s="256" t="str">
        <f>IF(OR(J243=0,J243="Not Calculated")=TRUE,"Not Calculated",IF(J243-J244=0,4,(IF(((J243+J245)/(J243-J244))&lt;=1,0,IF(((J243+J245)/(J243-J244))&lt;=1.05,1,IF(((J243+J245)/(J243-J244))&lt;=1.5,2,IF(((J243+J245)/(J243-J244))&lt;=2,3,4)))))))</f>
        <v>Not Calculated</v>
      </c>
      <c r="K246" s="42"/>
    </row>
    <row r="247" spans="2:14" ht="9.75" customHeight="1" x14ac:dyDescent="0.3">
      <c r="B247" s="39"/>
      <c r="C247" s="292" t="str">
        <f>"0:"</f>
        <v>0:</v>
      </c>
      <c r="D247" s="291" t="s">
        <v>1067</v>
      </c>
      <c r="E247" s="41"/>
      <c r="F247" s="41"/>
      <c r="G247" s="41"/>
      <c r="H247" s="41"/>
      <c r="I247" s="41"/>
      <c r="J247" s="41"/>
      <c r="K247" s="42"/>
    </row>
    <row r="248" spans="2:14" ht="9.75" customHeight="1" x14ac:dyDescent="0.3">
      <c r="B248" s="39"/>
      <c r="C248" s="293" t="str">
        <f>"1:"</f>
        <v>1:</v>
      </c>
      <c r="D248" s="291" t="s">
        <v>1072</v>
      </c>
      <c r="E248" s="41"/>
      <c r="F248" s="41"/>
      <c r="G248" s="41"/>
      <c r="H248" s="41"/>
      <c r="I248" s="41"/>
      <c r="J248" s="41"/>
      <c r="K248" s="42"/>
    </row>
    <row r="249" spans="2:14" ht="9.75" customHeight="1" x14ac:dyDescent="0.3">
      <c r="B249" s="39"/>
      <c r="C249" s="293" t="str">
        <f>"2:"</f>
        <v>2:</v>
      </c>
      <c r="D249" s="291" t="s">
        <v>1073</v>
      </c>
      <c r="E249" s="41"/>
      <c r="F249" s="41"/>
      <c r="G249" s="41"/>
      <c r="H249" s="41"/>
      <c r="I249" s="41"/>
      <c r="J249" s="41"/>
      <c r="K249" s="42"/>
    </row>
    <row r="250" spans="2:14" ht="9.75" customHeight="1" x14ac:dyDescent="0.3">
      <c r="B250" s="39"/>
      <c r="C250" s="293" t="str">
        <f>"3:"</f>
        <v>3:</v>
      </c>
      <c r="D250" s="291" t="s">
        <v>1074</v>
      </c>
      <c r="E250" s="41"/>
      <c r="F250" s="41"/>
      <c r="G250" s="41"/>
      <c r="H250" s="41"/>
      <c r="I250" s="41"/>
      <c r="J250" s="41"/>
      <c r="K250" s="42"/>
    </row>
    <row r="251" spans="2:14" ht="9.75" customHeight="1" x14ac:dyDescent="0.3">
      <c r="B251" s="39"/>
      <c r="C251" s="293" t="str">
        <f>"4:"</f>
        <v>4:</v>
      </c>
      <c r="D251" s="291" t="s">
        <v>1075</v>
      </c>
      <c r="E251" s="41"/>
      <c r="F251" s="41"/>
      <c r="G251" s="41"/>
      <c r="H251" s="41"/>
      <c r="I251" s="41"/>
      <c r="J251" s="41"/>
      <c r="K251" s="42"/>
      <c r="N251" s="12" t="s">
        <v>769</v>
      </c>
    </row>
    <row r="252" spans="2:14" x14ac:dyDescent="0.3">
      <c r="B252" s="39"/>
      <c r="C252" s="176" t="s">
        <v>770</v>
      </c>
      <c r="D252" s="41"/>
      <c r="E252" s="41"/>
      <c r="F252" s="41"/>
      <c r="G252" s="41"/>
      <c r="H252" s="41"/>
      <c r="I252" s="41"/>
      <c r="J252" s="276" t="s">
        <v>769</v>
      </c>
      <c r="K252" s="42"/>
      <c r="N252" s="12" t="s">
        <v>1041</v>
      </c>
    </row>
    <row r="253" spans="2:14" x14ac:dyDescent="0.3">
      <c r="B253" s="39"/>
      <c r="C253" s="176" t="s">
        <v>768</v>
      </c>
      <c r="D253" s="41"/>
      <c r="E253" s="41"/>
      <c r="F253" s="41"/>
      <c r="G253" s="41"/>
      <c r="H253" s="41"/>
      <c r="I253" s="41"/>
      <c r="J253" s="257" t="str">
        <f>IF(J252=N251,"N/A",IF(J252=N252,0,IF(J252=N253,1,IF(J252=N254,2,IF(J252=N255,3,IF(J252=N256,4,"N/A"))))))</f>
        <v>N/A</v>
      </c>
      <c r="K253" s="42"/>
      <c r="N253" s="12" t="s">
        <v>1046</v>
      </c>
    </row>
    <row r="254" spans="2:14" x14ac:dyDescent="0.3">
      <c r="B254" s="39"/>
      <c r="C254" s="41" t="s">
        <v>276</v>
      </c>
      <c r="D254" s="41"/>
      <c r="E254" s="41"/>
      <c r="F254" s="41"/>
      <c r="G254" s="41"/>
      <c r="H254" s="41"/>
      <c r="I254" s="41"/>
      <c r="J254" s="277" t="s">
        <v>1015</v>
      </c>
      <c r="K254" s="42"/>
      <c r="N254" s="12" t="s">
        <v>1047</v>
      </c>
    </row>
    <row r="255" spans="2:14" x14ac:dyDescent="0.3">
      <c r="B255" s="39"/>
      <c r="C255" s="41" t="s">
        <v>280</v>
      </c>
      <c r="D255" s="41"/>
      <c r="E255" s="41"/>
      <c r="F255" s="41"/>
      <c r="G255" s="41"/>
      <c r="H255" s="41"/>
      <c r="I255" s="41"/>
      <c r="J255" s="256">
        <f>IF(J254=$B$973,$A$973,IF(J254=$B$974,$A$974,IF(J254=$B$975,$A$975,IF(J254=$B$976,$A$976,IF(J254=$B$977,$A$977,"Not Calculated")))))</f>
        <v>0</v>
      </c>
      <c r="K255" s="42"/>
      <c r="N255" s="12" t="s">
        <v>1048</v>
      </c>
    </row>
    <row r="256" spans="2:14" x14ac:dyDescent="0.3">
      <c r="B256" s="39"/>
      <c r="C256" s="41" t="s">
        <v>1038</v>
      </c>
      <c r="D256" s="41"/>
      <c r="E256" s="41"/>
      <c r="F256" s="41"/>
      <c r="G256" s="41"/>
      <c r="H256" s="41"/>
      <c r="I256" s="41"/>
      <c r="J256" s="41"/>
      <c r="K256" s="42"/>
      <c r="N256" s="12" t="s">
        <v>1049</v>
      </c>
    </row>
    <row r="257" spans="2:11" ht="30" customHeight="1" x14ac:dyDescent="0.3">
      <c r="B257" s="39"/>
      <c r="C257" s="343" t="s">
        <v>684</v>
      </c>
      <c r="D257" s="344"/>
      <c r="E257" s="344"/>
      <c r="F257" s="344"/>
      <c r="G257" s="344"/>
      <c r="H257" s="344"/>
      <c r="I257" s="344"/>
      <c r="J257" s="345"/>
      <c r="K257" s="42"/>
    </row>
    <row r="258" spans="2:11" x14ac:dyDescent="0.3">
      <c r="B258" s="39"/>
      <c r="C258" s="41"/>
      <c r="D258" s="41"/>
      <c r="E258" s="41"/>
      <c r="F258" s="41"/>
      <c r="G258" s="41"/>
      <c r="H258" s="41"/>
      <c r="I258" s="41"/>
      <c r="J258" s="41"/>
      <c r="K258" s="42"/>
    </row>
    <row r="259" spans="2:11" x14ac:dyDescent="0.3">
      <c r="B259" s="39"/>
      <c r="C259" s="181" t="s">
        <v>298</v>
      </c>
      <c r="D259" s="41"/>
      <c r="E259" s="41"/>
      <c r="F259" s="41"/>
      <c r="G259" s="41"/>
      <c r="H259" s="41"/>
      <c r="I259" s="41"/>
      <c r="J259" s="256" t="str">
        <f>IF(J253="N/A",IF(OR(J246="Not Calculated",J255="Not Calculated")=TRUE,"Not Calculated",AVERAGE(J246,J255)),AVERAGE(J253,J255))</f>
        <v>Not Calculated</v>
      </c>
      <c r="K259" s="42"/>
    </row>
    <row r="260" spans="2:11" x14ac:dyDescent="0.3">
      <c r="B260" s="39"/>
      <c r="C260" s="41"/>
      <c r="D260" s="41"/>
      <c r="E260" s="41"/>
      <c r="F260" s="41"/>
      <c r="G260" s="41"/>
      <c r="H260" s="41"/>
      <c r="I260" s="41"/>
      <c r="J260" s="41"/>
      <c r="K260" s="42"/>
    </row>
    <row r="261" spans="2:11" ht="17.399999999999999" x14ac:dyDescent="0.3">
      <c r="B261" s="39"/>
      <c r="C261" s="182" t="s">
        <v>291</v>
      </c>
      <c r="D261" s="41"/>
      <c r="E261" s="41"/>
      <c r="F261" s="41"/>
      <c r="G261" s="41"/>
      <c r="H261" s="41"/>
      <c r="I261" s="41"/>
      <c r="J261" s="255" t="str">
        <f>IF(OR(J157="Not Calculated",J178="Not Calculated",J198="Not Calculated",J218="Not Calculated",J239="Not Calculated",J259="Not Calculated",)=TRUE,"Not Calculated",AVERAGE(J157,J178,J198,J218,J239,J259))</f>
        <v>Not Calculated</v>
      </c>
      <c r="K261" s="42"/>
    </row>
    <row r="262" spans="2:11" ht="15" thickBot="1" x14ac:dyDescent="0.35">
      <c r="B262" s="47"/>
      <c r="C262" s="48"/>
      <c r="D262" s="48"/>
      <c r="E262" s="48"/>
      <c r="F262" s="48"/>
      <c r="G262" s="48"/>
      <c r="H262" s="48"/>
      <c r="I262" s="48"/>
      <c r="J262" s="48"/>
      <c r="K262" s="50"/>
    </row>
    <row r="263" spans="2:11" ht="15" thickBot="1" x14ac:dyDescent="0.35"/>
    <row r="264" spans="2:11" x14ac:dyDescent="0.3">
      <c r="B264" s="34"/>
      <c r="C264" s="35"/>
      <c r="D264" s="35"/>
      <c r="E264" s="35"/>
      <c r="F264" s="35"/>
      <c r="G264" s="35"/>
      <c r="H264" s="35"/>
      <c r="I264" s="35"/>
      <c r="J264" s="35"/>
      <c r="K264" s="38"/>
    </row>
    <row r="265" spans="2:11" ht="20.399999999999999" x14ac:dyDescent="0.35">
      <c r="B265" s="39"/>
      <c r="C265" s="41"/>
      <c r="D265" s="41"/>
      <c r="E265" s="41"/>
      <c r="F265" s="41"/>
      <c r="G265" s="175" t="s">
        <v>1009</v>
      </c>
      <c r="H265" s="41"/>
      <c r="I265" s="41"/>
      <c r="J265" s="41"/>
      <c r="K265" s="42"/>
    </row>
    <row r="266" spans="2:11" ht="15" customHeight="1" x14ac:dyDescent="0.3">
      <c r="B266" s="39"/>
      <c r="C266" s="41"/>
      <c r="D266" s="41"/>
      <c r="E266" s="41"/>
      <c r="F266" s="41"/>
      <c r="G266" s="41"/>
      <c r="H266" s="41"/>
      <c r="I266" s="41"/>
      <c r="J266" s="41"/>
      <c r="K266" s="42"/>
    </row>
    <row r="267" spans="2:11" ht="15.6" x14ac:dyDescent="0.3">
      <c r="B267" s="39"/>
      <c r="C267" s="46" t="s">
        <v>75</v>
      </c>
      <c r="D267" s="41"/>
      <c r="E267" s="41"/>
      <c r="F267" s="41"/>
      <c r="G267" s="41"/>
      <c r="H267" s="41"/>
      <c r="I267" s="41"/>
      <c r="J267" s="41"/>
      <c r="K267" s="42"/>
    </row>
    <row r="268" spans="2:11" x14ac:dyDescent="0.3">
      <c r="B268" s="39"/>
      <c r="C268" s="41" t="s">
        <v>302</v>
      </c>
      <c r="D268" s="41"/>
      <c r="E268" s="41"/>
      <c r="F268" s="41"/>
      <c r="G268" s="41"/>
      <c r="H268" s="41"/>
      <c r="I268" s="41"/>
      <c r="J268" s="261">
        <f>'Baseline Health'!G88</f>
        <v>0</v>
      </c>
      <c r="K268" s="42"/>
    </row>
    <row r="269" spans="2:11" x14ac:dyDescent="0.3">
      <c r="B269" s="39"/>
      <c r="C269" s="41" t="s">
        <v>303</v>
      </c>
      <c r="D269" s="41"/>
      <c r="E269" s="41"/>
      <c r="F269" s="41"/>
      <c r="G269" s="41"/>
      <c r="H269" s="41"/>
      <c r="I269" s="41"/>
      <c r="J269" s="275">
        <f>J268*0.05</f>
        <v>0</v>
      </c>
      <c r="K269" s="42"/>
    </row>
    <row r="270" spans="2:11" x14ac:dyDescent="0.3">
      <c r="B270" s="39"/>
      <c r="C270" s="41" t="s">
        <v>304</v>
      </c>
      <c r="D270" s="41"/>
      <c r="E270" s="41"/>
      <c r="F270" s="41"/>
      <c r="G270" s="41"/>
      <c r="H270" s="41"/>
      <c r="I270" s="41"/>
      <c r="J270" s="270">
        <f>'Baseline Health'!G93</f>
        <v>0</v>
      </c>
      <c r="K270" s="42"/>
    </row>
    <row r="271" spans="2:11" x14ac:dyDescent="0.3">
      <c r="B271" s="39"/>
      <c r="C271" s="41" t="s">
        <v>305</v>
      </c>
      <c r="D271" s="41"/>
      <c r="E271" s="41"/>
      <c r="F271" s="41"/>
      <c r="G271" s="41"/>
      <c r="H271" s="41"/>
      <c r="I271" s="41"/>
      <c r="J271" s="261">
        <f>J184</f>
        <v>0</v>
      </c>
      <c r="K271" s="42"/>
    </row>
    <row r="272" spans="2:11" x14ac:dyDescent="0.3">
      <c r="B272" s="39"/>
      <c r="C272" s="41"/>
      <c r="D272" s="41" t="s">
        <v>476</v>
      </c>
      <c r="E272" s="41"/>
      <c r="F272" s="41"/>
      <c r="G272" s="41"/>
      <c r="H272" s="41"/>
      <c r="I272" s="41"/>
      <c r="J272" s="41"/>
      <c r="K272" s="42"/>
    </row>
    <row r="273" spans="2:14" x14ac:dyDescent="0.3">
      <c r="B273" s="39"/>
      <c r="C273" s="41" t="s">
        <v>311</v>
      </c>
      <c r="D273" s="41"/>
      <c r="E273" s="41"/>
      <c r="F273" s="41"/>
      <c r="G273" s="41"/>
      <c r="H273" s="41"/>
      <c r="I273" s="41"/>
      <c r="J273" s="269" t="str">
        <f>'Baseline Health'!G97</f>
        <v>N/A</v>
      </c>
      <c r="K273" s="42"/>
    </row>
    <row r="274" spans="2:14" x14ac:dyDescent="0.3">
      <c r="B274" s="39"/>
      <c r="C274" s="41" t="s">
        <v>312</v>
      </c>
      <c r="D274" s="41"/>
      <c r="E274" s="41"/>
      <c r="F274" s="41"/>
      <c r="G274" s="41"/>
      <c r="H274" s="41"/>
      <c r="I274" s="41"/>
      <c r="J274" s="269" t="str">
        <f>IF(J273="N/A","N/A",IF(J268-J269=0,"No Nurses",((J270+J271)/(J268-J269))))</f>
        <v>N/A</v>
      </c>
      <c r="K274" s="42"/>
    </row>
    <row r="275" spans="2:14" x14ac:dyDescent="0.3">
      <c r="B275" s="39"/>
      <c r="C275" s="41" t="s">
        <v>279</v>
      </c>
      <c r="D275" s="41"/>
      <c r="E275" s="41"/>
      <c r="F275" s="41"/>
      <c r="G275" s="41"/>
      <c r="H275" s="41"/>
      <c r="I275" s="41"/>
      <c r="J275" s="256">
        <f>IF(J273=0,"Not Calculated",IF(J274="N/A",0,IF(J274="No Nurses",4,IF((J274/J273)&lt;=1,0,IF((J274/J273)&lt;=1.1,1,IF((J274/J273)&lt;=1=1.25,2,IF((J274/J273)&lt;=1.5,3,4)))))))</f>
        <v>0</v>
      </c>
      <c r="K275" s="42"/>
    </row>
    <row r="276" spans="2:14" ht="9.75" customHeight="1" x14ac:dyDescent="0.3">
      <c r="B276" s="39"/>
      <c r="C276" s="292" t="str">
        <f>"0:"</f>
        <v>0:</v>
      </c>
      <c r="D276" s="291" t="s">
        <v>1076</v>
      </c>
      <c r="E276" s="41"/>
      <c r="F276" s="41"/>
      <c r="G276" s="41"/>
      <c r="H276" s="41"/>
      <c r="I276" s="41"/>
      <c r="J276" s="269"/>
      <c r="K276" s="42"/>
    </row>
    <row r="277" spans="2:14" ht="9.75" customHeight="1" x14ac:dyDescent="0.3">
      <c r="B277" s="39"/>
      <c r="C277" s="293" t="str">
        <f>"1:"</f>
        <v>1:</v>
      </c>
      <c r="D277" s="291" t="s">
        <v>1077</v>
      </c>
      <c r="E277" s="41"/>
      <c r="F277" s="41"/>
      <c r="G277" s="41"/>
      <c r="H277" s="41"/>
      <c r="I277" s="41"/>
      <c r="J277" s="269"/>
      <c r="K277" s="42"/>
    </row>
    <row r="278" spans="2:14" ht="9.75" customHeight="1" x14ac:dyDescent="0.3">
      <c r="B278" s="39"/>
      <c r="C278" s="293" t="str">
        <f>"2:"</f>
        <v>2:</v>
      </c>
      <c r="D278" s="291" t="s">
        <v>1078</v>
      </c>
      <c r="E278" s="41"/>
      <c r="F278" s="41"/>
      <c r="G278" s="41"/>
      <c r="H278" s="41"/>
      <c r="I278" s="41"/>
      <c r="J278" s="269"/>
      <c r="K278" s="42"/>
    </row>
    <row r="279" spans="2:14" ht="9.75" customHeight="1" x14ac:dyDescent="0.3">
      <c r="B279" s="39"/>
      <c r="C279" s="293" t="str">
        <f>"3:"</f>
        <v>3:</v>
      </c>
      <c r="D279" s="291" t="s">
        <v>1079</v>
      </c>
      <c r="E279" s="41"/>
      <c r="F279" s="41"/>
      <c r="G279" s="41"/>
      <c r="H279" s="41"/>
      <c r="I279" s="41"/>
      <c r="J279" s="269"/>
      <c r="K279" s="42"/>
    </row>
    <row r="280" spans="2:14" ht="9.75" customHeight="1" x14ac:dyDescent="0.3">
      <c r="B280" s="39"/>
      <c r="C280" s="293" t="str">
        <f>"4:"</f>
        <v>4:</v>
      </c>
      <c r="D280" s="291" t="s">
        <v>1080</v>
      </c>
      <c r="E280" s="41"/>
      <c r="F280" s="41"/>
      <c r="G280" s="41"/>
      <c r="H280" s="41"/>
      <c r="I280" s="41"/>
      <c r="J280" s="41"/>
      <c r="K280" s="42"/>
      <c r="N280" s="12" t="s">
        <v>769</v>
      </c>
    </row>
    <row r="281" spans="2:14" x14ac:dyDescent="0.3">
      <c r="B281" s="39"/>
      <c r="C281" s="176" t="s">
        <v>770</v>
      </c>
      <c r="D281" s="41"/>
      <c r="E281" s="41"/>
      <c r="F281" s="41"/>
      <c r="G281" s="41"/>
      <c r="H281" s="41"/>
      <c r="I281" s="41"/>
      <c r="J281" s="276" t="s">
        <v>769</v>
      </c>
      <c r="K281" s="42"/>
      <c r="N281" s="12" t="s">
        <v>1050</v>
      </c>
    </row>
    <row r="282" spans="2:14" x14ac:dyDescent="0.3">
      <c r="B282" s="39"/>
      <c r="C282" s="176" t="s">
        <v>768</v>
      </c>
      <c r="D282" s="41"/>
      <c r="E282" s="41"/>
      <c r="F282" s="41"/>
      <c r="G282" s="41"/>
      <c r="H282" s="41"/>
      <c r="I282" s="41"/>
      <c r="J282" s="257" t="str">
        <f>IF(J281=N280,"N/A",IF(J281=N281,0,IF(J281=N282,1,IF(J281=N283,2,IF(J281=N284,3,IF(J281=N285,4,"N/A"))))))</f>
        <v>N/A</v>
      </c>
      <c r="K282" s="42"/>
      <c r="N282" s="12" t="s">
        <v>1051</v>
      </c>
    </row>
    <row r="283" spans="2:14" x14ac:dyDescent="0.3">
      <c r="B283" s="39"/>
      <c r="C283" s="41" t="s">
        <v>276</v>
      </c>
      <c r="D283" s="41"/>
      <c r="E283" s="41"/>
      <c r="F283" s="41"/>
      <c r="G283" s="41"/>
      <c r="H283" s="41"/>
      <c r="I283" s="41"/>
      <c r="J283" s="277" t="s">
        <v>1015</v>
      </c>
      <c r="K283" s="42"/>
      <c r="N283" s="12" t="s">
        <v>1052</v>
      </c>
    </row>
    <row r="284" spans="2:14" x14ac:dyDescent="0.3">
      <c r="B284" s="39"/>
      <c r="C284" s="41" t="s">
        <v>280</v>
      </c>
      <c r="D284" s="41"/>
      <c r="E284" s="41"/>
      <c r="F284" s="41"/>
      <c r="G284" s="41"/>
      <c r="H284" s="41"/>
      <c r="I284" s="41"/>
      <c r="J284" s="259">
        <f>IF(J283=$B$973,$A$973,IF(J283=$B$974,$A$974,IF(J283=$B$975,$A$975,IF(J283=$B$976,$A$976,IF(J283=$B$977,$A$977,"Not Calculated")))))</f>
        <v>0</v>
      </c>
      <c r="K284" s="42"/>
      <c r="N284" s="12" t="s">
        <v>1053</v>
      </c>
    </row>
    <row r="285" spans="2:14" x14ac:dyDescent="0.3">
      <c r="B285" s="39"/>
      <c r="C285" s="41" t="s">
        <v>1038</v>
      </c>
      <c r="D285" s="41"/>
      <c r="E285" s="41"/>
      <c r="F285" s="41"/>
      <c r="G285" s="41"/>
      <c r="H285" s="41"/>
      <c r="I285" s="41"/>
      <c r="J285" s="41"/>
      <c r="K285" s="42"/>
      <c r="N285" s="12" t="s">
        <v>1054</v>
      </c>
    </row>
    <row r="286" spans="2:14" ht="30" customHeight="1" x14ac:dyDescent="0.3">
      <c r="B286" s="39"/>
      <c r="C286" s="343" t="s">
        <v>685</v>
      </c>
      <c r="D286" s="344"/>
      <c r="E286" s="344"/>
      <c r="F286" s="344"/>
      <c r="G286" s="344"/>
      <c r="H286" s="344"/>
      <c r="I286" s="344"/>
      <c r="J286" s="345"/>
      <c r="K286" s="42"/>
    </row>
    <row r="287" spans="2:14" x14ac:dyDescent="0.3">
      <c r="B287" s="39"/>
      <c r="C287" s="41"/>
      <c r="D287" s="41"/>
      <c r="E287" s="41"/>
      <c r="F287" s="41"/>
      <c r="G287" s="41"/>
      <c r="H287" s="41"/>
      <c r="I287" s="41"/>
      <c r="J287" s="41"/>
      <c r="K287" s="42"/>
    </row>
    <row r="288" spans="2:14" x14ac:dyDescent="0.3">
      <c r="B288" s="39"/>
      <c r="C288" s="181" t="s">
        <v>314</v>
      </c>
      <c r="D288" s="41"/>
      <c r="E288" s="41"/>
      <c r="F288" s="41"/>
      <c r="G288" s="41"/>
      <c r="H288" s="41"/>
      <c r="I288" s="41"/>
      <c r="J288" s="256">
        <f>IF(J282="N/A",IF(OR(J275="Not Calculated",J284="Not Calculated")=TRUE,"Not Calculated",AVERAGE(J275,J284)),AVERAGE(J282,J284))</f>
        <v>0</v>
      </c>
      <c r="K288" s="42"/>
    </row>
    <row r="289" spans="2:11" x14ac:dyDescent="0.3">
      <c r="B289" s="39"/>
      <c r="C289" s="41"/>
      <c r="D289" s="41"/>
      <c r="E289" s="41"/>
      <c r="F289" s="41"/>
      <c r="G289" s="41"/>
      <c r="H289" s="41"/>
      <c r="I289" s="41"/>
      <c r="J289" s="256"/>
      <c r="K289" s="42"/>
    </row>
    <row r="290" spans="2:11" x14ac:dyDescent="0.3">
      <c r="B290" s="39"/>
      <c r="C290" s="41"/>
      <c r="D290" s="41"/>
      <c r="E290" s="41"/>
      <c r="F290" s="41"/>
      <c r="G290" s="41"/>
      <c r="H290" s="41"/>
      <c r="I290" s="41"/>
      <c r="J290" s="41"/>
      <c r="K290" s="42"/>
    </row>
    <row r="291" spans="2:11" ht="15.6" x14ac:dyDescent="0.3">
      <c r="B291" s="39"/>
      <c r="C291" s="46" t="s">
        <v>1001</v>
      </c>
      <c r="D291" s="41"/>
      <c r="E291" s="41"/>
      <c r="F291" s="41"/>
      <c r="G291" s="41"/>
      <c r="H291" s="41"/>
      <c r="I291" s="41"/>
      <c r="J291" s="41"/>
      <c r="K291" s="42"/>
    </row>
    <row r="292" spans="2:11" ht="15" customHeight="1" x14ac:dyDescent="0.3">
      <c r="B292" s="39"/>
      <c r="C292" s="324" t="s">
        <v>1000</v>
      </c>
      <c r="D292" s="324"/>
      <c r="E292" s="324"/>
      <c r="F292" s="324"/>
      <c r="G292" s="324"/>
      <c r="H292" s="324"/>
      <c r="I292" s="324"/>
      <c r="J292" s="41"/>
      <c r="K292" s="42"/>
    </row>
    <row r="293" spans="2:11" x14ac:dyDescent="0.3">
      <c r="B293" s="39"/>
      <c r="C293" s="324"/>
      <c r="D293" s="324"/>
      <c r="E293" s="324"/>
      <c r="F293" s="324"/>
      <c r="G293" s="324"/>
      <c r="H293" s="324"/>
      <c r="I293" s="324"/>
      <c r="J293" s="275">
        <v>0</v>
      </c>
      <c r="K293" s="42"/>
    </row>
    <row r="294" spans="2:11" x14ac:dyDescent="0.3">
      <c r="B294" s="39"/>
      <c r="C294" s="41" t="s">
        <v>998</v>
      </c>
      <c r="D294" s="305"/>
      <c r="E294" s="305"/>
      <c r="F294" s="305"/>
      <c r="G294" s="305"/>
      <c r="H294" s="305"/>
      <c r="I294" s="305"/>
      <c r="J294" s="266">
        <f>'Baseline Health'!$G$102</f>
        <v>0</v>
      </c>
      <c r="K294" s="42"/>
    </row>
    <row r="295" spans="2:11" x14ac:dyDescent="0.3">
      <c r="B295" s="39"/>
      <c r="C295" s="41" t="s">
        <v>985</v>
      </c>
      <c r="D295" s="41"/>
      <c r="E295" s="41"/>
      <c r="F295" s="41"/>
      <c r="G295" s="41"/>
      <c r="H295" s="41"/>
      <c r="I295" s="41"/>
      <c r="J295" s="255" t="str">
        <f>IF('Baseline Health'!$G$102=0,"Not Calculated",100*J293/'Baseline Health'!$G$102)</f>
        <v>Not Calculated</v>
      </c>
      <c r="K295" s="42"/>
    </row>
    <row r="296" spans="2:11" x14ac:dyDescent="0.3">
      <c r="B296" s="39"/>
      <c r="C296" s="41" t="s">
        <v>279</v>
      </c>
      <c r="D296" s="41"/>
      <c r="E296" s="41"/>
      <c r="F296" s="41"/>
      <c r="G296" s="41"/>
      <c r="H296" s="41"/>
      <c r="I296" s="41"/>
      <c r="J296" s="256">
        <f>IF(J295&lt;=0,0,IF(J295&lt;=1,1,IF(J295&lt;=5,2,IF(J295&lt;=10,3,4))))</f>
        <v>4</v>
      </c>
      <c r="K296" s="42"/>
    </row>
    <row r="297" spans="2:11" ht="9.75" customHeight="1" x14ac:dyDescent="0.3">
      <c r="B297" s="39"/>
      <c r="C297" s="292" t="str">
        <f>"0:"</f>
        <v>0:</v>
      </c>
      <c r="D297" s="291" t="s">
        <v>1081</v>
      </c>
      <c r="E297" s="41"/>
      <c r="F297" s="41"/>
      <c r="G297" s="41"/>
      <c r="H297" s="41"/>
      <c r="I297" s="41"/>
      <c r="J297" s="255"/>
      <c r="K297" s="42"/>
    </row>
    <row r="298" spans="2:11" ht="9.75" customHeight="1" x14ac:dyDescent="0.3">
      <c r="B298" s="39"/>
      <c r="C298" s="293" t="str">
        <f>"1:"</f>
        <v>1:</v>
      </c>
      <c r="D298" s="291" t="s">
        <v>1083</v>
      </c>
      <c r="E298" s="41"/>
      <c r="F298" s="41"/>
      <c r="G298" s="41"/>
      <c r="H298" s="41"/>
      <c r="I298" s="41"/>
      <c r="J298" s="255"/>
      <c r="K298" s="42"/>
    </row>
    <row r="299" spans="2:11" ht="9.75" customHeight="1" x14ac:dyDescent="0.3">
      <c r="B299" s="39"/>
      <c r="C299" s="293" t="str">
        <f>"2:"</f>
        <v>2:</v>
      </c>
      <c r="D299" s="291" t="s">
        <v>1082</v>
      </c>
      <c r="E299" s="41"/>
      <c r="F299" s="41"/>
      <c r="G299" s="41"/>
      <c r="H299" s="41"/>
      <c r="I299" s="41"/>
      <c r="J299" s="255"/>
      <c r="K299" s="42"/>
    </row>
    <row r="300" spans="2:11" ht="9.75" customHeight="1" x14ac:dyDescent="0.3">
      <c r="B300" s="39"/>
      <c r="C300" s="293" t="str">
        <f>"3:"</f>
        <v>3:</v>
      </c>
      <c r="D300" s="291" t="s">
        <v>1084</v>
      </c>
      <c r="E300" s="41"/>
      <c r="F300" s="41"/>
      <c r="G300" s="41"/>
      <c r="H300" s="41"/>
      <c r="I300" s="41"/>
      <c r="J300" s="255"/>
      <c r="K300" s="42"/>
    </row>
    <row r="301" spans="2:11" ht="9.75" customHeight="1" x14ac:dyDescent="0.3">
      <c r="B301" s="39"/>
      <c r="C301" s="293" t="str">
        <f>"4:"</f>
        <v>4:</v>
      </c>
      <c r="D301" s="291" t="s">
        <v>1085</v>
      </c>
      <c r="E301" s="41"/>
      <c r="F301" s="41"/>
      <c r="G301" s="41"/>
      <c r="H301" s="41"/>
      <c r="I301" s="41"/>
      <c r="J301" s="41"/>
      <c r="K301" s="42"/>
    </row>
    <row r="302" spans="2:11" x14ac:dyDescent="0.3">
      <c r="B302" s="39"/>
      <c r="C302" s="41" t="s">
        <v>276</v>
      </c>
      <c r="D302" s="41"/>
      <c r="E302" s="41"/>
      <c r="F302" s="41"/>
      <c r="G302" s="41"/>
      <c r="H302" s="41"/>
      <c r="I302" s="41"/>
      <c r="J302" s="277" t="s">
        <v>1015</v>
      </c>
      <c r="K302" s="42"/>
    </row>
    <row r="303" spans="2:11" x14ac:dyDescent="0.3">
      <c r="B303" s="39"/>
      <c r="C303" s="41" t="s">
        <v>280</v>
      </c>
      <c r="D303" s="41"/>
      <c r="E303" s="41"/>
      <c r="F303" s="41"/>
      <c r="G303" s="41"/>
      <c r="H303" s="41"/>
      <c r="I303" s="41"/>
      <c r="J303" s="256">
        <f>IF(J302=$B$980,$A$980,IF(J302=$B$981,$A$981,IF(J302=$B$982,$A$982,IF(J302=$B$983,$A$983,IF(J302=$B$984,$A$984,"Not Calculated")))))</f>
        <v>0</v>
      </c>
      <c r="K303" s="42"/>
    </row>
    <row r="304" spans="2:11" x14ac:dyDescent="0.3">
      <c r="B304" s="39"/>
      <c r="C304" s="41" t="s">
        <v>1038</v>
      </c>
      <c r="D304" s="41"/>
      <c r="E304" s="41"/>
      <c r="F304" s="41"/>
      <c r="G304" s="41"/>
      <c r="H304" s="41"/>
      <c r="I304" s="41"/>
      <c r="J304" s="41"/>
      <c r="K304" s="42"/>
    </row>
    <row r="305" spans="2:11" ht="15" customHeight="1" x14ac:dyDescent="0.3">
      <c r="B305" s="39"/>
      <c r="C305" s="343"/>
      <c r="D305" s="344"/>
      <c r="E305" s="344"/>
      <c r="F305" s="344"/>
      <c r="G305" s="344"/>
      <c r="H305" s="344"/>
      <c r="I305" s="344"/>
      <c r="J305" s="345"/>
      <c r="K305" s="42"/>
    </row>
    <row r="306" spans="2:11" x14ac:dyDescent="0.3">
      <c r="B306" s="39"/>
      <c r="C306" s="41"/>
      <c r="D306" s="41"/>
      <c r="E306" s="41"/>
      <c r="F306" s="41"/>
      <c r="G306" s="41"/>
      <c r="H306" s="41"/>
      <c r="I306" s="41"/>
      <c r="J306" s="41"/>
      <c r="K306" s="42"/>
    </row>
    <row r="307" spans="2:11" x14ac:dyDescent="0.3">
      <c r="B307" s="39"/>
      <c r="C307" s="181" t="s">
        <v>1030</v>
      </c>
      <c r="D307" s="41"/>
      <c r="E307" s="41"/>
      <c r="F307" s="41"/>
      <c r="G307" s="41"/>
      <c r="H307" s="41"/>
      <c r="I307" s="41"/>
      <c r="J307" s="256">
        <f>IF(OR(J296="Not Calculated",J303="Not Calculated")=TRUE,"Not Calculated",AVERAGE(J296,J303))</f>
        <v>2</v>
      </c>
      <c r="K307" s="42"/>
    </row>
    <row r="308" spans="2:11" x14ac:dyDescent="0.3">
      <c r="B308" s="39"/>
      <c r="C308" s="41"/>
      <c r="D308" s="41"/>
      <c r="E308" s="41"/>
      <c r="F308" s="41"/>
      <c r="G308" s="41"/>
      <c r="H308" s="41"/>
      <c r="I308" s="41"/>
      <c r="J308" s="41"/>
      <c r="K308" s="42"/>
    </row>
    <row r="309" spans="2:11" x14ac:dyDescent="0.3">
      <c r="B309" s="39"/>
      <c r="C309" s="41"/>
      <c r="D309" s="41"/>
      <c r="E309" s="41"/>
      <c r="F309" s="41"/>
      <c r="G309" s="41"/>
      <c r="H309" s="41"/>
      <c r="I309" s="41"/>
      <c r="J309" s="41"/>
      <c r="K309" s="42"/>
    </row>
    <row r="310" spans="2:11" ht="15.6" x14ac:dyDescent="0.3">
      <c r="B310" s="39"/>
      <c r="C310" s="46" t="s">
        <v>1002</v>
      </c>
      <c r="D310" s="41"/>
      <c r="E310" s="41"/>
      <c r="F310" s="41"/>
      <c r="G310" s="41"/>
      <c r="H310" s="41"/>
      <c r="I310" s="41"/>
      <c r="J310" s="41"/>
      <c r="K310" s="42"/>
    </row>
    <row r="311" spans="2:11" x14ac:dyDescent="0.3">
      <c r="B311" s="39"/>
      <c r="C311" s="324" t="s">
        <v>986</v>
      </c>
      <c r="D311" s="324"/>
      <c r="E311" s="324"/>
      <c r="F311" s="324"/>
      <c r="G311" s="324"/>
      <c r="H311" s="324"/>
      <c r="I311" s="324"/>
      <c r="J311" s="41"/>
      <c r="K311" s="42"/>
    </row>
    <row r="312" spans="2:11" x14ac:dyDescent="0.3">
      <c r="B312" s="39"/>
      <c r="C312" s="324"/>
      <c r="D312" s="324"/>
      <c r="E312" s="324"/>
      <c r="F312" s="324"/>
      <c r="G312" s="324"/>
      <c r="H312" s="324"/>
      <c r="I312" s="324"/>
      <c r="J312" s="275">
        <v>0</v>
      </c>
      <c r="K312" s="42"/>
    </row>
    <row r="313" spans="2:11" x14ac:dyDescent="0.3">
      <c r="B313" s="39"/>
      <c r="C313" s="41" t="s">
        <v>998</v>
      </c>
      <c r="D313" s="305"/>
      <c r="E313" s="305"/>
      <c r="F313" s="305"/>
      <c r="G313" s="305"/>
      <c r="H313" s="305"/>
      <c r="I313" s="305"/>
      <c r="J313" s="266">
        <f>'Baseline Health'!$G$102</f>
        <v>0</v>
      </c>
      <c r="K313" s="42"/>
    </row>
    <row r="314" spans="2:11" x14ac:dyDescent="0.3">
      <c r="B314" s="39"/>
      <c r="C314" s="41" t="s">
        <v>985</v>
      </c>
      <c r="D314" s="41"/>
      <c r="E314" s="41"/>
      <c r="F314" s="41"/>
      <c r="G314" s="41"/>
      <c r="H314" s="41"/>
      <c r="I314" s="41"/>
      <c r="J314" s="255" t="str">
        <f>IF('Baseline Health'!$G$102=0,"Not Calculated",100*J312/'Baseline Health'!$G$102)</f>
        <v>Not Calculated</v>
      </c>
      <c r="K314" s="42"/>
    </row>
    <row r="315" spans="2:11" x14ac:dyDescent="0.3">
      <c r="B315" s="39"/>
      <c r="C315" s="41" t="s">
        <v>279</v>
      </c>
      <c r="D315" s="41"/>
      <c r="E315" s="41"/>
      <c r="F315" s="41"/>
      <c r="G315" s="41"/>
      <c r="H315" s="41"/>
      <c r="I315" s="41"/>
      <c r="J315" s="256">
        <f>IF(J314&lt;=0,0,IF(J314&lt;=1,1,IF(J314&lt;=5,2,IF(J314&lt;=10,3,4))))</f>
        <v>4</v>
      </c>
      <c r="K315" s="42"/>
    </row>
    <row r="316" spans="2:11" ht="9.75" customHeight="1" x14ac:dyDescent="0.3">
      <c r="B316" s="39"/>
      <c r="C316" s="292" t="str">
        <f>"0:"</f>
        <v>0:</v>
      </c>
      <c r="D316" s="291" t="s">
        <v>1081</v>
      </c>
      <c r="E316" s="41"/>
      <c r="F316" s="41"/>
      <c r="G316" s="41"/>
      <c r="H316" s="41"/>
      <c r="I316" s="41"/>
      <c r="J316" s="255"/>
      <c r="K316" s="42"/>
    </row>
    <row r="317" spans="2:11" ht="9.75" customHeight="1" x14ac:dyDescent="0.3">
      <c r="B317" s="39"/>
      <c r="C317" s="293" t="str">
        <f>"1:"</f>
        <v>1:</v>
      </c>
      <c r="D317" s="291" t="s">
        <v>1083</v>
      </c>
      <c r="E317" s="41"/>
      <c r="F317" s="41"/>
      <c r="G317" s="41"/>
      <c r="H317" s="41"/>
      <c r="I317" s="41"/>
      <c r="J317" s="255"/>
      <c r="K317" s="42"/>
    </row>
    <row r="318" spans="2:11" ht="9.75" customHeight="1" x14ac:dyDescent="0.3">
      <c r="B318" s="39"/>
      <c r="C318" s="293" t="str">
        <f>"2:"</f>
        <v>2:</v>
      </c>
      <c r="D318" s="291" t="s">
        <v>1082</v>
      </c>
      <c r="E318" s="41"/>
      <c r="F318" s="41"/>
      <c r="G318" s="41"/>
      <c r="H318" s="41"/>
      <c r="I318" s="41"/>
      <c r="J318" s="255"/>
      <c r="K318" s="42"/>
    </row>
    <row r="319" spans="2:11" ht="9.75" customHeight="1" x14ac:dyDescent="0.3">
      <c r="B319" s="39"/>
      <c r="C319" s="293" t="str">
        <f>"3:"</f>
        <v>3:</v>
      </c>
      <c r="D319" s="291" t="s">
        <v>1084</v>
      </c>
      <c r="E319" s="41"/>
      <c r="F319" s="41"/>
      <c r="G319" s="41"/>
      <c r="H319" s="41"/>
      <c r="I319" s="41"/>
      <c r="J319" s="255"/>
      <c r="K319" s="42"/>
    </row>
    <row r="320" spans="2:11" ht="9.75" customHeight="1" x14ac:dyDescent="0.3">
      <c r="B320" s="39"/>
      <c r="C320" s="293" t="str">
        <f>"4:"</f>
        <v>4:</v>
      </c>
      <c r="D320" s="291" t="s">
        <v>1085</v>
      </c>
      <c r="E320" s="41"/>
      <c r="F320" s="41"/>
      <c r="G320" s="41"/>
      <c r="H320" s="41"/>
      <c r="I320" s="41"/>
      <c r="J320" s="41"/>
      <c r="K320" s="42"/>
    </row>
    <row r="321" spans="2:11" x14ac:dyDescent="0.3">
      <c r="B321" s="39"/>
      <c r="C321" s="41" t="s">
        <v>315</v>
      </c>
      <c r="D321" s="41"/>
      <c r="E321" s="41"/>
      <c r="F321" s="41"/>
      <c r="G321" s="41"/>
      <c r="H321" s="41"/>
      <c r="I321" s="41"/>
      <c r="J321" s="277">
        <v>0</v>
      </c>
      <c r="K321" s="42"/>
    </row>
    <row r="322" spans="2:11" x14ac:dyDescent="0.3">
      <c r="B322" s="39"/>
      <c r="C322" s="41" t="s">
        <v>280</v>
      </c>
      <c r="D322" s="41"/>
      <c r="E322" s="41"/>
      <c r="F322" s="41"/>
      <c r="G322" s="41"/>
      <c r="H322" s="41"/>
      <c r="I322" s="41"/>
      <c r="J322" s="256">
        <f>IF(J321&lt;=0,0,IF(J321&lt;=2,1,IF(J321&lt;=6,2,IF(J321&lt;=12,3,4))))</f>
        <v>0</v>
      </c>
      <c r="K322" s="42"/>
    </row>
    <row r="323" spans="2:11" x14ac:dyDescent="0.3">
      <c r="B323" s="39"/>
      <c r="C323" s="41" t="s">
        <v>1038</v>
      </c>
      <c r="D323" s="41"/>
      <c r="E323" s="41"/>
      <c r="F323" s="41"/>
      <c r="G323" s="41"/>
      <c r="H323" s="41"/>
      <c r="I323" s="41"/>
      <c r="J323" s="41"/>
      <c r="K323" s="42"/>
    </row>
    <row r="324" spans="2:11" ht="15" customHeight="1" x14ac:dyDescent="0.3">
      <c r="B324" s="39"/>
      <c r="C324" s="343" t="s">
        <v>686</v>
      </c>
      <c r="D324" s="344"/>
      <c r="E324" s="344"/>
      <c r="F324" s="344"/>
      <c r="G324" s="344"/>
      <c r="H324" s="344"/>
      <c r="I324" s="344"/>
      <c r="J324" s="345"/>
      <c r="K324" s="42"/>
    </row>
    <row r="325" spans="2:11" x14ac:dyDescent="0.3">
      <c r="B325" s="39"/>
      <c r="C325" s="41"/>
      <c r="D325" s="41"/>
      <c r="E325" s="41"/>
      <c r="F325" s="41"/>
      <c r="G325" s="41"/>
      <c r="H325" s="41"/>
      <c r="I325" s="41"/>
      <c r="J325" s="41"/>
      <c r="K325" s="42"/>
    </row>
    <row r="326" spans="2:11" x14ac:dyDescent="0.3">
      <c r="B326" s="39"/>
      <c r="C326" s="181" t="s">
        <v>1031</v>
      </c>
      <c r="D326" s="41"/>
      <c r="E326" s="41"/>
      <c r="F326" s="41"/>
      <c r="G326" s="41"/>
      <c r="H326" s="41"/>
      <c r="I326" s="41"/>
      <c r="J326" s="256">
        <f>IF(OR(J315="Not Calculated",J322="Not Calculated")=TRUE,"Not Calculated",AVERAGE(J315,J322))</f>
        <v>2</v>
      </c>
      <c r="K326" s="42"/>
    </row>
    <row r="327" spans="2:11" x14ac:dyDescent="0.3">
      <c r="B327" s="39"/>
      <c r="C327" s="41"/>
      <c r="D327" s="41"/>
      <c r="E327" s="41"/>
      <c r="F327" s="41"/>
      <c r="G327" s="41"/>
      <c r="H327" s="41"/>
      <c r="I327" s="41"/>
      <c r="J327" s="41"/>
      <c r="K327" s="42"/>
    </row>
    <row r="328" spans="2:11" x14ac:dyDescent="0.3">
      <c r="B328" s="39"/>
      <c r="C328" s="41"/>
      <c r="D328" s="41"/>
      <c r="E328" s="41"/>
      <c r="F328" s="41"/>
      <c r="G328" s="41"/>
      <c r="H328" s="41"/>
      <c r="I328" s="41"/>
      <c r="J328" s="41"/>
      <c r="K328" s="42"/>
    </row>
    <row r="329" spans="2:11" ht="15.6" x14ac:dyDescent="0.3">
      <c r="B329" s="39"/>
      <c r="C329" s="46" t="s">
        <v>1003</v>
      </c>
      <c r="D329" s="41"/>
      <c r="E329" s="41"/>
      <c r="F329" s="41"/>
      <c r="G329" s="41"/>
      <c r="H329" s="41"/>
      <c r="I329" s="41"/>
      <c r="J329" s="41"/>
      <c r="K329" s="42"/>
    </row>
    <row r="330" spans="2:11" ht="15" customHeight="1" x14ac:dyDescent="0.3">
      <c r="B330" s="39"/>
      <c r="C330" s="324" t="s">
        <v>987</v>
      </c>
      <c r="D330" s="324"/>
      <c r="E330" s="324"/>
      <c r="F330" s="324"/>
      <c r="G330" s="324"/>
      <c r="H330" s="324"/>
      <c r="I330" s="324"/>
      <c r="J330" s="41"/>
      <c r="K330" s="42"/>
    </row>
    <row r="331" spans="2:11" x14ac:dyDescent="0.3">
      <c r="B331" s="39"/>
      <c r="C331" s="324"/>
      <c r="D331" s="324"/>
      <c r="E331" s="324"/>
      <c r="F331" s="324"/>
      <c r="G331" s="324"/>
      <c r="H331" s="324"/>
      <c r="I331" s="324"/>
      <c r="J331" s="275">
        <v>0</v>
      </c>
      <c r="K331" s="42"/>
    </row>
    <row r="332" spans="2:11" x14ac:dyDescent="0.3">
      <c r="B332" s="39"/>
      <c r="C332" s="41" t="s">
        <v>998</v>
      </c>
      <c r="D332" s="305"/>
      <c r="E332" s="305"/>
      <c r="F332" s="305"/>
      <c r="G332" s="305"/>
      <c r="H332" s="305"/>
      <c r="I332" s="305"/>
      <c r="J332" s="266">
        <f>'Baseline Health'!$G$102</f>
        <v>0</v>
      </c>
      <c r="K332" s="42"/>
    </row>
    <row r="333" spans="2:11" x14ac:dyDescent="0.3">
      <c r="B333" s="39"/>
      <c r="C333" s="41" t="s">
        <v>988</v>
      </c>
      <c r="D333" s="41"/>
      <c r="E333" s="41"/>
      <c r="F333" s="41"/>
      <c r="G333" s="41"/>
      <c r="H333" s="41"/>
      <c r="I333" s="41"/>
      <c r="J333" s="255" t="str">
        <f>IF('Baseline Health'!$G$102=0,"Not Calculated",100*J331/'Baseline Health'!$G$102)</f>
        <v>Not Calculated</v>
      </c>
      <c r="K333" s="42"/>
    </row>
    <row r="334" spans="2:11" x14ac:dyDescent="0.3">
      <c r="B334" s="39"/>
      <c r="C334" s="41" t="s">
        <v>279</v>
      </c>
      <c r="D334" s="41"/>
      <c r="E334" s="41"/>
      <c r="F334" s="41"/>
      <c r="G334" s="41"/>
      <c r="H334" s="41"/>
      <c r="I334" s="41"/>
      <c r="J334" s="256">
        <f>IF(J333&lt;=0,0,IF(J333&lt;=1,1,IF(J333&lt;=5,2,IF(J333&lt;=10,3,4))))</f>
        <v>4</v>
      </c>
      <c r="K334" s="42"/>
    </row>
    <row r="335" spans="2:11" ht="9.75" customHeight="1" x14ac:dyDescent="0.3">
      <c r="B335" s="39"/>
      <c r="C335" s="292" t="str">
        <f>"0:"</f>
        <v>0:</v>
      </c>
      <c r="D335" s="291" t="s">
        <v>1081</v>
      </c>
      <c r="E335" s="41"/>
      <c r="F335" s="41"/>
      <c r="G335" s="41"/>
      <c r="H335" s="41"/>
      <c r="I335" s="41"/>
      <c r="J335" s="255"/>
      <c r="K335" s="42"/>
    </row>
    <row r="336" spans="2:11" ht="9.75" customHeight="1" x14ac:dyDescent="0.3">
      <c r="B336" s="39"/>
      <c r="C336" s="293" t="str">
        <f>"1:"</f>
        <v>1:</v>
      </c>
      <c r="D336" s="291" t="s">
        <v>1083</v>
      </c>
      <c r="E336" s="41"/>
      <c r="F336" s="41"/>
      <c r="G336" s="41"/>
      <c r="H336" s="41"/>
      <c r="I336" s="41"/>
      <c r="J336" s="255"/>
      <c r="K336" s="42"/>
    </row>
    <row r="337" spans="2:11" ht="9.75" customHeight="1" x14ac:dyDescent="0.3">
      <c r="B337" s="39"/>
      <c r="C337" s="293" t="str">
        <f>"2:"</f>
        <v>2:</v>
      </c>
      <c r="D337" s="291" t="s">
        <v>1082</v>
      </c>
      <c r="E337" s="41"/>
      <c r="F337" s="41"/>
      <c r="G337" s="41"/>
      <c r="H337" s="41"/>
      <c r="I337" s="41"/>
      <c r="J337" s="255"/>
      <c r="K337" s="42"/>
    </row>
    <row r="338" spans="2:11" ht="9.75" customHeight="1" x14ac:dyDescent="0.3">
      <c r="B338" s="39"/>
      <c r="C338" s="293" t="str">
        <f>"3:"</f>
        <v>3:</v>
      </c>
      <c r="D338" s="291" t="s">
        <v>1084</v>
      </c>
      <c r="E338" s="41"/>
      <c r="F338" s="41"/>
      <c r="G338" s="41"/>
      <c r="H338" s="41"/>
      <c r="I338" s="41"/>
      <c r="J338" s="255"/>
      <c r="K338" s="42"/>
    </row>
    <row r="339" spans="2:11" ht="9.75" customHeight="1" x14ac:dyDescent="0.3">
      <c r="B339" s="39"/>
      <c r="C339" s="293" t="str">
        <f>"4:"</f>
        <v>4:</v>
      </c>
      <c r="D339" s="291" t="s">
        <v>1085</v>
      </c>
      <c r="E339" s="41"/>
      <c r="F339" s="41"/>
      <c r="G339" s="41"/>
      <c r="H339" s="41"/>
      <c r="I339" s="41"/>
      <c r="J339" s="41"/>
      <c r="K339" s="42"/>
    </row>
    <row r="340" spans="2:11" x14ac:dyDescent="0.3">
      <c r="B340" s="39"/>
      <c r="C340" s="324" t="s">
        <v>79</v>
      </c>
      <c r="D340" s="324"/>
      <c r="E340" s="324"/>
      <c r="F340" s="324"/>
      <c r="G340" s="324"/>
      <c r="H340" s="324"/>
      <c r="I340" s="324"/>
      <c r="J340" s="256"/>
      <c r="K340" s="42"/>
    </row>
    <row r="341" spans="2:11" x14ac:dyDescent="0.3">
      <c r="B341" s="39"/>
      <c r="C341" s="324"/>
      <c r="D341" s="324"/>
      <c r="E341" s="324"/>
      <c r="F341" s="324"/>
      <c r="G341" s="324"/>
      <c r="H341" s="324"/>
      <c r="I341" s="324"/>
      <c r="J341" s="256">
        <f>'Baseline Health'!G108</f>
        <v>0</v>
      </c>
      <c r="K341" s="42"/>
    </row>
    <row r="342" spans="2:11" ht="15" customHeight="1" x14ac:dyDescent="0.3">
      <c r="B342" s="39"/>
      <c r="C342" s="41" t="s">
        <v>973</v>
      </c>
      <c r="D342" s="41"/>
      <c r="E342" s="41"/>
      <c r="F342" s="41"/>
      <c r="G342" s="41"/>
      <c r="H342" s="41"/>
      <c r="I342" s="41"/>
      <c r="J342" s="256">
        <f>IF(J341&gt;J321,0,J321-J341)</f>
        <v>0</v>
      </c>
      <c r="K342" s="42"/>
    </row>
    <row r="343" spans="2:11" x14ac:dyDescent="0.3">
      <c r="B343" s="39"/>
      <c r="C343" s="41"/>
      <c r="D343" s="324" t="s">
        <v>974</v>
      </c>
      <c r="E343" s="324"/>
      <c r="F343" s="324"/>
      <c r="G343" s="324"/>
      <c r="H343" s="324"/>
      <c r="I343" s="324"/>
      <c r="J343" s="41"/>
      <c r="K343" s="42"/>
    </row>
    <row r="344" spans="2:11" x14ac:dyDescent="0.3">
      <c r="B344" s="39"/>
      <c r="C344" s="41"/>
      <c r="D344" s="324"/>
      <c r="E344" s="324"/>
      <c r="F344" s="324"/>
      <c r="G344" s="324"/>
      <c r="H344" s="324"/>
      <c r="I344" s="324"/>
      <c r="J344" s="41"/>
      <c r="K344" s="42"/>
    </row>
    <row r="345" spans="2:11" x14ac:dyDescent="0.3">
      <c r="B345" s="39"/>
      <c r="C345" s="41" t="s">
        <v>280</v>
      </c>
      <c r="D345" s="41"/>
      <c r="E345" s="41"/>
      <c r="F345" s="41"/>
      <c r="G345" s="41"/>
      <c r="H345" s="41"/>
      <c r="I345" s="41"/>
      <c r="J345" s="256">
        <f>IF(J342&lt;=0,0,IF(J342&lt;=2,1,IF(J342&lt;=6,2,IF(J342&lt;=12,3,4))))</f>
        <v>0</v>
      </c>
      <c r="K345" s="42"/>
    </row>
    <row r="346" spans="2:11" x14ac:dyDescent="0.3">
      <c r="B346" s="39"/>
      <c r="C346" s="41" t="s">
        <v>1038</v>
      </c>
      <c r="D346" s="41"/>
      <c r="E346" s="41"/>
      <c r="F346" s="41"/>
      <c r="G346" s="41"/>
      <c r="H346" s="41"/>
      <c r="I346" s="41"/>
      <c r="J346" s="41"/>
      <c r="K346" s="42"/>
    </row>
    <row r="347" spans="2:11" ht="15" customHeight="1" x14ac:dyDescent="0.3">
      <c r="B347" s="39"/>
      <c r="C347" s="343"/>
      <c r="D347" s="344"/>
      <c r="E347" s="344"/>
      <c r="F347" s="344"/>
      <c r="G347" s="344"/>
      <c r="H347" s="344"/>
      <c r="I347" s="344"/>
      <c r="J347" s="345"/>
      <c r="K347" s="42"/>
    </row>
    <row r="348" spans="2:11" x14ac:dyDescent="0.3">
      <c r="B348" s="39"/>
      <c r="C348" s="41"/>
      <c r="D348" s="41"/>
      <c r="E348" s="41"/>
      <c r="F348" s="41"/>
      <c r="G348" s="41"/>
      <c r="H348" s="41"/>
      <c r="I348" s="41"/>
      <c r="J348" s="41"/>
      <c r="K348" s="42"/>
    </row>
    <row r="349" spans="2:11" x14ac:dyDescent="0.3">
      <c r="B349" s="39"/>
      <c r="C349" s="181" t="s">
        <v>1032</v>
      </c>
      <c r="D349" s="41"/>
      <c r="E349" s="41"/>
      <c r="F349" s="41"/>
      <c r="G349" s="41"/>
      <c r="H349" s="41"/>
      <c r="I349" s="41"/>
      <c r="J349" s="256">
        <f>IF(OR(J334="Not Calculated",J345="Not Calculated")=TRUE,"Not Calculated",AVERAGE(J334,J345))</f>
        <v>2</v>
      </c>
      <c r="K349" s="42"/>
    </row>
    <row r="350" spans="2:11" x14ac:dyDescent="0.3">
      <c r="B350" s="39"/>
      <c r="C350" s="41"/>
      <c r="D350" s="41"/>
      <c r="E350" s="41"/>
      <c r="F350" s="41"/>
      <c r="G350" s="41"/>
      <c r="H350" s="41"/>
      <c r="I350" s="41"/>
      <c r="J350" s="41"/>
      <c r="K350" s="42"/>
    </row>
    <row r="351" spans="2:11" x14ac:dyDescent="0.3">
      <c r="B351" s="39"/>
      <c r="C351" s="41"/>
      <c r="D351" s="41"/>
      <c r="E351" s="41"/>
      <c r="F351" s="41"/>
      <c r="G351" s="41"/>
      <c r="H351" s="41"/>
      <c r="I351" s="41"/>
      <c r="J351" s="41"/>
      <c r="K351" s="42"/>
    </row>
    <row r="352" spans="2:11" ht="15" customHeight="1" x14ac:dyDescent="0.3">
      <c r="B352" s="39"/>
      <c r="C352" s="46" t="s">
        <v>1004</v>
      </c>
      <c r="D352" s="41"/>
      <c r="E352" s="41"/>
      <c r="F352" s="41"/>
      <c r="G352" s="41"/>
      <c r="H352" s="41"/>
      <c r="I352" s="41"/>
      <c r="J352" s="41"/>
      <c r="K352" s="42"/>
    </row>
    <row r="353" spans="2:11" x14ac:dyDescent="0.3">
      <c r="B353" s="39"/>
      <c r="C353" s="41" t="s">
        <v>989</v>
      </c>
      <c r="D353" s="41"/>
      <c r="E353" s="41"/>
      <c r="F353" s="41"/>
      <c r="G353" s="41"/>
      <c r="H353" s="41"/>
      <c r="I353" s="41"/>
      <c r="J353" s="275">
        <v>0</v>
      </c>
      <c r="K353" s="42"/>
    </row>
    <row r="354" spans="2:11" x14ac:dyDescent="0.3">
      <c r="B354" s="39"/>
      <c r="C354" s="41" t="s">
        <v>999</v>
      </c>
      <c r="D354" s="41"/>
      <c r="E354" s="41"/>
      <c r="F354" s="41"/>
      <c r="G354" s="41"/>
      <c r="H354" s="41"/>
      <c r="I354" s="41"/>
      <c r="J354" s="266">
        <f>'Baseline Health'!$G$59</f>
        <v>0</v>
      </c>
      <c r="K354" s="42"/>
    </row>
    <row r="355" spans="2:11" x14ac:dyDescent="0.3">
      <c r="B355" s="39"/>
      <c r="C355" s="41" t="s">
        <v>990</v>
      </c>
      <c r="D355" s="41"/>
      <c r="E355" s="41"/>
      <c r="F355" s="41"/>
      <c r="G355" s="41"/>
      <c r="H355" s="41"/>
      <c r="I355" s="41"/>
      <c r="J355" s="255">
        <f>IF(J353=0,0,IF('Baseline Health'!G$59=0,"Not Calculated",100*J353/'Baseline Health'!$G$59))</f>
        <v>0</v>
      </c>
      <c r="K355" s="42"/>
    </row>
    <row r="356" spans="2:11" x14ac:dyDescent="0.3">
      <c r="B356" s="39"/>
      <c r="C356" s="41" t="s">
        <v>279</v>
      </c>
      <c r="D356" s="41"/>
      <c r="E356" s="41"/>
      <c r="F356" s="41"/>
      <c r="G356" s="41"/>
      <c r="H356" s="41"/>
      <c r="I356" s="41"/>
      <c r="J356" s="256">
        <f>IF(J355&lt;=0,0,IF(J355&lt;=5,1,IF(J355&lt;=10,2,IF(J355&lt;=25,3,4))))</f>
        <v>0</v>
      </c>
      <c r="K356" s="42"/>
    </row>
    <row r="357" spans="2:11" ht="9.75" customHeight="1" x14ac:dyDescent="0.3">
      <c r="B357" s="39"/>
      <c r="C357" s="292" t="str">
        <f>"0:"</f>
        <v>0:</v>
      </c>
      <c r="D357" s="291" t="s">
        <v>1081</v>
      </c>
      <c r="E357" s="41"/>
      <c r="F357" s="41"/>
      <c r="G357" s="41"/>
      <c r="H357" s="41"/>
      <c r="I357" s="41"/>
      <c r="J357" s="255"/>
      <c r="K357" s="42"/>
    </row>
    <row r="358" spans="2:11" ht="9.75" customHeight="1" x14ac:dyDescent="0.3">
      <c r="B358" s="39"/>
      <c r="C358" s="293" t="str">
        <f>"1:"</f>
        <v>1:</v>
      </c>
      <c r="D358" s="291" t="s">
        <v>1082</v>
      </c>
      <c r="E358" s="41"/>
      <c r="F358" s="41"/>
      <c r="G358" s="41"/>
      <c r="H358" s="41"/>
      <c r="I358" s="41"/>
      <c r="J358" s="255"/>
      <c r="K358" s="42"/>
    </row>
    <row r="359" spans="2:11" ht="9.75" customHeight="1" x14ac:dyDescent="0.3">
      <c r="B359" s="39"/>
      <c r="C359" s="293" t="str">
        <f>"2:"</f>
        <v>2:</v>
      </c>
      <c r="D359" s="291" t="s">
        <v>1084</v>
      </c>
      <c r="E359" s="41"/>
      <c r="F359" s="41"/>
      <c r="G359" s="41"/>
      <c r="H359" s="41"/>
      <c r="I359" s="41"/>
      <c r="J359" s="255"/>
      <c r="K359" s="42"/>
    </row>
    <row r="360" spans="2:11" ht="9.75" customHeight="1" x14ac:dyDescent="0.3">
      <c r="B360" s="39"/>
      <c r="C360" s="293" t="str">
        <f>"3:"</f>
        <v>3:</v>
      </c>
      <c r="D360" s="291" t="s">
        <v>1086</v>
      </c>
      <c r="E360" s="41"/>
      <c r="F360" s="41"/>
      <c r="G360" s="41"/>
      <c r="H360" s="41"/>
      <c r="I360" s="41"/>
      <c r="J360" s="255"/>
      <c r="K360" s="42"/>
    </row>
    <row r="361" spans="2:11" ht="9.75" customHeight="1" x14ac:dyDescent="0.3">
      <c r="B361" s="39"/>
      <c r="C361" s="293" t="str">
        <f>"4:"</f>
        <v>4:</v>
      </c>
      <c r="D361" s="291" t="s">
        <v>1087</v>
      </c>
      <c r="E361" s="41"/>
      <c r="F361" s="41"/>
      <c r="G361" s="41"/>
      <c r="H361" s="41"/>
      <c r="I361" s="41"/>
      <c r="J361" s="41"/>
      <c r="K361" s="42"/>
    </row>
    <row r="362" spans="2:11" x14ac:dyDescent="0.3">
      <c r="B362" s="39"/>
      <c r="C362" s="41" t="s">
        <v>276</v>
      </c>
      <c r="D362" s="41"/>
      <c r="E362" s="41"/>
      <c r="F362" s="41"/>
      <c r="G362" s="41"/>
      <c r="H362" s="41"/>
      <c r="I362" s="41"/>
      <c r="J362" s="277" t="s">
        <v>1015</v>
      </c>
      <c r="K362" s="42"/>
    </row>
    <row r="363" spans="2:11" x14ac:dyDescent="0.3">
      <c r="B363" s="39"/>
      <c r="C363" s="41" t="s">
        <v>280</v>
      </c>
      <c r="D363" s="41"/>
      <c r="E363" s="41"/>
      <c r="F363" s="41"/>
      <c r="G363" s="41"/>
      <c r="H363" s="41"/>
      <c r="I363" s="41"/>
      <c r="J363" s="256">
        <f>IF(J362=$B$980,$A$980,IF(J362=$B$981,$A$981,IF(J362=$B$982,$A$982,IF(J362=$B$983,$A$983,IF(J362=$B$984,$A$984,"Not Calculated")))))</f>
        <v>0</v>
      </c>
      <c r="K363" s="42"/>
    </row>
    <row r="364" spans="2:11" x14ac:dyDescent="0.3">
      <c r="B364" s="39"/>
      <c r="C364" s="41" t="s">
        <v>1038</v>
      </c>
      <c r="D364" s="41"/>
      <c r="E364" s="41"/>
      <c r="F364" s="41"/>
      <c r="G364" s="41"/>
      <c r="H364" s="41"/>
      <c r="I364" s="41"/>
      <c r="J364" s="41"/>
      <c r="K364" s="42"/>
    </row>
    <row r="365" spans="2:11" ht="15" customHeight="1" x14ac:dyDescent="0.3">
      <c r="B365" s="39"/>
      <c r="C365" s="343"/>
      <c r="D365" s="344"/>
      <c r="E365" s="344"/>
      <c r="F365" s="344"/>
      <c r="G365" s="344"/>
      <c r="H365" s="344"/>
      <c r="I365" s="344"/>
      <c r="J365" s="345"/>
      <c r="K365" s="42"/>
    </row>
    <row r="366" spans="2:11" x14ac:dyDescent="0.3">
      <c r="B366" s="39"/>
      <c r="C366" s="41"/>
      <c r="D366" s="41"/>
      <c r="E366" s="41"/>
      <c r="F366" s="41"/>
      <c r="G366" s="41"/>
      <c r="H366" s="41"/>
      <c r="I366" s="41"/>
      <c r="J366" s="41"/>
      <c r="K366" s="42"/>
    </row>
    <row r="367" spans="2:11" x14ac:dyDescent="0.3">
      <c r="B367" s="39"/>
      <c r="C367" s="181" t="s">
        <v>1033</v>
      </c>
      <c r="D367" s="41"/>
      <c r="E367" s="41"/>
      <c r="F367" s="41"/>
      <c r="G367" s="41"/>
      <c r="H367" s="41"/>
      <c r="I367" s="41"/>
      <c r="J367" s="256">
        <f>IF(OR(J356="Not Calculated",J363="Not Calculated")=TRUE,"Not Calculated",AVERAGE(J356,J363))</f>
        <v>0</v>
      </c>
      <c r="K367" s="42"/>
    </row>
    <row r="368" spans="2:11" x14ac:dyDescent="0.3">
      <c r="B368" s="39"/>
      <c r="C368" s="41"/>
      <c r="D368" s="41"/>
      <c r="E368" s="41"/>
      <c r="F368" s="41"/>
      <c r="G368" s="41"/>
      <c r="H368" s="41"/>
      <c r="I368" s="41"/>
      <c r="J368" s="41"/>
      <c r="K368" s="42"/>
    </row>
    <row r="369" spans="2:11" x14ac:dyDescent="0.3">
      <c r="B369" s="39"/>
      <c r="C369" s="41"/>
      <c r="D369" s="41"/>
      <c r="E369" s="41"/>
      <c r="F369" s="41"/>
      <c r="G369" s="41"/>
      <c r="H369" s="41"/>
      <c r="I369" s="41"/>
      <c r="J369" s="41"/>
      <c r="K369" s="42"/>
    </row>
    <row r="370" spans="2:11" ht="15.6" x14ac:dyDescent="0.3">
      <c r="B370" s="39"/>
      <c r="C370" s="46" t="s">
        <v>1008</v>
      </c>
      <c r="D370" s="41"/>
      <c r="E370" s="41"/>
      <c r="F370" s="41"/>
      <c r="G370" s="41"/>
      <c r="H370" s="41"/>
      <c r="I370" s="41"/>
      <c r="J370" s="41"/>
      <c r="K370" s="42"/>
    </row>
    <row r="371" spans="2:11" ht="15" customHeight="1" x14ac:dyDescent="0.3">
      <c r="B371" s="39"/>
      <c r="C371" s="324" t="s">
        <v>991</v>
      </c>
      <c r="D371" s="324"/>
      <c r="E371" s="324"/>
      <c r="F371" s="324"/>
      <c r="G371" s="324"/>
      <c r="H371" s="324"/>
      <c r="I371" s="324"/>
      <c r="J371" s="183"/>
      <c r="K371" s="42"/>
    </row>
    <row r="372" spans="2:11" x14ac:dyDescent="0.3">
      <c r="B372" s="39"/>
      <c r="C372" s="324"/>
      <c r="D372" s="324"/>
      <c r="E372" s="324"/>
      <c r="F372" s="324"/>
      <c r="G372" s="324"/>
      <c r="H372" s="324"/>
      <c r="I372" s="324"/>
      <c r="J372" s="275">
        <f>'Baseline Health'!$G$102/2</f>
        <v>0</v>
      </c>
      <c r="K372" s="42"/>
    </row>
    <row r="373" spans="2:11" x14ac:dyDescent="0.3">
      <c r="B373" s="39"/>
      <c r="C373" s="41" t="s">
        <v>998</v>
      </c>
      <c r="D373" s="305"/>
      <c r="E373" s="305"/>
      <c r="F373" s="305"/>
      <c r="G373" s="305"/>
      <c r="H373" s="305"/>
      <c r="I373" s="305"/>
      <c r="J373" s="266">
        <f>'Baseline Health'!$G$102</f>
        <v>0</v>
      </c>
      <c r="K373" s="42"/>
    </row>
    <row r="374" spans="2:11" x14ac:dyDescent="0.3">
      <c r="B374" s="39"/>
      <c r="C374" s="41" t="s">
        <v>985</v>
      </c>
      <c r="D374" s="305"/>
      <c r="E374" s="305"/>
      <c r="F374" s="305"/>
      <c r="G374" s="305"/>
      <c r="H374" s="305"/>
      <c r="I374" s="305"/>
      <c r="J374" s="255" t="str">
        <f>IF('Baseline Health'!$G$102=0,"Not Calculated",100*J372/'Baseline Health'!$G$102)</f>
        <v>Not Calculated</v>
      </c>
      <c r="K374" s="42"/>
    </row>
    <row r="375" spans="2:11" x14ac:dyDescent="0.3">
      <c r="B375" s="39"/>
      <c r="C375" s="41" t="s">
        <v>279</v>
      </c>
      <c r="D375" s="41"/>
      <c r="E375" s="41"/>
      <c r="F375" s="41"/>
      <c r="G375" s="41"/>
      <c r="H375" s="41"/>
      <c r="I375" s="41"/>
      <c r="J375" s="262">
        <f>IF(J372&lt;=0,0,IF(J372&lt;=1,1,IF(J372&lt;=5,2,IF(J372&lt;=10,3,4))))</f>
        <v>0</v>
      </c>
      <c r="K375" s="42"/>
    </row>
    <row r="376" spans="2:11" ht="9.75" customHeight="1" x14ac:dyDescent="0.3">
      <c r="B376" s="39"/>
      <c r="C376" s="292" t="str">
        <f>"0:"</f>
        <v>0:</v>
      </c>
      <c r="D376" s="291" t="s">
        <v>1081</v>
      </c>
      <c r="E376" s="305"/>
      <c r="F376" s="305"/>
      <c r="G376" s="305"/>
      <c r="H376" s="305"/>
      <c r="I376" s="305"/>
      <c r="J376" s="255"/>
      <c r="K376" s="42"/>
    </row>
    <row r="377" spans="2:11" ht="9.75" customHeight="1" x14ac:dyDescent="0.3">
      <c r="B377" s="39"/>
      <c r="C377" s="293" t="str">
        <f>"1:"</f>
        <v>1:</v>
      </c>
      <c r="D377" s="291" t="s">
        <v>1083</v>
      </c>
      <c r="E377" s="305"/>
      <c r="F377" s="305"/>
      <c r="G377" s="305"/>
      <c r="H377" s="305"/>
      <c r="I377" s="305"/>
      <c r="J377" s="255"/>
      <c r="K377" s="42"/>
    </row>
    <row r="378" spans="2:11" ht="9.75" customHeight="1" x14ac:dyDescent="0.3">
      <c r="B378" s="39"/>
      <c r="C378" s="293" t="str">
        <f>"2:"</f>
        <v>2:</v>
      </c>
      <c r="D378" s="291" t="s">
        <v>1082</v>
      </c>
      <c r="E378" s="305"/>
      <c r="F378" s="305"/>
      <c r="G378" s="305"/>
      <c r="H378" s="305"/>
      <c r="I378" s="305"/>
      <c r="J378" s="255"/>
      <c r="K378" s="42"/>
    </row>
    <row r="379" spans="2:11" ht="9.75" customHeight="1" x14ac:dyDescent="0.3">
      <c r="B379" s="39"/>
      <c r="C379" s="293" t="str">
        <f>"3:"</f>
        <v>3:</v>
      </c>
      <c r="D379" s="291" t="s">
        <v>1084</v>
      </c>
      <c r="E379" s="305"/>
      <c r="F379" s="305"/>
      <c r="G379" s="305"/>
      <c r="H379" s="305"/>
      <c r="I379" s="305"/>
      <c r="J379" s="255"/>
      <c r="K379" s="42"/>
    </row>
    <row r="380" spans="2:11" ht="9.75" customHeight="1" x14ac:dyDescent="0.3">
      <c r="B380" s="39"/>
      <c r="C380" s="293" t="str">
        <f>"4:"</f>
        <v>4:</v>
      </c>
      <c r="D380" s="291" t="s">
        <v>1085</v>
      </c>
      <c r="E380" s="41"/>
      <c r="F380" s="41"/>
      <c r="G380" s="41"/>
      <c r="H380" s="41"/>
      <c r="I380" s="41"/>
      <c r="J380" s="41"/>
      <c r="K380" s="42"/>
    </row>
    <row r="381" spans="2:11" x14ac:dyDescent="0.3">
      <c r="B381" s="39"/>
      <c r="C381" s="41" t="s">
        <v>80</v>
      </c>
      <c r="D381" s="41"/>
      <c r="E381" s="41"/>
      <c r="F381" s="41"/>
      <c r="G381" s="41"/>
      <c r="H381" s="41"/>
      <c r="I381" s="41"/>
      <c r="J381" s="263">
        <f>'Baseline Health'!G114</f>
        <v>0</v>
      </c>
      <c r="K381" s="42"/>
    </row>
    <row r="382" spans="2:11" x14ac:dyDescent="0.3">
      <c r="B382" s="39"/>
      <c r="C382" s="41" t="s">
        <v>316</v>
      </c>
      <c r="D382" s="41"/>
      <c r="E382" s="41"/>
      <c r="F382" s="41"/>
      <c r="G382" s="41"/>
      <c r="H382" s="41"/>
      <c r="I382" s="41"/>
      <c r="J382" s="277">
        <v>1</v>
      </c>
      <c r="K382" s="42"/>
    </row>
    <row r="383" spans="2:11" x14ac:dyDescent="0.3">
      <c r="B383" s="39"/>
      <c r="C383" s="41" t="s">
        <v>280</v>
      </c>
      <c r="D383" s="41"/>
      <c r="E383" s="41"/>
      <c r="F383" s="41"/>
      <c r="G383" s="41"/>
      <c r="H383" s="41"/>
      <c r="I383" s="41"/>
      <c r="J383" s="259">
        <f>IF((J382-J381)&lt;1,0,IF((J382-J381)&lt;3,1,IF((J382-J381)&lt;5,2,IF((J382-J381)&lt;7,3,4))))</f>
        <v>1</v>
      </c>
      <c r="K383" s="42"/>
    </row>
    <row r="384" spans="2:11" x14ac:dyDescent="0.3">
      <c r="B384" s="39"/>
      <c r="C384" s="41" t="s">
        <v>1038</v>
      </c>
      <c r="D384" s="41"/>
      <c r="E384" s="41"/>
      <c r="F384" s="41"/>
      <c r="G384" s="41"/>
      <c r="H384" s="41"/>
      <c r="I384" s="41"/>
      <c r="J384" s="41"/>
      <c r="K384" s="42"/>
    </row>
    <row r="385" spans="2:11" ht="30" customHeight="1" x14ac:dyDescent="0.3">
      <c r="B385" s="39"/>
      <c r="C385" s="343" t="s">
        <v>687</v>
      </c>
      <c r="D385" s="344"/>
      <c r="E385" s="344"/>
      <c r="F385" s="344"/>
      <c r="G385" s="344"/>
      <c r="H385" s="344"/>
      <c r="I385" s="344"/>
      <c r="J385" s="345"/>
      <c r="K385" s="42"/>
    </row>
    <row r="386" spans="2:11" x14ac:dyDescent="0.3">
      <c r="B386" s="39"/>
      <c r="C386" s="41"/>
      <c r="D386" s="41"/>
      <c r="E386" s="41"/>
      <c r="F386" s="41"/>
      <c r="G386" s="41"/>
      <c r="H386" s="41"/>
      <c r="I386" s="41"/>
      <c r="J386" s="41"/>
      <c r="K386" s="42"/>
    </row>
    <row r="387" spans="2:11" x14ac:dyDescent="0.3">
      <c r="B387" s="39"/>
      <c r="C387" s="181" t="s">
        <v>1034</v>
      </c>
      <c r="D387" s="41"/>
      <c r="E387" s="41"/>
      <c r="F387" s="41"/>
      <c r="G387" s="41"/>
      <c r="H387" s="41"/>
      <c r="I387" s="41"/>
      <c r="J387" s="256">
        <f>IF(OR(J375="Not Calculated",J383="Not Calculated")=TRUE,"Not Calculated",AVERAGE(J375,J383))</f>
        <v>0.5</v>
      </c>
      <c r="K387" s="42"/>
    </row>
    <row r="388" spans="2:11" x14ac:dyDescent="0.3">
      <c r="B388" s="39"/>
      <c r="C388" s="41"/>
      <c r="D388" s="41"/>
      <c r="E388" s="41"/>
      <c r="F388" s="41"/>
      <c r="G388" s="41"/>
      <c r="H388" s="41"/>
      <c r="I388" s="41"/>
      <c r="J388" s="41"/>
      <c r="K388" s="42"/>
    </row>
    <row r="389" spans="2:11" x14ac:dyDescent="0.3">
      <c r="B389" s="39"/>
      <c r="C389" s="41"/>
      <c r="D389" s="41"/>
      <c r="E389" s="41"/>
      <c r="F389" s="41"/>
      <c r="G389" s="41"/>
      <c r="H389" s="41"/>
      <c r="I389" s="41"/>
      <c r="J389" s="41"/>
      <c r="K389" s="42"/>
    </row>
    <row r="390" spans="2:11" ht="15.6" x14ac:dyDescent="0.3">
      <c r="B390" s="39"/>
      <c r="C390" s="46" t="s">
        <v>1005</v>
      </c>
      <c r="D390" s="41"/>
      <c r="E390" s="41"/>
      <c r="F390" s="41"/>
      <c r="G390" s="41"/>
      <c r="H390" s="41"/>
      <c r="I390" s="41"/>
      <c r="J390" s="41"/>
      <c r="K390" s="42"/>
    </row>
    <row r="391" spans="2:11" x14ac:dyDescent="0.3">
      <c r="B391" s="39"/>
      <c r="C391" s="324" t="s">
        <v>992</v>
      </c>
      <c r="D391" s="324"/>
      <c r="E391" s="324"/>
      <c r="F391" s="324"/>
      <c r="G391" s="324"/>
      <c r="H391" s="324"/>
      <c r="I391" s="324"/>
      <c r="J391" s="183"/>
      <c r="K391" s="42"/>
    </row>
    <row r="392" spans="2:11" x14ac:dyDescent="0.3">
      <c r="B392" s="39"/>
      <c r="C392" s="324"/>
      <c r="D392" s="324"/>
      <c r="E392" s="324"/>
      <c r="F392" s="324"/>
      <c r="G392" s="324"/>
      <c r="H392" s="324"/>
      <c r="I392" s="324"/>
      <c r="J392" s="275">
        <v>0</v>
      </c>
      <c r="K392" s="42"/>
    </row>
    <row r="393" spans="2:11" x14ac:dyDescent="0.3">
      <c r="B393" s="39"/>
      <c r="C393" s="41" t="s">
        <v>998</v>
      </c>
      <c r="D393" s="305"/>
      <c r="E393" s="305"/>
      <c r="F393" s="305"/>
      <c r="G393" s="305"/>
      <c r="H393" s="305"/>
      <c r="I393" s="305"/>
      <c r="J393" s="266">
        <f>'Baseline Health'!$G$102</f>
        <v>0</v>
      </c>
      <c r="K393" s="42"/>
    </row>
    <row r="394" spans="2:11" ht="15" customHeight="1" x14ac:dyDescent="0.3">
      <c r="B394" s="39"/>
      <c r="C394" s="41" t="s">
        <v>993</v>
      </c>
      <c r="D394" s="305"/>
      <c r="E394" s="305"/>
      <c r="F394" s="305"/>
      <c r="G394" s="305"/>
      <c r="H394" s="305"/>
      <c r="I394" s="305"/>
      <c r="J394" s="255" t="str">
        <f>IF('Baseline Health'!$G$102=0,"Not Calculated",100*J392/'Baseline Health'!$G$102)</f>
        <v>Not Calculated</v>
      </c>
      <c r="K394" s="42"/>
    </row>
    <row r="395" spans="2:11" ht="15" customHeight="1" x14ac:dyDescent="0.3">
      <c r="B395" s="39"/>
      <c r="C395" s="41" t="s">
        <v>279</v>
      </c>
      <c r="D395" s="41"/>
      <c r="E395" s="41"/>
      <c r="F395" s="41"/>
      <c r="G395" s="41"/>
      <c r="H395" s="41"/>
      <c r="I395" s="41"/>
      <c r="J395" s="44">
        <f>IF(J394&lt;=0,0,IF(J394&lt;=1,1,IF(J394&lt;=5,2,IF(J394&lt;=10,3,4))))</f>
        <v>4</v>
      </c>
      <c r="K395" s="42"/>
    </row>
    <row r="396" spans="2:11" ht="9.75" customHeight="1" x14ac:dyDescent="0.3">
      <c r="B396" s="39"/>
      <c r="C396" s="292" t="str">
        <f>"0:"</f>
        <v>0:</v>
      </c>
      <c r="D396" s="291" t="s">
        <v>1081</v>
      </c>
      <c r="E396" s="305"/>
      <c r="F396" s="305"/>
      <c r="G396" s="305"/>
      <c r="H396" s="305"/>
      <c r="I396" s="305"/>
      <c r="J396" s="255"/>
      <c r="K396" s="42"/>
    </row>
    <row r="397" spans="2:11" ht="9.75" customHeight="1" x14ac:dyDescent="0.3">
      <c r="B397" s="39"/>
      <c r="C397" s="293" t="str">
        <f>"1:"</f>
        <v>1:</v>
      </c>
      <c r="D397" s="291" t="s">
        <v>1083</v>
      </c>
      <c r="E397" s="305"/>
      <c r="F397" s="305"/>
      <c r="G397" s="305"/>
      <c r="H397" s="305"/>
      <c r="I397" s="305"/>
      <c r="J397" s="255"/>
      <c r="K397" s="42"/>
    </row>
    <row r="398" spans="2:11" ht="9.75" customHeight="1" x14ac:dyDescent="0.3">
      <c r="B398" s="39"/>
      <c r="C398" s="293" t="str">
        <f>"2:"</f>
        <v>2:</v>
      </c>
      <c r="D398" s="291" t="s">
        <v>1082</v>
      </c>
      <c r="E398" s="305"/>
      <c r="F398" s="305"/>
      <c r="G398" s="305"/>
      <c r="H398" s="305"/>
      <c r="I398" s="305"/>
      <c r="J398" s="255"/>
      <c r="K398" s="42"/>
    </row>
    <row r="399" spans="2:11" ht="9.75" customHeight="1" x14ac:dyDescent="0.3">
      <c r="B399" s="39"/>
      <c r="C399" s="293" t="str">
        <f>"3:"</f>
        <v>3:</v>
      </c>
      <c r="D399" s="291" t="s">
        <v>1084</v>
      </c>
      <c r="E399" s="305"/>
      <c r="F399" s="305"/>
      <c r="G399" s="305"/>
      <c r="H399" s="305"/>
      <c r="I399" s="305"/>
      <c r="J399" s="255"/>
      <c r="K399" s="42"/>
    </row>
    <row r="400" spans="2:11" ht="9.75" customHeight="1" x14ac:dyDescent="0.3">
      <c r="B400" s="39"/>
      <c r="C400" s="293" t="str">
        <f>"4:"</f>
        <v>4:</v>
      </c>
      <c r="D400" s="291" t="s">
        <v>1085</v>
      </c>
      <c r="E400" s="41"/>
      <c r="F400" s="41"/>
      <c r="G400" s="41"/>
      <c r="H400" s="41"/>
      <c r="I400" s="41"/>
      <c r="J400" s="41"/>
      <c r="K400" s="42"/>
    </row>
    <row r="401" spans="2:11" x14ac:dyDescent="0.3">
      <c r="B401" s="39"/>
      <c r="C401" s="41" t="s">
        <v>1038</v>
      </c>
      <c r="D401" s="41"/>
      <c r="E401" s="41"/>
      <c r="F401" s="41"/>
      <c r="G401" s="41"/>
      <c r="H401" s="41"/>
      <c r="I401" s="41"/>
      <c r="J401" s="41"/>
      <c r="K401" s="42"/>
    </row>
    <row r="402" spans="2:11" ht="15" customHeight="1" x14ac:dyDescent="0.3">
      <c r="B402" s="39"/>
      <c r="C402" s="343"/>
      <c r="D402" s="344"/>
      <c r="E402" s="344"/>
      <c r="F402" s="344"/>
      <c r="G402" s="344"/>
      <c r="H402" s="344"/>
      <c r="I402" s="344"/>
      <c r="J402" s="345"/>
      <c r="K402" s="42"/>
    </row>
    <row r="403" spans="2:11" x14ac:dyDescent="0.3">
      <c r="B403" s="39"/>
      <c r="C403" s="41"/>
      <c r="D403" s="41"/>
      <c r="E403" s="41"/>
      <c r="F403" s="41"/>
      <c r="G403" s="41"/>
      <c r="H403" s="41"/>
      <c r="I403" s="41"/>
      <c r="J403" s="41"/>
      <c r="K403" s="42"/>
    </row>
    <row r="404" spans="2:11" x14ac:dyDescent="0.3">
      <c r="B404" s="39"/>
      <c r="C404" s="181" t="s">
        <v>1035</v>
      </c>
      <c r="D404" s="41"/>
      <c r="E404" s="41"/>
      <c r="F404" s="41"/>
      <c r="G404" s="41"/>
      <c r="H404" s="41"/>
      <c r="I404" s="41"/>
      <c r="J404" s="256">
        <f>J395</f>
        <v>4</v>
      </c>
      <c r="K404" s="42"/>
    </row>
    <row r="405" spans="2:11" x14ac:dyDescent="0.3">
      <c r="B405" s="39"/>
      <c r="C405" s="41"/>
      <c r="D405" s="41"/>
      <c r="E405" s="41"/>
      <c r="F405" s="41"/>
      <c r="G405" s="41"/>
      <c r="H405" s="41"/>
      <c r="I405" s="41"/>
      <c r="J405" s="41"/>
      <c r="K405" s="42"/>
    </row>
    <row r="406" spans="2:11" x14ac:dyDescent="0.3">
      <c r="B406" s="39"/>
      <c r="C406" s="41"/>
      <c r="D406" s="41"/>
      <c r="E406" s="41"/>
      <c r="F406" s="41"/>
      <c r="G406" s="41"/>
      <c r="H406" s="41"/>
      <c r="I406" s="41"/>
      <c r="J406" s="41"/>
      <c r="K406" s="42"/>
    </row>
    <row r="407" spans="2:11" ht="15.6" x14ac:dyDescent="0.3">
      <c r="B407" s="39"/>
      <c r="C407" s="46" t="s">
        <v>1006</v>
      </c>
      <c r="D407" s="41"/>
      <c r="E407" s="41"/>
      <c r="F407" s="41"/>
      <c r="G407" s="41"/>
      <c r="H407" s="41"/>
      <c r="I407" s="41"/>
      <c r="J407" s="41"/>
      <c r="K407" s="42"/>
    </row>
    <row r="408" spans="2:11" x14ac:dyDescent="0.3">
      <c r="B408" s="39"/>
      <c r="C408" s="41" t="s">
        <v>317</v>
      </c>
      <c r="D408" s="41"/>
      <c r="E408" s="41"/>
      <c r="F408" s="41"/>
      <c r="G408" s="41"/>
      <c r="H408" s="41"/>
      <c r="I408" s="41"/>
      <c r="J408" s="280">
        <v>0</v>
      </c>
      <c r="K408" s="42"/>
    </row>
    <row r="409" spans="2:11" x14ac:dyDescent="0.3">
      <c r="B409" s="39"/>
      <c r="C409" s="41" t="s">
        <v>279</v>
      </c>
      <c r="D409" s="41"/>
      <c r="E409" s="41"/>
      <c r="F409" s="41"/>
      <c r="G409" s="41"/>
      <c r="H409" s="41"/>
      <c r="I409" s="41"/>
      <c r="J409" s="264">
        <f>IF(J408&lt;=0,0,IF(J408&lt;=(J161*0.01),1,IF(J408&lt;=(J161*0.05),2,IF(J408&lt;=(J161*0.1),3,4))))</f>
        <v>0</v>
      </c>
      <c r="K409" s="42"/>
    </row>
    <row r="410" spans="2:11" ht="9.75" customHeight="1" x14ac:dyDescent="0.3">
      <c r="B410" s="39"/>
      <c r="C410" s="292" t="str">
        <f>"0:"</f>
        <v>0:</v>
      </c>
      <c r="D410" s="291" t="s">
        <v>1088</v>
      </c>
      <c r="E410" s="41"/>
      <c r="F410" s="41"/>
      <c r="G410" s="41"/>
      <c r="H410" s="41"/>
      <c r="I410" s="41"/>
      <c r="J410" s="295"/>
      <c r="K410" s="42"/>
    </row>
    <row r="411" spans="2:11" ht="9.75" customHeight="1" x14ac:dyDescent="0.3">
      <c r="B411" s="39"/>
      <c r="C411" s="293" t="str">
        <f>"1:"</f>
        <v>1:</v>
      </c>
      <c r="D411" s="291" t="s">
        <v>1089</v>
      </c>
      <c r="E411" s="41"/>
      <c r="F411" s="41"/>
      <c r="G411" s="41"/>
      <c r="H411" s="41"/>
      <c r="I411" s="41"/>
      <c r="J411" s="295"/>
      <c r="K411" s="42"/>
    </row>
    <row r="412" spans="2:11" ht="9.75" customHeight="1" x14ac:dyDescent="0.3">
      <c r="B412" s="39"/>
      <c r="C412" s="293" t="str">
        <f>"2:"</f>
        <v>2:</v>
      </c>
      <c r="D412" s="291" t="s">
        <v>1090</v>
      </c>
      <c r="E412" s="41"/>
      <c r="F412" s="41"/>
      <c r="G412" s="41"/>
      <c r="H412" s="41"/>
      <c r="I412" s="41"/>
      <c r="J412" s="295"/>
      <c r="K412" s="42"/>
    </row>
    <row r="413" spans="2:11" ht="9.75" customHeight="1" x14ac:dyDescent="0.3">
      <c r="B413" s="39"/>
      <c r="C413" s="293" t="str">
        <f>"3:"</f>
        <v>3:</v>
      </c>
      <c r="D413" s="291" t="s">
        <v>1091</v>
      </c>
      <c r="E413" s="41"/>
      <c r="F413" s="41"/>
      <c r="G413" s="41"/>
      <c r="H413" s="41"/>
      <c r="I413" s="41"/>
      <c r="J413" s="295"/>
      <c r="K413" s="42"/>
    </row>
    <row r="414" spans="2:11" ht="9.75" customHeight="1" x14ac:dyDescent="0.3">
      <c r="B414" s="39"/>
      <c r="C414" s="293" t="str">
        <f>"4:"</f>
        <v>4:</v>
      </c>
      <c r="D414" s="291" t="s">
        <v>1092</v>
      </c>
      <c r="E414" s="41"/>
      <c r="F414" s="41"/>
      <c r="G414" s="41"/>
      <c r="H414" s="41"/>
      <c r="I414" s="41"/>
      <c r="J414" s="41"/>
      <c r="K414" s="42"/>
    </row>
    <row r="415" spans="2:11" x14ac:dyDescent="0.3">
      <c r="B415" s="39"/>
      <c r="C415" s="41" t="s">
        <v>1038</v>
      </c>
      <c r="D415" s="41"/>
      <c r="E415" s="41"/>
      <c r="F415" s="41"/>
      <c r="G415" s="41"/>
      <c r="H415" s="41"/>
      <c r="I415" s="41"/>
      <c r="J415" s="41"/>
      <c r="K415" s="42"/>
    </row>
    <row r="416" spans="2:11" ht="15" customHeight="1" x14ac:dyDescent="0.3">
      <c r="B416" s="39"/>
      <c r="C416" s="343"/>
      <c r="D416" s="344"/>
      <c r="E416" s="344"/>
      <c r="F416" s="344"/>
      <c r="G416" s="344"/>
      <c r="H416" s="344"/>
      <c r="I416" s="344"/>
      <c r="J416" s="345"/>
      <c r="K416" s="42"/>
    </row>
    <row r="417" spans="2:11" x14ac:dyDescent="0.3">
      <c r="B417" s="39"/>
      <c r="C417" s="41"/>
      <c r="D417" s="41"/>
      <c r="E417" s="41"/>
      <c r="F417" s="41"/>
      <c r="G417" s="41"/>
      <c r="H417" s="41"/>
      <c r="I417" s="41"/>
      <c r="J417" s="41"/>
      <c r="K417" s="42"/>
    </row>
    <row r="418" spans="2:11" x14ac:dyDescent="0.3">
      <c r="B418" s="39"/>
      <c r="C418" s="181" t="s">
        <v>1036</v>
      </c>
      <c r="D418" s="41"/>
      <c r="E418" s="41"/>
      <c r="F418" s="41"/>
      <c r="G418" s="41"/>
      <c r="H418" s="41"/>
      <c r="I418" s="41"/>
      <c r="J418" s="256">
        <f>J409</f>
        <v>0</v>
      </c>
      <c r="K418" s="42"/>
    </row>
    <row r="419" spans="2:11" x14ac:dyDescent="0.3">
      <c r="B419" s="39"/>
      <c r="C419" s="41"/>
      <c r="D419" s="41"/>
      <c r="E419" s="41"/>
      <c r="F419" s="41"/>
      <c r="G419" s="41"/>
      <c r="H419" s="41"/>
      <c r="I419" s="41"/>
      <c r="J419" s="41"/>
      <c r="K419" s="42"/>
    </row>
    <row r="420" spans="2:11" x14ac:dyDescent="0.3">
      <c r="B420" s="39"/>
      <c r="C420" s="354" t="s">
        <v>1026</v>
      </c>
      <c r="D420" s="354"/>
      <c r="E420" s="354"/>
      <c r="F420" s="354"/>
      <c r="G420" s="354"/>
      <c r="H420" s="354"/>
      <c r="I420" s="354"/>
      <c r="J420" s="41"/>
      <c r="K420" s="42"/>
    </row>
    <row r="421" spans="2:11" x14ac:dyDescent="0.3">
      <c r="B421" s="39"/>
      <c r="C421" s="354"/>
      <c r="D421" s="354"/>
      <c r="E421" s="354"/>
      <c r="F421" s="354"/>
      <c r="G421" s="354"/>
      <c r="H421" s="354"/>
      <c r="I421" s="354"/>
      <c r="J421" s="255">
        <f>IF(OR(J288="Not Calculated",J307="Not Calculated",J326="Not Calculated",J349="Not Calculated",J367="Not Calculated",J387="Not Calculated",J404="Not Calculated",J418="Not Calculated")=TRUE,"Not Calculated",AVERAGE(J288,J307,J326,J349,J367,J387,J404,J418))</f>
        <v>1.3125</v>
      </c>
      <c r="K421" s="42"/>
    </row>
    <row r="422" spans="2:11" ht="15" thickBot="1" x14ac:dyDescent="0.35">
      <c r="B422" s="47"/>
      <c r="C422" s="48"/>
      <c r="D422" s="48"/>
      <c r="E422" s="48"/>
      <c r="F422" s="48"/>
      <c r="G422" s="48"/>
      <c r="H422" s="48"/>
      <c r="I422" s="48"/>
      <c r="J422" s="48"/>
      <c r="K422" s="50"/>
    </row>
    <row r="423" spans="2:11" ht="15" thickBot="1" x14ac:dyDescent="0.35"/>
    <row r="424" spans="2:11" x14ac:dyDescent="0.3">
      <c r="B424" s="34"/>
      <c r="C424" s="35"/>
      <c r="D424" s="35"/>
      <c r="E424" s="35"/>
      <c r="F424" s="35"/>
      <c r="G424" s="35"/>
      <c r="H424" s="35"/>
      <c r="I424" s="35"/>
      <c r="J424" s="35"/>
      <c r="K424" s="38"/>
    </row>
    <row r="425" spans="2:11" ht="20.399999999999999" x14ac:dyDescent="0.35">
      <c r="B425" s="39"/>
      <c r="C425" s="41"/>
      <c r="D425" s="41"/>
      <c r="E425" s="41"/>
      <c r="F425" s="41"/>
      <c r="G425" s="175" t="s">
        <v>249</v>
      </c>
      <c r="H425" s="41"/>
      <c r="I425" s="41"/>
      <c r="J425" s="41"/>
      <c r="K425" s="42"/>
    </row>
    <row r="426" spans="2:11" x14ac:dyDescent="0.3">
      <c r="B426" s="39"/>
      <c r="C426" s="41"/>
      <c r="D426" s="41"/>
      <c r="E426" s="41"/>
      <c r="F426" s="41"/>
      <c r="G426" s="41"/>
      <c r="H426" s="41"/>
      <c r="I426" s="41"/>
      <c r="J426" s="41"/>
      <c r="K426" s="42"/>
    </row>
    <row r="427" spans="2:11" ht="15.6" x14ac:dyDescent="0.3">
      <c r="B427" s="39"/>
      <c r="C427" s="46" t="s">
        <v>318</v>
      </c>
      <c r="D427" s="41"/>
      <c r="E427" s="41"/>
      <c r="F427" s="41"/>
      <c r="G427" s="41"/>
      <c r="H427" s="41"/>
      <c r="I427" s="41"/>
      <c r="J427" s="41"/>
      <c r="K427" s="42"/>
    </row>
    <row r="428" spans="2:11" x14ac:dyDescent="0.3">
      <c r="B428" s="39"/>
      <c r="C428" s="41" t="s">
        <v>319</v>
      </c>
      <c r="D428" s="41"/>
      <c r="E428" s="41"/>
      <c r="F428" s="41"/>
      <c r="G428" s="41"/>
      <c r="H428" s="41"/>
      <c r="I428" s="41"/>
      <c r="J428" s="281">
        <f>'Community Characteristics'!H14*0.064</f>
        <v>0</v>
      </c>
      <c r="K428" s="42"/>
    </row>
    <row r="429" spans="2:11" x14ac:dyDescent="0.3">
      <c r="B429" s="39"/>
      <c r="C429" s="41" t="s">
        <v>279</v>
      </c>
      <c r="D429" s="41"/>
      <c r="E429" s="41"/>
      <c r="F429" s="41"/>
      <c r="G429" s="41"/>
      <c r="H429" s="41"/>
      <c r="I429" s="41"/>
      <c r="J429" s="259">
        <f>IF(J428&lt;=0,0,IF(J428&lt;=1,1,IF(J428&lt;=5,2,IF(J428&lt;=10,3,4))))</f>
        <v>0</v>
      </c>
      <c r="K429" s="42"/>
    </row>
    <row r="430" spans="2:11" s="99" customFormat="1" ht="9.75" customHeight="1" x14ac:dyDescent="0.3">
      <c r="B430" s="301"/>
      <c r="C430" s="292" t="str">
        <f>"0:"</f>
        <v>0:</v>
      </c>
      <c r="D430" s="303" t="s">
        <v>1093</v>
      </c>
      <c r="E430" s="256"/>
      <c r="F430" s="256"/>
      <c r="G430" s="256"/>
      <c r="H430" s="256"/>
      <c r="I430" s="256"/>
      <c r="J430" s="256"/>
      <c r="K430" s="302"/>
    </row>
    <row r="431" spans="2:11" s="99" customFormat="1" ht="9.75" customHeight="1" x14ac:dyDescent="0.3">
      <c r="B431" s="301"/>
      <c r="C431" s="293" t="str">
        <f>"1:"</f>
        <v>1:</v>
      </c>
      <c r="D431" s="303" t="s">
        <v>1094</v>
      </c>
      <c r="E431" s="256"/>
      <c r="F431" s="256"/>
      <c r="G431" s="256"/>
      <c r="H431" s="256"/>
      <c r="I431" s="256"/>
      <c r="J431" s="256"/>
      <c r="K431" s="302"/>
    </row>
    <row r="432" spans="2:11" s="99" customFormat="1" ht="9.75" customHeight="1" x14ac:dyDescent="0.3">
      <c r="B432" s="301"/>
      <c r="C432" s="293" t="str">
        <f>"2:"</f>
        <v>2:</v>
      </c>
      <c r="D432" s="303" t="s">
        <v>1095</v>
      </c>
      <c r="E432" s="256"/>
      <c r="F432" s="256"/>
      <c r="G432" s="256"/>
      <c r="H432" s="256"/>
      <c r="I432" s="256"/>
      <c r="J432" s="256"/>
      <c r="K432" s="302"/>
    </row>
    <row r="433" spans="2:11" s="99" customFormat="1" ht="9.75" customHeight="1" x14ac:dyDescent="0.3">
      <c r="B433" s="301"/>
      <c r="C433" s="293" t="str">
        <f>"3:"</f>
        <v>3:</v>
      </c>
      <c r="D433" s="303" t="s">
        <v>1096</v>
      </c>
      <c r="E433" s="256"/>
      <c r="F433" s="256"/>
      <c r="G433" s="256"/>
      <c r="H433" s="256"/>
      <c r="I433" s="256"/>
      <c r="J433" s="256"/>
      <c r="K433" s="302"/>
    </row>
    <row r="434" spans="2:11" s="99" customFormat="1" ht="9.75" customHeight="1" x14ac:dyDescent="0.3">
      <c r="B434" s="301"/>
      <c r="C434" s="293" t="str">
        <f>"4:"</f>
        <v>4:</v>
      </c>
      <c r="D434" s="303" t="s">
        <v>1097</v>
      </c>
      <c r="E434" s="256"/>
      <c r="F434" s="256"/>
      <c r="G434" s="256"/>
      <c r="H434" s="256"/>
      <c r="I434" s="256"/>
      <c r="J434" s="258"/>
      <c r="K434" s="302"/>
    </row>
    <row r="435" spans="2:11" x14ac:dyDescent="0.3">
      <c r="B435" s="39"/>
      <c r="C435" s="41" t="s">
        <v>276</v>
      </c>
      <c r="D435" s="41"/>
      <c r="E435" s="41"/>
      <c r="F435" s="41"/>
      <c r="G435" s="41"/>
      <c r="H435" s="41"/>
      <c r="I435" s="41"/>
      <c r="J435" s="277" t="s">
        <v>1017</v>
      </c>
      <c r="K435" s="42"/>
    </row>
    <row r="436" spans="2:11" x14ac:dyDescent="0.3">
      <c r="B436" s="39"/>
      <c r="C436" s="41" t="s">
        <v>280</v>
      </c>
      <c r="D436" s="41"/>
      <c r="E436" s="41"/>
      <c r="F436" s="41"/>
      <c r="G436" s="41"/>
      <c r="H436" s="41"/>
      <c r="I436" s="41"/>
      <c r="J436" s="256">
        <f>IF(J435=$B$973,$A$973,IF(J435=$B$974,$A$974,IF(J435=$B$975,$A$975,IF(J435=$B$976,$A$976,IF(J435=$B$977,$A$977,"Not Calculated")))))</f>
        <v>2</v>
      </c>
      <c r="K436" s="42"/>
    </row>
    <row r="437" spans="2:11" x14ac:dyDescent="0.3">
      <c r="B437" s="39"/>
      <c r="C437" s="41" t="s">
        <v>1038</v>
      </c>
      <c r="D437" s="41"/>
      <c r="E437" s="41"/>
      <c r="F437" s="41"/>
      <c r="G437" s="41"/>
      <c r="H437" s="41"/>
      <c r="I437" s="41"/>
      <c r="J437" s="41"/>
      <c r="K437" s="42"/>
    </row>
    <row r="438" spans="2:11" ht="30" customHeight="1" x14ac:dyDescent="0.3">
      <c r="B438" s="39"/>
      <c r="C438" s="343" t="s">
        <v>688</v>
      </c>
      <c r="D438" s="344"/>
      <c r="E438" s="344"/>
      <c r="F438" s="344"/>
      <c r="G438" s="344"/>
      <c r="H438" s="344"/>
      <c r="I438" s="344"/>
      <c r="J438" s="345"/>
      <c r="K438" s="42"/>
    </row>
    <row r="439" spans="2:11" x14ac:dyDescent="0.3">
      <c r="B439" s="39"/>
      <c r="C439" s="41"/>
      <c r="D439" s="41"/>
      <c r="E439" s="41"/>
      <c r="F439" s="41"/>
      <c r="G439" s="41"/>
      <c r="H439" s="41"/>
      <c r="I439" s="41"/>
      <c r="J439" s="41"/>
      <c r="K439" s="42"/>
    </row>
    <row r="440" spans="2:11" x14ac:dyDescent="0.3">
      <c r="B440" s="39"/>
      <c r="C440" s="181" t="s">
        <v>320</v>
      </c>
      <c r="D440" s="41"/>
      <c r="E440" s="41"/>
      <c r="F440" s="41"/>
      <c r="G440" s="41"/>
      <c r="H440" s="41"/>
      <c r="I440" s="41"/>
      <c r="J440" s="256">
        <f>IF(OR(J429="Not Calculated",J436="Not Calculated")=TRUE,"Not Calculated",AVERAGE(J429,J436))</f>
        <v>1</v>
      </c>
      <c r="K440" s="42"/>
    </row>
    <row r="441" spans="2:11" x14ac:dyDescent="0.3">
      <c r="B441" s="39"/>
      <c r="C441" s="41"/>
      <c r="D441" s="41"/>
      <c r="E441" s="41"/>
      <c r="F441" s="41"/>
      <c r="G441" s="41"/>
      <c r="H441" s="41"/>
      <c r="I441" s="41"/>
      <c r="J441" s="41"/>
      <c r="K441" s="42"/>
    </row>
    <row r="442" spans="2:11" x14ac:dyDescent="0.3">
      <c r="B442" s="39"/>
      <c r="C442" s="41"/>
      <c r="D442" s="41"/>
      <c r="E442" s="41"/>
      <c r="F442" s="41"/>
      <c r="G442" s="41"/>
      <c r="H442" s="41"/>
      <c r="I442" s="41"/>
      <c r="J442" s="41"/>
      <c r="K442" s="42"/>
    </row>
    <row r="443" spans="2:11" ht="15.6" x14ac:dyDescent="0.3">
      <c r="B443" s="39"/>
      <c r="C443" s="46" t="s">
        <v>322</v>
      </c>
      <c r="D443" s="41"/>
      <c r="E443" s="41"/>
      <c r="F443" s="41"/>
      <c r="G443" s="41"/>
      <c r="H443" s="41"/>
      <c r="I443" s="41"/>
      <c r="J443" s="41"/>
      <c r="K443" s="42"/>
    </row>
    <row r="444" spans="2:11" ht="15" customHeight="1" x14ac:dyDescent="0.3">
      <c r="B444" s="39"/>
      <c r="C444" s="324" t="s">
        <v>324</v>
      </c>
      <c r="D444" s="324"/>
      <c r="E444" s="324"/>
      <c r="F444" s="324"/>
      <c r="G444" s="324"/>
      <c r="H444" s="324"/>
      <c r="I444" s="324"/>
      <c r="J444" s="41"/>
      <c r="K444" s="42"/>
    </row>
    <row r="445" spans="2:11" x14ac:dyDescent="0.3">
      <c r="B445" s="39"/>
      <c r="C445" s="324"/>
      <c r="D445" s="324"/>
      <c r="E445" s="324"/>
      <c r="F445" s="324"/>
      <c r="G445" s="324"/>
      <c r="H445" s="324"/>
      <c r="I445" s="324"/>
      <c r="J445" s="281">
        <v>0</v>
      </c>
      <c r="K445" s="42"/>
    </row>
    <row r="446" spans="2:11" x14ac:dyDescent="0.3">
      <c r="B446" s="39"/>
      <c r="C446" s="41" t="s">
        <v>279</v>
      </c>
      <c r="D446" s="41"/>
      <c r="E446" s="41"/>
      <c r="F446" s="41"/>
      <c r="G446" s="41"/>
      <c r="H446" s="41"/>
      <c r="I446" s="41"/>
      <c r="J446" s="259">
        <f>IF(J445&lt;=0,0,IF(J445&lt;=1,1,IF(J445&lt;=5,2,IF(J445&lt;=10,3,4))))</f>
        <v>0</v>
      </c>
      <c r="K446" s="42"/>
    </row>
    <row r="447" spans="2:11" ht="9.75" customHeight="1" x14ac:dyDescent="0.3">
      <c r="B447" s="39"/>
      <c r="C447" s="292" t="str">
        <f>"0:"</f>
        <v>0:</v>
      </c>
      <c r="D447" s="291" t="s">
        <v>1093</v>
      </c>
      <c r="E447" s="41"/>
      <c r="F447" s="41"/>
      <c r="G447" s="41"/>
      <c r="H447" s="41"/>
      <c r="I447" s="41"/>
      <c r="J447" s="256"/>
      <c r="K447" s="42"/>
    </row>
    <row r="448" spans="2:11" ht="9.75" customHeight="1" x14ac:dyDescent="0.3">
      <c r="B448" s="39"/>
      <c r="C448" s="293" t="str">
        <f>"1:"</f>
        <v>1:</v>
      </c>
      <c r="D448" s="291" t="s">
        <v>1094</v>
      </c>
      <c r="E448" s="41"/>
      <c r="F448" s="41"/>
      <c r="G448" s="41"/>
      <c r="H448" s="41"/>
      <c r="I448" s="41"/>
      <c r="J448" s="256"/>
      <c r="K448" s="42"/>
    </row>
    <row r="449" spans="2:11" ht="9.75" customHeight="1" x14ac:dyDescent="0.3">
      <c r="B449" s="39"/>
      <c r="C449" s="293" t="str">
        <f>"2:"</f>
        <v>2:</v>
      </c>
      <c r="D449" s="291" t="s">
        <v>1095</v>
      </c>
      <c r="E449" s="41"/>
      <c r="F449" s="41"/>
      <c r="G449" s="41"/>
      <c r="H449" s="41"/>
      <c r="I449" s="41"/>
      <c r="J449" s="256"/>
      <c r="K449" s="42"/>
    </row>
    <row r="450" spans="2:11" ht="9.75" customHeight="1" x14ac:dyDescent="0.3">
      <c r="B450" s="39"/>
      <c r="C450" s="293" t="str">
        <f>"3:"</f>
        <v>3:</v>
      </c>
      <c r="D450" s="291" t="s">
        <v>1096</v>
      </c>
      <c r="E450" s="41"/>
      <c r="F450" s="41"/>
      <c r="G450" s="41"/>
      <c r="H450" s="41"/>
      <c r="I450" s="41"/>
      <c r="J450" s="256"/>
      <c r="K450" s="42"/>
    </row>
    <row r="451" spans="2:11" ht="9.75" customHeight="1" x14ac:dyDescent="0.3">
      <c r="B451" s="39"/>
      <c r="C451" s="293" t="str">
        <f>"4:"</f>
        <v>4:</v>
      </c>
      <c r="D451" s="291" t="s">
        <v>1097</v>
      </c>
      <c r="E451" s="41"/>
      <c r="F451" s="41"/>
      <c r="G451" s="41"/>
      <c r="H451" s="41"/>
      <c r="I451" s="41"/>
      <c r="J451" s="258"/>
      <c r="K451" s="42"/>
    </row>
    <row r="452" spans="2:11" x14ac:dyDescent="0.3">
      <c r="B452" s="39"/>
      <c r="C452" s="41" t="s">
        <v>276</v>
      </c>
      <c r="D452" s="41"/>
      <c r="E452" s="41"/>
      <c r="F452" s="41"/>
      <c r="G452" s="41"/>
      <c r="H452" s="41"/>
      <c r="I452" s="41"/>
      <c r="J452" s="277" t="s">
        <v>1015</v>
      </c>
      <c r="K452" s="42"/>
    </row>
    <row r="453" spans="2:11" x14ac:dyDescent="0.3">
      <c r="B453" s="39"/>
      <c r="C453" s="41" t="s">
        <v>280</v>
      </c>
      <c r="D453" s="41"/>
      <c r="E453" s="41"/>
      <c r="F453" s="41"/>
      <c r="G453" s="41"/>
      <c r="H453" s="41"/>
      <c r="I453" s="41"/>
      <c r="J453" s="256">
        <f>IF(J452=$B$973,$A$973,IF(J452=$B$974,$A$974,IF(J452=$B$975,$A$975,IF(J452=$B$976,$A$976,IF(J452=$B$977,$A$977,"Not Calculated")))))</f>
        <v>0</v>
      </c>
      <c r="K453" s="42"/>
    </row>
    <row r="454" spans="2:11" x14ac:dyDescent="0.3">
      <c r="B454" s="39"/>
      <c r="C454" s="41" t="s">
        <v>1038</v>
      </c>
      <c r="D454" s="41"/>
      <c r="E454" s="41"/>
      <c r="F454" s="41"/>
      <c r="G454" s="41"/>
      <c r="H454" s="41"/>
      <c r="I454" s="41"/>
      <c r="J454" s="41"/>
      <c r="K454" s="42"/>
    </row>
    <row r="455" spans="2:11" ht="15" customHeight="1" x14ac:dyDescent="0.3">
      <c r="B455" s="39"/>
      <c r="C455" s="343"/>
      <c r="D455" s="344"/>
      <c r="E455" s="344"/>
      <c r="F455" s="344"/>
      <c r="G455" s="344"/>
      <c r="H455" s="344"/>
      <c r="I455" s="344"/>
      <c r="J455" s="345"/>
      <c r="K455" s="42"/>
    </row>
    <row r="456" spans="2:11" x14ac:dyDescent="0.3">
      <c r="B456" s="39"/>
      <c r="C456" s="41"/>
      <c r="D456" s="41"/>
      <c r="E456" s="41"/>
      <c r="F456" s="41"/>
      <c r="G456" s="41"/>
      <c r="H456" s="41"/>
      <c r="I456" s="41"/>
      <c r="J456" s="41"/>
      <c r="K456" s="42"/>
    </row>
    <row r="457" spans="2:11" x14ac:dyDescent="0.3">
      <c r="B457" s="39"/>
      <c r="C457" s="181" t="s">
        <v>323</v>
      </c>
      <c r="D457" s="41"/>
      <c r="E457" s="41"/>
      <c r="F457" s="41"/>
      <c r="G457" s="41"/>
      <c r="H457" s="41"/>
      <c r="I457" s="41"/>
      <c r="J457" s="256">
        <f>IF(OR(J446="Not Calculated",J453="Not Calculated")=TRUE,"Not Calculated",AVERAGE(J446,J453))</f>
        <v>0</v>
      </c>
      <c r="K457" s="42"/>
    </row>
    <row r="458" spans="2:11" x14ac:dyDescent="0.3">
      <c r="B458" s="39"/>
      <c r="C458" s="41"/>
      <c r="D458" s="41"/>
      <c r="E458" s="41"/>
      <c r="F458" s="41"/>
      <c r="G458" s="41"/>
      <c r="H458" s="41"/>
      <c r="I458" s="41"/>
      <c r="J458" s="41"/>
      <c r="K458" s="42"/>
    </row>
    <row r="459" spans="2:11" x14ac:dyDescent="0.3">
      <c r="B459" s="39"/>
      <c r="C459" s="41"/>
      <c r="D459" s="41"/>
      <c r="E459" s="41"/>
      <c r="F459" s="41"/>
      <c r="G459" s="41"/>
      <c r="H459" s="41"/>
      <c r="I459" s="41"/>
      <c r="J459" s="41"/>
      <c r="K459" s="42"/>
    </row>
    <row r="460" spans="2:11" ht="15.6" x14ac:dyDescent="0.3">
      <c r="B460" s="39"/>
      <c r="C460" s="46" t="s">
        <v>325</v>
      </c>
      <c r="D460" s="41"/>
      <c r="E460" s="41"/>
      <c r="F460" s="41"/>
      <c r="G460" s="41"/>
      <c r="H460" s="41"/>
      <c r="I460" s="41"/>
      <c r="J460" s="41"/>
      <c r="K460" s="42"/>
    </row>
    <row r="461" spans="2:11" x14ac:dyDescent="0.3">
      <c r="B461" s="39"/>
      <c r="C461" s="41" t="s">
        <v>1098</v>
      </c>
      <c r="D461" s="41"/>
      <c r="E461" s="41"/>
      <c r="F461" s="41"/>
      <c r="G461" s="41"/>
      <c r="H461" s="41"/>
      <c r="I461" s="41"/>
      <c r="J461" s="281">
        <v>6.4</v>
      </c>
      <c r="K461" s="42"/>
    </row>
    <row r="462" spans="2:11" x14ac:dyDescent="0.3">
      <c r="B462" s="39"/>
      <c r="C462" s="41" t="s">
        <v>279</v>
      </c>
      <c r="D462" s="41"/>
      <c r="E462" s="41"/>
      <c r="F462" s="41"/>
      <c r="G462" s="41"/>
      <c r="H462" s="41"/>
      <c r="I462" s="41"/>
      <c r="J462" s="259">
        <f>IF(J461&lt;=0,0,IF(J461&lt;=1,1,IF(J461&lt;=5,2,IF(J461&lt;=10,3,4))))</f>
        <v>3</v>
      </c>
      <c r="K462" s="42"/>
    </row>
    <row r="463" spans="2:11" ht="9.75" customHeight="1" x14ac:dyDescent="0.3">
      <c r="B463" s="39"/>
      <c r="C463" s="292" t="str">
        <f>"0:"</f>
        <v>0:</v>
      </c>
      <c r="D463" s="303" t="s">
        <v>1093</v>
      </c>
      <c r="E463" s="41"/>
      <c r="F463" s="41"/>
      <c r="G463" s="41"/>
      <c r="H463" s="41"/>
      <c r="I463" s="41"/>
      <c r="J463" s="256"/>
      <c r="K463" s="42"/>
    </row>
    <row r="464" spans="2:11" ht="9.75" customHeight="1" x14ac:dyDescent="0.3">
      <c r="B464" s="39"/>
      <c r="C464" s="293" t="str">
        <f>"1:"</f>
        <v>1:</v>
      </c>
      <c r="D464" s="303" t="s">
        <v>1094</v>
      </c>
      <c r="E464" s="41"/>
      <c r="F464" s="41"/>
      <c r="G464" s="41"/>
      <c r="H464" s="41"/>
      <c r="I464" s="41"/>
      <c r="J464" s="256"/>
      <c r="K464" s="42"/>
    </row>
    <row r="465" spans="2:11" ht="9.75" customHeight="1" x14ac:dyDescent="0.3">
      <c r="B465" s="39"/>
      <c r="C465" s="293" t="str">
        <f>"2:"</f>
        <v>2:</v>
      </c>
      <c r="D465" s="303" t="s">
        <v>1095</v>
      </c>
      <c r="E465" s="41"/>
      <c r="F465" s="41"/>
      <c r="G465" s="41"/>
      <c r="H465" s="41"/>
      <c r="I465" s="41"/>
      <c r="J465" s="256"/>
      <c r="K465" s="42"/>
    </row>
    <row r="466" spans="2:11" ht="9.75" customHeight="1" x14ac:dyDescent="0.3">
      <c r="B466" s="39"/>
      <c r="C466" s="293" t="str">
        <f>"3:"</f>
        <v>3:</v>
      </c>
      <c r="D466" s="303" t="s">
        <v>1096</v>
      </c>
      <c r="E466" s="41"/>
      <c r="F466" s="41"/>
      <c r="G466" s="41"/>
      <c r="H466" s="41"/>
      <c r="I466" s="41"/>
      <c r="J466" s="256"/>
      <c r="K466" s="42"/>
    </row>
    <row r="467" spans="2:11" ht="9.75" customHeight="1" x14ac:dyDescent="0.3">
      <c r="B467" s="39"/>
      <c r="C467" s="293" t="str">
        <f>"4:"</f>
        <v>4:</v>
      </c>
      <c r="D467" s="303" t="s">
        <v>1097</v>
      </c>
      <c r="E467" s="41"/>
      <c r="F467" s="41"/>
      <c r="G467" s="41"/>
      <c r="H467" s="41"/>
      <c r="I467" s="41"/>
      <c r="J467" s="258"/>
      <c r="K467" s="42"/>
    </row>
    <row r="468" spans="2:11" x14ac:dyDescent="0.3">
      <c r="B468" s="39"/>
      <c r="C468" s="41" t="s">
        <v>276</v>
      </c>
      <c r="D468" s="41"/>
      <c r="E468" s="41"/>
      <c r="F468" s="41"/>
      <c r="G468" s="41"/>
      <c r="H468" s="41"/>
      <c r="I468" s="41"/>
      <c r="J468" s="277" t="s">
        <v>1017</v>
      </c>
      <c r="K468" s="42"/>
    </row>
    <row r="469" spans="2:11" ht="15" customHeight="1" x14ac:dyDescent="0.3">
      <c r="B469" s="39"/>
      <c r="C469" s="41" t="s">
        <v>280</v>
      </c>
      <c r="D469" s="41"/>
      <c r="E469" s="41"/>
      <c r="F469" s="41"/>
      <c r="G469" s="41"/>
      <c r="H469" s="41"/>
      <c r="I469" s="41"/>
      <c r="J469" s="256">
        <f>IF(J468=$B$973,$A$973,IF(J468=$B$974,$A$974,IF(J468=$B$975,$A$975,IF(J468=$B$976,$A$976,IF(J468=$B$977,$A$977,"Not Calculated")))))</f>
        <v>2</v>
      </c>
      <c r="K469" s="42"/>
    </row>
    <row r="470" spans="2:11" x14ac:dyDescent="0.3">
      <c r="B470" s="39"/>
      <c r="C470" s="41" t="s">
        <v>1038</v>
      </c>
      <c r="D470" s="41"/>
      <c r="E470" s="41"/>
      <c r="F470" s="41"/>
      <c r="G470" s="41"/>
      <c r="H470" s="41"/>
      <c r="I470" s="41"/>
      <c r="J470" s="41"/>
      <c r="K470" s="42"/>
    </row>
    <row r="471" spans="2:11" ht="45" customHeight="1" x14ac:dyDescent="0.3">
      <c r="B471" s="39"/>
      <c r="C471" s="343" t="s">
        <v>689</v>
      </c>
      <c r="D471" s="344"/>
      <c r="E471" s="344"/>
      <c r="F471" s="344"/>
      <c r="G471" s="344"/>
      <c r="H471" s="344"/>
      <c r="I471" s="344"/>
      <c r="J471" s="345"/>
      <c r="K471" s="42"/>
    </row>
    <row r="472" spans="2:11" x14ac:dyDescent="0.3">
      <c r="B472" s="39"/>
      <c r="C472" s="41"/>
      <c r="D472" s="41"/>
      <c r="E472" s="41"/>
      <c r="F472" s="41"/>
      <c r="G472" s="41"/>
      <c r="H472" s="41"/>
      <c r="I472" s="41"/>
      <c r="J472" s="41"/>
      <c r="K472" s="42"/>
    </row>
    <row r="473" spans="2:11" x14ac:dyDescent="0.3">
      <c r="B473" s="39"/>
      <c r="C473" s="181" t="s">
        <v>326</v>
      </c>
      <c r="D473" s="41"/>
      <c r="E473" s="41"/>
      <c r="F473" s="41"/>
      <c r="G473" s="41"/>
      <c r="H473" s="41"/>
      <c r="I473" s="41"/>
      <c r="J473" s="256">
        <f>IF(OR(J462="Not Calculated",J469="Not Calculated")=TRUE,"Not Calculated",AVERAGE(J462,J469))</f>
        <v>2.5</v>
      </c>
      <c r="K473" s="42"/>
    </row>
    <row r="474" spans="2:11" x14ac:dyDescent="0.3">
      <c r="B474" s="39"/>
      <c r="C474" s="41"/>
      <c r="D474" s="41"/>
      <c r="E474" s="41"/>
      <c r="F474" s="41"/>
      <c r="G474" s="41"/>
      <c r="H474" s="41"/>
      <c r="I474" s="41"/>
      <c r="J474" s="41"/>
      <c r="K474" s="42"/>
    </row>
    <row r="475" spans="2:11" x14ac:dyDescent="0.3">
      <c r="B475" s="39"/>
      <c r="C475" s="41"/>
      <c r="D475" s="41"/>
      <c r="E475" s="41"/>
      <c r="F475" s="41"/>
      <c r="G475" s="41"/>
      <c r="H475" s="41"/>
      <c r="I475" s="41"/>
      <c r="J475" s="41"/>
      <c r="K475" s="42"/>
    </row>
    <row r="476" spans="2:11" ht="15.6" x14ac:dyDescent="0.3">
      <c r="B476" s="39"/>
      <c r="C476" s="46" t="s">
        <v>327</v>
      </c>
      <c r="D476" s="41"/>
      <c r="E476" s="41"/>
      <c r="F476" s="41"/>
      <c r="G476" s="41"/>
      <c r="H476" s="41"/>
      <c r="I476" s="41"/>
      <c r="J476" s="41"/>
      <c r="K476" s="42"/>
    </row>
    <row r="477" spans="2:11" ht="15" customHeight="1" x14ac:dyDescent="0.3">
      <c r="B477" s="39"/>
      <c r="C477" s="324" t="s">
        <v>329</v>
      </c>
      <c r="D477" s="324"/>
      <c r="E477" s="324"/>
      <c r="F477" s="324"/>
      <c r="G477" s="324"/>
      <c r="H477" s="324"/>
      <c r="I477" s="324"/>
      <c r="J477" s="41"/>
      <c r="K477" s="42"/>
    </row>
    <row r="478" spans="2:11" x14ac:dyDescent="0.3">
      <c r="B478" s="39"/>
      <c r="C478" s="324"/>
      <c r="D478" s="324"/>
      <c r="E478" s="324"/>
      <c r="F478" s="324"/>
      <c r="G478" s="324"/>
      <c r="H478" s="324"/>
      <c r="I478" s="324"/>
      <c r="J478" s="133">
        <v>1.5</v>
      </c>
      <c r="K478" s="42"/>
    </row>
    <row r="479" spans="2:11" x14ac:dyDescent="0.3">
      <c r="B479" s="39"/>
      <c r="C479" s="41" t="s">
        <v>280</v>
      </c>
      <c r="D479" s="41"/>
      <c r="E479" s="41"/>
      <c r="F479" s="41"/>
      <c r="G479" s="41"/>
      <c r="H479" s="41"/>
      <c r="I479" s="41"/>
      <c r="J479" s="256">
        <f>IF(J478&lt;=0,0,IF(J478&lt;=1,1,IF(J478&lt;=7,2,IF(J478&lt;=14,3,4))))</f>
        <v>2</v>
      </c>
      <c r="K479" s="42"/>
    </row>
    <row r="480" spans="2:11" s="52" customFormat="1" ht="9.75" customHeight="1" x14ac:dyDescent="0.3">
      <c r="B480" s="296"/>
      <c r="C480" s="292" t="str">
        <f>"0:"</f>
        <v>0:</v>
      </c>
      <c r="D480" s="297" t="s">
        <v>1099</v>
      </c>
      <c r="E480" s="298"/>
      <c r="F480" s="298"/>
      <c r="G480" s="298"/>
      <c r="H480" s="298"/>
      <c r="I480" s="298"/>
      <c r="J480" s="44"/>
      <c r="K480" s="299"/>
    </row>
    <row r="481" spans="2:11" s="52" customFormat="1" ht="9.75" customHeight="1" x14ac:dyDescent="0.3">
      <c r="B481" s="296"/>
      <c r="C481" s="293" t="str">
        <f>"1:"</f>
        <v>1:</v>
      </c>
      <c r="D481" s="297" t="s">
        <v>1100</v>
      </c>
      <c r="E481" s="298"/>
      <c r="F481" s="298"/>
      <c r="G481" s="298"/>
      <c r="H481" s="298"/>
      <c r="I481" s="298"/>
      <c r="J481" s="44"/>
      <c r="K481" s="299"/>
    </row>
    <row r="482" spans="2:11" s="52" customFormat="1" ht="9.75" customHeight="1" x14ac:dyDescent="0.3">
      <c r="B482" s="296"/>
      <c r="C482" s="293" t="str">
        <f>"2:"</f>
        <v>2:</v>
      </c>
      <c r="D482" s="297" t="s">
        <v>1101</v>
      </c>
      <c r="E482" s="298"/>
      <c r="F482" s="298"/>
      <c r="G482" s="298"/>
      <c r="H482" s="298"/>
      <c r="I482" s="298"/>
      <c r="J482" s="44"/>
      <c r="K482" s="299"/>
    </row>
    <row r="483" spans="2:11" s="52" customFormat="1" ht="9.75" customHeight="1" x14ac:dyDescent="0.3">
      <c r="B483" s="296"/>
      <c r="C483" s="293" t="str">
        <f>"3:"</f>
        <v>3:</v>
      </c>
      <c r="D483" s="297" t="s">
        <v>1102</v>
      </c>
      <c r="E483" s="298"/>
      <c r="F483" s="298"/>
      <c r="G483" s="298"/>
      <c r="H483" s="298"/>
      <c r="I483" s="298"/>
      <c r="J483" s="44"/>
      <c r="K483" s="299"/>
    </row>
    <row r="484" spans="2:11" s="52" customFormat="1" ht="9.75" customHeight="1" x14ac:dyDescent="0.3">
      <c r="B484" s="296"/>
      <c r="C484" s="293" t="str">
        <f>"4:"</f>
        <v>4:</v>
      </c>
      <c r="D484" s="297" t="s">
        <v>1103</v>
      </c>
      <c r="E484" s="298"/>
      <c r="F484" s="298"/>
      <c r="G484" s="298"/>
      <c r="H484" s="298"/>
      <c r="I484" s="298"/>
      <c r="J484" s="44"/>
      <c r="K484" s="299"/>
    </row>
    <row r="485" spans="2:11" x14ac:dyDescent="0.3">
      <c r="B485" s="39"/>
      <c r="C485" s="41" t="s">
        <v>1038</v>
      </c>
      <c r="D485" s="41"/>
      <c r="E485" s="41"/>
      <c r="F485" s="41"/>
      <c r="G485" s="41"/>
      <c r="H485" s="41"/>
      <c r="I485" s="41"/>
      <c r="J485" s="41"/>
      <c r="K485" s="42"/>
    </row>
    <row r="486" spans="2:11" ht="30" customHeight="1" x14ac:dyDescent="0.3">
      <c r="B486" s="39"/>
      <c r="C486" s="343" t="s">
        <v>690</v>
      </c>
      <c r="D486" s="344"/>
      <c r="E486" s="344"/>
      <c r="F486" s="344"/>
      <c r="G486" s="344"/>
      <c r="H486" s="344"/>
      <c r="I486" s="344"/>
      <c r="J486" s="345"/>
      <c r="K486" s="42"/>
    </row>
    <row r="487" spans="2:11" x14ac:dyDescent="0.3">
      <c r="B487" s="39"/>
      <c r="C487" s="41"/>
      <c r="D487" s="41"/>
      <c r="E487" s="41"/>
      <c r="F487" s="41"/>
      <c r="G487" s="41"/>
      <c r="H487" s="41"/>
      <c r="I487" s="41"/>
      <c r="J487" s="41"/>
      <c r="K487" s="42"/>
    </row>
    <row r="488" spans="2:11" x14ac:dyDescent="0.3">
      <c r="B488" s="39"/>
      <c r="C488" s="181" t="s">
        <v>328</v>
      </c>
      <c r="D488" s="41"/>
      <c r="E488" s="41"/>
      <c r="F488" s="41"/>
      <c r="G488" s="41"/>
      <c r="H488" s="41"/>
      <c r="I488" s="41"/>
      <c r="J488" s="256">
        <f>J479</f>
        <v>2</v>
      </c>
      <c r="K488" s="42"/>
    </row>
    <row r="489" spans="2:11" x14ac:dyDescent="0.3">
      <c r="B489" s="39"/>
      <c r="C489" s="41"/>
      <c r="D489" s="41"/>
      <c r="E489" s="41"/>
      <c r="F489" s="41"/>
      <c r="G489" s="41"/>
      <c r="H489" s="41"/>
      <c r="I489" s="41"/>
      <c r="J489" s="41"/>
      <c r="K489" s="42"/>
    </row>
    <row r="490" spans="2:11" x14ac:dyDescent="0.3">
      <c r="B490" s="39"/>
      <c r="C490" s="41"/>
      <c r="D490" s="41"/>
      <c r="E490" s="41"/>
      <c r="F490" s="41"/>
      <c r="G490" s="41"/>
      <c r="H490" s="41"/>
      <c r="I490" s="41"/>
      <c r="J490" s="41"/>
      <c r="K490" s="42"/>
    </row>
    <row r="491" spans="2:11" ht="15.6" x14ac:dyDescent="0.3">
      <c r="B491" s="39"/>
      <c r="C491" s="46" t="s">
        <v>330</v>
      </c>
      <c r="D491" s="41"/>
      <c r="E491" s="41"/>
      <c r="F491" s="41"/>
      <c r="G491" s="41"/>
      <c r="H491" s="41"/>
      <c r="I491" s="41"/>
      <c r="J491" s="41"/>
      <c r="K491" s="42"/>
    </row>
    <row r="492" spans="2:11" x14ac:dyDescent="0.3">
      <c r="B492" s="39"/>
      <c r="C492" s="41" t="s">
        <v>331</v>
      </c>
      <c r="D492" s="41"/>
      <c r="E492" s="41"/>
      <c r="F492" s="41"/>
      <c r="G492" s="41"/>
      <c r="H492" s="41"/>
      <c r="I492" s="41"/>
      <c r="J492" s="281">
        <v>60</v>
      </c>
      <c r="K492" s="42"/>
    </row>
    <row r="493" spans="2:11" x14ac:dyDescent="0.3">
      <c r="B493" s="39"/>
      <c r="C493" s="41" t="s">
        <v>279</v>
      </c>
      <c r="D493" s="41"/>
      <c r="E493" s="41"/>
      <c r="F493" s="41"/>
      <c r="G493" s="41"/>
      <c r="H493" s="41"/>
      <c r="I493" s="41"/>
      <c r="J493" s="259">
        <f>IF(J492&lt;=0,0,IF(J492&lt;=1,1,IF(J492&lt;=5,2,IF(J492&lt;=10,3,4))))</f>
        <v>4</v>
      </c>
      <c r="K493" s="42"/>
    </row>
    <row r="494" spans="2:11" ht="9.75" customHeight="1" x14ac:dyDescent="0.3">
      <c r="B494" s="39"/>
      <c r="C494" s="292" t="str">
        <f>"0:"</f>
        <v>0:</v>
      </c>
      <c r="D494" s="303" t="s">
        <v>1104</v>
      </c>
      <c r="E494" s="41"/>
      <c r="F494" s="41"/>
      <c r="G494" s="41"/>
      <c r="H494" s="41"/>
      <c r="I494" s="41"/>
      <c r="J494" s="256"/>
      <c r="K494" s="42"/>
    </row>
    <row r="495" spans="2:11" ht="9.75" customHeight="1" x14ac:dyDescent="0.3">
      <c r="B495" s="39"/>
      <c r="C495" s="293" t="str">
        <f>"1:"</f>
        <v>1:</v>
      </c>
      <c r="D495" s="303" t="s">
        <v>1105</v>
      </c>
      <c r="E495" s="41"/>
      <c r="F495" s="41"/>
      <c r="G495" s="41"/>
      <c r="H495" s="41"/>
      <c r="I495" s="41"/>
      <c r="J495" s="256"/>
      <c r="K495" s="42"/>
    </row>
    <row r="496" spans="2:11" ht="9.75" customHeight="1" x14ac:dyDescent="0.3">
      <c r="B496" s="39"/>
      <c r="C496" s="293" t="str">
        <f>"2:"</f>
        <v>2:</v>
      </c>
      <c r="D496" s="303" t="s">
        <v>1106</v>
      </c>
      <c r="E496" s="41"/>
      <c r="F496" s="41"/>
      <c r="G496" s="41"/>
      <c r="H496" s="41"/>
      <c r="I496" s="41"/>
      <c r="J496" s="256"/>
      <c r="K496" s="42"/>
    </row>
    <row r="497" spans="2:11" ht="9.75" customHeight="1" x14ac:dyDescent="0.3">
      <c r="B497" s="39"/>
      <c r="C497" s="293" t="str">
        <f>"3:"</f>
        <v>3:</v>
      </c>
      <c r="D497" s="303" t="s">
        <v>1107</v>
      </c>
      <c r="E497" s="41"/>
      <c r="F497" s="41"/>
      <c r="G497" s="41"/>
      <c r="H497" s="41"/>
      <c r="I497" s="41"/>
      <c r="J497" s="256"/>
      <c r="K497" s="42"/>
    </row>
    <row r="498" spans="2:11" ht="9.75" customHeight="1" x14ac:dyDescent="0.3">
      <c r="B498" s="39"/>
      <c r="C498" s="293" t="str">
        <f>"4:"</f>
        <v>4:</v>
      </c>
      <c r="D498" s="303" t="s">
        <v>1108</v>
      </c>
      <c r="E498" s="41"/>
      <c r="F498" s="41"/>
      <c r="G498" s="41"/>
      <c r="H498" s="41"/>
      <c r="I498" s="41"/>
      <c r="J498" s="258"/>
      <c r="K498" s="42"/>
    </row>
    <row r="499" spans="2:11" x14ac:dyDescent="0.3">
      <c r="B499" s="39"/>
      <c r="C499" s="41" t="s">
        <v>332</v>
      </c>
      <c r="D499" s="41"/>
      <c r="E499" s="41"/>
      <c r="F499" s="41"/>
      <c r="G499" s="41"/>
      <c r="H499" s="41"/>
      <c r="I499" s="41"/>
      <c r="J499" s="277" t="s">
        <v>1017</v>
      </c>
      <c r="K499" s="42"/>
    </row>
    <row r="500" spans="2:11" x14ac:dyDescent="0.3">
      <c r="B500" s="39"/>
      <c r="C500" s="41" t="s">
        <v>280</v>
      </c>
      <c r="D500" s="41"/>
      <c r="E500" s="41"/>
      <c r="F500" s="41"/>
      <c r="G500" s="41"/>
      <c r="H500" s="41"/>
      <c r="I500" s="41"/>
      <c r="J500" s="256">
        <f>IF(J499=$B$973,$A$973,IF(J499=$B$974,$A$974,IF(J499=$B$975,$A$975,IF(J499=$B$976,$A$976,IF(J499=$B$977,$A$977,"Not Calculated")))))</f>
        <v>2</v>
      </c>
      <c r="K500" s="42"/>
    </row>
    <row r="501" spans="2:11" x14ac:dyDescent="0.3">
      <c r="B501" s="39"/>
      <c r="C501" s="41" t="s">
        <v>1038</v>
      </c>
      <c r="D501" s="41"/>
      <c r="E501" s="41"/>
      <c r="F501" s="41"/>
      <c r="G501" s="41"/>
      <c r="H501" s="41"/>
      <c r="I501" s="41"/>
      <c r="J501" s="41"/>
      <c r="K501" s="42"/>
    </row>
    <row r="502" spans="2:11" ht="30" customHeight="1" x14ac:dyDescent="0.3">
      <c r="B502" s="39"/>
      <c r="C502" s="386" t="s">
        <v>691</v>
      </c>
      <c r="D502" s="387"/>
      <c r="E502" s="387"/>
      <c r="F502" s="387"/>
      <c r="G502" s="387"/>
      <c r="H502" s="387"/>
      <c r="I502" s="387"/>
      <c r="J502" s="388"/>
      <c r="K502" s="42"/>
    </row>
    <row r="503" spans="2:11" x14ac:dyDescent="0.3">
      <c r="B503" s="39"/>
      <c r="C503" s="41"/>
      <c r="D503" s="41"/>
      <c r="E503" s="41"/>
      <c r="F503" s="41"/>
      <c r="G503" s="41"/>
      <c r="H503" s="41"/>
      <c r="I503" s="41"/>
      <c r="J503" s="41"/>
      <c r="K503" s="42"/>
    </row>
    <row r="504" spans="2:11" x14ac:dyDescent="0.3">
      <c r="B504" s="39"/>
      <c r="C504" s="181" t="s">
        <v>340</v>
      </c>
      <c r="D504" s="41"/>
      <c r="E504" s="41"/>
      <c r="F504" s="41"/>
      <c r="G504" s="41"/>
      <c r="H504" s="41"/>
      <c r="I504" s="41"/>
      <c r="J504" s="256">
        <f>IF(OR(J493="Not Calculated",J500="Not Calculated")=TRUE,"Not Calculated",AVERAGE(J493,J500))</f>
        <v>3</v>
      </c>
      <c r="K504" s="42"/>
    </row>
    <row r="505" spans="2:11" x14ac:dyDescent="0.3">
      <c r="B505" s="39"/>
      <c r="C505" s="41"/>
      <c r="D505" s="41"/>
      <c r="E505" s="41"/>
      <c r="F505" s="41"/>
      <c r="G505" s="41"/>
      <c r="H505" s="41"/>
      <c r="I505" s="41"/>
      <c r="J505" s="41"/>
      <c r="K505" s="42"/>
    </row>
    <row r="506" spans="2:11" x14ac:dyDescent="0.3">
      <c r="B506" s="39"/>
      <c r="C506" s="41"/>
      <c r="D506" s="41"/>
      <c r="E506" s="41"/>
      <c r="F506" s="41"/>
      <c r="G506" s="41"/>
      <c r="H506" s="41"/>
      <c r="I506" s="41"/>
      <c r="J506" s="41"/>
      <c r="K506" s="42"/>
    </row>
    <row r="507" spans="2:11" ht="15.6" x14ac:dyDescent="0.3">
      <c r="B507" s="39"/>
      <c r="C507" s="46" t="s">
        <v>333</v>
      </c>
      <c r="D507" s="41"/>
      <c r="E507" s="41"/>
      <c r="F507" s="41"/>
      <c r="G507" s="41"/>
      <c r="H507" s="41"/>
      <c r="I507" s="41"/>
      <c r="J507" s="41"/>
      <c r="K507" s="42"/>
    </row>
    <row r="508" spans="2:11" x14ac:dyDescent="0.3">
      <c r="B508" s="39"/>
      <c r="C508" s="41" t="s">
        <v>335</v>
      </c>
      <c r="D508" s="41"/>
      <c r="E508" s="41"/>
      <c r="F508" s="41"/>
      <c r="G508" s="41"/>
      <c r="H508" s="41"/>
      <c r="I508" s="41"/>
      <c r="J508" s="280">
        <v>0</v>
      </c>
      <c r="K508" s="42"/>
    </row>
    <row r="509" spans="2:11" x14ac:dyDescent="0.3">
      <c r="B509" s="39"/>
      <c r="C509" s="41" t="s">
        <v>279</v>
      </c>
      <c r="D509" s="41"/>
      <c r="E509" s="41"/>
      <c r="F509" s="41"/>
      <c r="G509" s="41"/>
      <c r="H509" s="41"/>
      <c r="I509" s="41"/>
      <c r="J509" s="259">
        <f>IF(J508&lt;=0,0,IF(J508&lt;=1000,1,IF(J508&lt;=5000,2,IF(J508&lt;=25000,3,4))))</f>
        <v>0</v>
      </c>
      <c r="K509" s="42"/>
    </row>
    <row r="510" spans="2:11" s="52" customFormat="1" ht="9.75" customHeight="1" x14ac:dyDescent="0.3">
      <c r="B510" s="296"/>
      <c r="C510" s="292" t="str">
        <f>"0:"</f>
        <v>0:</v>
      </c>
      <c r="D510" s="297" t="s">
        <v>1109</v>
      </c>
      <c r="E510" s="298"/>
      <c r="F510" s="298"/>
      <c r="G510" s="298"/>
      <c r="H510" s="298"/>
      <c r="I510" s="298"/>
      <c r="J510" s="44"/>
      <c r="K510" s="299"/>
    </row>
    <row r="511" spans="2:11" s="52" customFormat="1" ht="9.75" customHeight="1" x14ac:dyDescent="0.3">
      <c r="B511" s="296"/>
      <c r="C511" s="293" t="str">
        <f>"1:"</f>
        <v>1:</v>
      </c>
      <c r="D511" s="297" t="s">
        <v>1110</v>
      </c>
      <c r="E511" s="298"/>
      <c r="F511" s="298"/>
      <c r="G511" s="298"/>
      <c r="H511" s="298"/>
      <c r="I511" s="298"/>
      <c r="J511" s="44"/>
      <c r="K511" s="299"/>
    </row>
    <row r="512" spans="2:11" s="52" customFormat="1" ht="9.75" customHeight="1" x14ac:dyDescent="0.3">
      <c r="B512" s="296"/>
      <c r="C512" s="293" t="str">
        <f>"2:"</f>
        <v>2:</v>
      </c>
      <c r="D512" s="297" t="s">
        <v>1111</v>
      </c>
      <c r="E512" s="298"/>
      <c r="F512" s="298"/>
      <c r="G512" s="298"/>
      <c r="H512" s="298"/>
      <c r="I512" s="298"/>
      <c r="J512" s="44"/>
      <c r="K512" s="299"/>
    </row>
    <row r="513" spans="2:11" s="52" customFormat="1" ht="9.75" customHeight="1" x14ac:dyDescent="0.3">
      <c r="B513" s="296"/>
      <c r="C513" s="293" t="str">
        <f>"3:"</f>
        <v>3:</v>
      </c>
      <c r="D513" s="297" t="s">
        <v>1112</v>
      </c>
      <c r="E513" s="298"/>
      <c r="F513" s="298"/>
      <c r="G513" s="298"/>
      <c r="H513" s="298"/>
      <c r="I513" s="298"/>
      <c r="J513" s="44"/>
      <c r="K513" s="299"/>
    </row>
    <row r="514" spans="2:11" s="52" customFormat="1" ht="9.75" customHeight="1" x14ac:dyDescent="0.3">
      <c r="B514" s="296"/>
      <c r="C514" s="293" t="str">
        <f>"4:"</f>
        <v>4:</v>
      </c>
      <c r="D514" s="297" t="s">
        <v>1113</v>
      </c>
      <c r="E514" s="298"/>
      <c r="F514" s="298"/>
      <c r="G514" s="298"/>
      <c r="H514" s="298"/>
      <c r="I514" s="298"/>
      <c r="J514" s="300"/>
      <c r="K514" s="299"/>
    </row>
    <row r="515" spans="2:11" x14ac:dyDescent="0.3">
      <c r="B515" s="39"/>
      <c r="C515" s="41" t="s">
        <v>334</v>
      </c>
      <c r="D515" s="41"/>
      <c r="E515" s="41"/>
      <c r="F515" s="41"/>
      <c r="G515" s="41"/>
      <c r="H515" s="41"/>
      <c r="I515" s="41"/>
      <c r="J515" s="277" t="s">
        <v>1015</v>
      </c>
      <c r="K515" s="42"/>
    </row>
    <row r="516" spans="2:11" x14ac:dyDescent="0.3">
      <c r="B516" s="39"/>
      <c r="C516" s="41" t="s">
        <v>280</v>
      </c>
      <c r="D516" s="41"/>
      <c r="E516" s="41"/>
      <c r="F516" s="41"/>
      <c r="G516" s="41"/>
      <c r="H516" s="41"/>
      <c r="I516" s="41"/>
      <c r="J516" s="256">
        <f>IF(J515=$B$973,$A$973,IF(J515=$B$974,$A$974,IF(J515=$B$975,$A$975,IF(J515=$B$976,$A$976,IF(J515=$B$977,$A$977,"Not Calculated")))))</f>
        <v>0</v>
      </c>
      <c r="K516" s="42"/>
    </row>
    <row r="517" spans="2:11" x14ac:dyDescent="0.3">
      <c r="B517" s="39"/>
      <c r="C517" s="41" t="s">
        <v>1038</v>
      </c>
      <c r="D517" s="41"/>
      <c r="E517" s="41"/>
      <c r="F517" s="41"/>
      <c r="G517" s="41"/>
      <c r="H517" s="41"/>
      <c r="I517" s="41"/>
      <c r="J517" s="41"/>
      <c r="K517" s="42"/>
    </row>
    <row r="518" spans="2:11" ht="15" customHeight="1" x14ac:dyDescent="0.3">
      <c r="B518" s="39"/>
      <c r="C518" s="343"/>
      <c r="D518" s="344"/>
      <c r="E518" s="344"/>
      <c r="F518" s="344"/>
      <c r="G518" s="344"/>
      <c r="H518" s="344"/>
      <c r="I518" s="344"/>
      <c r="J518" s="345"/>
      <c r="K518" s="42"/>
    </row>
    <row r="519" spans="2:11" x14ac:dyDescent="0.3">
      <c r="B519" s="39"/>
      <c r="C519" s="41"/>
      <c r="D519" s="41"/>
      <c r="E519" s="41"/>
      <c r="F519" s="41"/>
      <c r="G519" s="41"/>
      <c r="H519" s="41"/>
      <c r="I519" s="41"/>
      <c r="J519" s="41"/>
      <c r="K519" s="42"/>
    </row>
    <row r="520" spans="2:11" x14ac:dyDescent="0.3">
      <c r="B520" s="39"/>
      <c r="C520" s="181" t="s">
        <v>339</v>
      </c>
      <c r="D520" s="41"/>
      <c r="E520" s="41"/>
      <c r="F520" s="41"/>
      <c r="G520" s="41"/>
      <c r="H520" s="41"/>
      <c r="I520" s="41"/>
      <c r="J520" s="256">
        <f>IF(OR(J509="Not Calculated",J516="Not Calculated")=TRUE,"Not Calculated",AVERAGE(J509,J516))</f>
        <v>0</v>
      </c>
      <c r="K520" s="42"/>
    </row>
    <row r="521" spans="2:11" x14ac:dyDescent="0.3">
      <c r="B521" s="39"/>
      <c r="C521" s="41"/>
      <c r="D521" s="41"/>
      <c r="E521" s="41"/>
      <c r="F521" s="41"/>
      <c r="G521" s="41"/>
      <c r="H521" s="41"/>
      <c r="I521" s="41"/>
      <c r="J521" s="41"/>
      <c r="K521" s="42"/>
    </row>
    <row r="522" spans="2:11" x14ac:dyDescent="0.3">
      <c r="B522" s="39"/>
      <c r="C522" s="41"/>
      <c r="D522" s="41"/>
      <c r="E522" s="41"/>
      <c r="F522" s="41"/>
      <c r="G522" s="41"/>
      <c r="H522" s="41"/>
      <c r="I522" s="41"/>
      <c r="J522" s="41"/>
      <c r="K522" s="42"/>
    </row>
    <row r="523" spans="2:11" ht="15.6" x14ac:dyDescent="0.3">
      <c r="B523" s="39"/>
      <c r="C523" s="46" t="s">
        <v>336</v>
      </c>
      <c r="D523" s="41"/>
      <c r="E523" s="41"/>
      <c r="F523" s="41"/>
      <c r="G523" s="41"/>
      <c r="H523" s="41"/>
      <c r="I523" s="41"/>
      <c r="J523" s="41"/>
      <c r="K523" s="42"/>
    </row>
    <row r="524" spans="2:11" ht="15" customHeight="1" x14ac:dyDescent="0.3">
      <c r="B524" s="39"/>
      <c r="C524" s="324" t="s">
        <v>337</v>
      </c>
      <c r="D524" s="324"/>
      <c r="E524" s="324"/>
      <c r="F524" s="324"/>
      <c r="G524" s="324"/>
      <c r="H524" s="324"/>
      <c r="I524" s="324"/>
      <c r="J524" s="41"/>
      <c r="K524" s="42"/>
    </row>
    <row r="525" spans="2:11" x14ac:dyDescent="0.3">
      <c r="B525" s="39"/>
      <c r="C525" s="324"/>
      <c r="D525" s="324"/>
      <c r="E525" s="324"/>
      <c r="F525" s="324"/>
      <c r="G525" s="324"/>
      <c r="H525" s="324"/>
      <c r="I525" s="324"/>
      <c r="J525" s="285">
        <v>0</v>
      </c>
      <c r="K525" s="42"/>
    </row>
    <row r="526" spans="2:11" x14ac:dyDescent="0.3">
      <c r="B526" s="39"/>
      <c r="C526" s="41" t="s">
        <v>279</v>
      </c>
      <c r="D526" s="41"/>
      <c r="E526" s="41"/>
      <c r="F526" s="41"/>
      <c r="G526" s="41"/>
      <c r="H526" s="41"/>
      <c r="I526" s="41"/>
      <c r="J526" s="259">
        <f>IF(J525&lt;=0,0,IF(J525&lt;=1,1,IF(J525&lt;=5,2,IF(J525&lt;=10,3,4))))</f>
        <v>0</v>
      </c>
      <c r="K526" s="42"/>
    </row>
    <row r="527" spans="2:11" s="52" customFormat="1" ht="9.75" customHeight="1" x14ac:dyDescent="0.3">
      <c r="B527" s="296"/>
      <c r="C527" s="292" t="str">
        <f>"0:"</f>
        <v>0:</v>
      </c>
      <c r="D527" s="297" t="s">
        <v>1114</v>
      </c>
      <c r="E527" s="298"/>
      <c r="F527" s="298"/>
      <c r="G527" s="298"/>
      <c r="H527" s="298"/>
      <c r="I527" s="298"/>
      <c r="J527" s="44"/>
      <c r="K527" s="299"/>
    </row>
    <row r="528" spans="2:11" s="52" customFormat="1" ht="9.75" customHeight="1" x14ac:dyDescent="0.3">
      <c r="B528" s="296"/>
      <c r="C528" s="293" t="str">
        <f>"1:"</f>
        <v>1:</v>
      </c>
      <c r="D528" s="297" t="s">
        <v>1115</v>
      </c>
      <c r="E528" s="298"/>
      <c r="F528" s="298"/>
      <c r="G528" s="298"/>
      <c r="H528" s="298"/>
      <c r="I528" s="298"/>
      <c r="J528" s="44"/>
      <c r="K528" s="299"/>
    </row>
    <row r="529" spans="2:11" s="52" customFormat="1" ht="9.75" customHeight="1" x14ac:dyDescent="0.3">
      <c r="B529" s="296"/>
      <c r="C529" s="293" t="str">
        <f>"2:"</f>
        <v>2:</v>
      </c>
      <c r="D529" s="297" t="s">
        <v>1116</v>
      </c>
      <c r="E529" s="298"/>
      <c r="F529" s="298"/>
      <c r="G529" s="298"/>
      <c r="H529" s="298"/>
      <c r="I529" s="298"/>
      <c r="J529" s="44"/>
      <c r="K529" s="299"/>
    </row>
    <row r="530" spans="2:11" s="52" customFormat="1" ht="9.75" customHeight="1" x14ac:dyDescent="0.3">
      <c r="B530" s="296"/>
      <c r="C530" s="293" t="str">
        <f>"3:"</f>
        <v>3:</v>
      </c>
      <c r="D530" s="297" t="s">
        <v>1117</v>
      </c>
      <c r="E530" s="298"/>
      <c r="F530" s="298"/>
      <c r="G530" s="298"/>
      <c r="H530" s="298"/>
      <c r="I530" s="298"/>
      <c r="J530" s="44"/>
      <c r="K530" s="299"/>
    </row>
    <row r="531" spans="2:11" s="52" customFormat="1" ht="9.75" customHeight="1" x14ac:dyDescent="0.3">
      <c r="B531" s="296"/>
      <c r="C531" s="293" t="str">
        <f>"4:"</f>
        <v>4:</v>
      </c>
      <c r="D531" s="297" t="s">
        <v>1118</v>
      </c>
      <c r="E531" s="298"/>
      <c r="F531" s="298"/>
      <c r="G531" s="298"/>
      <c r="H531" s="298"/>
      <c r="I531" s="298"/>
      <c r="J531" s="300"/>
      <c r="K531" s="299"/>
    </row>
    <row r="532" spans="2:11" x14ac:dyDescent="0.3">
      <c r="B532" s="39"/>
      <c r="C532" s="41" t="s">
        <v>276</v>
      </c>
      <c r="D532" s="41"/>
      <c r="E532" s="41"/>
      <c r="F532" s="41"/>
      <c r="G532" s="41"/>
      <c r="H532" s="41"/>
      <c r="I532" s="41"/>
      <c r="J532" s="277" t="s">
        <v>1015</v>
      </c>
      <c r="K532" s="42"/>
    </row>
    <row r="533" spans="2:11" x14ac:dyDescent="0.3">
      <c r="B533" s="39"/>
      <c r="C533" s="41" t="s">
        <v>280</v>
      </c>
      <c r="D533" s="41"/>
      <c r="E533" s="41"/>
      <c r="F533" s="41"/>
      <c r="G533" s="41"/>
      <c r="H533" s="41"/>
      <c r="I533" s="41"/>
      <c r="J533" s="256">
        <f>IF(J532=$B$973,$A$973,IF(J532=$B$974,$A$974,IF(J532=$B$975,$A$975,IF(J532=$B$976,$A$976,IF(J532=$B$977,$A$977,"Not Calculated")))))</f>
        <v>0</v>
      </c>
      <c r="K533" s="42"/>
    </row>
    <row r="534" spans="2:11" x14ac:dyDescent="0.3">
      <c r="B534" s="39"/>
      <c r="C534" s="41" t="s">
        <v>1038</v>
      </c>
      <c r="D534" s="41"/>
      <c r="E534" s="41"/>
      <c r="F534" s="41"/>
      <c r="G534" s="41"/>
      <c r="H534" s="41"/>
      <c r="I534" s="41"/>
      <c r="J534" s="41"/>
      <c r="K534" s="42"/>
    </row>
    <row r="535" spans="2:11" ht="15" customHeight="1" x14ac:dyDescent="0.3">
      <c r="B535" s="39"/>
      <c r="C535" s="343"/>
      <c r="D535" s="344"/>
      <c r="E535" s="344"/>
      <c r="F535" s="344"/>
      <c r="G535" s="344"/>
      <c r="H535" s="344"/>
      <c r="I535" s="344"/>
      <c r="J535" s="345"/>
      <c r="K535" s="42"/>
    </row>
    <row r="536" spans="2:11" x14ac:dyDescent="0.3">
      <c r="B536" s="39"/>
      <c r="C536" s="41"/>
      <c r="D536" s="41"/>
      <c r="E536" s="41"/>
      <c r="F536" s="41"/>
      <c r="G536" s="41"/>
      <c r="H536" s="41"/>
      <c r="I536" s="41"/>
      <c r="J536" s="41"/>
      <c r="K536" s="42"/>
    </row>
    <row r="537" spans="2:11" x14ac:dyDescent="0.3">
      <c r="B537" s="39"/>
      <c r="C537" s="181" t="s">
        <v>338</v>
      </c>
      <c r="D537" s="41"/>
      <c r="E537" s="41"/>
      <c r="F537" s="41"/>
      <c r="G537" s="41"/>
      <c r="H537" s="41"/>
      <c r="I537" s="41"/>
      <c r="J537" s="256">
        <f>IF(OR(J526="Not Calculated",J533="Not Calculated")=TRUE,"Not Calculated",AVERAGE(J526,J533))</f>
        <v>0</v>
      </c>
      <c r="K537" s="42"/>
    </row>
    <row r="538" spans="2:11" x14ac:dyDescent="0.3">
      <c r="B538" s="39"/>
      <c r="C538" s="41"/>
      <c r="D538" s="41"/>
      <c r="E538" s="41"/>
      <c r="F538" s="41"/>
      <c r="G538" s="41"/>
      <c r="H538" s="41"/>
      <c r="I538" s="41"/>
      <c r="J538" s="41"/>
      <c r="K538" s="42"/>
    </row>
    <row r="539" spans="2:11" ht="17.399999999999999" x14ac:dyDescent="0.3">
      <c r="B539" s="39"/>
      <c r="C539" s="182" t="s">
        <v>321</v>
      </c>
      <c r="D539" s="41"/>
      <c r="E539" s="41"/>
      <c r="F539" s="41"/>
      <c r="G539" s="41"/>
      <c r="H539" s="41"/>
      <c r="I539" s="41"/>
      <c r="J539" s="255">
        <f>IF(OR(J440="Not Calculated",J457="Not Calculated",J473="Not Calculated",J488="Not Calculated",J504="Not Calculated",J520="Not Calculated",J537="Not Calculated")=TRUE,"Not Calculated",AVERAGE(J440,J457,J473,J488,J504,J520,J537))</f>
        <v>1.2142857142857142</v>
      </c>
      <c r="K539" s="42"/>
    </row>
    <row r="540" spans="2:11" ht="15" thickBot="1" x14ac:dyDescent="0.35">
      <c r="B540" s="47"/>
      <c r="C540" s="48"/>
      <c r="D540" s="48"/>
      <c r="E540" s="48"/>
      <c r="F540" s="48"/>
      <c r="G540" s="48"/>
      <c r="H540" s="48"/>
      <c r="I540" s="48"/>
      <c r="J540" s="48"/>
      <c r="K540" s="50"/>
    </row>
    <row r="541" spans="2:11" ht="15" thickBot="1" x14ac:dyDescent="0.35"/>
    <row r="542" spans="2:11" x14ac:dyDescent="0.3">
      <c r="B542" s="34"/>
      <c r="C542" s="35"/>
      <c r="D542" s="35"/>
      <c r="E542" s="35"/>
      <c r="F542" s="35"/>
      <c r="G542" s="35"/>
      <c r="H542" s="35"/>
      <c r="I542" s="35"/>
      <c r="J542" s="35"/>
      <c r="K542" s="38"/>
    </row>
    <row r="543" spans="2:11" ht="20.399999999999999" x14ac:dyDescent="0.35">
      <c r="B543" s="39"/>
      <c r="C543" s="41"/>
      <c r="D543" s="41"/>
      <c r="E543" s="41"/>
      <c r="F543" s="41"/>
      <c r="G543" s="175" t="s">
        <v>29</v>
      </c>
      <c r="H543" s="41"/>
      <c r="I543" s="41"/>
      <c r="J543" s="41"/>
      <c r="K543" s="42"/>
    </row>
    <row r="544" spans="2:11" ht="15" customHeight="1" x14ac:dyDescent="0.3">
      <c r="B544" s="39"/>
      <c r="C544" s="41"/>
      <c r="D544" s="41"/>
      <c r="E544" s="41"/>
      <c r="F544" s="41"/>
      <c r="G544" s="41"/>
      <c r="H544" s="41"/>
      <c r="I544" s="41"/>
      <c r="J544" s="41"/>
      <c r="K544" s="42"/>
    </row>
    <row r="545" spans="2:14" ht="15.6" x14ac:dyDescent="0.3">
      <c r="B545" s="39"/>
      <c r="C545" s="46" t="s">
        <v>83</v>
      </c>
      <c r="D545" s="41"/>
      <c r="E545" s="41"/>
      <c r="F545" s="41"/>
      <c r="G545" s="41"/>
      <c r="H545" s="41"/>
      <c r="I545" s="41"/>
      <c r="J545" s="41"/>
      <c r="K545" s="42"/>
    </row>
    <row r="546" spans="2:14" x14ac:dyDescent="0.3">
      <c r="B546" s="39"/>
      <c r="C546" s="41" t="s">
        <v>499</v>
      </c>
      <c r="D546" s="41"/>
      <c r="E546" s="41"/>
      <c r="F546" s="41"/>
      <c r="G546" s="41"/>
      <c r="H546" s="41"/>
      <c r="I546" s="41"/>
      <c r="J546" s="262">
        <f>'Baseline Health'!G123</f>
        <v>0</v>
      </c>
      <c r="K546" s="42"/>
    </row>
    <row r="547" spans="2:14" x14ac:dyDescent="0.3">
      <c r="B547" s="39"/>
      <c r="C547" s="41" t="s">
        <v>341</v>
      </c>
      <c r="D547" s="41"/>
      <c r="E547" s="41"/>
      <c r="F547" s="41"/>
      <c r="G547" s="41"/>
      <c r="H547" s="41"/>
      <c r="I547" s="41"/>
      <c r="J547" s="275">
        <f>J546*0.05</f>
        <v>0</v>
      </c>
      <c r="K547" s="42"/>
    </row>
    <row r="548" spans="2:14" x14ac:dyDescent="0.3">
      <c r="B548" s="39"/>
      <c r="C548" s="41" t="s">
        <v>467</v>
      </c>
      <c r="D548" s="41"/>
      <c r="E548" s="41"/>
      <c r="F548" s="41"/>
      <c r="G548" s="41"/>
      <c r="H548" s="41"/>
      <c r="I548" s="41"/>
      <c r="J548" s="275">
        <v>0</v>
      </c>
      <c r="K548" s="42"/>
    </row>
    <row r="549" spans="2:14" x14ac:dyDescent="0.3">
      <c r="B549" s="39"/>
      <c r="C549" s="41" t="s">
        <v>279</v>
      </c>
      <c r="D549" s="41"/>
      <c r="E549" s="41"/>
      <c r="F549" s="41"/>
      <c r="G549" s="41"/>
      <c r="H549" s="41"/>
      <c r="I549" s="41"/>
      <c r="J549" s="256" t="str">
        <f>IF(OR(J546=0,J546="Not Calculated")=TRUE,"Not Calculated",IF(J546-J547=0,4,(IF(((J546+J548)/(J546-J547))&lt;=1,0,IF(((J546+J548)/(J546-J547))&lt;=1.05,1,IF(((J546+J548)/(J546-J547))&lt;=1.5, 2,IF(((J546+J548)/(J546-J547))&lt;=2,3,4)))))))</f>
        <v>Not Calculated</v>
      </c>
      <c r="K549" s="42"/>
    </row>
    <row r="550" spans="2:14" ht="9.75" customHeight="1" x14ac:dyDescent="0.3">
      <c r="B550" s="39"/>
      <c r="C550" s="292" t="str">
        <f>"0:"</f>
        <v>0:</v>
      </c>
      <c r="D550" s="291" t="s">
        <v>1067</v>
      </c>
      <c r="E550" s="41"/>
      <c r="F550" s="41"/>
      <c r="G550" s="41"/>
      <c r="H550" s="41"/>
      <c r="I550" s="41"/>
      <c r="J550" s="262"/>
      <c r="K550" s="42"/>
    </row>
    <row r="551" spans="2:14" ht="9.75" customHeight="1" x14ac:dyDescent="0.3">
      <c r="B551" s="39"/>
      <c r="C551" s="293" t="str">
        <f>"1:"</f>
        <v>1:</v>
      </c>
      <c r="D551" s="291" t="s">
        <v>1072</v>
      </c>
      <c r="E551" s="41"/>
      <c r="F551" s="41"/>
      <c r="G551" s="41"/>
      <c r="H551" s="41"/>
      <c r="I551" s="41"/>
      <c r="J551" s="262"/>
      <c r="K551" s="42"/>
    </row>
    <row r="552" spans="2:14" ht="9.75" customHeight="1" x14ac:dyDescent="0.3">
      <c r="B552" s="39"/>
      <c r="C552" s="293" t="str">
        <f>"2:"</f>
        <v>2:</v>
      </c>
      <c r="D552" s="291" t="s">
        <v>1073</v>
      </c>
      <c r="E552" s="41"/>
      <c r="F552" s="41"/>
      <c r="G552" s="41"/>
      <c r="H552" s="41"/>
      <c r="I552" s="41"/>
      <c r="J552" s="262"/>
      <c r="K552" s="42"/>
    </row>
    <row r="553" spans="2:14" ht="9.75" customHeight="1" x14ac:dyDescent="0.3">
      <c r="B553" s="39"/>
      <c r="C553" s="293" t="str">
        <f>"3:"</f>
        <v>3:</v>
      </c>
      <c r="D553" s="291" t="s">
        <v>1074</v>
      </c>
      <c r="E553" s="41"/>
      <c r="F553" s="41"/>
      <c r="G553" s="41"/>
      <c r="H553" s="41"/>
      <c r="I553" s="41"/>
      <c r="J553" s="262"/>
      <c r="K553" s="42"/>
    </row>
    <row r="554" spans="2:14" ht="9.75" customHeight="1" x14ac:dyDescent="0.3">
      <c r="B554" s="39"/>
      <c r="C554" s="293" t="str">
        <f>"4:"</f>
        <v>4:</v>
      </c>
      <c r="D554" s="291" t="s">
        <v>1075</v>
      </c>
      <c r="E554" s="41"/>
      <c r="F554" s="41"/>
      <c r="G554" s="41"/>
      <c r="H554" s="41"/>
      <c r="I554" s="41"/>
      <c r="J554" s="41"/>
      <c r="K554" s="42"/>
      <c r="N554" s="12" t="s">
        <v>769</v>
      </c>
    </row>
    <row r="555" spans="2:14" x14ac:dyDescent="0.3">
      <c r="B555" s="39"/>
      <c r="C555" s="176" t="s">
        <v>770</v>
      </c>
      <c r="D555" s="41"/>
      <c r="E555" s="41"/>
      <c r="F555" s="41"/>
      <c r="G555" s="41"/>
      <c r="H555" s="41"/>
      <c r="I555" s="41"/>
      <c r="J555" s="276" t="s">
        <v>769</v>
      </c>
      <c r="K555" s="42"/>
      <c r="N555" s="12" t="s">
        <v>1041</v>
      </c>
    </row>
    <row r="556" spans="2:14" x14ac:dyDescent="0.3">
      <c r="B556" s="39"/>
      <c r="C556" s="176" t="s">
        <v>768</v>
      </c>
      <c r="D556" s="41"/>
      <c r="E556" s="41"/>
      <c r="F556" s="41"/>
      <c r="G556" s="41"/>
      <c r="H556" s="41"/>
      <c r="I556" s="41"/>
      <c r="J556" s="258" t="str">
        <f>IF(J555=N554,"N/A",IF(J555=N555,0,IF(J555=N556,1,IF(J555=N557,2,IF(J555=N558,3,IF(J555=N559,4,"N/A"))))))</f>
        <v>N/A</v>
      </c>
      <c r="K556" s="42"/>
      <c r="N556" s="12" t="s">
        <v>1046</v>
      </c>
    </row>
    <row r="557" spans="2:14" x14ac:dyDescent="0.3">
      <c r="B557" s="39"/>
      <c r="C557" s="41" t="s">
        <v>276</v>
      </c>
      <c r="D557" s="41"/>
      <c r="E557" s="41"/>
      <c r="F557" s="41"/>
      <c r="G557" s="41"/>
      <c r="H557" s="41"/>
      <c r="I557" s="41"/>
      <c r="J557" s="277" t="s">
        <v>1017</v>
      </c>
      <c r="K557" s="42"/>
      <c r="N557" s="12" t="s">
        <v>1047</v>
      </c>
    </row>
    <row r="558" spans="2:14" x14ac:dyDescent="0.3">
      <c r="B558" s="39"/>
      <c r="C558" s="41" t="s">
        <v>280</v>
      </c>
      <c r="D558" s="41"/>
      <c r="E558" s="41"/>
      <c r="F558" s="41"/>
      <c r="G558" s="41"/>
      <c r="H558" s="41"/>
      <c r="I558" s="41"/>
      <c r="J558" s="256">
        <f>IF(J557=$B$973,$A$973,IF(J557=$B$974,$A$974,IF(J557=$B$975,$A$975,IF(J557=$B$976,$A$976,IF(J557=$B$977,$A$977,"Not Calculated")))))</f>
        <v>2</v>
      </c>
      <c r="K558" s="42"/>
      <c r="N558" s="12" t="s">
        <v>1048</v>
      </c>
    </row>
    <row r="559" spans="2:14" x14ac:dyDescent="0.3">
      <c r="B559" s="39"/>
      <c r="C559" s="41" t="s">
        <v>1038</v>
      </c>
      <c r="D559" s="41"/>
      <c r="E559" s="41"/>
      <c r="F559" s="41"/>
      <c r="G559" s="41"/>
      <c r="H559" s="41"/>
      <c r="I559" s="41"/>
      <c r="J559" s="41"/>
      <c r="K559" s="42"/>
      <c r="N559" s="12" t="s">
        <v>1049</v>
      </c>
    </row>
    <row r="560" spans="2:14" ht="15" customHeight="1" x14ac:dyDescent="0.3">
      <c r="B560" s="39"/>
      <c r="C560" s="343" t="s">
        <v>692</v>
      </c>
      <c r="D560" s="344"/>
      <c r="E560" s="344"/>
      <c r="F560" s="344"/>
      <c r="G560" s="344"/>
      <c r="H560" s="344"/>
      <c r="I560" s="344"/>
      <c r="J560" s="345"/>
      <c r="K560" s="42"/>
    </row>
    <row r="561" spans="2:11" x14ac:dyDescent="0.3">
      <c r="B561" s="39"/>
      <c r="C561" s="41"/>
      <c r="D561" s="41"/>
      <c r="E561" s="41"/>
      <c r="F561" s="41"/>
      <c r="G561" s="41"/>
      <c r="H561" s="41"/>
      <c r="I561" s="41"/>
      <c r="J561" s="41"/>
      <c r="K561" s="42"/>
    </row>
    <row r="562" spans="2:11" x14ac:dyDescent="0.3">
      <c r="B562" s="39"/>
      <c r="C562" s="181" t="s">
        <v>342</v>
      </c>
      <c r="D562" s="41"/>
      <c r="E562" s="41"/>
      <c r="F562" s="41"/>
      <c r="G562" s="41"/>
      <c r="H562" s="41"/>
      <c r="I562" s="41"/>
      <c r="J562" s="256" t="str">
        <f>IF(J556="N/A",IF(OR(J549="Not Calculated",J558="Not Calculated")=TRUE,"Not Calculated",AVERAGE(J549,J558)),AVERAGE(J556,J558))</f>
        <v>Not Calculated</v>
      </c>
      <c r="K562" s="42"/>
    </row>
    <row r="563" spans="2:11" x14ac:dyDescent="0.3">
      <c r="B563" s="39"/>
      <c r="C563" s="41"/>
      <c r="D563" s="41"/>
      <c r="E563" s="41"/>
      <c r="F563" s="41"/>
      <c r="G563" s="41"/>
      <c r="H563" s="41"/>
      <c r="I563" s="41"/>
      <c r="J563" s="41"/>
      <c r="K563" s="42"/>
    </row>
    <row r="564" spans="2:11" x14ac:dyDescent="0.3">
      <c r="B564" s="39"/>
      <c r="C564" s="41"/>
      <c r="D564" s="41"/>
      <c r="E564" s="41"/>
      <c r="F564" s="41"/>
      <c r="G564" s="41"/>
      <c r="H564" s="41"/>
      <c r="I564" s="41"/>
      <c r="J564" s="41"/>
      <c r="K564" s="42"/>
    </row>
    <row r="565" spans="2:11" ht="15.6" x14ac:dyDescent="0.3">
      <c r="B565" s="39"/>
      <c r="C565" s="46" t="s">
        <v>84</v>
      </c>
      <c r="D565" s="41"/>
      <c r="E565" s="41"/>
      <c r="F565" s="41"/>
      <c r="G565" s="41"/>
      <c r="H565" s="41"/>
      <c r="I565" s="41"/>
      <c r="J565" s="41"/>
      <c r="K565" s="42"/>
    </row>
    <row r="566" spans="2:11" ht="15" customHeight="1" x14ac:dyDescent="0.3">
      <c r="B566" s="39"/>
      <c r="C566" s="324" t="s">
        <v>352</v>
      </c>
      <c r="D566" s="324"/>
      <c r="E566" s="324"/>
      <c r="F566" s="324"/>
      <c r="G566" s="324"/>
      <c r="H566" s="324"/>
      <c r="I566" s="324"/>
      <c r="J566" s="41"/>
      <c r="K566" s="42"/>
    </row>
    <row r="567" spans="2:11" x14ac:dyDescent="0.3">
      <c r="B567" s="39"/>
      <c r="C567" s="324"/>
      <c r="D567" s="324"/>
      <c r="E567" s="324"/>
      <c r="F567" s="324"/>
      <c r="G567" s="324"/>
      <c r="H567" s="324"/>
      <c r="I567" s="324"/>
      <c r="J567" s="41"/>
      <c r="K567" s="42"/>
    </row>
    <row r="568" spans="2:11" x14ac:dyDescent="0.3">
      <c r="B568" s="39"/>
      <c r="C568" s="324"/>
      <c r="D568" s="324"/>
      <c r="E568" s="324"/>
      <c r="F568" s="324"/>
      <c r="G568" s="324"/>
      <c r="H568" s="324"/>
      <c r="I568" s="324"/>
      <c r="J568" s="262">
        <f>'Baseline Health'!G132</f>
        <v>0</v>
      </c>
      <c r="K568" s="42"/>
    </row>
    <row r="569" spans="2:11" ht="15" customHeight="1" x14ac:dyDescent="0.3">
      <c r="B569" s="39"/>
      <c r="C569" s="324" t="s">
        <v>353</v>
      </c>
      <c r="D569" s="324"/>
      <c r="E569" s="324"/>
      <c r="F569" s="324"/>
      <c r="G569" s="324"/>
      <c r="H569" s="324"/>
      <c r="I569" s="324"/>
      <c r="J569" s="256"/>
      <c r="K569" s="42"/>
    </row>
    <row r="570" spans="2:11" x14ac:dyDescent="0.3">
      <c r="B570" s="39"/>
      <c r="C570" s="324"/>
      <c r="D570" s="324"/>
      <c r="E570" s="324"/>
      <c r="F570" s="324"/>
      <c r="G570" s="324"/>
      <c r="H570" s="324"/>
      <c r="I570" s="324"/>
      <c r="J570" s="256"/>
      <c r="K570" s="42"/>
    </row>
    <row r="571" spans="2:11" x14ac:dyDescent="0.3">
      <c r="B571" s="39"/>
      <c r="C571" s="324"/>
      <c r="D571" s="324"/>
      <c r="E571" s="324"/>
      <c r="F571" s="324"/>
      <c r="G571" s="324"/>
      <c r="H571" s="324"/>
      <c r="I571" s="324"/>
      <c r="J571" s="275">
        <v>0</v>
      </c>
      <c r="K571" s="42"/>
    </row>
    <row r="572" spans="2:11" x14ac:dyDescent="0.3">
      <c r="B572" s="39"/>
      <c r="C572" s="41" t="s">
        <v>279</v>
      </c>
      <c r="D572" s="41"/>
      <c r="E572" s="41"/>
      <c r="F572" s="41"/>
      <c r="G572" s="41"/>
      <c r="H572" s="41"/>
      <c r="I572" s="41"/>
      <c r="J572" s="256" t="str">
        <f>IF(OR(J568=0,J568="Not Calculated")=TRUE,"Not Calculated",IF(((J568+J571)/J568)&lt;=1,0,IF(((J568+J571)/J568)&lt;=1.05,1,IF(((J568+J571)/J568)&lt;=1.5, 2,IF(((J568+J571)/J568)&lt;=2,3,4)))))</f>
        <v>Not Calculated</v>
      </c>
      <c r="K572" s="42"/>
    </row>
    <row r="573" spans="2:11" ht="9.75" customHeight="1" x14ac:dyDescent="0.3">
      <c r="B573" s="39"/>
      <c r="C573" s="292" t="str">
        <f>"0:"</f>
        <v>0:</v>
      </c>
      <c r="D573" s="294" t="s">
        <v>1067</v>
      </c>
      <c r="E573" s="305"/>
      <c r="F573" s="305"/>
      <c r="G573" s="305"/>
      <c r="H573" s="305"/>
      <c r="I573" s="305"/>
      <c r="J573" s="262"/>
      <c r="K573" s="42"/>
    </row>
    <row r="574" spans="2:11" ht="9.75" customHeight="1" x14ac:dyDescent="0.3">
      <c r="B574" s="39"/>
      <c r="C574" s="293" t="str">
        <f>"1:"</f>
        <v>1:</v>
      </c>
      <c r="D574" s="294" t="s">
        <v>1068</v>
      </c>
      <c r="E574" s="305"/>
      <c r="F574" s="305"/>
      <c r="G574" s="305"/>
      <c r="H574" s="305"/>
      <c r="I574" s="305"/>
      <c r="J574" s="262"/>
      <c r="K574" s="42"/>
    </row>
    <row r="575" spans="2:11" ht="9.75" customHeight="1" x14ac:dyDescent="0.3">
      <c r="B575" s="39"/>
      <c r="C575" s="293" t="str">
        <f>"2:"</f>
        <v>2:</v>
      </c>
      <c r="D575" s="294" t="s">
        <v>1069</v>
      </c>
      <c r="E575" s="305"/>
      <c r="F575" s="305"/>
      <c r="G575" s="305"/>
      <c r="H575" s="305"/>
      <c r="I575" s="305"/>
      <c r="J575" s="262"/>
      <c r="K575" s="42"/>
    </row>
    <row r="576" spans="2:11" ht="9.75" customHeight="1" x14ac:dyDescent="0.3">
      <c r="B576" s="39"/>
      <c r="C576" s="293" t="str">
        <f>"3:"</f>
        <v>3:</v>
      </c>
      <c r="D576" s="294" t="s">
        <v>1070</v>
      </c>
      <c r="E576" s="305"/>
      <c r="F576" s="305"/>
      <c r="G576" s="305"/>
      <c r="H576" s="305"/>
      <c r="I576" s="305"/>
      <c r="J576" s="262"/>
      <c r="K576" s="42"/>
    </row>
    <row r="577" spans="2:14" ht="9.75" customHeight="1" x14ac:dyDescent="0.3">
      <c r="B577" s="39"/>
      <c r="C577" s="293" t="str">
        <f>"4:"</f>
        <v>4:</v>
      </c>
      <c r="D577" s="294" t="s">
        <v>1071</v>
      </c>
      <c r="E577" s="41"/>
      <c r="F577" s="41"/>
      <c r="G577" s="41"/>
      <c r="H577" s="41"/>
      <c r="I577" s="41"/>
      <c r="J577" s="41"/>
      <c r="K577" s="42"/>
      <c r="N577" s="12" t="s">
        <v>769</v>
      </c>
    </row>
    <row r="578" spans="2:14" ht="15" customHeight="1" x14ac:dyDescent="0.3">
      <c r="B578" s="39"/>
      <c r="C578" s="176" t="s">
        <v>770</v>
      </c>
      <c r="D578" s="41"/>
      <c r="E578" s="41"/>
      <c r="F578" s="41"/>
      <c r="G578" s="41"/>
      <c r="H578" s="41"/>
      <c r="I578" s="41"/>
      <c r="J578" s="276" t="s">
        <v>769</v>
      </c>
      <c r="K578" s="42"/>
      <c r="N578" s="12" t="s">
        <v>1041</v>
      </c>
    </row>
    <row r="579" spans="2:14" ht="15" customHeight="1" x14ac:dyDescent="0.3">
      <c r="B579" s="39"/>
      <c r="C579" s="176" t="s">
        <v>768</v>
      </c>
      <c r="D579" s="41"/>
      <c r="E579" s="41"/>
      <c r="F579" s="41"/>
      <c r="G579" s="41"/>
      <c r="H579" s="41"/>
      <c r="I579" s="41"/>
      <c r="J579" s="258" t="str">
        <f>IF(J578=N577,"N/A",IF(J578=N578,0,IF(J578=N579,1,IF(J578=N580,2,IF(J578=N581,3,IF(J578=N582,4,"N/A"))))))</f>
        <v>N/A</v>
      </c>
      <c r="K579" s="42"/>
      <c r="N579" s="12" t="s">
        <v>1042</v>
      </c>
    </row>
    <row r="580" spans="2:14" x14ac:dyDescent="0.3">
      <c r="B580" s="39"/>
      <c r="C580" s="41" t="s">
        <v>276</v>
      </c>
      <c r="D580" s="41"/>
      <c r="E580" s="41"/>
      <c r="F580" s="41"/>
      <c r="G580" s="41"/>
      <c r="H580" s="41"/>
      <c r="I580" s="41"/>
      <c r="J580" s="277" t="s">
        <v>1015</v>
      </c>
      <c r="K580" s="42"/>
      <c r="N580" s="12" t="s">
        <v>1043</v>
      </c>
    </row>
    <row r="581" spans="2:14" x14ac:dyDescent="0.3">
      <c r="B581" s="39"/>
      <c r="C581" s="41" t="s">
        <v>280</v>
      </c>
      <c r="D581" s="41"/>
      <c r="E581" s="41"/>
      <c r="F581" s="41"/>
      <c r="G581" s="41"/>
      <c r="H581" s="41"/>
      <c r="I581" s="41"/>
      <c r="J581" s="256">
        <f>IF(J580=$B$973,$A$973,IF(J580=$B$974,$A$974,IF(J580=$B$975,$A$975,IF(J580=$B$976,$A$976,IF(J580=$B$977,$A$977,"Not Calculated")))))</f>
        <v>0</v>
      </c>
      <c r="K581" s="42"/>
      <c r="N581" s="12" t="s">
        <v>1044</v>
      </c>
    </row>
    <row r="582" spans="2:14" x14ac:dyDescent="0.3">
      <c r="B582" s="39"/>
      <c r="C582" s="41" t="s">
        <v>1038</v>
      </c>
      <c r="D582" s="41"/>
      <c r="E582" s="41"/>
      <c r="F582" s="41"/>
      <c r="G582" s="41"/>
      <c r="H582" s="41"/>
      <c r="I582" s="41"/>
      <c r="J582" s="41"/>
      <c r="K582" s="42"/>
      <c r="N582" s="12" t="s">
        <v>1045</v>
      </c>
    </row>
    <row r="583" spans="2:14" ht="15" customHeight="1" x14ac:dyDescent="0.3">
      <c r="B583" s="39"/>
      <c r="C583" s="343" t="s">
        <v>693</v>
      </c>
      <c r="D583" s="344"/>
      <c r="E583" s="344"/>
      <c r="F583" s="344"/>
      <c r="G583" s="344"/>
      <c r="H583" s="344"/>
      <c r="I583" s="344"/>
      <c r="J583" s="345"/>
      <c r="K583" s="42"/>
    </row>
    <row r="584" spans="2:14" x14ac:dyDescent="0.3">
      <c r="B584" s="39"/>
      <c r="C584" s="41"/>
      <c r="D584" s="41"/>
      <c r="E584" s="41"/>
      <c r="F584" s="41"/>
      <c r="G584" s="41"/>
      <c r="H584" s="41"/>
      <c r="I584" s="41"/>
      <c r="J584" s="41"/>
      <c r="K584" s="42"/>
    </row>
    <row r="585" spans="2:14" x14ac:dyDescent="0.3">
      <c r="B585" s="39"/>
      <c r="C585" s="181" t="s">
        <v>343</v>
      </c>
      <c r="D585" s="41"/>
      <c r="E585" s="41"/>
      <c r="F585" s="41"/>
      <c r="G585" s="41"/>
      <c r="H585" s="41"/>
      <c r="I585" s="41"/>
      <c r="J585" s="256" t="str">
        <f>IF(J579="N/A",IF(OR(J572="Not Calculated",J581="Not Calculated")=TRUE,"Not Calculated",AVERAGE(J572,J581)),AVERAGE(J579,J581))</f>
        <v>Not Calculated</v>
      </c>
      <c r="K585" s="42"/>
    </row>
    <row r="586" spans="2:14" x14ac:dyDescent="0.3">
      <c r="B586" s="39"/>
      <c r="C586" s="41"/>
      <c r="D586" s="41"/>
      <c r="E586" s="41"/>
      <c r="F586" s="41"/>
      <c r="G586" s="41"/>
      <c r="H586" s="41"/>
      <c r="I586" s="41"/>
      <c r="J586" s="41"/>
      <c r="K586" s="42"/>
    </row>
    <row r="587" spans="2:14" x14ac:dyDescent="0.3">
      <c r="B587" s="39"/>
      <c r="C587" s="41"/>
      <c r="D587" s="41"/>
      <c r="E587" s="41"/>
      <c r="F587" s="41"/>
      <c r="G587" s="41"/>
      <c r="H587" s="41"/>
      <c r="I587" s="41"/>
      <c r="J587" s="41"/>
      <c r="K587" s="42"/>
    </row>
    <row r="588" spans="2:14" ht="15.6" x14ac:dyDescent="0.3">
      <c r="B588" s="39"/>
      <c r="C588" s="46" t="s">
        <v>110</v>
      </c>
      <c r="D588" s="41"/>
      <c r="E588" s="41"/>
      <c r="F588" s="41"/>
      <c r="G588" s="41"/>
      <c r="H588" s="41"/>
      <c r="I588" s="41"/>
      <c r="J588" s="41"/>
      <c r="K588" s="42"/>
    </row>
    <row r="589" spans="2:14" x14ac:dyDescent="0.3">
      <c r="B589" s="39"/>
      <c r="C589" s="41" t="s">
        <v>354</v>
      </c>
      <c r="D589" s="41"/>
      <c r="E589" s="41"/>
      <c r="F589" s="41"/>
      <c r="G589" s="41"/>
      <c r="H589" s="41"/>
      <c r="I589" s="41"/>
      <c r="J589" s="275">
        <v>0</v>
      </c>
      <c r="K589" s="42"/>
    </row>
    <row r="590" spans="2:14" x14ac:dyDescent="0.3">
      <c r="B590" s="39"/>
      <c r="C590" s="41" t="s">
        <v>279</v>
      </c>
      <c r="D590" s="41"/>
      <c r="E590" s="41"/>
      <c r="F590" s="41"/>
      <c r="G590" s="41"/>
      <c r="H590" s="41"/>
      <c r="I590" s="41"/>
      <c r="J590" s="266">
        <f>IF(J589&lt;=0,0,IF(J589&lt;=1000,1,IF(J589&lt;=5000,2,IF(J589&lt;=25000,3,4))))</f>
        <v>0</v>
      </c>
      <c r="K590" s="42"/>
    </row>
    <row r="591" spans="2:14" ht="9.75" customHeight="1" x14ac:dyDescent="0.3">
      <c r="B591" s="39"/>
      <c r="C591" s="292" t="str">
        <f>"0:"</f>
        <v>0:</v>
      </c>
      <c r="D591" s="297" t="s">
        <v>1119</v>
      </c>
      <c r="E591" s="41"/>
      <c r="F591" s="41"/>
      <c r="G591" s="41"/>
      <c r="H591" s="41"/>
      <c r="I591" s="41"/>
      <c r="J591" s="262"/>
      <c r="K591" s="42"/>
    </row>
    <row r="592" spans="2:14" ht="9.75" customHeight="1" x14ac:dyDescent="0.3">
      <c r="B592" s="39"/>
      <c r="C592" s="293" t="str">
        <f>"1:"</f>
        <v>1:</v>
      </c>
      <c r="D592" s="297" t="s">
        <v>1110</v>
      </c>
      <c r="E592" s="41"/>
      <c r="F592" s="41"/>
      <c r="G592" s="41"/>
      <c r="H592" s="41"/>
      <c r="I592" s="41"/>
      <c r="J592" s="262"/>
      <c r="K592" s="42"/>
    </row>
    <row r="593" spans="2:11" ht="9.75" customHeight="1" x14ac:dyDescent="0.3">
      <c r="B593" s="39"/>
      <c r="C593" s="293" t="str">
        <f>"2:"</f>
        <v>2:</v>
      </c>
      <c r="D593" s="297" t="s">
        <v>1120</v>
      </c>
      <c r="E593" s="41"/>
      <c r="F593" s="41"/>
      <c r="G593" s="41"/>
      <c r="H593" s="41"/>
      <c r="I593" s="41"/>
      <c r="J593" s="262"/>
      <c r="K593" s="42"/>
    </row>
    <row r="594" spans="2:11" ht="9.75" customHeight="1" x14ac:dyDescent="0.3">
      <c r="B594" s="39"/>
      <c r="C594" s="293" t="str">
        <f>"3:"</f>
        <v>3:</v>
      </c>
      <c r="D594" s="297" t="s">
        <v>1112</v>
      </c>
      <c r="E594" s="41"/>
      <c r="F594" s="41"/>
      <c r="G594" s="41"/>
      <c r="H594" s="41"/>
      <c r="I594" s="41"/>
      <c r="J594" s="262"/>
      <c r="K594" s="42"/>
    </row>
    <row r="595" spans="2:11" ht="9.75" customHeight="1" x14ac:dyDescent="0.3">
      <c r="B595" s="39"/>
      <c r="C595" s="293" t="str">
        <f>"4:"</f>
        <v>4:</v>
      </c>
      <c r="D595" s="297" t="s">
        <v>1113</v>
      </c>
      <c r="E595" s="41"/>
      <c r="F595" s="41"/>
      <c r="G595" s="41"/>
      <c r="H595" s="41"/>
      <c r="I595" s="41"/>
      <c r="J595" s="41"/>
      <c r="K595" s="42"/>
    </row>
    <row r="596" spans="2:11" ht="15" customHeight="1" x14ac:dyDescent="0.3">
      <c r="B596" s="39"/>
      <c r="C596" s="41" t="s">
        <v>276</v>
      </c>
      <c r="D596" s="41"/>
      <c r="E596" s="41"/>
      <c r="F596" s="41"/>
      <c r="G596" s="41"/>
      <c r="H596" s="41"/>
      <c r="I596" s="41"/>
      <c r="J596" s="277" t="s">
        <v>1015</v>
      </c>
      <c r="K596" s="42"/>
    </row>
    <row r="597" spans="2:11" ht="15" customHeight="1" x14ac:dyDescent="0.3">
      <c r="B597" s="39"/>
      <c r="C597" s="41" t="s">
        <v>280</v>
      </c>
      <c r="D597" s="41"/>
      <c r="E597" s="41"/>
      <c r="F597" s="41"/>
      <c r="G597" s="41"/>
      <c r="H597" s="41"/>
      <c r="I597" s="41"/>
      <c r="J597" s="256">
        <f>IF(J596=$B$973,$A$973,IF(J596=$B$974,$A$974,IF(J596=$B$975,$A$975,IF(J596=$B$976,$A$976,IF(J596=$B$977,$A$977,"Not Calculated")))))</f>
        <v>0</v>
      </c>
      <c r="K597" s="42"/>
    </row>
    <row r="598" spans="2:11" x14ac:dyDescent="0.3">
      <c r="B598" s="39"/>
      <c r="C598" s="41" t="s">
        <v>1038</v>
      </c>
      <c r="D598" s="41"/>
      <c r="E598" s="41"/>
      <c r="F598" s="41"/>
      <c r="G598" s="41"/>
      <c r="H598" s="41"/>
      <c r="I598" s="41"/>
      <c r="J598" s="41"/>
      <c r="K598" s="42"/>
    </row>
    <row r="599" spans="2:11" ht="15" customHeight="1" x14ac:dyDescent="0.3">
      <c r="B599" s="39"/>
      <c r="C599" s="343"/>
      <c r="D599" s="344"/>
      <c r="E599" s="344"/>
      <c r="F599" s="344"/>
      <c r="G599" s="344"/>
      <c r="H599" s="344"/>
      <c r="I599" s="344"/>
      <c r="J599" s="345"/>
      <c r="K599" s="42"/>
    </row>
    <row r="600" spans="2:11" x14ac:dyDescent="0.3">
      <c r="B600" s="39"/>
      <c r="C600" s="41"/>
      <c r="D600" s="41"/>
      <c r="E600" s="41"/>
      <c r="F600" s="41"/>
      <c r="G600" s="41"/>
      <c r="H600" s="41"/>
      <c r="I600" s="41"/>
      <c r="J600" s="41"/>
      <c r="K600" s="42"/>
    </row>
    <row r="601" spans="2:11" x14ac:dyDescent="0.3">
      <c r="B601" s="39"/>
      <c r="C601" s="181" t="s">
        <v>344</v>
      </c>
      <c r="D601" s="41"/>
      <c r="E601" s="41"/>
      <c r="F601" s="41"/>
      <c r="G601" s="41"/>
      <c r="H601" s="41"/>
      <c r="I601" s="41"/>
      <c r="J601" s="256">
        <f>IF(J590="Not Calculated","Not Calculated",AVERAGE(J590,J597))</f>
        <v>0</v>
      </c>
      <c r="K601" s="42"/>
    </row>
    <row r="602" spans="2:11" x14ac:dyDescent="0.3">
      <c r="B602" s="39"/>
      <c r="C602" s="41"/>
      <c r="D602" s="41"/>
      <c r="E602" s="41"/>
      <c r="F602" s="41"/>
      <c r="G602" s="41"/>
      <c r="H602" s="41"/>
      <c r="I602" s="41"/>
      <c r="J602" s="41"/>
      <c r="K602" s="42"/>
    </row>
    <row r="603" spans="2:11" x14ac:dyDescent="0.3">
      <c r="B603" s="39"/>
      <c r="C603" s="41"/>
      <c r="D603" s="41"/>
      <c r="E603" s="41"/>
      <c r="F603" s="41"/>
      <c r="G603" s="41"/>
      <c r="H603" s="41"/>
      <c r="I603" s="41"/>
      <c r="J603" s="41"/>
      <c r="K603" s="42"/>
    </row>
    <row r="604" spans="2:11" ht="15.6" x14ac:dyDescent="0.3">
      <c r="B604" s="39"/>
      <c r="C604" s="46" t="s">
        <v>345</v>
      </c>
      <c r="D604" s="41"/>
      <c r="E604" s="41"/>
      <c r="F604" s="41"/>
      <c r="G604" s="41"/>
      <c r="H604" s="41"/>
      <c r="I604" s="41"/>
      <c r="J604" s="41"/>
      <c r="K604" s="42"/>
    </row>
    <row r="605" spans="2:11" x14ac:dyDescent="0.3">
      <c r="B605" s="39"/>
      <c r="C605" s="41" t="s">
        <v>355</v>
      </c>
      <c r="D605" s="41"/>
      <c r="E605" s="41"/>
      <c r="F605" s="41"/>
      <c r="G605" s="41"/>
      <c r="H605" s="41"/>
      <c r="I605" s="41"/>
      <c r="J605" s="282">
        <v>0</v>
      </c>
      <c r="K605" s="42"/>
    </row>
    <row r="606" spans="2:11" x14ac:dyDescent="0.3">
      <c r="B606" s="39"/>
      <c r="C606" s="41" t="s">
        <v>279</v>
      </c>
      <c r="D606" s="41"/>
      <c r="E606" s="41"/>
      <c r="F606" s="41"/>
      <c r="G606" s="41"/>
      <c r="H606" s="41"/>
      <c r="I606" s="41"/>
      <c r="J606" s="259">
        <f>IF(J605&lt;=0,0,IF(J605&lt;=10,1,IF(J605&lt;=25,2,IF(J605&lt;=50,3,4))))</f>
        <v>0</v>
      </c>
      <c r="K606" s="42"/>
    </row>
    <row r="607" spans="2:11" ht="9.75" customHeight="1" x14ac:dyDescent="0.3">
      <c r="B607" s="39"/>
      <c r="C607" s="292" t="str">
        <f>"0:"</f>
        <v>0:</v>
      </c>
      <c r="D607" s="303" t="s">
        <v>1093</v>
      </c>
      <c r="E607" s="41"/>
      <c r="F607" s="41"/>
      <c r="G607" s="41"/>
      <c r="H607" s="41"/>
      <c r="I607" s="41"/>
      <c r="J607" s="255"/>
      <c r="K607" s="42"/>
    </row>
    <row r="608" spans="2:11" ht="9.75" customHeight="1" x14ac:dyDescent="0.3">
      <c r="B608" s="39"/>
      <c r="C608" s="293" t="str">
        <f>"1:"</f>
        <v>1:</v>
      </c>
      <c r="D608" s="303" t="s">
        <v>1096</v>
      </c>
      <c r="E608" s="41"/>
      <c r="F608" s="41"/>
      <c r="G608" s="41"/>
      <c r="H608" s="41"/>
      <c r="I608" s="41"/>
      <c r="J608" s="255"/>
      <c r="K608" s="42"/>
    </row>
    <row r="609" spans="2:11" ht="9.75" customHeight="1" x14ac:dyDescent="0.3">
      <c r="B609" s="39"/>
      <c r="C609" s="293" t="str">
        <f>"2:"</f>
        <v>2:</v>
      </c>
      <c r="D609" s="303" t="s">
        <v>1121</v>
      </c>
      <c r="E609" s="41"/>
      <c r="F609" s="41"/>
      <c r="G609" s="41"/>
      <c r="H609" s="41"/>
      <c r="I609" s="41"/>
      <c r="J609" s="255"/>
      <c r="K609" s="42"/>
    </row>
    <row r="610" spans="2:11" ht="9.75" customHeight="1" x14ac:dyDescent="0.3">
      <c r="B610" s="39"/>
      <c r="C610" s="293" t="str">
        <f>"3:"</f>
        <v>3:</v>
      </c>
      <c r="D610" s="303" t="s">
        <v>1122</v>
      </c>
      <c r="E610" s="41"/>
      <c r="F610" s="41"/>
      <c r="G610" s="41"/>
      <c r="H610" s="41"/>
      <c r="I610" s="41"/>
      <c r="J610" s="255"/>
      <c r="K610" s="42"/>
    </row>
    <row r="611" spans="2:11" ht="9.75" customHeight="1" x14ac:dyDescent="0.3">
      <c r="B611" s="39"/>
      <c r="C611" s="293" t="str">
        <f>"4:"</f>
        <v>4:</v>
      </c>
      <c r="D611" s="303" t="s">
        <v>1123</v>
      </c>
      <c r="E611" s="41"/>
      <c r="F611" s="41"/>
      <c r="G611" s="41"/>
      <c r="H611" s="41"/>
      <c r="I611" s="41"/>
      <c r="J611" s="41"/>
      <c r="K611" s="42"/>
    </row>
    <row r="612" spans="2:11" x14ac:dyDescent="0.3">
      <c r="B612" s="39"/>
      <c r="C612" s="41" t="s">
        <v>1038</v>
      </c>
      <c r="D612" s="41"/>
      <c r="E612" s="41"/>
      <c r="F612" s="41"/>
      <c r="G612" s="41"/>
      <c r="H612" s="41"/>
      <c r="I612" s="41"/>
      <c r="J612" s="41"/>
      <c r="K612" s="42"/>
    </row>
    <row r="613" spans="2:11" ht="15" customHeight="1" x14ac:dyDescent="0.3">
      <c r="B613" s="39"/>
      <c r="C613" s="343"/>
      <c r="D613" s="344"/>
      <c r="E613" s="344"/>
      <c r="F613" s="344"/>
      <c r="G613" s="344"/>
      <c r="H613" s="344"/>
      <c r="I613" s="344"/>
      <c r="J613" s="345"/>
      <c r="K613" s="42"/>
    </row>
    <row r="614" spans="2:11" x14ac:dyDescent="0.3">
      <c r="B614" s="39"/>
      <c r="C614" s="41"/>
      <c r="D614" s="41"/>
      <c r="E614" s="41"/>
      <c r="F614" s="41"/>
      <c r="G614" s="41"/>
      <c r="H614" s="41"/>
      <c r="I614" s="41"/>
      <c r="J614" s="41"/>
      <c r="K614" s="42"/>
    </row>
    <row r="615" spans="2:11" x14ac:dyDescent="0.3">
      <c r="B615" s="39"/>
      <c r="C615" s="181" t="s">
        <v>346</v>
      </c>
      <c r="D615" s="41"/>
      <c r="E615" s="41"/>
      <c r="F615" s="41"/>
      <c r="G615" s="41"/>
      <c r="H615" s="41"/>
      <c r="I615" s="41"/>
      <c r="J615" s="256">
        <f>J606</f>
        <v>0</v>
      </c>
      <c r="K615" s="42"/>
    </row>
    <row r="616" spans="2:11" x14ac:dyDescent="0.3">
      <c r="B616" s="39"/>
      <c r="C616" s="41"/>
      <c r="D616" s="41"/>
      <c r="E616" s="41"/>
      <c r="F616" s="41"/>
      <c r="G616" s="41"/>
      <c r="H616" s="41"/>
      <c r="I616" s="41"/>
      <c r="J616" s="41"/>
      <c r="K616" s="42"/>
    </row>
    <row r="617" spans="2:11" x14ac:dyDescent="0.3">
      <c r="B617" s="39"/>
      <c r="C617" s="41"/>
      <c r="D617" s="41"/>
      <c r="E617" s="41"/>
      <c r="F617" s="41"/>
      <c r="G617" s="41"/>
      <c r="H617" s="41"/>
      <c r="I617" s="41"/>
      <c r="J617" s="41"/>
      <c r="K617" s="42"/>
    </row>
    <row r="618" spans="2:11" ht="15.6" x14ac:dyDescent="0.3">
      <c r="B618" s="39"/>
      <c r="C618" s="46" t="s">
        <v>87</v>
      </c>
      <c r="D618" s="41"/>
      <c r="E618" s="41"/>
      <c r="F618" s="41"/>
      <c r="G618" s="41"/>
      <c r="H618" s="41"/>
      <c r="I618" s="41"/>
      <c r="J618" s="41"/>
      <c r="K618" s="42"/>
    </row>
    <row r="619" spans="2:11" x14ac:dyDescent="0.3">
      <c r="B619" s="39"/>
      <c r="C619" s="41" t="s">
        <v>356</v>
      </c>
      <c r="D619" s="41"/>
      <c r="E619" s="41"/>
      <c r="F619" s="41"/>
      <c r="G619" s="41"/>
      <c r="H619" s="41"/>
      <c r="I619" s="41"/>
      <c r="J619" s="262">
        <f>'Baseline Health'!G137</f>
        <v>0</v>
      </c>
      <c r="K619" s="42"/>
    </row>
    <row r="620" spans="2:11" ht="15" customHeight="1" x14ac:dyDescent="0.3">
      <c r="B620" s="39"/>
      <c r="C620" s="324" t="s">
        <v>357</v>
      </c>
      <c r="D620" s="324"/>
      <c r="E620" s="324"/>
      <c r="F620" s="324"/>
      <c r="G620" s="324"/>
      <c r="H620" s="324"/>
      <c r="I620" s="324"/>
      <c r="J620" s="262"/>
      <c r="K620" s="42"/>
    </row>
    <row r="621" spans="2:11" x14ac:dyDescent="0.3">
      <c r="B621" s="39"/>
      <c r="C621" s="324"/>
      <c r="D621" s="324"/>
      <c r="E621" s="324"/>
      <c r="F621" s="324"/>
      <c r="G621" s="324"/>
      <c r="H621" s="324"/>
      <c r="I621" s="324"/>
      <c r="J621" s="275">
        <v>0</v>
      </c>
      <c r="K621" s="42"/>
    </row>
    <row r="622" spans="2:11" x14ac:dyDescent="0.3">
      <c r="B622" s="39"/>
      <c r="C622" s="41" t="s">
        <v>279</v>
      </c>
      <c r="D622" s="41"/>
      <c r="E622" s="41"/>
      <c r="F622" s="41"/>
      <c r="G622" s="41"/>
      <c r="H622" s="41"/>
      <c r="I622" s="41"/>
      <c r="J622" s="256" t="str">
        <f>IF(OR(J619=0,J619="Not Calculated")=TRUE,"Not Calculated",IF(((J619+J621)/J619)&lt;=1,0,IF(((J619+J621)/J619)&lt;=1.05,1,IF(((J619+J621)/J619)&lt;=1.5, 2,IF(((J619+J621)/J619)&lt;=2,3,4)))))</f>
        <v>Not Calculated</v>
      </c>
      <c r="K622" s="42"/>
    </row>
    <row r="623" spans="2:11" ht="9.75" customHeight="1" x14ac:dyDescent="0.3">
      <c r="B623" s="39"/>
      <c r="C623" s="292" t="str">
        <f>"0:"</f>
        <v>0:</v>
      </c>
      <c r="D623" s="294" t="s">
        <v>1067</v>
      </c>
      <c r="E623" s="305"/>
      <c r="F623" s="305"/>
      <c r="G623" s="305"/>
      <c r="H623" s="305"/>
      <c r="I623" s="305"/>
      <c r="J623" s="262"/>
      <c r="K623" s="42"/>
    </row>
    <row r="624" spans="2:11" ht="9.75" customHeight="1" x14ac:dyDescent="0.3">
      <c r="B624" s="39"/>
      <c r="C624" s="293" t="str">
        <f>"1:"</f>
        <v>1:</v>
      </c>
      <c r="D624" s="294" t="s">
        <v>1068</v>
      </c>
      <c r="E624" s="305"/>
      <c r="F624" s="305"/>
      <c r="G624" s="305"/>
      <c r="H624" s="305"/>
      <c r="I624" s="305"/>
      <c r="J624" s="262"/>
      <c r="K624" s="42"/>
    </row>
    <row r="625" spans="2:14" ht="9.75" customHeight="1" x14ac:dyDescent="0.3">
      <c r="B625" s="39"/>
      <c r="C625" s="293" t="str">
        <f>"2:"</f>
        <v>2:</v>
      </c>
      <c r="D625" s="294" t="s">
        <v>1069</v>
      </c>
      <c r="E625" s="305"/>
      <c r="F625" s="305"/>
      <c r="G625" s="305"/>
      <c r="H625" s="305"/>
      <c r="I625" s="305"/>
      <c r="J625" s="262"/>
      <c r="K625" s="42"/>
    </row>
    <row r="626" spans="2:14" ht="9.75" customHeight="1" x14ac:dyDescent="0.3">
      <c r="B626" s="39"/>
      <c r="C626" s="293" t="str">
        <f>"3:"</f>
        <v>3:</v>
      </c>
      <c r="D626" s="294" t="s">
        <v>1070</v>
      </c>
      <c r="E626" s="305"/>
      <c r="F626" s="305"/>
      <c r="G626" s="305"/>
      <c r="H626" s="305"/>
      <c r="I626" s="305"/>
      <c r="J626" s="262"/>
      <c r="K626" s="42"/>
    </row>
    <row r="627" spans="2:14" ht="9.75" customHeight="1" x14ac:dyDescent="0.3">
      <c r="B627" s="39"/>
      <c r="C627" s="293" t="str">
        <f>"4:"</f>
        <v>4:</v>
      </c>
      <c r="D627" s="294" t="s">
        <v>1071</v>
      </c>
      <c r="E627" s="41"/>
      <c r="F627" s="41"/>
      <c r="G627" s="41"/>
      <c r="H627" s="41"/>
      <c r="I627" s="41"/>
      <c r="J627" s="41"/>
      <c r="K627" s="42"/>
      <c r="N627" s="12" t="s">
        <v>769</v>
      </c>
    </row>
    <row r="628" spans="2:14" x14ac:dyDescent="0.3">
      <c r="B628" s="39"/>
      <c r="C628" s="176" t="s">
        <v>770</v>
      </c>
      <c r="D628" s="41"/>
      <c r="E628" s="41"/>
      <c r="F628" s="41"/>
      <c r="G628" s="41"/>
      <c r="H628" s="41"/>
      <c r="I628" s="41"/>
      <c r="J628" s="276" t="s">
        <v>769</v>
      </c>
      <c r="K628" s="42"/>
      <c r="N628" s="12" t="s">
        <v>1041</v>
      </c>
    </row>
    <row r="629" spans="2:14" x14ac:dyDescent="0.3">
      <c r="B629" s="39"/>
      <c r="C629" s="176" t="s">
        <v>768</v>
      </c>
      <c r="D629" s="41"/>
      <c r="E629" s="41"/>
      <c r="F629" s="41"/>
      <c r="G629" s="41"/>
      <c r="H629" s="41"/>
      <c r="I629" s="41"/>
      <c r="J629" s="258" t="str">
        <f>IF(J628=N627,"N/A",IF(J628=N628,0,IF(J628=N629,1,IF(J628=N630,2,IF(J628=N631,3,IF(J628=N632,4,"N/A"))))))</f>
        <v>N/A</v>
      </c>
      <c r="K629" s="42"/>
      <c r="N629" s="12" t="s">
        <v>1042</v>
      </c>
    </row>
    <row r="630" spans="2:14" x14ac:dyDescent="0.3">
      <c r="B630" s="39"/>
      <c r="C630" s="41" t="s">
        <v>276</v>
      </c>
      <c r="D630" s="41"/>
      <c r="E630" s="41"/>
      <c r="F630" s="41"/>
      <c r="G630" s="41"/>
      <c r="H630" s="41"/>
      <c r="I630" s="41"/>
      <c r="J630" s="277" t="s">
        <v>1015</v>
      </c>
      <c r="K630" s="42"/>
      <c r="N630" s="12" t="s">
        <v>1043</v>
      </c>
    </row>
    <row r="631" spans="2:14" x14ac:dyDescent="0.3">
      <c r="B631" s="39"/>
      <c r="C631" s="41" t="s">
        <v>280</v>
      </c>
      <c r="D631" s="41"/>
      <c r="E631" s="41"/>
      <c r="F631" s="41"/>
      <c r="G631" s="41"/>
      <c r="H631" s="41"/>
      <c r="I631" s="41"/>
      <c r="J631" s="256">
        <f>IF(J630=$B$973,$A$973,IF(J630=$B$974,$A$974,IF(J630=$B$975,$A$975,IF(J630=$B$976,$A$976,IF(J630=$B$977,$A$977,"Not Calculated")))))</f>
        <v>0</v>
      </c>
      <c r="K631" s="42"/>
      <c r="N631" s="12" t="s">
        <v>1044</v>
      </c>
    </row>
    <row r="632" spans="2:14" x14ac:dyDescent="0.3">
      <c r="B632" s="39"/>
      <c r="C632" s="41" t="s">
        <v>1038</v>
      </c>
      <c r="D632" s="41"/>
      <c r="E632" s="41"/>
      <c r="F632" s="41"/>
      <c r="G632" s="41"/>
      <c r="H632" s="41"/>
      <c r="I632" s="41"/>
      <c r="J632" s="41"/>
      <c r="K632" s="42"/>
      <c r="N632" s="12" t="s">
        <v>1045</v>
      </c>
    </row>
    <row r="633" spans="2:14" ht="15" customHeight="1" x14ac:dyDescent="0.3">
      <c r="B633" s="39"/>
      <c r="C633" s="343"/>
      <c r="D633" s="344"/>
      <c r="E633" s="344"/>
      <c r="F633" s="344"/>
      <c r="G633" s="344"/>
      <c r="H633" s="344"/>
      <c r="I633" s="344"/>
      <c r="J633" s="345"/>
      <c r="K633" s="42"/>
    </row>
    <row r="634" spans="2:14" x14ac:dyDescent="0.3">
      <c r="B634" s="39"/>
      <c r="C634" s="41"/>
      <c r="D634" s="41"/>
      <c r="E634" s="41"/>
      <c r="F634" s="41"/>
      <c r="G634" s="41"/>
      <c r="H634" s="41"/>
      <c r="I634" s="41"/>
      <c r="J634" s="41"/>
      <c r="K634" s="42"/>
    </row>
    <row r="635" spans="2:14" x14ac:dyDescent="0.3">
      <c r="B635" s="39"/>
      <c r="C635" s="181" t="s">
        <v>347</v>
      </c>
      <c r="D635" s="41"/>
      <c r="E635" s="41"/>
      <c r="F635" s="41"/>
      <c r="G635" s="41"/>
      <c r="H635" s="41"/>
      <c r="I635" s="41"/>
      <c r="J635" s="256" t="str">
        <f>IF(J629="N/A",IF(OR(J622="Not Calculated",J631="Not Calculated")=TRUE,"Not Calculated",AVERAGE(J622,J631)),AVERAGE(J629,J631))</f>
        <v>Not Calculated</v>
      </c>
      <c r="K635" s="42"/>
    </row>
    <row r="636" spans="2:14" x14ac:dyDescent="0.3">
      <c r="B636" s="39"/>
      <c r="C636" s="41"/>
      <c r="D636" s="41"/>
      <c r="E636" s="41"/>
      <c r="F636" s="41"/>
      <c r="G636" s="41"/>
      <c r="H636" s="41"/>
      <c r="I636" s="41"/>
      <c r="J636" s="41"/>
      <c r="K636" s="42"/>
    </row>
    <row r="637" spans="2:14" x14ac:dyDescent="0.3">
      <c r="B637" s="39"/>
      <c r="C637" s="41"/>
      <c r="D637" s="41"/>
      <c r="E637" s="41"/>
      <c r="F637" s="41"/>
      <c r="G637" s="41"/>
      <c r="H637" s="41"/>
      <c r="I637" s="41"/>
      <c r="J637" s="41"/>
      <c r="K637" s="42"/>
    </row>
    <row r="638" spans="2:14" ht="15.6" x14ac:dyDescent="0.3">
      <c r="B638" s="39"/>
      <c r="C638" s="46" t="s">
        <v>348</v>
      </c>
      <c r="D638" s="41"/>
      <c r="E638" s="41"/>
      <c r="F638" s="41"/>
      <c r="G638" s="41"/>
      <c r="H638" s="41"/>
      <c r="I638" s="41"/>
      <c r="J638" s="41"/>
      <c r="K638" s="42"/>
    </row>
    <row r="639" spans="2:14" ht="15" customHeight="1" x14ac:dyDescent="0.3">
      <c r="B639" s="39"/>
      <c r="C639" s="324" t="s">
        <v>358</v>
      </c>
      <c r="D639" s="324"/>
      <c r="E639" s="324"/>
      <c r="F639" s="324"/>
      <c r="G639" s="324"/>
      <c r="H639" s="324"/>
      <c r="I639" s="324"/>
      <c r="J639" s="41"/>
      <c r="K639" s="42"/>
    </row>
    <row r="640" spans="2:14" x14ac:dyDescent="0.3">
      <c r="B640" s="39"/>
      <c r="C640" s="324"/>
      <c r="D640" s="324"/>
      <c r="E640" s="324"/>
      <c r="F640" s="324"/>
      <c r="G640" s="324"/>
      <c r="H640" s="324"/>
      <c r="I640" s="324"/>
      <c r="J640" s="261">
        <f>'Baseline Health'!G145</f>
        <v>0</v>
      </c>
      <c r="K640" s="42"/>
    </row>
    <row r="641" spans="2:14" ht="15" customHeight="1" x14ac:dyDescent="0.3">
      <c r="B641" s="39"/>
      <c r="C641" s="324" t="s">
        <v>359</v>
      </c>
      <c r="D641" s="324"/>
      <c r="E641" s="324"/>
      <c r="F641" s="324"/>
      <c r="G641" s="324"/>
      <c r="H641" s="324"/>
      <c r="I641" s="324"/>
      <c r="J641" s="256"/>
      <c r="K641" s="42"/>
    </row>
    <row r="642" spans="2:14" x14ac:dyDescent="0.3">
      <c r="B642" s="39"/>
      <c r="C642" s="324"/>
      <c r="D642" s="324"/>
      <c r="E642" s="324"/>
      <c r="F642" s="324"/>
      <c r="G642" s="324"/>
      <c r="H642" s="324"/>
      <c r="I642" s="324"/>
      <c r="J642" s="256"/>
      <c r="K642" s="42"/>
    </row>
    <row r="643" spans="2:14" x14ac:dyDescent="0.3">
      <c r="B643" s="39"/>
      <c r="C643" s="324"/>
      <c r="D643" s="324"/>
      <c r="E643" s="324"/>
      <c r="F643" s="324"/>
      <c r="G643" s="324"/>
      <c r="H643" s="324"/>
      <c r="I643" s="324"/>
      <c r="J643" s="283">
        <v>18.75</v>
      </c>
      <c r="K643" s="42"/>
    </row>
    <row r="644" spans="2:14" x14ac:dyDescent="0.3">
      <c r="B644" s="39"/>
      <c r="C644" s="41" t="s">
        <v>279</v>
      </c>
      <c r="D644" s="41"/>
      <c r="E644" s="41"/>
      <c r="F644" s="41"/>
      <c r="G644" s="41"/>
      <c r="H644" s="41"/>
      <c r="I644" s="41"/>
      <c r="J644" s="256" t="str">
        <f>IF(OR(J640=0,J640="Not Calculated")=TRUE,"Not Calculated",IF(((J640+J643)/J640)&lt;=1,0,IF(((J640+J643)/J640)&lt;=1.05,1,IF(((J640+J643)/J640)&lt;=1.5, 2,IF(((J640+J643)/J640)&lt;=2,3,4)))))</f>
        <v>Not Calculated</v>
      </c>
      <c r="K644" s="42"/>
    </row>
    <row r="645" spans="2:14" ht="9.75" customHeight="1" x14ac:dyDescent="0.3">
      <c r="B645" s="39"/>
      <c r="C645" s="292" t="str">
        <f>"0:"</f>
        <v>0:</v>
      </c>
      <c r="D645" s="294" t="s">
        <v>1067</v>
      </c>
      <c r="E645" s="305"/>
      <c r="F645" s="305"/>
      <c r="G645" s="305"/>
      <c r="H645" s="305"/>
      <c r="I645" s="305"/>
      <c r="J645" s="261"/>
      <c r="K645" s="42"/>
    </row>
    <row r="646" spans="2:14" ht="9.75" customHeight="1" x14ac:dyDescent="0.3">
      <c r="B646" s="39"/>
      <c r="C646" s="293" t="str">
        <f>"1:"</f>
        <v>1:</v>
      </c>
      <c r="D646" s="294" t="s">
        <v>1068</v>
      </c>
      <c r="E646" s="305"/>
      <c r="F646" s="305"/>
      <c r="G646" s="305"/>
      <c r="H646" s="305"/>
      <c r="I646" s="305"/>
      <c r="J646" s="261"/>
      <c r="K646" s="42"/>
    </row>
    <row r="647" spans="2:14" ht="9.75" customHeight="1" x14ac:dyDescent="0.3">
      <c r="B647" s="39"/>
      <c r="C647" s="293" t="str">
        <f>"2:"</f>
        <v>2:</v>
      </c>
      <c r="D647" s="294" t="s">
        <v>1069</v>
      </c>
      <c r="E647" s="305"/>
      <c r="F647" s="305"/>
      <c r="G647" s="305"/>
      <c r="H647" s="305"/>
      <c r="I647" s="305"/>
      <c r="J647" s="261"/>
      <c r="K647" s="42"/>
    </row>
    <row r="648" spans="2:14" ht="9.75" customHeight="1" x14ac:dyDescent="0.3">
      <c r="B648" s="39"/>
      <c r="C648" s="293" t="str">
        <f>"3:"</f>
        <v>3:</v>
      </c>
      <c r="D648" s="294" t="s">
        <v>1070</v>
      </c>
      <c r="E648" s="305"/>
      <c r="F648" s="305"/>
      <c r="G648" s="305"/>
      <c r="H648" s="305"/>
      <c r="I648" s="305"/>
      <c r="J648" s="261"/>
      <c r="K648" s="42"/>
    </row>
    <row r="649" spans="2:14" ht="9.75" customHeight="1" x14ac:dyDescent="0.3">
      <c r="B649" s="39"/>
      <c r="C649" s="293" t="str">
        <f>"4:"</f>
        <v>4:</v>
      </c>
      <c r="D649" s="294" t="s">
        <v>1071</v>
      </c>
      <c r="E649" s="41"/>
      <c r="F649" s="41"/>
      <c r="G649" s="41"/>
      <c r="H649" s="41"/>
      <c r="I649" s="41"/>
      <c r="J649" s="41"/>
      <c r="K649" s="42"/>
      <c r="N649" s="12" t="s">
        <v>769</v>
      </c>
    </row>
    <row r="650" spans="2:14" x14ac:dyDescent="0.3">
      <c r="B650" s="39"/>
      <c r="C650" s="176" t="s">
        <v>770</v>
      </c>
      <c r="D650" s="41"/>
      <c r="E650" s="41"/>
      <c r="F650" s="41"/>
      <c r="G650" s="41"/>
      <c r="H650" s="41"/>
      <c r="I650" s="41"/>
      <c r="J650" s="276" t="s">
        <v>769</v>
      </c>
      <c r="K650" s="42"/>
      <c r="N650" s="12" t="s">
        <v>1041</v>
      </c>
    </row>
    <row r="651" spans="2:14" x14ac:dyDescent="0.3">
      <c r="B651" s="39"/>
      <c r="C651" s="176" t="s">
        <v>768</v>
      </c>
      <c r="D651" s="41"/>
      <c r="E651" s="41"/>
      <c r="F651" s="41"/>
      <c r="G651" s="41"/>
      <c r="H651" s="41"/>
      <c r="I651" s="41"/>
      <c r="J651" s="258" t="str">
        <f>IF(J650=N649,"N/A",IF(J650=N650,0,IF(J650=N651,1,IF(J650=N652,2,IF(J650=N653,3,IF(J650=N654,4,"N/A"))))))</f>
        <v>N/A</v>
      </c>
      <c r="K651" s="42"/>
      <c r="N651" s="12" t="s">
        <v>1042</v>
      </c>
    </row>
    <row r="652" spans="2:14" ht="15" customHeight="1" x14ac:dyDescent="0.3">
      <c r="B652" s="39"/>
      <c r="C652" s="41" t="s">
        <v>276</v>
      </c>
      <c r="D652" s="41"/>
      <c r="E652" s="41"/>
      <c r="F652" s="41"/>
      <c r="G652" s="41"/>
      <c r="H652" s="41"/>
      <c r="I652" s="41"/>
      <c r="J652" s="277" t="s">
        <v>1017</v>
      </c>
      <c r="K652" s="42"/>
      <c r="N652" s="12" t="s">
        <v>1043</v>
      </c>
    </row>
    <row r="653" spans="2:14" x14ac:dyDescent="0.3">
      <c r="B653" s="39"/>
      <c r="C653" s="41" t="s">
        <v>280</v>
      </c>
      <c r="D653" s="41"/>
      <c r="E653" s="41"/>
      <c r="F653" s="41"/>
      <c r="G653" s="41"/>
      <c r="H653" s="41"/>
      <c r="I653" s="41"/>
      <c r="J653" s="256">
        <f>IF(J652=$B$973,$A$973,IF(J652=$B$974,$A$974,IF(J652=$B$975,$A$975,IF(J652=$B$976,$A$976,IF(J652=$B$977,$A$977,"Not Calculated")))))</f>
        <v>2</v>
      </c>
      <c r="K653" s="42"/>
      <c r="N653" s="12" t="s">
        <v>1044</v>
      </c>
    </row>
    <row r="654" spans="2:14" x14ac:dyDescent="0.3">
      <c r="B654" s="39"/>
      <c r="C654" s="41" t="s">
        <v>1038</v>
      </c>
      <c r="D654" s="41"/>
      <c r="E654" s="41"/>
      <c r="F654" s="41"/>
      <c r="G654" s="41"/>
      <c r="H654" s="41"/>
      <c r="I654" s="41"/>
      <c r="J654" s="41"/>
      <c r="K654" s="42"/>
      <c r="N654" s="12" t="s">
        <v>1045</v>
      </c>
    </row>
    <row r="655" spans="2:14" ht="45" customHeight="1" x14ac:dyDescent="0.3">
      <c r="B655" s="39"/>
      <c r="C655" s="343" t="s">
        <v>694</v>
      </c>
      <c r="D655" s="344"/>
      <c r="E655" s="344"/>
      <c r="F655" s="344"/>
      <c r="G655" s="344"/>
      <c r="H655" s="344"/>
      <c r="I655" s="344"/>
      <c r="J655" s="345"/>
      <c r="K655" s="42"/>
    </row>
    <row r="656" spans="2:14" x14ac:dyDescent="0.3">
      <c r="B656" s="39"/>
      <c r="C656" s="41"/>
      <c r="D656" s="41"/>
      <c r="E656" s="41"/>
      <c r="F656" s="41"/>
      <c r="G656" s="41"/>
      <c r="H656" s="41"/>
      <c r="I656" s="41"/>
      <c r="J656" s="41"/>
      <c r="K656" s="42"/>
    </row>
    <row r="657" spans="2:14" x14ac:dyDescent="0.3">
      <c r="B657" s="39"/>
      <c r="C657" s="181" t="s">
        <v>349</v>
      </c>
      <c r="D657" s="41"/>
      <c r="E657" s="41"/>
      <c r="F657" s="41"/>
      <c r="G657" s="41"/>
      <c r="H657" s="41"/>
      <c r="I657" s="41"/>
      <c r="J657" s="256" t="str">
        <f>IF(J651="N/A",IF(OR(J644="Not Calculated",J653="Not Calculated")=TRUE,"Not Calculated",AVERAGE(J644,J653)),AVERAGE(J651,J653))</f>
        <v>Not Calculated</v>
      </c>
      <c r="K657" s="42"/>
    </row>
    <row r="658" spans="2:14" x14ac:dyDescent="0.3">
      <c r="B658" s="39"/>
      <c r="C658" s="41"/>
      <c r="D658" s="41"/>
      <c r="E658" s="41"/>
      <c r="F658" s="41"/>
      <c r="G658" s="41"/>
      <c r="H658" s="41"/>
      <c r="I658" s="41"/>
      <c r="J658" s="41"/>
      <c r="K658" s="42"/>
    </row>
    <row r="659" spans="2:14" x14ac:dyDescent="0.3">
      <c r="B659" s="39"/>
      <c r="C659" s="41"/>
      <c r="D659" s="41"/>
      <c r="E659" s="41"/>
      <c r="F659" s="41"/>
      <c r="G659" s="41"/>
      <c r="H659" s="41"/>
      <c r="I659" s="41"/>
      <c r="J659" s="41"/>
      <c r="K659" s="42"/>
    </row>
    <row r="660" spans="2:14" ht="15.6" x14ac:dyDescent="0.3">
      <c r="B660" s="39"/>
      <c r="C660" s="46" t="s">
        <v>92</v>
      </c>
      <c r="D660" s="41"/>
      <c r="E660" s="41"/>
      <c r="F660" s="41"/>
      <c r="G660" s="41"/>
      <c r="H660" s="41"/>
      <c r="I660" s="41"/>
      <c r="J660" s="41"/>
      <c r="K660" s="42"/>
    </row>
    <row r="661" spans="2:14" x14ac:dyDescent="0.3">
      <c r="B661" s="39"/>
      <c r="C661" s="41" t="s">
        <v>500</v>
      </c>
      <c r="D661" s="41"/>
      <c r="E661" s="41"/>
      <c r="F661" s="41"/>
      <c r="G661" s="41"/>
      <c r="H661" s="41"/>
      <c r="I661" s="41"/>
      <c r="J661" s="274">
        <f>'Baseline Health'!G150</f>
        <v>0</v>
      </c>
      <c r="K661" s="42"/>
    </row>
    <row r="662" spans="2:14" x14ac:dyDescent="0.3">
      <c r="B662" s="39"/>
      <c r="C662" s="41" t="s">
        <v>360</v>
      </c>
      <c r="D662" s="41"/>
      <c r="E662" s="41"/>
      <c r="F662" s="41"/>
      <c r="G662" s="41"/>
      <c r="H662" s="41"/>
      <c r="I662" s="41"/>
      <c r="J662" s="284">
        <v>0</v>
      </c>
      <c r="K662" s="42"/>
    </row>
    <row r="663" spans="2:14" x14ac:dyDescent="0.3">
      <c r="B663" s="39"/>
      <c r="C663" s="41" t="s">
        <v>501</v>
      </c>
      <c r="D663" s="41"/>
      <c r="E663" s="41"/>
      <c r="F663" s="41"/>
      <c r="G663" s="41"/>
      <c r="H663" s="41"/>
      <c r="I663" s="41"/>
      <c r="J663" s="274">
        <f>J26</f>
        <v>0</v>
      </c>
      <c r="K663" s="42"/>
    </row>
    <row r="664" spans="2:14" ht="15" customHeight="1" x14ac:dyDescent="0.3">
      <c r="B664" s="39"/>
      <c r="C664" s="305"/>
      <c r="D664" s="324" t="s">
        <v>361</v>
      </c>
      <c r="E664" s="324"/>
      <c r="F664" s="324"/>
      <c r="G664" s="324"/>
      <c r="H664" s="324"/>
      <c r="I664" s="324"/>
      <c r="J664" s="256"/>
      <c r="K664" s="42"/>
    </row>
    <row r="665" spans="2:14" x14ac:dyDescent="0.3">
      <c r="B665" s="39"/>
      <c r="C665" s="305"/>
      <c r="D665" s="324"/>
      <c r="E665" s="324"/>
      <c r="F665" s="324"/>
      <c r="G665" s="324"/>
      <c r="H665" s="324"/>
      <c r="I665" s="324"/>
      <c r="J665" s="256"/>
      <c r="K665" s="42"/>
    </row>
    <row r="666" spans="2:14" x14ac:dyDescent="0.3">
      <c r="B666" s="39"/>
      <c r="C666" s="41" t="s">
        <v>279</v>
      </c>
      <c r="D666" s="41"/>
      <c r="E666" s="41"/>
      <c r="F666" s="41"/>
      <c r="G666" s="41"/>
      <c r="H666" s="41"/>
      <c r="I666" s="41"/>
      <c r="J666" s="256" t="str">
        <f>IF(OR(J661=0,J661="Not Calculated")=TRUE,"Not Calculated",IF(((J661+J663)/(J661-J662))&lt;=1,0,IF(((J661+J663)/(J661-J662))&lt;=1.1,1,IF(((J661+J663)/(J661-J662))&lt;=1.5, 2,IF(((J661+J663)/(J661-J662))&lt;=2,3,4)))))</f>
        <v>Not Calculated</v>
      </c>
      <c r="K666" s="42"/>
    </row>
    <row r="667" spans="2:14" ht="9.75" customHeight="1" x14ac:dyDescent="0.3">
      <c r="B667" s="39"/>
      <c r="C667" s="292" t="str">
        <f>"0:"</f>
        <v>0:</v>
      </c>
      <c r="D667" s="291" t="s">
        <v>1067</v>
      </c>
      <c r="E667" s="305"/>
      <c r="F667" s="305"/>
      <c r="G667" s="305"/>
      <c r="H667" s="305"/>
      <c r="I667" s="305"/>
      <c r="J667" s="256"/>
      <c r="K667" s="42"/>
    </row>
    <row r="668" spans="2:14" ht="9.75" customHeight="1" x14ac:dyDescent="0.3">
      <c r="B668" s="39"/>
      <c r="C668" s="293" t="str">
        <f>"1:"</f>
        <v>1:</v>
      </c>
      <c r="D668" s="291" t="s">
        <v>1072</v>
      </c>
      <c r="E668" s="305"/>
      <c r="F668" s="305"/>
      <c r="G668" s="305"/>
      <c r="H668" s="305"/>
      <c r="I668" s="305"/>
      <c r="J668" s="256"/>
      <c r="K668" s="42"/>
    </row>
    <row r="669" spans="2:14" ht="9.75" customHeight="1" x14ac:dyDescent="0.3">
      <c r="B669" s="39"/>
      <c r="C669" s="293" t="str">
        <f>"2:"</f>
        <v>2:</v>
      </c>
      <c r="D669" s="291" t="s">
        <v>1073</v>
      </c>
      <c r="E669" s="305"/>
      <c r="F669" s="305"/>
      <c r="G669" s="305"/>
      <c r="H669" s="305"/>
      <c r="I669" s="305"/>
      <c r="J669" s="256"/>
      <c r="K669" s="42"/>
    </row>
    <row r="670" spans="2:14" ht="9.75" customHeight="1" x14ac:dyDescent="0.3">
      <c r="B670" s="39"/>
      <c r="C670" s="293" t="str">
        <f>"3:"</f>
        <v>3:</v>
      </c>
      <c r="D670" s="291" t="s">
        <v>1074</v>
      </c>
      <c r="E670" s="305"/>
      <c r="F670" s="305"/>
      <c r="G670" s="305"/>
      <c r="H670" s="305"/>
      <c r="I670" s="305"/>
      <c r="J670" s="256"/>
      <c r="K670" s="42"/>
    </row>
    <row r="671" spans="2:14" ht="9.75" customHeight="1" x14ac:dyDescent="0.3">
      <c r="B671" s="39"/>
      <c r="C671" s="293" t="str">
        <f>"4:"</f>
        <v>4:</v>
      </c>
      <c r="D671" s="291" t="s">
        <v>1075</v>
      </c>
      <c r="E671" s="41"/>
      <c r="F671" s="41"/>
      <c r="G671" s="41"/>
      <c r="H671" s="41"/>
      <c r="I671" s="41"/>
      <c r="J671" s="41"/>
      <c r="K671" s="42"/>
      <c r="N671" s="12" t="s">
        <v>769</v>
      </c>
    </row>
    <row r="672" spans="2:14" ht="15" customHeight="1" x14ac:dyDescent="0.3">
      <c r="B672" s="39"/>
      <c r="C672" s="176" t="s">
        <v>770</v>
      </c>
      <c r="D672" s="41"/>
      <c r="E672" s="41"/>
      <c r="F672" s="41"/>
      <c r="G672" s="41"/>
      <c r="H672" s="41"/>
      <c r="I672" s="41"/>
      <c r="J672" s="276" t="s">
        <v>769</v>
      </c>
      <c r="K672" s="42"/>
      <c r="N672" s="12" t="s">
        <v>1041</v>
      </c>
    </row>
    <row r="673" spans="2:14" ht="15" customHeight="1" x14ac:dyDescent="0.3">
      <c r="B673" s="39"/>
      <c r="C673" s="176" t="s">
        <v>768</v>
      </c>
      <c r="D673" s="41"/>
      <c r="E673" s="41"/>
      <c r="F673" s="41"/>
      <c r="G673" s="41"/>
      <c r="H673" s="41"/>
      <c r="I673" s="41"/>
      <c r="J673" s="257" t="str">
        <f>IF(J672=N671,"N/A",IF(J672=N672,0,IF(J672=N673,1,IF(J672=N674,2,IF(J672=N675,3,IF(J672=N676,4,"N/A"))))))</f>
        <v>N/A</v>
      </c>
      <c r="K673" s="42"/>
      <c r="N673" s="12" t="s">
        <v>1055</v>
      </c>
    </row>
    <row r="674" spans="2:14" ht="15" customHeight="1" x14ac:dyDescent="0.3">
      <c r="B674" s="39"/>
      <c r="C674" s="41" t="s">
        <v>276</v>
      </c>
      <c r="D674" s="41"/>
      <c r="E674" s="41"/>
      <c r="F674" s="41"/>
      <c r="G674" s="41"/>
      <c r="H674" s="41"/>
      <c r="I674" s="41"/>
      <c r="J674" s="277" t="s">
        <v>1015</v>
      </c>
      <c r="K674" s="42"/>
      <c r="N674" s="12" t="s">
        <v>1047</v>
      </c>
    </row>
    <row r="675" spans="2:14" x14ac:dyDescent="0.3">
      <c r="B675" s="39"/>
      <c r="C675" s="41" t="s">
        <v>280</v>
      </c>
      <c r="D675" s="41"/>
      <c r="E675" s="41"/>
      <c r="F675" s="41"/>
      <c r="G675" s="41"/>
      <c r="H675" s="41"/>
      <c r="I675" s="41"/>
      <c r="J675" s="256">
        <f>IF(J674=$B$973,$A$973,IF(J674=$B$974,$A$974,IF(J674=$B$975,$A$975,IF(J674=$B$976,$A$976,IF(J674=$B$977,$A$977,"Not Calculated")))))</f>
        <v>0</v>
      </c>
      <c r="K675" s="42"/>
      <c r="N675" s="12" t="s">
        <v>1048</v>
      </c>
    </row>
    <row r="676" spans="2:14" ht="15" customHeight="1" x14ac:dyDescent="0.3">
      <c r="B676" s="39"/>
      <c r="C676" s="41" t="s">
        <v>1038</v>
      </c>
      <c r="D676" s="41"/>
      <c r="E676" s="41"/>
      <c r="F676" s="41"/>
      <c r="G676" s="41"/>
      <c r="H676" s="41"/>
      <c r="I676" s="41"/>
      <c r="J676" s="41"/>
      <c r="K676" s="42"/>
      <c r="N676" s="12" t="s">
        <v>1056</v>
      </c>
    </row>
    <row r="677" spans="2:14" ht="15" customHeight="1" x14ac:dyDescent="0.3">
      <c r="B677" s="39"/>
      <c r="C677" s="343"/>
      <c r="D677" s="344"/>
      <c r="E677" s="344"/>
      <c r="F677" s="344"/>
      <c r="G677" s="344"/>
      <c r="H677" s="344"/>
      <c r="I677" s="344"/>
      <c r="J677" s="345"/>
      <c r="K677" s="42"/>
    </row>
    <row r="678" spans="2:14" x14ac:dyDescent="0.3">
      <c r="B678" s="39"/>
      <c r="C678" s="41"/>
      <c r="D678" s="41"/>
      <c r="E678" s="41"/>
      <c r="F678" s="41"/>
      <c r="G678" s="41"/>
      <c r="H678" s="41"/>
      <c r="I678" s="41"/>
      <c r="J678" s="41"/>
      <c r="K678" s="42"/>
    </row>
    <row r="679" spans="2:14" x14ac:dyDescent="0.3">
      <c r="B679" s="39"/>
      <c r="C679" s="181" t="s">
        <v>350</v>
      </c>
      <c r="D679" s="41"/>
      <c r="E679" s="41"/>
      <c r="F679" s="41"/>
      <c r="G679" s="41"/>
      <c r="H679" s="41"/>
      <c r="I679" s="41"/>
      <c r="J679" s="256" t="str">
        <f>IF(J673="N/A",IF(OR(J666="Not Calculated",J675="Not Calculated")=TRUE,"Not Calculated",AVERAGE(J666,J675)),AVERAGE(J673,J675))</f>
        <v>Not Calculated</v>
      </c>
      <c r="K679" s="42"/>
    </row>
    <row r="680" spans="2:14" x14ac:dyDescent="0.3">
      <c r="B680" s="39"/>
      <c r="C680" s="41"/>
      <c r="D680" s="41"/>
      <c r="E680" s="41"/>
      <c r="F680" s="41"/>
      <c r="G680" s="41"/>
      <c r="H680" s="41"/>
      <c r="I680" s="41"/>
      <c r="J680" s="41"/>
      <c r="K680" s="42"/>
    </row>
    <row r="681" spans="2:14" ht="17.399999999999999" x14ac:dyDescent="0.3">
      <c r="B681" s="39"/>
      <c r="C681" s="182" t="s">
        <v>351</v>
      </c>
      <c r="D681" s="41"/>
      <c r="E681" s="41"/>
      <c r="F681" s="41"/>
      <c r="G681" s="41"/>
      <c r="H681" s="41"/>
      <c r="I681" s="41"/>
      <c r="J681" s="255" t="str">
        <f>IF(OR(J562="Not Calculated",J585="Not Calculated",J601="Not Calculated",J615="Not Calculated",J635="Not Calculated",J657="Not Calculated",J679="Not Calculated")=TRUE,"Not Calculated",AVERAGE(J562,J585,J601,J615,J635,J657,J679))</f>
        <v>Not Calculated</v>
      </c>
      <c r="K681" s="42"/>
    </row>
    <row r="682" spans="2:14" ht="15" thickBot="1" x14ac:dyDescent="0.35">
      <c r="B682" s="47"/>
      <c r="C682" s="48"/>
      <c r="D682" s="48"/>
      <c r="E682" s="48"/>
      <c r="F682" s="48"/>
      <c r="G682" s="48"/>
      <c r="H682" s="48"/>
      <c r="I682" s="48"/>
      <c r="J682" s="48"/>
      <c r="K682" s="50"/>
    </row>
    <row r="683" spans="2:14" ht="15" thickBot="1" x14ac:dyDescent="0.35"/>
    <row r="684" spans="2:14" x14ac:dyDescent="0.3">
      <c r="B684" s="34"/>
      <c r="C684" s="35"/>
      <c r="D684" s="35"/>
      <c r="E684" s="35"/>
      <c r="F684" s="35"/>
      <c r="G684" s="35"/>
      <c r="H684" s="35"/>
      <c r="I684" s="35"/>
      <c r="J684" s="35"/>
      <c r="K684" s="38"/>
    </row>
    <row r="685" spans="2:14" ht="20.399999999999999" x14ac:dyDescent="0.35">
      <c r="B685" s="39"/>
      <c r="C685" s="41"/>
      <c r="D685" s="41"/>
      <c r="E685" s="41"/>
      <c r="F685" s="41"/>
      <c r="G685" s="175" t="s">
        <v>365</v>
      </c>
      <c r="H685" s="41"/>
      <c r="I685" s="41"/>
      <c r="J685" s="41"/>
      <c r="K685" s="42"/>
    </row>
    <row r="686" spans="2:14" x14ac:dyDescent="0.3">
      <c r="B686" s="39"/>
      <c r="C686" s="41"/>
      <c r="D686" s="41"/>
      <c r="E686" s="41"/>
      <c r="F686" s="41"/>
      <c r="G686" s="41"/>
      <c r="H686" s="41"/>
      <c r="I686" s="41"/>
      <c r="J686" s="41"/>
      <c r="K686" s="42"/>
    </row>
    <row r="687" spans="2:14" ht="15.6" x14ac:dyDescent="0.3">
      <c r="B687" s="39"/>
      <c r="C687" s="184" t="s">
        <v>1135</v>
      </c>
      <c r="D687" s="41"/>
      <c r="E687" s="41"/>
      <c r="F687" s="41"/>
      <c r="G687" s="41"/>
      <c r="H687" s="41"/>
      <c r="I687" s="41"/>
      <c r="J687" s="268" t="str">
        <f>IF(OR($J$133="Not Calculated",$J$261="Not Calculated",$J$421="Not Calculated",$J$539="Not Calculated",$J$681="Not Calculated")=TRUE,"Not Calculated",AVERAGE($J$133,$J$261,$J$421,$J$539,$J$681))</f>
        <v>Not Calculated</v>
      </c>
      <c r="K687" s="42"/>
    </row>
    <row r="688" spans="2:14" x14ac:dyDescent="0.3">
      <c r="B688" s="39"/>
      <c r="C688" s="41"/>
      <c r="D688" s="41" t="s">
        <v>362</v>
      </c>
      <c r="E688" s="41"/>
      <c r="F688" s="41"/>
      <c r="G688" s="41"/>
      <c r="H688" s="41"/>
      <c r="I688" s="41"/>
      <c r="J688" s="41"/>
      <c r="K688" s="42"/>
    </row>
    <row r="689" spans="2:11" ht="15" customHeight="1" x14ac:dyDescent="0.3">
      <c r="B689" s="39"/>
      <c r="C689" s="41"/>
      <c r="D689" s="41"/>
      <c r="E689" s="41"/>
      <c r="F689" s="41"/>
      <c r="G689" s="41"/>
      <c r="H689" s="41"/>
      <c r="I689" s="41"/>
      <c r="J689" s="41"/>
      <c r="K689" s="42"/>
    </row>
    <row r="690" spans="2:11" ht="15.6" x14ac:dyDescent="0.3">
      <c r="B690" s="39"/>
      <c r="C690" s="184" t="s">
        <v>1136</v>
      </c>
      <c r="D690" s="41"/>
      <c r="E690" s="41"/>
      <c r="F690" s="41"/>
      <c r="G690" s="41"/>
      <c r="H690" s="41"/>
      <c r="I690" s="41"/>
      <c r="J690" s="268" t="str">
        <f>IF(OR($J$133="Not Calculated",$J$261="Not Calculated",$J$539="Not Calculated",$J$681="Not Calculated")=TRUE,"Not Calculated",AVERAGE($J$133,$J$261,$J$539,$J$681))</f>
        <v>Not Calculated</v>
      </c>
      <c r="K690" s="42"/>
    </row>
    <row r="691" spans="2:11" ht="15" customHeight="1" x14ac:dyDescent="0.3">
      <c r="B691" s="39"/>
      <c r="C691" s="41"/>
      <c r="D691" s="41" t="s">
        <v>363</v>
      </c>
      <c r="E691" s="41"/>
      <c r="F691" s="41"/>
      <c r="G691" s="41"/>
      <c r="H691" s="41"/>
      <c r="I691" s="41"/>
      <c r="J691" s="41"/>
      <c r="K691" s="42"/>
    </row>
    <row r="692" spans="2:11" x14ac:dyDescent="0.3">
      <c r="B692" s="39"/>
      <c r="C692" s="41"/>
      <c r="D692" s="41"/>
      <c r="E692" s="41"/>
      <c r="F692" s="41"/>
      <c r="G692" s="41"/>
      <c r="H692" s="41"/>
      <c r="I692" s="41"/>
      <c r="J692" s="41"/>
      <c r="K692" s="42"/>
    </row>
    <row r="693" spans="2:11" ht="15.6" x14ac:dyDescent="0.3">
      <c r="B693" s="39"/>
      <c r="C693" s="184" t="s">
        <v>1137</v>
      </c>
      <c r="D693" s="41"/>
      <c r="E693" s="41"/>
      <c r="F693" s="41"/>
      <c r="G693" s="41"/>
      <c r="H693" s="41"/>
      <c r="I693" s="41"/>
      <c r="J693" s="268" t="str">
        <f>IF(OR($J$133="Not Calculated",$J$261="Not Calculated",$J$421="Not Calculated")=TRUE,"Not Calculated",AVERAGE($J$133,$J$261,$J$421))</f>
        <v>Not Calculated</v>
      </c>
      <c r="K693" s="42"/>
    </row>
    <row r="694" spans="2:11" x14ac:dyDescent="0.3">
      <c r="B694" s="39"/>
      <c r="C694" s="41"/>
      <c r="D694" s="41" t="s">
        <v>364</v>
      </c>
      <c r="E694" s="41"/>
      <c r="F694" s="41"/>
      <c r="G694" s="41"/>
      <c r="H694" s="41"/>
      <c r="I694" s="41"/>
      <c r="J694" s="41"/>
      <c r="K694" s="42"/>
    </row>
    <row r="695" spans="2:11" ht="15" thickBot="1" x14ac:dyDescent="0.35">
      <c r="B695" s="47"/>
      <c r="C695" s="48"/>
      <c r="D695" s="48"/>
      <c r="E695" s="48"/>
      <c r="F695" s="48"/>
      <c r="G695" s="48"/>
      <c r="H695" s="48"/>
      <c r="I695" s="48"/>
      <c r="J695" s="48"/>
      <c r="K695" s="50"/>
    </row>
    <row r="696" spans="2:11" ht="15" thickBot="1" x14ac:dyDescent="0.35"/>
    <row r="697" spans="2:11" x14ac:dyDescent="0.3">
      <c r="B697" s="185"/>
      <c r="C697" s="186"/>
      <c r="D697" s="186"/>
      <c r="E697" s="186"/>
      <c r="F697" s="186"/>
      <c r="G697" s="186"/>
      <c r="H697" s="186"/>
      <c r="I697" s="186"/>
      <c r="J697" s="186"/>
      <c r="K697" s="187"/>
    </row>
    <row r="698" spans="2:11" ht="20.399999999999999" x14ac:dyDescent="0.35">
      <c r="B698" s="188"/>
      <c r="C698" s="189"/>
      <c r="D698" s="189"/>
      <c r="E698" s="189"/>
      <c r="F698" s="189"/>
      <c r="G698" s="190" t="s">
        <v>250</v>
      </c>
      <c r="H698" s="189"/>
      <c r="I698" s="189"/>
      <c r="J698" s="189"/>
      <c r="K698" s="191"/>
    </row>
    <row r="699" spans="2:11" x14ac:dyDescent="0.3">
      <c r="B699" s="188"/>
      <c r="C699" s="189"/>
      <c r="D699" s="189"/>
      <c r="E699" s="189"/>
      <c r="F699" s="189"/>
      <c r="G699" s="189"/>
      <c r="H699" s="189"/>
      <c r="I699" s="189"/>
      <c r="J699" s="189"/>
      <c r="K699" s="191"/>
    </row>
    <row r="700" spans="2:11" ht="15.6" x14ac:dyDescent="0.3">
      <c r="B700" s="188"/>
      <c r="C700" s="192" t="s">
        <v>1138</v>
      </c>
      <c r="D700" s="189"/>
      <c r="E700" s="189"/>
      <c r="F700" s="189"/>
      <c r="G700" s="189"/>
      <c r="H700" s="189"/>
      <c r="I700" s="189"/>
      <c r="J700" s="267" t="str">
        <f>IF(OR(J687="Not Calculated",$E$17="Not Calculated")=TRUE,"Not Calculated",(J687*$E$17*100/16))</f>
        <v>Not Calculated</v>
      </c>
      <c r="K700" s="191"/>
    </row>
    <row r="701" spans="2:11" x14ac:dyDescent="0.3">
      <c r="B701" s="188"/>
      <c r="C701" s="189"/>
      <c r="D701" s="189" t="s">
        <v>397</v>
      </c>
      <c r="E701" s="189"/>
      <c r="F701" s="189"/>
      <c r="G701" s="189"/>
      <c r="H701" s="189"/>
      <c r="I701" s="189"/>
      <c r="J701" s="189"/>
      <c r="K701" s="191"/>
    </row>
    <row r="702" spans="2:11" x14ac:dyDescent="0.3">
      <c r="B702" s="188"/>
      <c r="C702" s="189"/>
      <c r="D702" s="189"/>
      <c r="E702" s="189"/>
      <c r="F702" s="189"/>
      <c r="G702" s="189"/>
      <c r="H702" s="189"/>
      <c r="I702" s="189"/>
      <c r="J702" s="189"/>
      <c r="K702" s="191"/>
    </row>
    <row r="703" spans="2:11" ht="15.6" x14ac:dyDescent="0.3">
      <c r="B703" s="188"/>
      <c r="C703" s="192" t="s">
        <v>1139</v>
      </c>
      <c r="D703" s="189"/>
      <c r="E703" s="189"/>
      <c r="F703" s="189"/>
      <c r="G703" s="189"/>
      <c r="H703" s="189"/>
      <c r="I703" s="189"/>
      <c r="J703" s="267" t="str">
        <f>IF(OR(J690="Not Calculated",$E$17="Not Calculated")=TRUE,"Not Calculated",(J690*$E$17*100/16))</f>
        <v>Not Calculated</v>
      </c>
      <c r="K703" s="191"/>
    </row>
    <row r="704" spans="2:11" x14ac:dyDescent="0.3">
      <c r="B704" s="188"/>
      <c r="C704" s="189"/>
      <c r="D704" s="189" t="s">
        <v>398</v>
      </c>
      <c r="E704" s="189"/>
      <c r="F704" s="189"/>
      <c r="G704" s="189"/>
      <c r="H704" s="189"/>
      <c r="I704" s="189"/>
      <c r="J704" s="189"/>
      <c r="K704" s="191"/>
    </row>
    <row r="705" spans="2:11" x14ac:dyDescent="0.3">
      <c r="B705" s="188"/>
      <c r="C705" s="189"/>
      <c r="D705" s="189"/>
      <c r="E705" s="189"/>
      <c r="F705" s="189"/>
      <c r="G705" s="189"/>
      <c r="H705" s="189"/>
      <c r="I705" s="189"/>
      <c r="J705" s="189"/>
      <c r="K705" s="191"/>
    </row>
    <row r="706" spans="2:11" ht="15.6" x14ac:dyDescent="0.3">
      <c r="B706" s="188"/>
      <c r="C706" s="192" t="s">
        <v>1140</v>
      </c>
      <c r="D706" s="189"/>
      <c r="E706" s="189"/>
      <c r="F706" s="189"/>
      <c r="G706" s="189"/>
      <c r="H706" s="189"/>
      <c r="I706" s="189"/>
      <c r="J706" s="267" t="str">
        <f>IF(OR(J693="Not Calculated",$E$17="Not Calculated")=TRUE,"Not Calculated",(J693*$E$17*100/16))</f>
        <v>Not Calculated</v>
      </c>
      <c r="K706" s="191"/>
    </row>
    <row r="707" spans="2:11" x14ac:dyDescent="0.3">
      <c r="B707" s="188"/>
      <c r="C707" s="189"/>
      <c r="D707" s="189" t="s">
        <v>399</v>
      </c>
      <c r="E707" s="189"/>
      <c r="F707" s="189"/>
      <c r="G707" s="189"/>
      <c r="H707" s="189"/>
      <c r="I707" s="189"/>
      <c r="J707" s="189"/>
      <c r="K707" s="191"/>
    </row>
    <row r="708" spans="2:11" ht="15" thickBot="1" x14ac:dyDescent="0.35">
      <c r="B708" s="193"/>
      <c r="C708" s="194"/>
      <c r="D708" s="194"/>
      <c r="E708" s="194"/>
      <c r="F708" s="194"/>
      <c r="G708" s="194"/>
      <c r="H708" s="194"/>
      <c r="I708" s="194"/>
      <c r="J708" s="194"/>
      <c r="K708" s="195"/>
    </row>
    <row r="709" spans="2:11" ht="15" thickBot="1" x14ac:dyDescent="0.35"/>
    <row r="710" spans="2:11" x14ac:dyDescent="0.3">
      <c r="B710" s="54"/>
      <c r="C710" s="55"/>
      <c r="D710" s="55"/>
      <c r="E710" s="55"/>
      <c r="F710" s="55"/>
      <c r="G710" s="55"/>
      <c r="H710" s="55"/>
      <c r="I710" s="55"/>
      <c r="J710" s="55"/>
      <c r="K710" s="57"/>
    </row>
    <row r="711" spans="2:11" ht="20.399999999999999" x14ac:dyDescent="0.35">
      <c r="B711" s="58"/>
      <c r="C711" s="60"/>
      <c r="D711" s="60"/>
      <c r="E711" s="60"/>
      <c r="F711" s="60"/>
      <c r="G711" s="196" t="s">
        <v>251</v>
      </c>
      <c r="H711" s="60"/>
      <c r="I711" s="60"/>
      <c r="J711" s="60"/>
      <c r="K711" s="62"/>
    </row>
    <row r="712" spans="2:11" x14ac:dyDescent="0.3">
      <c r="B712" s="58"/>
      <c r="C712" s="60"/>
      <c r="D712" s="60"/>
      <c r="E712" s="60"/>
      <c r="F712" s="60"/>
      <c r="G712" s="60"/>
      <c r="H712" s="60"/>
      <c r="I712" s="60"/>
      <c r="J712" s="60"/>
      <c r="K712" s="62"/>
    </row>
    <row r="713" spans="2:11" ht="15.6" x14ac:dyDescent="0.3">
      <c r="B713" s="58"/>
      <c r="C713" s="197" t="s">
        <v>383</v>
      </c>
      <c r="D713" s="60"/>
      <c r="E713" s="60"/>
      <c r="F713" s="60"/>
      <c r="G713" s="60"/>
      <c r="H713" s="60"/>
      <c r="I713" s="60"/>
      <c r="J713" s="60"/>
      <c r="K713" s="62"/>
    </row>
    <row r="714" spans="2:11" ht="15" customHeight="1" x14ac:dyDescent="0.3">
      <c r="B714" s="58"/>
      <c r="C714" s="355" t="s">
        <v>384</v>
      </c>
      <c r="D714" s="355"/>
      <c r="E714" s="355"/>
      <c r="F714" s="355"/>
      <c r="G714" s="355"/>
      <c r="H714" s="355"/>
      <c r="I714" s="355"/>
      <c r="J714" s="355"/>
      <c r="K714" s="62"/>
    </row>
    <row r="715" spans="2:11" x14ac:dyDescent="0.3">
      <c r="B715" s="58"/>
      <c r="C715" s="355"/>
      <c r="D715" s="355"/>
      <c r="E715" s="355"/>
      <c r="F715" s="355"/>
      <c r="G715" s="355"/>
      <c r="H715" s="355"/>
      <c r="I715" s="355"/>
      <c r="J715" s="355"/>
      <c r="K715" s="62"/>
    </row>
    <row r="716" spans="2:11" x14ac:dyDescent="0.3">
      <c r="B716" s="58"/>
      <c r="C716" s="355"/>
      <c r="D716" s="355"/>
      <c r="E716" s="355"/>
      <c r="F716" s="355"/>
      <c r="G716" s="355"/>
      <c r="H716" s="355"/>
      <c r="I716" s="355"/>
      <c r="J716" s="355"/>
      <c r="K716" s="62"/>
    </row>
    <row r="717" spans="2:11" x14ac:dyDescent="0.3">
      <c r="B717" s="58"/>
      <c r="C717" s="198" t="s">
        <v>30</v>
      </c>
      <c r="D717" s="60"/>
      <c r="E717" s="60"/>
      <c r="F717" s="60"/>
      <c r="G717" s="375" t="s">
        <v>198</v>
      </c>
      <c r="H717" s="375"/>
      <c r="I717" s="60"/>
      <c r="J717" s="271">
        <f>IF(G717=$B$994,$A$994,IF(G717=$B$995,$A$995,"Not Calculated"))</f>
        <v>1</v>
      </c>
      <c r="K717" s="62"/>
    </row>
    <row r="718" spans="2:11" x14ac:dyDescent="0.3">
      <c r="B718" s="58"/>
      <c r="C718" s="198" t="s">
        <v>32</v>
      </c>
      <c r="D718" s="60"/>
      <c r="E718" s="60"/>
      <c r="F718" s="60"/>
      <c r="G718" s="375" t="s">
        <v>198</v>
      </c>
      <c r="H718" s="375"/>
      <c r="I718" s="60"/>
      <c r="J718" s="271">
        <f t="shared" ref="J718:J725" si="0">IF(G718=$B$994,$A$994,IF(G718=$B$995,$A$995,"Not Calculated"))</f>
        <v>1</v>
      </c>
      <c r="K718" s="62"/>
    </row>
    <row r="719" spans="2:11" x14ac:dyDescent="0.3">
      <c r="B719" s="58"/>
      <c r="C719" s="198" t="s">
        <v>33</v>
      </c>
      <c r="D719" s="60"/>
      <c r="E719" s="60"/>
      <c r="F719" s="60"/>
      <c r="G719" s="375" t="s">
        <v>215</v>
      </c>
      <c r="H719" s="375"/>
      <c r="I719" s="60"/>
      <c r="J719" s="271">
        <f t="shared" si="0"/>
        <v>0</v>
      </c>
      <c r="K719" s="62"/>
    </row>
    <row r="720" spans="2:11" x14ac:dyDescent="0.3">
      <c r="B720" s="58"/>
      <c r="C720" s="198" t="s">
        <v>34</v>
      </c>
      <c r="D720" s="60"/>
      <c r="E720" s="60"/>
      <c r="F720" s="60"/>
      <c r="G720" s="375" t="s">
        <v>198</v>
      </c>
      <c r="H720" s="375"/>
      <c r="I720" s="60"/>
      <c r="J720" s="271">
        <f t="shared" si="0"/>
        <v>1</v>
      </c>
      <c r="K720" s="62"/>
    </row>
    <row r="721" spans="2:11" x14ac:dyDescent="0.3">
      <c r="B721" s="58"/>
      <c r="C721" s="198" t="s">
        <v>35</v>
      </c>
      <c r="D721" s="60"/>
      <c r="E721" s="60"/>
      <c r="F721" s="60"/>
      <c r="G721" s="375" t="s">
        <v>198</v>
      </c>
      <c r="H721" s="375"/>
      <c r="I721" s="60"/>
      <c r="J721" s="271">
        <f t="shared" si="0"/>
        <v>1</v>
      </c>
      <c r="K721" s="62"/>
    </row>
    <row r="722" spans="2:11" x14ac:dyDescent="0.3">
      <c r="B722" s="58"/>
      <c r="C722" s="198" t="s">
        <v>36</v>
      </c>
      <c r="D722" s="60"/>
      <c r="E722" s="60"/>
      <c r="F722" s="60"/>
      <c r="G722" s="375" t="s">
        <v>198</v>
      </c>
      <c r="H722" s="375"/>
      <c r="I722" s="60"/>
      <c r="J722" s="271">
        <f t="shared" si="0"/>
        <v>1</v>
      </c>
      <c r="K722" s="62"/>
    </row>
    <row r="723" spans="2:11" x14ac:dyDescent="0.3">
      <c r="B723" s="58"/>
      <c r="C723" s="198" t="s">
        <v>37</v>
      </c>
      <c r="D723" s="60"/>
      <c r="E723" s="60"/>
      <c r="F723" s="60"/>
      <c r="G723" s="375" t="s">
        <v>215</v>
      </c>
      <c r="H723" s="375"/>
      <c r="I723" s="60"/>
      <c r="J723" s="271">
        <f t="shared" si="0"/>
        <v>0</v>
      </c>
      <c r="K723" s="62"/>
    </row>
    <row r="724" spans="2:11" x14ac:dyDescent="0.3">
      <c r="B724" s="58"/>
      <c r="C724" s="198" t="s">
        <v>38</v>
      </c>
      <c r="D724" s="60"/>
      <c r="E724" s="60"/>
      <c r="F724" s="60"/>
      <c r="G724" s="375" t="s">
        <v>198</v>
      </c>
      <c r="H724" s="375"/>
      <c r="I724" s="60"/>
      <c r="J724" s="271">
        <f t="shared" si="0"/>
        <v>1</v>
      </c>
      <c r="K724" s="62"/>
    </row>
    <row r="725" spans="2:11" x14ac:dyDescent="0.3">
      <c r="B725" s="58"/>
      <c r="C725" s="198" t="s">
        <v>39</v>
      </c>
      <c r="D725" s="60"/>
      <c r="E725" s="60"/>
      <c r="F725" s="60"/>
      <c r="G725" s="375" t="s">
        <v>215</v>
      </c>
      <c r="H725" s="375"/>
      <c r="I725" s="60"/>
      <c r="J725" s="271">
        <f t="shared" si="0"/>
        <v>0</v>
      </c>
      <c r="K725" s="62"/>
    </row>
    <row r="726" spans="2:11" x14ac:dyDescent="0.3">
      <c r="B726" s="58"/>
      <c r="C726" s="60"/>
      <c r="D726" s="60"/>
      <c r="E726" s="60"/>
      <c r="F726" s="60"/>
      <c r="G726" s="60"/>
      <c r="H726" s="60"/>
      <c r="I726" s="60"/>
      <c r="J726" s="60"/>
      <c r="K726" s="62"/>
    </row>
    <row r="727" spans="2:11" x14ac:dyDescent="0.3">
      <c r="B727" s="58"/>
      <c r="C727" s="60"/>
      <c r="D727" s="60"/>
      <c r="E727" s="60"/>
      <c r="F727" s="60"/>
      <c r="G727" s="60"/>
      <c r="H727" s="60"/>
      <c r="I727" s="60"/>
      <c r="J727" s="60"/>
      <c r="K727" s="62"/>
    </row>
    <row r="728" spans="2:11" ht="15.6" x14ac:dyDescent="0.3">
      <c r="B728" s="58"/>
      <c r="C728" s="197" t="s">
        <v>110</v>
      </c>
      <c r="D728" s="60"/>
      <c r="E728" s="60"/>
      <c r="F728" s="60"/>
      <c r="G728" s="60"/>
      <c r="H728" s="60"/>
      <c r="I728" s="60"/>
      <c r="J728" s="60"/>
      <c r="K728" s="62"/>
    </row>
    <row r="729" spans="2:11" ht="15" customHeight="1" x14ac:dyDescent="0.3">
      <c r="B729" s="58"/>
      <c r="C729" s="355" t="s">
        <v>385</v>
      </c>
      <c r="D729" s="355"/>
      <c r="E729" s="355"/>
      <c r="F729" s="355"/>
      <c r="G729" s="355"/>
      <c r="H729" s="355"/>
      <c r="I729" s="355"/>
      <c r="J729" s="355"/>
      <c r="K729" s="62"/>
    </row>
    <row r="730" spans="2:11" x14ac:dyDescent="0.3">
      <c r="B730" s="58"/>
      <c r="C730" s="355"/>
      <c r="D730" s="355"/>
      <c r="E730" s="355"/>
      <c r="F730" s="355"/>
      <c r="G730" s="355"/>
      <c r="H730" s="355"/>
      <c r="I730" s="355"/>
      <c r="J730" s="355"/>
      <c r="K730" s="62"/>
    </row>
    <row r="731" spans="2:11" x14ac:dyDescent="0.3">
      <c r="B731" s="58"/>
      <c r="C731" s="355"/>
      <c r="D731" s="355"/>
      <c r="E731" s="355"/>
      <c r="F731" s="355"/>
      <c r="G731" s="355"/>
      <c r="H731" s="355"/>
      <c r="I731" s="355"/>
      <c r="J731" s="355"/>
      <c r="K731" s="62"/>
    </row>
    <row r="732" spans="2:11" x14ac:dyDescent="0.3">
      <c r="B732" s="58"/>
      <c r="C732" s="198" t="s">
        <v>30</v>
      </c>
      <c r="D732" s="60"/>
      <c r="E732" s="60"/>
      <c r="F732" s="60"/>
      <c r="G732" s="375" t="s">
        <v>215</v>
      </c>
      <c r="H732" s="375"/>
      <c r="I732" s="60"/>
      <c r="J732" s="271">
        <f>IF(G732=$B$994,$A$994,IF(G732=$B$995,$A$995,"Not Calculated"))</f>
        <v>0</v>
      </c>
      <c r="K732" s="62"/>
    </row>
    <row r="733" spans="2:11" x14ac:dyDescent="0.3">
      <c r="B733" s="58"/>
      <c r="C733" s="198" t="s">
        <v>32</v>
      </c>
      <c r="D733" s="60"/>
      <c r="E733" s="60"/>
      <c r="F733" s="60"/>
      <c r="G733" s="375" t="s">
        <v>215</v>
      </c>
      <c r="H733" s="375"/>
      <c r="I733" s="60"/>
      <c r="J733" s="271">
        <f t="shared" ref="J733:J740" si="1">IF(G733=$B$994,$A$994,IF(G733=$B$995,$A$995,"Not Calculated"))</f>
        <v>0</v>
      </c>
      <c r="K733" s="62"/>
    </row>
    <row r="734" spans="2:11" ht="15" customHeight="1" x14ac:dyDescent="0.3">
      <c r="B734" s="58"/>
      <c r="C734" s="198" t="s">
        <v>33</v>
      </c>
      <c r="D734" s="60"/>
      <c r="E734" s="60"/>
      <c r="F734" s="60"/>
      <c r="G734" s="375" t="s">
        <v>215</v>
      </c>
      <c r="H734" s="375"/>
      <c r="I734" s="60"/>
      <c r="J734" s="271">
        <f t="shared" si="1"/>
        <v>0</v>
      </c>
      <c r="K734" s="62"/>
    </row>
    <row r="735" spans="2:11" x14ac:dyDescent="0.3">
      <c r="B735" s="58"/>
      <c r="C735" s="198" t="s">
        <v>34</v>
      </c>
      <c r="D735" s="60"/>
      <c r="E735" s="60"/>
      <c r="F735" s="60"/>
      <c r="G735" s="375" t="s">
        <v>215</v>
      </c>
      <c r="H735" s="375"/>
      <c r="I735" s="60"/>
      <c r="J735" s="271">
        <f t="shared" si="1"/>
        <v>0</v>
      </c>
      <c r="K735" s="62"/>
    </row>
    <row r="736" spans="2:11" x14ac:dyDescent="0.3">
      <c r="B736" s="58"/>
      <c r="C736" s="198" t="s">
        <v>35</v>
      </c>
      <c r="D736" s="60"/>
      <c r="E736" s="60"/>
      <c r="F736" s="60"/>
      <c r="G736" s="375" t="s">
        <v>215</v>
      </c>
      <c r="H736" s="375"/>
      <c r="I736" s="60"/>
      <c r="J736" s="271">
        <f t="shared" si="1"/>
        <v>0</v>
      </c>
      <c r="K736" s="62"/>
    </row>
    <row r="737" spans="2:11" x14ac:dyDescent="0.3">
      <c r="B737" s="58"/>
      <c r="C737" s="198" t="s">
        <v>36</v>
      </c>
      <c r="D737" s="60"/>
      <c r="E737" s="60"/>
      <c r="F737" s="60"/>
      <c r="G737" s="375" t="s">
        <v>215</v>
      </c>
      <c r="H737" s="375"/>
      <c r="I737" s="60"/>
      <c r="J737" s="271">
        <f t="shared" si="1"/>
        <v>0</v>
      </c>
      <c r="K737" s="62"/>
    </row>
    <row r="738" spans="2:11" x14ac:dyDescent="0.3">
      <c r="B738" s="58"/>
      <c r="C738" s="198" t="s">
        <v>37</v>
      </c>
      <c r="D738" s="60"/>
      <c r="E738" s="60"/>
      <c r="F738" s="60"/>
      <c r="G738" s="375" t="s">
        <v>215</v>
      </c>
      <c r="H738" s="375"/>
      <c r="I738" s="60"/>
      <c r="J738" s="271">
        <f t="shared" si="1"/>
        <v>0</v>
      </c>
      <c r="K738" s="62"/>
    </row>
    <row r="739" spans="2:11" x14ac:dyDescent="0.3">
      <c r="B739" s="58"/>
      <c r="C739" s="198" t="s">
        <v>38</v>
      </c>
      <c r="D739" s="60"/>
      <c r="E739" s="60"/>
      <c r="F739" s="60"/>
      <c r="G739" s="375" t="s">
        <v>215</v>
      </c>
      <c r="H739" s="375"/>
      <c r="I739" s="60"/>
      <c r="J739" s="271">
        <f t="shared" si="1"/>
        <v>0</v>
      </c>
      <c r="K739" s="62"/>
    </row>
    <row r="740" spans="2:11" x14ac:dyDescent="0.3">
      <c r="B740" s="58"/>
      <c r="C740" s="198" t="s">
        <v>39</v>
      </c>
      <c r="D740" s="60"/>
      <c r="E740" s="60"/>
      <c r="F740" s="60"/>
      <c r="G740" s="375" t="s">
        <v>215</v>
      </c>
      <c r="H740" s="375"/>
      <c r="I740" s="60"/>
      <c r="J740" s="271">
        <f t="shared" si="1"/>
        <v>0</v>
      </c>
      <c r="K740" s="62"/>
    </row>
    <row r="741" spans="2:11" x14ac:dyDescent="0.3">
      <c r="B741" s="58"/>
      <c r="C741" s="60"/>
      <c r="D741" s="60"/>
      <c r="E741" s="60"/>
      <c r="F741" s="60"/>
      <c r="G741" s="60"/>
      <c r="H741" s="60"/>
      <c r="I741" s="60"/>
      <c r="J741" s="60"/>
      <c r="K741" s="62"/>
    </row>
    <row r="742" spans="2:11" x14ac:dyDescent="0.3">
      <c r="B742" s="58"/>
      <c r="C742" s="60"/>
      <c r="D742" s="60"/>
      <c r="E742" s="60"/>
      <c r="F742" s="60"/>
      <c r="G742" s="60"/>
      <c r="H742" s="60"/>
      <c r="I742" s="60"/>
      <c r="J742" s="60"/>
      <c r="K742" s="62"/>
    </row>
    <row r="743" spans="2:11" ht="15.6" x14ac:dyDescent="0.3">
      <c r="B743" s="58"/>
      <c r="C743" s="197" t="s">
        <v>386</v>
      </c>
      <c r="D743" s="60"/>
      <c r="E743" s="60"/>
      <c r="F743" s="60"/>
      <c r="G743" s="60"/>
      <c r="H743" s="60"/>
      <c r="I743" s="60"/>
      <c r="J743" s="60"/>
      <c r="K743" s="62"/>
    </row>
    <row r="744" spans="2:11" ht="15" customHeight="1" x14ac:dyDescent="0.3">
      <c r="B744" s="58"/>
      <c r="C744" s="355" t="s">
        <v>387</v>
      </c>
      <c r="D744" s="355"/>
      <c r="E744" s="355"/>
      <c r="F744" s="355"/>
      <c r="G744" s="355"/>
      <c r="H744" s="355"/>
      <c r="I744" s="355"/>
      <c r="J744" s="355"/>
      <c r="K744" s="62"/>
    </row>
    <row r="745" spans="2:11" x14ac:dyDescent="0.3">
      <c r="B745" s="58"/>
      <c r="C745" s="355"/>
      <c r="D745" s="355"/>
      <c r="E745" s="355"/>
      <c r="F745" s="355"/>
      <c r="G745" s="355"/>
      <c r="H745" s="355"/>
      <c r="I745" s="355"/>
      <c r="J745" s="355"/>
      <c r="K745" s="62"/>
    </row>
    <row r="746" spans="2:11" x14ac:dyDescent="0.3">
      <c r="B746" s="58"/>
      <c r="C746" s="355"/>
      <c r="D746" s="355"/>
      <c r="E746" s="355"/>
      <c r="F746" s="355"/>
      <c r="G746" s="355"/>
      <c r="H746" s="355"/>
      <c r="I746" s="355"/>
      <c r="J746" s="355"/>
      <c r="K746" s="62"/>
    </row>
    <row r="747" spans="2:11" x14ac:dyDescent="0.3">
      <c r="B747" s="58"/>
      <c r="C747" s="198" t="s">
        <v>30</v>
      </c>
      <c r="D747" s="60"/>
      <c r="E747" s="60"/>
      <c r="F747" s="60"/>
      <c r="G747" s="375" t="s">
        <v>215</v>
      </c>
      <c r="H747" s="375"/>
      <c r="I747" s="60"/>
      <c r="J747" s="271">
        <f>IF(G747=$B$994,$A$994,IF(G747=$B$995,$A$995,"Not Calculated"))</f>
        <v>0</v>
      </c>
      <c r="K747" s="62"/>
    </row>
    <row r="748" spans="2:11" x14ac:dyDescent="0.3">
      <c r="B748" s="58"/>
      <c r="C748" s="198" t="s">
        <v>32</v>
      </c>
      <c r="D748" s="60"/>
      <c r="E748" s="60"/>
      <c r="F748" s="60"/>
      <c r="G748" s="375" t="s">
        <v>215</v>
      </c>
      <c r="H748" s="375"/>
      <c r="I748" s="60"/>
      <c r="J748" s="271">
        <f t="shared" ref="J748:J755" si="2">IF(G748=$B$994,$A$994,IF(G748=$B$995,$A$995,"Not Calculated"))</f>
        <v>0</v>
      </c>
      <c r="K748" s="62"/>
    </row>
    <row r="749" spans="2:11" ht="15" customHeight="1" x14ac:dyDescent="0.3">
      <c r="B749" s="58"/>
      <c r="C749" s="198" t="s">
        <v>33</v>
      </c>
      <c r="D749" s="60"/>
      <c r="E749" s="60"/>
      <c r="F749" s="60"/>
      <c r="G749" s="375" t="s">
        <v>215</v>
      </c>
      <c r="H749" s="375"/>
      <c r="I749" s="60"/>
      <c r="J749" s="271">
        <f t="shared" si="2"/>
        <v>0</v>
      </c>
      <c r="K749" s="62"/>
    </row>
    <row r="750" spans="2:11" x14ac:dyDescent="0.3">
      <c r="B750" s="58"/>
      <c r="C750" s="198" t="s">
        <v>34</v>
      </c>
      <c r="D750" s="60"/>
      <c r="E750" s="60"/>
      <c r="F750" s="60"/>
      <c r="G750" s="375" t="s">
        <v>215</v>
      </c>
      <c r="H750" s="375"/>
      <c r="I750" s="60"/>
      <c r="J750" s="271">
        <f t="shared" si="2"/>
        <v>0</v>
      </c>
      <c r="K750" s="62"/>
    </row>
    <row r="751" spans="2:11" x14ac:dyDescent="0.3">
      <c r="B751" s="58"/>
      <c r="C751" s="198" t="s">
        <v>35</v>
      </c>
      <c r="D751" s="60"/>
      <c r="E751" s="60"/>
      <c r="F751" s="60"/>
      <c r="G751" s="375" t="s">
        <v>215</v>
      </c>
      <c r="H751" s="375"/>
      <c r="I751" s="60"/>
      <c r="J751" s="271">
        <f t="shared" si="2"/>
        <v>0</v>
      </c>
      <c r="K751" s="62"/>
    </row>
    <row r="752" spans="2:11" x14ac:dyDescent="0.3">
      <c r="B752" s="58"/>
      <c r="C752" s="198" t="s">
        <v>36</v>
      </c>
      <c r="D752" s="60"/>
      <c r="E752" s="60"/>
      <c r="F752" s="60"/>
      <c r="G752" s="375" t="s">
        <v>215</v>
      </c>
      <c r="H752" s="375"/>
      <c r="I752" s="60"/>
      <c r="J752" s="271">
        <f t="shared" si="2"/>
        <v>0</v>
      </c>
      <c r="K752" s="62"/>
    </row>
    <row r="753" spans="2:11" x14ac:dyDescent="0.3">
      <c r="B753" s="58"/>
      <c r="C753" s="198" t="s">
        <v>37</v>
      </c>
      <c r="D753" s="60"/>
      <c r="E753" s="60"/>
      <c r="F753" s="60"/>
      <c r="G753" s="375" t="s">
        <v>215</v>
      </c>
      <c r="H753" s="375"/>
      <c r="I753" s="60"/>
      <c r="J753" s="271">
        <f t="shared" si="2"/>
        <v>0</v>
      </c>
      <c r="K753" s="62"/>
    </row>
    <row r="754" spans="2:11" x14ac:dyDescent="0.3">
      <c r="B754" s="58"/>
      <c r="C754" s="198" t="s">
        <v>38</v>
      </c>
      <c r="D754" s="60"/>
      <c r="E754" s="60"/>
      <c r="F754" s="60"/>
      <c r="G754" s="375" t="s">
        <v>215</v>
      </c>
      <c r="H754" s="375"/>
      <c r="I754" s="60"/>
      <c r="J754" s="271">
        <f t="shared" si="2"/>
        <v>0</v>
      </c>
      <c r="K754" s="62"/>
    </row>
    <row r="755" spans="2:11" x14ac:dyDescent="0.3">
      <c r="B755" s="58"/>
      <c r="C755" s="198" t="s">
        <v>39</v>
      </c>
      <c r="D755" s="60"/>
      <c r="E755" s="60"/>
      <c r="F755" s="60"/>
      <c r="G755" s="375" t="s">
        <v>215</v>
      </c>
      <c r="H755" s="375"/>
      <c r="I755" s="60"/>
      <c r="J755" s="271">
        <f t="shared" si="2"/>
        <v>0</v>
      </c>
      <c r="K755" s="62"/>
    </row>
    <row r="756" spans="2:11" x14ac:dyDescent="0.3">
      <c r="B756" s="58"/>
      <c r="C756" s="60"/>
      <c r="D756" s="60"/>
      <c r="E756" s="60"/>
      <c r="F756" s="60"/>
      <c r="G756" s="60"/>
      <c r="H756" s="60"/>
      <c r="I756" s="60"/>
      <c r="J756" s="60"/>
      <c r="K756" s="62"/>
    </row>
    <row r="757" spans="2:11" x14ac:dyDescent="0.3">
      <c r="B757" s="58"/>
      <c r="C757" s="60"/>
      <c r="D757" s="60"/>
      <c r="E757" s="60"/>
      <c r="F757" s="60"/>
      <c r="G757" s="60"/>
      <c r="H757" s="60"/>
      <c r="I757" s="60"/>
      <c r="J757" s="60"/>
      <c r="K757" s="62"/>
    </row>
    <row r="758" spans="2:11" ht="15.6" x14ac:dyDescent="0.3">
      <c r="B758" s="58"/>
      <c r="C758" s="197" t="s">
        <v>388</v>
      </c>
      <c r="D758" s="60"/>
      <c r="E758" s="60"/>
      <c r="F758" s="60"/>
      <c r="G758" s="60"/>
      <c r="H758" s="60"/>
      <c r="I758" s="60"/>
      <c r="J758" s="60"/>
      <c r="K758" s="62"/>
    </row>
    <row r="759" spans="2:11" ht="15" customHeight="1" x14ac:dyDescent="0.3">
      <c r="B759" s="58"/>
      <c r="C759" s="355" t="s">
        <v>389</v>
      </c>
      <c r="D759" s="355"/>
      <c r="E759" s="355"/>
      <c r="F759" s="355"/>
      <c r="G759" s="355"/>
      <c r="H759" s="355"/>
      <c r="I759" s="355"/>
      <c r="J759" s="355"/>
      <c r="K759" s="62"/>
    </row>
    <row r="760" spans="2:11" x14ac:dyDescent="0.3">
      <c r="B760" s="58"/>
      <c r="C760" s="355"/>
      <c r="D760" s="355"/>
      <c r="E760" s="355"/>
      <c r="F760" s="355"/>
      <c r="G760" s="355"/>
      <c r="H760" s="355"/>
      <c r="I760" s="355"/>
      <c r="J760" s="355"/>
      <c r="K760" s="62"/>
    </row>
    <row r="761" spans="2:11" x14ac:dyDescent="0.3">
      <c r="B761" s="58"/>
      <c r="C761" s="355"/>
      <c r="D761" s="355"/>
      <c r="E761" s="355"/>
      <c r="F761" s="355"/>
      <c r="G761" s="355"/>
      <c r="H761" s="355"/>
      <c r="I761" s="355"/>
      <c r="J761" s="355"/>
      <c r="K761" s="62"/>
    </row>
    <row r="762" spans="2:11" x14ac:dyDescent="0.3">
      <c r="B762" s="58"/>
      <c r="C762" s="198" t="s">
        <v>30</v>
      </c>
      <c r="D762" s="60"/>
      <c r="E762" s="60"/>
      <c r="F762" s="60"/>
      <c r="G762" s="375" t="s">
        <v>198</v>
      </c>
      <c r="H762" s="375"/>
      <c r="I762" s="60"/>
      <c r="J762" s="271">
        <f>IF(G762=$B$994,$A$994,IF(G762=$B$995,$A$995,"Not Calculated"))</f>
        <v>1</v>
      </c>
      <c r="K762" s="62"/>
    </row>
    <row r="763" spans="2:11" x14ac:dyDescent="0.3">
      <c r="B763" s="58"/>
      <c r="C763" s="198" t="s">
        <v>32</v>
      </c>
      <c r="D763" s="60"/>
      <c r="E763" s="60"/>
      <c r="F763" s="60"/>
      <c r="G763" s="375" t="s">
        <v>198</v>
      </c>
      <c r="H763" s="375"/>
      <c r="I763" s="60"/>
      <c r="J763" s="271">
        <f t="shared" ref="J763:J770" si="3">IF(G763=$B$994,$A$994,IF(G763=$B$995,$A$995,"Not Calculated"))</f>
        <v>1</v>
      </c>
      <c r="K763" s="62"/>
    </row>
    <row r="764" spans="2:11" ht="15" customHeight="1" x14ac:dyDescent="0.3">
      <c r="B764" s="58"/>
      <c r="C764" s="198" t="s">
        <v>33</v>
      </c>
      <c r="D764" s="60"/>
      <c r="E764" s="60"/>
      <c r="F764" s="60"/>
      <c r="G764" s="375" t="s">
        <v>198</v>
      </c>
      <c r="H764" s="375"/>
      <c r="I764" s="60"/>
      <c r="J764" s="271">
        <f t="shared" si="3"/>
        <v>1</v>
      </c>
      <c r="K764" s="62"/>
    </row>
    <row r="765" spans="2:11" x14ac:dyDescent="0.3">
      <c r="B765" s="58"/>
      <c r="C765" s="198" t="s">
        <v>34</v>
      </c>
      <c r="D765" s="60"/>
      <c r="E765" s="60"/>
      <c r="F765" s="60"/>
      <c r="G765" s="375" t="s">
        <v>198</v>
      </c>
      <c r="H765" s="375"/>
      <c r="I765" s="60"/>
      <c r="J765" s="271">
        <f t="shared" si="3"/>
        <v>1</v>
      </c>
      <c r="K765" s="62"/>
    </row>
    <row r="766" spans="2:11" x14ac:dyDescent="0.3">
      <c r="B766" s="58"/>
      <c r="C766" s="198" t="s">
        <v>35</v>
      </c>
      <c r="D766" s="60"/>
      <c r="E766" s="60"/>
      <c r="F766" s="60"/>
      <c r="G766" s="375" t="s">
        <v>198</v>
      </c>
      <c r="H766" s="375"/>
      <c r="I766" s="60"/>
      <c r="J766" s="271">
        <f t="shared" si="3"/>
        <v>1</v>
      </c>
      <c r="K766" s="62"/>
    </row>
    <row r="767" spans="2:11" x14ac:dyDescent="0.3">
      <c r="B767" s="58"/>
      <c r="C767" s="198" t="s">
        <v>36</v>
      </c>
      <c r="D767" s="60"/>
      <c r="E767" s="60"/>
      <c r="F767" s="60"/>
      <c r="G767" s="375" t="s">
        <v>198</v>
      </c>
      <c r="H767" s="375"/>
      <c r="I767" s="60"/>
      <c r="J767" s="271">
        <f t="shared" si="3"/>
        <v>1</v>
      </c>
      <c r="K767" s="62"/>
    </row>
    <row r="768" spans="2:11" x14ac:dyDescent="0.3">
      <c r="B768" s="58"/>
      <c r="C768" s="198" t="s">
        <v>37</v>
      </c>
      <c r="D768" s="60"/>
      <c r="E768" s="60"/>
      <c r="F768" s="60"/>
      <c r="G768" s="375" t="s">
        <v>198</v>
      </c>
      <c r="H768" s="375"/>
      <c r="I768" s="60"/>
      <c r="J768" s="271">
        <f t="shared" si="3"/>
        <v>1</v>
      </c>
      <c r="K768" s="62"/>
    </row>
    <row r="769" spans="2:11" x14ac:dyDescent="0.3">
      <c r="B769" s="58"/>
      <c r="C769" s="198" t="s">
        <v>38</v>
      </c>
      <c r="D769" s="60"/>
      <c r="E769" s="60"/>
      <c r="F769" s="60"/>
      <c r="G769" s="375" t="s">
        <v>198</v>
      </c>
      <c r="H769" s="375"/>
      <c r="I769" s="60"/>
      <c r="J769" s="271">
        <f t="shared" si="3"/>
        <v>1</v>
      </c>
      <c r="K769" s="62"/>
    </row>
    <row r="770" spans="2:11" x14ac:dyDescent="0.3">
      <c r="B770" s="58"/>
      <c r="C770" s="198" t="s">
        <v>39</v>
      </c>
      <c r="D770" s="60"/>
      <c r="E770" s="60"/>
      <c r="F770" s="60"/>
      <c r="G770" s="375" t="s">
        <v>198</v>
      </c>
      <c r="H770" s="375"/>
      <c r="I770" s="60"/>
      <c r="J770" s="271">
        <f t="shared" si="3"/>
        <v>1</v>
      </c>
      <c r="K770" s="62"/>
    </row>
    <row r="771" spans="2:11" x14ac:dyDescent="0.3">
      <c r="B771" s="58"/>
      <c r="C771" s="60"/>
      <c r="D771" s="60"/>
      <c r="E771" s="60"/>
      <c r="F771" s="60"/>
      <c r="G771" s="60"/>
      <c r="H771" s="60"/>
      <c r="I771" s="60"/>
      <c r="J771" s="60"/>
      <c r="K771" s="62"/>
    </row>
    <row r="772" spans="2:11" x14ac:dyDescent="0.3">
      <c r="B772" s="58"/>
      <c r="C772" s="60"/>
      <c r="D772" s="60"/>
      <c r="E772" s="60"/>
      <c r="F772" s="60"/>
      <c r="G772" s="60"/>
      <c r="H772" s="60"/>
      <c r="I772" s="60"/>
      <c r="J772" s="60"/>
      <c r="K772" s="62"/>
    </row>
    <row r="773" spans="2:11" ht="15.6" x14ac:dyDescent="0.3">
      <c r="B773" s="58"/>
      <c r="C773" s="199" t="s">
        <v>30</v>
      </c>
      <c r="D773" s="60"/>
      <c r="E773" s="60"/>
      <c r="F773" s="60"/>
      <c r="G773" s="60"/>
      <c r="H773" s="60"/>
      <c r="I773" s="60"/>
      <c r="J773" s="60"/>
      <c r="K773" s="62"/>
    </row>
    <row r="774" spans="2:11" x14ac:dyDescent="0.3">
      <c r="B774" s="58"/>
      <c r="C774" s="60"/>
      <c r="D774" s="60" t="s">
        <v>390</v>
      </c>
      <c r="E774" s="60"/>
      <c r="F774" s="60"/>
      <c r="G774" s="60"/>
      <c r="H774" s="60"/>
      <c r="I774" s="60"/>
      <c r="J774" s="61">
        <f>'Baseline At-Risk Pops'!H8</f>
        <v>0</v>
      </c>
      <c r="K774" s="62"/>
    </row>
    <row r="775" spans="2:11" x14ac:dyDescent="0.3">
      <c r="B775" s="58"/>
      <c r="C775" s="60"/>
      <c r="D775" s="60" t="s">
        <v>391</v>
      </c>
      <c r="E775" s="60"/>
      <c r="F775" s="60"/>
      <c r="G775" s="60"/>
      <c r="H775" s="60"/>
      <c r="I775" s="60"/>
      <c r="J775" s="61">
        <f>SUM(J717,J732,J747,J762)</f>
        <v>2</v>
      </c>
      <c r="K775" s="62"/>
    </row>
    <row r="776" spans="2:11" x14ac:dyDescent="0.3">
      <c r="B776" s="58"/>
      <c r="C776" s="60"/>
      <c r="D776" s="198" t="s">
        <v>392</v>
      </c>
      <c r="E776" s="60"/>
      <c r="F776" s="60"/>
      <c r="G776" s="60"/>
      <c r="H776" s="60"/>
      <c r="I776" s="60"/>
      <c r="J776" s="61">
        <f>AVERAGE(J774,J775)</f>
        <v>1</v>
      </c>
      <c r="K776" s="62"/>
    </row>
    <row r="777" spans="2:11" ht="15.6" x14ac:dyDescent="0.3">
      <c r="B777" s="58"/>
      <c r="C777" s="199" t="s">
        <v>32</v>
      </c>
      <c r="D777" s="60"/>
      <c r="E777" s="60"/>
      <c r="F777" s="60"/>
      <c r="G777" s="60"/>
      <c r="H777" s="60"/>
      <c r="I777" s="60"/>
      <c r="J777" s="61"/>
      <c r="K777" s="62"/>
    </row>
    <row r="778" spans="2:11" x14ac:dyDescent="0.3">
      <c r="B778" s="58"/>
      <c r="C778" s="60"/>
      <c r="D778" s="60" t="s">
        <v>390</v>
      </c>
      <c r="E778" s="60"/>
      <c r="F778" s="60"/>
      <c r="G778" s="60"/>
      <c r="H778" s="60"/>
      <c r="I778" s="60"/>
      <c r="J778" s="61">
        <f>'Baseline At-Risk Pops'!H14</f>
        <v>0</v>
      </c>
      <c r="K778" s="62"/>
    </row>
    <row r="779" spans="2:11" ht="15" customHeight="1" x14ac:dyDescent="0.3">
      <c r="B779" s="58"/>
      <c r="C779" s="60"/>
      <c r="D779" s="60" t="s">
        <v>391</v>
      </c>
      <c r="E779" s="60"/>
      <c r="F779" s="60"/>
      <c r="G779" s="60"/>
      <c r="H779" s="60"/>
      <c r="I779" s="60"/>
      <c r="J779" s="61">
        <f>SUM(J718,J733,J748,J763)</f>
        <v>2</v>
      </c>
      <c r="K779" s="62"/>
    </row>
    <row r="780" spans="2:11" x14ac:dyDescent="0.3">
      <c r="B780" s="58"/>
      <c r="C780" s="60"/>
      <c r="D780" s="198" t="s">
        <v>392</v>
      </c>
      <c r="E780" s="60"/>
      <c r="F780" s="60"/>
      <c r="G780" s="60"/>
      <c r="H780" s="60"/>
      <c r="I780" s="60"/>
      <c r="J780" s="61">
        <f>AVERAGE(J778,J779)</f>
        <v>1</v>
      </c>
      <c r="K780" s="62"/>
    </row>
    <row r="781" spans="2:11" ht="15.6" x14ac:dyDescent="0.3">
      <c r="B781" s="58"/>
      <c r="C781" s="199" t="s">
        <v>33</v>
      </c>
      <c r="D781" s="60"/>
      <c r="E781" s="60"/>
      <c r="F781" s="60"/>
      <c r="G781" s="60"/>
      <c r="H781" s="60"/>
      <c r="I781" s="60"/>
      <c r="J781" s="61"/>
      <c r="K781" s="62"/>
    </row>
    <row r="782" spans="2:11" ht="15.6" x14ac:dyDescent="0.3">
      <c r="B782" s="58"/>
      <c r="C782" s="199"/>
      <c r="D782" s="60" t="s">
        <v>390</v>
      </c>
      <c r="E782" s="60"/>
      <c r="F782" s="60"/>
      <c r="G782" s="60"/>
      <c r="H782" s="60"/>
      <c r="I782" s="60"/>
      <c r="J782" s="61">
        <f>'Baseline At-Risk Pops'!H21</f>
        <v>0</v>
      </c>
      <c r="K782" s="62"/>
    </row>
    <row r="783" spans="2:11" x14ac:dyDescent="0.3">
      <c r="B783" s="58"/>
      <c r="C783" s="60"/>
      <c r="D783" s="60" t="s">
        <v>391</v>
      </c>
      <c r="E783" s="60"/>
      <c r="F783" s="60"/>
      <c r="G783" s="60"/>
      <c r="H783" s="60"/>
      <c r="I783" s="60"/>
      <c r="J783" s="61">
        <f>SUM(J719,J734,J749,J764)</f>
        <v>1</v>
      </c>
      <c r="K783" s="62"/>
    </row>
    <row r="784" spans="2:11" x14ac:dyDescent="0.3">
      <c r="B784" s="58"/>
      <c r="C784" s="60"/>
      <c r="D784" s="198" t="s">
        <v>392</v>
      </c>
      <c r="E784" s="60"/>
      <c r="F784" s="60"/>
      <c r="G784" s="60"/>
      <c r="H784" s="60"/>
      <c r="I784" s="60"/>
      <c r="J784" s="61">
        <f>AVERAGE(J782,J783)</f>
        <v>0.5</v>
      </c>
      <c r="K784" s="62"/>
    </row>
    <row r="785" spans="2:11" ht="15.6" x14ac:dyDescent="0.3">
      <c r="B785" s="58"/>
      <c r="C785" s="199" t="s">
        <v>34</v>
      </c>
      <c r="D785" s="60"/>
      <c r="E785" s="60"/>
      <c r="F785" s="60"/>
      <c r="G785" s="60"/>
      <c r="H785" s="60"/>
      <c r="I785" s="60"/>
      <c r="J785" s="61"/>
      <c r="K785" s="62"/>
    </row>
    <row r="786" spans="2:11" x14ac:dyDescent="0.3">
      <c r="B786" s="58"/>
      <c r="C786" s="60"/>
      <c r="D786" s="60" t="s">
        <v>390</v>
      </c>
      <c r="E786" s="60"/>
      <c r="F786" s="60"/>
      <c r="G786" s="60"/>
      <c r="H786" s="60"/>
      <c r="I786" s="60"/>
      <c r="J786" s="61">
        <f>'Baseline At-Risk Pops'!H27</f>
        <v>0</v>
      </c>
      <c r="K786" s="62"/>
    </row>
    <row r="787" spans="2:11" x14ac:dyDescent="0.3">
      <c r="B787" s="58"/>
      <c r="C787" s="60"/>
      <c r="D787" s="60" t="s">
        <v>391</v>
      </c>
      <c r="E787" s="60"/>
      <c r="F787" s="60"/>
      <c r="G787" s="60"/>
      <c r="H787" s="60"/>
      <c r="I787" s="60"/>
      <c r="J787" s="61">
        <f>SUM(J720,J735,J750,J765)</f>
        <v>2</v>
      </c>
      <c r="K787" s="62"/>
    </row>
    <row r="788" spans="2:11" x14ac:dyDescent="0.3">
      <c r="B788" s="58"/>
      <c r="C788" s="60"/>
      <c r="D788" s="198" t="s">
        <v>392</v>
      </c>
      <c r="E788" s="60"/>
      <c r="F788" s="60"/>
      <c r="G788" s="60"/>
      <c r="H788" s="60"/>
      <c r="I788" s="60"/>
      <c r="J788" s="61">
        <f>AVERAGE(J786,J787)</f>
        <v>1</v>
      </c>
      <c r="K788" s="62"/>
    </row>
    <row r="789" spans="2:11" ht="15.6" x14ac:dyDescent="0.3">
      <c r="B789" s="58"/>
      <c r="C789" s="199" t="s">
        <v>35</v>
      </c>
      <c r="D789" s="60"/>
      <c r="E789" s="60"/>
      <c r="F789" s="60"/>
      <c r="G789" s="60"/>
      <c r="H789" s="60"/>
      <c r="I789" s="60"/>
      <c r="J789" s="61"/>
      <c r="K789" s="62"/>
    </row>
    <row r="790" spans="2:11" x14ac:dyDescent="0.3">
      <c r="B790" s="58"/>
      <c r="C790" s="60"/>
      <c r="D790" s="60" t="s">
        <v>390</v>
      </c>
      <c r="E790" s="60"/>
      <c r="F790" s="60"/>
      <c r="G790" s="60"/>
      <c r="H790" s="60"/>
      <c r="I790" s="60"/>
      <c r="J790" s="61">
        <f>'Baseline At-Risk Pops'!H34</f>
        <v>0</v>
      </c>
      <c r="K790" s="62"/>
    </row>
    <row r="791" spans="2:11" x14ac:dyDescent="0.3">
      <c r="B791" s="58"/>
      <c r="C791" s="60"/>
      <c r="D791" s="60" t="s">
        <v>391</v>
      </c>
      <c r="E791" s="60"/>
      <c r="F791" s="60"/>
      <c r="G791" s="60"/>
      <c r="H791" s="60"/>
      <c r="I791" s="60"/>
      <c r="J791" s="61">
        <f>SUM(J721,J736,J751,J766)</f>
        <v>2</v>
      </c>
      <c r="K791" s="62"/>
    </row>
    <row r="792" spans="2:11" x14ac:dyDescent="0.3">
      <c r="B792" s="58"/>
      <c r="C792" s="60"/>
      <c r="D792" s="198" t="s">
        <v>392</v>
      </c>
      <c r="E792" s="60"/>
      <c r="F792" s="60"/>
      <c r="G792" s="60"/>
      <c r="H792" s="60"/>
      <c r="I792" s="60"/>
      <c r="J792" s="61">
        <f>AVERAGE(J790,J791)</f>
        <v>1</v>
      </c>
      <c r="K792" s="62"/>
    </row>
    <row r="793" spans="2:11" ht="15.6" x14ac:dyDescent="0.3">
      <c r="B793" s="58"/>
      <c r="C793" s="199" t="s">
        <v>36</v>
      </c>
      <c r="D793" s="60"/>
      <c r="E793" s="60"/>
      <c r="F793" s="60"/>
      <c r="G793" s="60"/>
      <c r="H793" s="60"/>
      <c r="I793" s="60"/>
      <c r="J793" s="61"/>
      <c r="K793" s="62"/>
    </row>
    <row r="794" spans="2:11" x14ac:dyDescent="0.3">
      <c r="B794" s="58"/>
      <c r="C794" s="60"/>
      <c r="D794" s="60" t="s">
        <v>390</v>
      </c>
      <c r="E794" s="60"/>
      <c r="F794" s="60"/>
      <c r="G794" s="60"/>
      <c r="H794" s="60"/>
      <c r="I794" s="60"/>
      <c r="J794" s="61">
        <f>'Baseline At-Risk Pops'!H40</f>
        <v>0</v>
      </c>
      <c r="K794" s="62"/>
    </row>
    <row r="795" spans="2:11" x14ac:dyDescent="0.3">
      <c r="B795" s="58"/>
      <c r="C795" s="60"/>
      <c r="D795" s="60" t="s">
        <v>391</v>
      </c>
      <c r="E795" s="60"/>
      <c r="F795" s="60"/>
      <c r="G795" s="60"/>
      <c r="H795" s="60"/>
      <c r="I795" s="60"/>
      <c r="J795" s="61">
        <f>SUM(J722,J737,J752,J767)</f>
        <v>2</v>
      </c>
      <c r="K795" s="62"/>
    </row>
    <row r="796" spans="2:11" x14ac:dyDescent="0.3">
      <c r="B796" s="58"/>
      <c r="C796" s="60"/>
      <c r="D796" s="198" t="s">
        <v>392</v>
      </c>
      <c r="E796" s="60"/>
      <c r="F796" s="60"/>
      <c r="G796" s="60"/>
      <c r="H796" s="60"/>
      <c r="I796" s="60"/>
      <c r="J796" s="61">
        <f>AVERAGE(J794,J795)</f>
        <v>1</v>
      </c>
      <c r="K796" s="62"/>
    </row>
    <row r="797" spans="2:11" ht="15.6" x14ac:dyDescent="0.3">
      <c r="B797" s="58"/>
      <c r="C797" s="199" t="s">
        <v>37</v>
      </c>
      <c r="D797" s="60"/>
      <c r="E797" s="60"/>
      <c r="F797" s="60"/>
      <c r="G797" s="60"/>
      <c r="H797" s="60"/>
      <c r="I797" s="60"/>
      <c r="J797" s="61"/>
      <c r="K797" s="62"/>
    </row>
    <row r="798" spans="2:11" x14ac:dyDescent="0.3">
      <c r="B798" s="58"/>
      <c r="C798" s="60"/>
      <c r="D798" s="60" t="s">
        <v>390</v>
      </c>
      <c r="E798" s="60"/>
      <c r="F798" s="60"/>
      <c r="G798" s="60"/>
      <c r="H798" s="60"/>
      <c r="I798" s="60"/>
      <c r="J798" s="61">
        <f>'Baseline At-Risk Pops'!H46</f>
        <v>0</v>
      </c>
      <c r="K798" s="62"/>
    </row>
    <row r="799" spans="2:11" x14ac:dyDescent="0.3">
      <c r="B799" s="58"/>
      <c r="C799" s="60"/>
      <c r="D799" s="60" t="s">
        <v>391</v>
      </c>
      <c r="E799" s="60"/>
      <c r="F799" s="60"/>
      <c r="G799" s="60"/>
      <c r="H799" s="60"/>
      <c r="I799" s="60"/>
      <c r="J799" s="61">
        <f>SUM(J723,J738,J753,J768)</f>
        <v>1</v>
      </c>
      <c r="K799" s="62"/>
    </row>
    <row r="800" spans="2:11" x14ac:dyDescent="0.3">
      <c r="B800" s="58"/>
      <c r="C800" s="60"/>
      <c r="D800" s="198" t="s">
        <v>392</v>
      </c>
      <c r="E800" s="60"/>
      <c r="F800" s="60"/>
      <c r="G800" s="60"/>
      <c r="H800" s="60"/>
      <c r="I800" s="60"/>
      <c r="J800" s="61">
        <f>AVERAGE(J798,J799)</f>
        <v>0.5</v>
      </c>
      <c r="K800" s="62"/>
    </row>
    <row r="801" spans="2:11" ht="15.6" x14ac:dyDescent="0.3">
      <c r="B801" s="58"/>
      <c r="C801" s="199" t="s">
        <v>38</v>
      </c>
      <c r="D801" s="60"/>
      <c r="E801" s="60"/>
      <c r="F801" s="60"/>
      <c r="G801" s="60"/>
      <c r="H801" s="60"/>
      <c r="I801" s="60"/>
      <c r="J801" s="61"/>
      <c r="K801" s="62"/>
    </row>
    <row r="802" spans="2:11" ht="15.6" x14ac:dyDescent="0.3">
      <c r="B802" s="58"/>
      <c r="C802" s="199"/>
      <c r="D802" s="60" t="s">
        <v>390</v>
      </c>
      <c r="E802" s="60"/>
      <c r="F802" s="60"/>
      <c r="G802" s="60"/>
      <c r="H802" s="60"/>
      <c r="I802" s="60"/>
      <c r="J802" s="61">
        <f>'Baseline At-Risk Pops'!H52</f>
        <v>0</v>
      </c>
      <c r="K802" s="62"/>
    </row>
    <row r="803" spans="2:11" x14ac:dyDescent="0.3">
      <c r="B803" s="58"/>
      <c r="C803" s="60"/>
      <c r="D803" s="60" t="s">
        <v>391</v>
      </c>
      <c r="E803" s="60"/>
      <c r="F803" s="60"/>
      <c r="G803" s="60"/>
      <c r="H803" s="60"/>
      <c r="I803" s="60"/>
      <c r="J803" s="61">
        <f>SUM(J724,J739,J754,J769)</f>
        <v>2</v>
      </c>
      <c r="K803" s="62"/>
    </row>
    <row r="804" spans="2:11" x14ac:dyDescent="0.3">
      <c r="B804" s="58"/>
      <c r="C804" s="60"/>
      <c r="D804" s="198" t="s">
        <v>392</v>
      </c>
      <c r="E804" s="60"/>
      <c r="F804" s="60"/>
      <c r="G804" s="60"/>
      <c r="H804" s="60"/>
      <c r="I804" s="60"/>
      <c r="J804" s="61">
        <f>AVERAGE(J802,J803)</f>
        <v>1</v>
      </c>
      <c r="K804" s="62"/>
    </row>
    <row r="805" spans="2:11" ht="15.6" x14ac:dyDescent="0.3">
      <c r="B805" s="58"/>
      <c r="C805" s="199" t="s">
        <v>39</v>
      </c>
      <c r="D805" s="60"/>
      <c r="E805" s="60"/>
      <c r="F805" s="60"/>
      <c r="G805" s="60"/>
      <c r="H805" s="60"/>
      <c r="I805" s="60"/>
      <c r="J805" s="61"/>
      <c r="K805" s="62"/>
    </row>
    <row r="806" spans="2:11" x14ac:dyDescent="0.3">
      <c r="B806" s="58"/>
      <c r="C806" s="60"/>
      <c r="D806" s="60" t="s">
        <v>390</v>
      </c>
      <c r="E806" s="60"/>
      <c r="F806" s="60"/>
      <c r="G806" s="60"/>
      <c r="H806" s="60"/>
      <c r="I806" s="60"/>
      <c r="J806" s="61">
        <f>'Baseline At-Risk Pops'!H58</f>
        <v>0</v>
      </c>
      <c r="K806" s="62"/>
    </row>
    <row r="807" spans="2:11" x14ac:dyDescent="0.3">
      <c r="B807" s="58"/>
      <c r="C807" s="60"/>
      <c r="D807" s="60" t="s">
        <v>391</v>
      </c>
      <c r="E807" s="60"/>
      <c r="F807" s="60"/>
      <c r="G807" s="60"/>
      <c r="H807" s="60"/>
      <c r="I807" s="60"/>
      <c r="J807" s="61">
        <f>SUM(J725,J740,J755,J770)</f>
        <v>1</v>
      </c>
      <c r="K807" s="62"/>
    </row>
    <row r="808" spans="2:11" x14ac:dyDescent="0.3">
      <c r="B808" s="58"/>
      <c r="C808" s="60"/>
      <c r="D808" s="198" t="s">
        <v>392</v>
      </c>
      <c r="E808" s="60"/>
      <c r="F808" s="60"/>
      <c r="G808" s="60"/>
      <c r="H808" s="60"/>
      <c r="I808" s="60"/>
      <c r="J808" s="61">
        <f>AVERAGE(J806,J807)</f>
        <v>0.5</v>
      </c>
      <c r="K808" s="62"/>
    </row>
    <row r="809" spans="2:11" x14ac:dyDescent="0.3">
      <c r="B809" s="58"/>
      <c r="C809" s="60"/>
      <c r="D809" s="60"/>
      <c r="E809" s="60"/>
      <c r="F809" s="60"/>
      <c r="G809" s="60"/>
      <c r="H809" s="60"/>
      <c r="I809" s="60"/>
      <c r="J809" s="60"/>
      <c r="K809" s="62"/>
    </row>
    <row r="810" spans="2:11" x14ac:dyDescent="0.3">
      <c r="B810" s="58"/>
      <c r="C810" s="60"/>
      <c r="D810" s="60"/>
      <c r="E810" s="60"/>
      <c r="F810" s="60"/>
      <c r="G810" s="60"/>
      <c r="H810" s="60"/>
      <c r="I810" s="60"/>
      <c r="J810" s="60"/>
      <c r="K810" s="62"/>
    </row>
    <row r="811" spans="2:11" ht="15.6" x14ac:dyDescent="0.3">
      <c r="B811" s="58"/>
      <c r="C811" s="200" t="s">
        <v>393</v>
      </c>
      <c r="D811" s="60"/>
      <c r="E811" s="60"/>
      <c r="F811" s="60"/>
      <c r="G811" s="60"/>
      <c r="H811" s="60"/>
      <c r="I811" s="60"/>
      <c r="J811" s="272">
        <f>AVERAGE(J776,J780,J784,J788,J792,J796,J800,J804,J808)</f>
        <v>0.83333333333333337</v>
      </c>
      <c r="K811" s="62"/>
    </row>
    <row r="812" spans="2:11" ht="15" thickBot="1" x14ac:dyDescent="0.35">
      <c r="B812" s="74"/>
      <c r="C812" s="75"/>
      <c r="D812" s="75"/>
      <c r="E812" s="75"/>
      <c r="F812" s="75"/>
      <c r="G812" s="75"/>
      <c r="H812" s="75"/>
      <c r="I812" s="75"/>
      <c r="J812" s="75"/>
      <c r="K812" s="77"/>
    </row>
    <row r="813" spans="2:11" ht="15" thickBot="1" x14ac:dyDescent="0.35"/>
    <row r="814" spans="2:11" x14ac:dyDescent="0.3">
      <c r="B814" s="201"/>
      <c r="C814" s="202"/>
      <c r="D814" s="202"/>
      <c r="E814" s="202"/>
      <c r="F814" s="202"/>
      <c r="G814" s="202"/>
      <c r="H814" s="202"/>
      <c r="I814" s="202"/>
      <c r="J814" s="202"/>
      <c r="K814" s="203"/>
    </row>
    <row r="815" spans="2:11" ht="20.399999999999999" x14ac:dyDescent="0.35">
      <c r="B815" s="204"/>
      <c r="C815" s="205"/>
      <c r="D815" s="205"/>
      <c r="E815" s="205"/>
      <c r="F815" s="205"/>
      <c r="G815" s="206" t="s">
        <v>252</v>
      </c>
      <c r="H815" s="205"/>
      <c r="I815" s="205"/>
      <c r="J815" s="205"/>
      <c r="K815" s="207"/>
    </row>
    <row r="816" spans="2:11" x14ac:dyDescent="0.3">
      <c r="B816" s="204"/>
      <c r="C816" s="205"/>
      <c r="D816" s="205"/>
      <c r="E816" s="205"/>
      <c r="F816" s="205"/>
      <c r="G816" s="205"/>
      <c r="H816" s="205"/>
      <c r="I816" s="205"/>
      <c r="J816" s="205"/>
      <c r="K816" s="207"/>
    </row>
    <row r="817" spans="2:11" ht="15.6" x14ac:dyDescent="0.3">
      <c r="B817" s="204"/>
      <c r="C817" s="208" t="s">
        <v>1141</v>
      </c>
      <c r="D817" s="205"/>
      <c r="E817" s="205"/>
      <c r="F817" s="205"/>
      <c r="G817" s="205"/>
      <c r="H817" s="205"/>
      <c r="I817" s="205"/>
      <c r="J817" s="273" t="str">
        <f>IF(J700="Not Calculated","Not Calculated",J700*(($J$811/4)+1))</f>
        <v>Not Calculated</v>
      </c>
      <c r="K817" s="207"/>
    </row>
    <row r="818" spans="2:11" x14ac:dyDescent="0.3">
      <c r="B818" s="204"/>
      <c r="C818" s="205"/>
      <c r="D818" s="205" t="s">
        <v>394</v>
      </c>
      <c r="E818" s="205"/>
      <c r="F818" s="205"/>
      <c r="G818" s="205"/>
      <c r="H818" s="205"/>
      <c r="I818" s="205"/>
      <c r="J818" s="205"/>
      <c r="K818" s="207"/>
    </row>
    <row r="819" spans="2:11" x14ac:dyDescent="0.3">
      <c r="B819" s="204"/>
      <c r="C819" s="205"/>
      <c r="D819" s="205"/>
      <c r="E819" s="205"/>
      <c r="F819" s="205"/>
      <c r="G819" s="205"/>
      <c r="H819" s="205"/>
      <c r="I819" s="205"/>
      <c r="J819" s="205"/>
      <c r="K819" s="207"/>
    </row>
    <row r="820" spans="2:11" ht="15.6" x14ac:dyDescent="0.3">
      <c r="B820" s="204"/>
      <c r="C820" s="208" t="s">
        <v>1142</v>
      </c>
      <c r="D820" s="205"/>
      <c r="E820" s="205"/>
      <c r="F820" s="205"/>
      <c r="G820" s="205"/>
      <c r="H820" s="205"/>
      <c r="I820" s="205"/>
      <c r="J820" s="273" t="str">
        <f>IF(J703="Not Calculated","Not Calculated",J703*(($J$811/4)+1))</f>
        <v>Not Calculated</v>
      </c>
      <c r="K820" s="207"/>
    </row>
    <row r="821" spans="2:11" x14ac:dyDescent="0.3">
      <c r="B821" s="204"/>
      <c r="C821" s="205"/>
      <c r="D821" s="205" t="s">
        <v>395</v>
      </c>
      <c r="E821" s="205"/>
      <c r="F821" s="205"/>
      <c r="G821" s="205"/>
      <c r="H821" s="205"/>
      <c r="I821" s="205"/>
      <c r="J821" s="205"/>
      <c r="K821" s="207"/>
    </row>
    <row r="822" spans="2:11" x14ac:dyDescent="0.3">
      <c r="B822" s="204"/>
      <c r="C822" s="205"/>
      <c r="D822" s="205"/>
      <c r="E822" s="205"/>
      <c r="F822" s="205"/>
      <c r="G822" s="205"/>
      <c r="H822" s="205"/>
      <c r="I822" s="205"/>
      <c r="J822" s="205"/>
      <c r="K822" s="207"/>
    </row>
    <row r="823" spans="2:11" ht="15.6" x14ac:dyDescent="0.3">
      <c r="B823" s="204"/>
      <c r="C823" s="208" t="s">
        <v>1143</v>
      </c>
      <c r="D823" s="205"/>
      <c r="E823" s="205"/>
      <c r="F823" s="205"/>
      <c r="G823" s="205"/>
      <c r="H823" s="205"/>
      <c r="I823" s="205"/>
      <c r="J823" s="273" t="str">
        <f>IF(J706="Not Calculated","Not Calculated",J706*(($J$811/4)+1))</f>
        <v>Not Calculated</v>
      </c>
      <c r="K823" s="207"/>
    </row>
    <row r="824" spans="2:11" x14ac:dyDescent="0.3">
      <c r="B824" s="204"/>
      <c r="C824" s="205"/>
      <c r="D824" s="205" t="s">
        <v>396</v>
      </c>
      <c r="E824" s="205"/>
      <c r="F824" s="205"/>
      <c r="G824" s="205"/>
      <c r="H824" s="205"/>
      <c r="I824" s="205"/>
      <c r="J824" s="205"/>
      <c r="K824" s="207"/>
    </row>
    <row r="825" spans="2:11" ht="15" thickBot="1" x14ac:dyDescent="0.35">
      <c r="B825" s="209"/>
      <c r="C825" s="210"/>
      <c r="D825" s="210"/>
      <c r="E825" s="210"/>
      <c r="F825" s="210"/>
      <c r="G825" s="210"/>
      <c r="H825" s="210"/>
      <c r="I825" s="210"/>
      <c r="J825" s="210"/>
      <c r="K825" s="211"/>
    </row>
    <row r="826" spans="2:11" ht="15" thickBot="1" x14ac:dyDescent="0.35"/>
    <row r="827" spans="2:11" x14ac:dyDescent="0.3">
      <c r="B827" s="78"/>
      <c r="C827" s="79"/>
      <c r="D827" s="79"/>
      <c r="E827" s="79"/>
      <c r="F827" s="79"/>
      <c r="G827" s="79"/>
      <c r="H827" s="79"/>
      <c r="I827" s="79"/>
      <c r="J827" s="79"/>
      <c r="K827" s="81"/>
    </row>
    <row r="828" spans="2:11" ht="20.399999999999999" x14ac:dyDescent="0.35">
      <c r="B828" s="82"/>
      <c r="C828" s="86"/>
      <c r="D828" s="86"/>
      <c r="E828" s="86"/>
      <c r="F828" s="86"/>
      <c r="G828" s="212" t="s">
        <v>935</v>
      </c>
      <c r="H828" s="86"/>
      <c r="I828" s="86"/>
      <c r="J828" s="86"/>
      <c r="K828" s="88"/>
    </row>
    <row r="829" spans="2:11" x14ac:dyDescent="0.3">
      <c r="B829" s="82"/>
      <c r="C829" s="86"/>
      <c r="D829" s="86"/>
      <c r="E829" s="86"/>
      <c r="F829" s="86"/>
      <c r="G829" s="86"/>
      <c r="H829" s="86"/>
      <c r="I829" s="86"/>
      <c r="J829" s="86"/>
      <c r="K829" s="88"/>
    </row>
    <row r="830" spans="2:11" ht="15" customHeight="1" x14ac:dyDescent="0.3">
      <c r="B830" s="82"/>
      <c r="C830" s="368" t="s">
        <v>937</v>
      </c>
      <c r="D830" s="368"/>
      <c r="E830" s="368"/>
      <c r="F830" s="368"/>
      <c r="G830" s="368"/>
      <c r="H830" s="368"/>
      <c r="I830" s="368"/>
      <c r="J830" s="368"/>
      <c r="K830" s="88"/>
    </row>
    <row r="831" spans="2:11" x14ac:dyDescent="0.3">
      <c r="B831" s="82"/>
      <c r="C831" s="368"/>
      <c r="D831" s="368"/>
      <c r="E831" s="368"/>
      <c r="F831" s="368"/>
      <c r="G831" s="368"/>
      <c r="H831" s="368"/>
      <c r="I831" s="368"/>
      <c r="J831" s="368"/>
      <c r="K831" s="88"/>
    </row>
    <row r="832" spans="2:11" x14ac:dyDescent="0.3">
      <c r="B832" s="82"/>
      <c r="C832" s="86"/>
      <c r="D832" s="86"/>
      <c r="E832" s="86"/>
      <c r="F832" s="86"/>
      <c r="G832" s="86"/>
      <c r="H832" s="86"/>
      <c r="I832" s="86"/>
      <c r="J832" s="86"/>
      <c r="K832" s="88"/>
    </row>
    <row r="833" spans="2:11" ht="15.6" x14ac:dyDescent="0.3">
      <c r="B833" s="82"/>
      <c r="C833" s="213" t="s">
        <v>747</v>
      </c>
      <c r="D833" s="86"/>
      <c r="E833" s="86"/>
      <c r="F833" s="86"/>
      <c r="G833" s="86"/>
      <c r="H833" s="86"/>
      <c r="I833" s="86"/>
      <c r="J833" s="86"/>
      <c r="K833" s="88"/>
    </row>
    <row r="834" spans="2:11" x14ac:dyDescent="0.3">
      <c r="B834" s="82"/>
      <c r="C834" s="86" t="s">
        <v>400</v>
      </c>
      <c r="D834" s="86"/>
      <c r="E834" s="86"/>
      <c r="F834" s="86"/>
      <c r="G834" s="350" t="s">
        <v>253</v>
      </c>
      <c r="H834" s="351"/>
      <c r="I834" s="86"/>
      <c r="J834" s="84">
        <f>IF(G834=$B$998,$A$998,IF(G834=$B$999,$A$999,IF(G834=$B$1000,$A$1000,IF(G834=$B$1001,$A$1001,IF(G834=$B$1002,$A$1002,"Not Calculated")))))</f>
        <v>4</v>
      </c>
      <c r="K834" s="88"/>
    </row>
    <row r="835" spans="2:11" x14ac:dyDescent="0.3">
      <c r="B835" s="82"/>
      <c r="C835" s="86" t="s">
        <v>130</v>
      </c>
      <c r="D835" s="86"/>
      <c r="E835" s="86"/>
      <c r="F835" s="86"/>
      <c r="G835" s="86"/>
      <c r="H835" s="86"/>
      <c r="I835" s="86"/>
      <c r="J835" s="251" t="str">
        <f>'Baseline PHP'!J16</f>
        <v>Not Calculated</v>
      </c>
      <c r="K835" s="88"/>
    </row>
    <row r="836" spans="2:11" x14ac:dyDescent="0.3">
      <c r="B836" s="82"/>
      <c r="C836" s="86"/>
      <c r="D836" s="86"/>
      <c r="E836" s="86"/>
      <c r="F836" s="86"/>
      <c r="G836" s="86"/>
      <c r="H836" s="86"/>
      <c r="I836" s="86"/>
      <c r="J836" s="86"/>
      <c r="K836" s="88"/>
    </row>
    <row r="837" spans="2:11" ht="15.6" x14ac:dyDescent="0.3">
      <c r="B837" s="82"/>
      <c r="C837" s="213" t="s">
        <v>748</v>
      </c>
      <c r="D837" s="86"/>
      <c r="E837" s="86"/>
      <c r="F837" s="86"/>
      <c r="G837" s="86"/>
      <c r="H837" s="86"/>
      <c r="I837" s="86"/>
      <c r="J837" s="86"/>
      <c r="K837" s="88"/>
    </row>
    <row r="838" spans="2:11" x14ac:dyDescent="0.3">
      <c r="B838" s="82"/>
      <c r="C838" s="86" t="s">
        <v>400</v>
      </c>
      <c r="D838" s="86"/>
      <c r="E838" s="86"/>
      <c r="F838" s="86"/>
      <c r="G838" s="350" t="s">
        <v>257</v>
      </c>
      <c r="H838" s="351"/>
      <c r="I838" s="86"/>
      <c r="J838" s="84">
        <f>IF(G838=$B$998,$A$998,IF(G838=$B$999,$A$999,IF(G838=$B$1000,$A$1000,IF(G838=$B$1001,$A$1001,IF(G838=$B$1002,$A$1002,"Not Calculated")))))</f>
        <v>3</v>
      </c>
      <c r="K838" s="88"/>
    </row>
    <row r="839" spans="2:11" x14ac:dyDescent="0.3">
      <c r="B839" s="82"/>
      <c r="C839" s="86" t="s">
        <v>130</v>
      </c>
      <c r="D839" s="86"/>
      <c r="E839" s="86"/>
      <c r="F839" s="86"/>
      <c r="G839" s="86"/>
      <c r="H839" s="86"/>
      <c r="I839" s="86"/>
      <c r="J839" s="251" t="str">
        <f>'Baseline PHP'!J28</f>
        <v>Not Calculated</v>
      </c>
      <c r="K839" s="88"/>
    </row>
    <row r="840" spans="2:11" x14ac:dyDescent="0.3">
      <c r="B840" s="82"/>
      <c r="C840" s="86"/>
      <c r="D840" s="86"/>
      <c r="E840" s="86"/>
      <c r="F840" s="86"/>
      <c r="G840" s="86"/>
      <c r="H840" s="86"/>
      <c r="I840" s="86"/>
      <c r="J840" s="86"/>
      <c r="K840" s="88"/>
    </row>
    <row r="841" spans="2:11" ht="15.6" x14ac:dyDescent="0.3">
      <c r="B841" s="82"/>
      <c r="C841" s="213" t="s">
        <v>738</v>
      </c>
      <c r="D841" s="86"/>
      <c r="E841" s="86"/>
      <c r="F841" s="86"/>
      <c r="G841" s="86"/>
      <c r="H841" s="86"/>
      <c r="I841" s="86"/>
      <c r="J841" s="86"/>
      <c r="K841" s="88"/>
    </row>
    <row r="842" spans="2:11" x14ac:dyDescent="0.3">
      <c r="B842" s="82"/>
      <c r="C842" s="86" t="s">
        <v>400</v>
      </c>
      <c r="D842" s="86"/>
      <c r="E842" s="86"/>
      <c r="F842" s="86"/>
      <c r="G842" s="350" t="s">
        <v>253</v>
      </c>
      <c r="H842" s="351"/>
      <c r="I842" s="86"/>
      <c r="J842" s="84">
        <f>IF(G842=$B$998,$A$998,IF(G842=$B$999,$A$999,IF(G842=$B$1000,$A$1000,IF(G842=$B$1001,$A$1001,IF(G842=$B$1002,$A$1002,"Not Calculated")))))</f>
        <v>4</v>
      </c>
      <c r="K842" s="88"/>
    </row>
    <row r="843" spans="2:11" x14ac:dyDescent="0.3">
      <c r="B843" s="82"/>
      <c r="C843" s="86" t="s">
        <v>130</v>
      </c>
      <c r="D843" s="86"/>
      <c r="E843" s="86"/>
      <c r="F843" s="86"/>
      <c r="G843" s="86"/>
      <c r="H843" s="86"/>
      <c r="I843" s="86"/>
      <c r="J843" s="251" t="str">
        <f>'Baseline PHP'!J44</f>
        <v>Not Calculated</v>
      </c>
      <c r="K843" s="88"/>
    </row>
    <row r="844" spans="2:11" x14ac:dyDescent="0.3">
      <c r="B844" s="82"/>
      <c r="C844" s="86"/>
      <c r="D844" s="86"/>
      <c r="E844" s="86"/>
      <c r="F844" s="86"/>
      <c r="G844" s="86"/>
      <c r="H844" s="86"/>
      <c r="I844" s="86"/>
      <c r="J844" s="86"/>
      <c r="K844" s="88"/>
    </row>
    <row r="845" spans="2:11" ht="15.6" x14ac:dyDescent="0.3">
      <c r="B845" s="82"/>
      <c r="C845" s="213" t="s">
        <v>739</v>
      </c>
      <c r="D845" s="86"/>
      <c r="E845" s="86"/>
      <c r="F845" s="86"/>
      <c r="G845" s="86"/>
      <c r="H845" s="86"/>
      <c r="I845" s="86"/>
      <c r="J845" s="86"/>
      <c r="K845" s="88"/>
    </row>
    <row r="846" spans="2:11" x14ac:dyDescent="0.3">
      <c r="B846" s="82"/>
      <c r="C846" s="86" t="s">
        <v>400</v>
      </c>
      <c r="D846" s="86"/>
      <c r="E846" s="86"/>
      <c r="F846" s="86"/>
      <c r="G846" s="350" t="s">
        <v>253</v>
      </c>
      <c r="H846" s="351"/>
      <c r="I846" s="86"/>
      <c r="J846" s="84">
        <f>IF(G846=$B$998,$A$998,IF(G846=$B$999,$A$999,IF(G846=$B$1000,$A$1000,IF(G846=$B$1001,$A$1001,IF(G846=$B$1002,$A$1002,"Not Calculated")))))</f>
        <v>4</v>
      </c>
      <c r="K846" s="88"/>
    </row>
    <row r="847" spans="2:11" x14ac:dyDescent="0.3">
      <c r="B847" s="82"/>
      <c r="C847" s="86" t="s">
        <v>130</v>
      </c>
      <c r="D847" s="86"/>
      <c r="E847" s="86"/>
      <c r="F847" s="86"/>
      <c r="G847" s="86"/>
      <c r="H847" s="86"/>
      <c r="I847" s="86"/>
      <c r="J847" s="251" t="str">
        <f>'Baseline PHP'!J60</f>
        <v>Not Calculated</v>
      </c>
      <c r="K847" s="88"/>
    </row>
    <row r="848" spans="2:11" x14ac:dyDescent="0.3">
      <c r="B848" s="82"/>
      <c r="C848" s="86"/>
      <c r="D848" s="86"/>
      <c r="E848" s="86"/>
      <c r="F848" s="86"/>
      <c r="G848" s="86"/>
      <c r="H848" s="86"/>
      <c r="I848" s="86"/>
      <c r="J848" s="86"/>
      <c r="K848" s="88"/>
    </row>
    <row r="849" spans="2:11" ht="15.6" x14ac:dyDescent="0.3">
      <c r="B849" s="82"/>
      <c r="C849" s="213" t="s">
        <v>741</v>
      </c>
      <c r="D849" s="86"/>
      <c r="E849" s="86"/>
      <c r="F849" s="86"/>
      <c r="G849" s="86"/>
      <c r="H849" s="86"/>
      <c r="I849" s="86"/>
      <c r="J849" s="86"/>
      <c r="K849" s="88"/>
    </row>
    <row r="850" spans="2:11" ht="15" customHeight="1" x14ac:dyDescent="0.3">
      <c r="B850" s="82"/>
      <c r="C850" s="86" t="s">
        <v>400</v>
      </c>
      <c r="D850" s="86"/>
      <c r="E850" s="86"/>
      <c r="F850" s="86"/>
      <c r="G850" s="350" t="s">
        <v>254</v>
      </c>
      <c r="H850" s="351"/>
      <c r="I850" s="86"/>
      <c r="J850" s="84">
        <f>IF(G850=$B$998,$A$998,IF(G850=$B$999,$A$999,IF(G850=$B$1000,$A$1000,IF(G850=$B$1001,$A$1001,IF(G850=$B$1002,$A$1002,"Not Calculated")))))</f>
        <v>2</v>
      </c>
      <c r="K850" s="88"/>
    </row>
    <row r="851" spans="2:11" x14ac:dyDescent="0.3">
      <c r="B851" s="82"/>
      <c r="C851" s="86" t="s">
        <v>130</v>
      </c>
      <c r="D851" s="86"/>
      <c r="E851" s="86"/>
      <c r="F851" s="86"/>
      <c r="G851" s="86"/>
      <c r="H851" s="86"/>
      <c r="I851" s="86"/>
      <c r="J851" s="251" t="str">
        <f>'Baseline PHP'!J76</f>
        <v>Not Calculated</v>
      </c>
      <c r="K851" s="88"/>
    </row>
    <row r="852" spans="2:11" x14ac:dyDescent="0.3">
      <c r="B852" s="82"/>
      <c r="C852" s="86"/>
      <c r="D852" s="86"/>
      <c r="E852" s="86"/>
      <c r="F852" s="86"/>
      <c r="G852" s="86"/>
      <c r="H852" s="86"/>
      <c r="I852" s="86"/>
      <c r="J852" s="86"/>
      <c r="K852" s="88"/>
    </row>
    <row r="853" spans="2:11" ht="15.6" x14ac:dyDescent="0.3">
      <c r="B853" s="82"/>
      <c r="C853" s="213" t="s">
        <v>740</v>
      </c>
      <c r="D853" s="86"/>
      <c r="E853" s="86"/>
      <c r="F853" s="86"/>
      <c r="G853" s="86"/>
      <c r="H853" s="86"/>
      <c r="I853" s="86"/>
      <c r="J853" s="86"/>
      <c r="K853" s="88"/>
    </row>
    <row r="854" spans="2:11" x14ac:dyDescent="0.3">
      <c r="B854" s="82"/>
      <c r="C854" s="86" t="s">
        <v>400</v>
      </c>
      <c r="D854" s="86"/>
      <c r="E854" s="86"/>
      <c r="F854" s="86"/>
      <c r="G854" s="350" t="s">
        <v>253</v>
      </c>
      <c r="H854" s="351"/>
      <c r="I854" s="86"/>
      <c r="J854" s="84">
        <f>IF(G854=$B$998,$A$998,IF(G854=$B$999,$A$999,IF(G854=$B$1000,$A$1000,IF(G854=$B$1001,$A$1001,IF(G854=$B$1002,$A$1002,"Not Calculated")))))</f>
        <v>4</v>
      </c>
      <c r="K854" s="88"/>
    </row>
    <row r="855" spans="2:11" x14ac:dyDescent="0.3">
      <c r="B855" s="82"/>
      <c r="C855" s="86" t="s">
        <v>130</v>
      </c>
      <c r="D855" s="86"/>
      <c r="E855" s="86"/>
      <c r="F855" s="86"/>
      <c r="G855" s="86"/>
      <c r="H855" s="86"/>
      <c r="I855" s="86"/>
      <c r="J855" s="251" t="str">
        <f>'Baseline PHP'!J88</f>
        <v>Not Calculated</v>
      </c>
      <c r="K855" s="88"/>
    </row>
    <row r="856" spans="2:11" x14ac:dyDescent="0.3">
      <c r="B856" s="82"/>
      <c r="C856" s="86"/>
      <c r="D856" s="86"/>
      <c r="E856" s="86"/>
      <c r="F856" s="86"/>
      <c r="G856" s="86"/>
      <c r="H856" s="86"/>
      <c r="I856" s="86"/>
      <c r="J856" s="86"/>
      <c r="K856" s="88"/>
    </row>
    <row r="857" spans="2:11" ht="15.6" x14ac:dyDescent="0.3">
      <c r="B857" s="82"/>
      <c r="C857" s="213" t="s">
        <v>110</v>
      </c>
      <c r="D857" s="86"/>
      <c r="E857" s="86"/>
      <c r="F857" s="86"/>
      <c r="G857" s="86"/>
      <c r="H857" s="86"/>
      <c r="I857" s="86"/>
      <c r="J857" s="86"/>
      <c r="K857" s="88"/>
    </row>
    <row r="858" spans="2:11" x14ac:dyDescent="0.3">
      <c r="B858" s="82"/>
      <c r="C858" s="86" t="s">
        <v>400</v>
      </c>
      <c r="D858" s="86"/>
      <c r="E858" s="86"/>
      <c r="F858" s="86"/>
      <c r="G858" s="350" t="s">
        <v>256</v>
      </c>
      <c r="H858" s="351"/>
      <c r="I858" s="86"/>
      <c r="J858" s="84">
        <f>IF(G858=$B$998,$A$998,IF(G858=$B$999,$A$999,IF(G858=$B$1000,$A$1000,IF(G858=$B$1001,$A$1001,IF(G858=$B$1002,$A$1002,"Not Calculated")))))</f>
        <v>1</v>
      </c>
      <c r="K858" s="88"/>
    </row>
    <row r="859" spans="2:11" x14ac:dyDescent="0.3">
      <c r="B859" s="82"/>
      <c r="C859" s="86" t="s">
        <v>130</v>
      </c>
      <c r="D859" s="86"/>
      <c r="E859" s="86"/>
      <c r="F859" s="86"/>
      <c r="G859" s="86"/>
      <c r="H859" s="86"/>
      <c r="I859" s="86"/>
      <c r="J859" s="251" t="str">
        <f>'Baseline PHP'!J102</f>
        <v>Not Calculated</v>
      </c>
      <c r="K859" s="88"/>
    </row>
    <row r="860" spans="2:11" x14ac:dyDescent="0.3">
      <c r="B860" s="82"/>
      <c r="C860" s="86"/>
      <c r="D860" s="86"/>
      <c r="E860" s="86"/>
      <c r="F860" s="86"/>
      <c r="G860" s="86"/>
      <c r="H860" s="86"/>
      <c r="I860" s="86"/>
      <c r="J860" s="86"/>
      <c r="K860" s="88"/>
    </row>
    <row r="861" spans="2:11" ht="15.6" x14ac:dyDescent="0.3">
      <c r="B861" s="82"/>
      <c r="C861" s="213" t="s">
        <v>742</v>
      </c>
      <c r="D861" s="86"/>
      <c r="E861" s="86"/>
      <c r="F861" s="86"/>
      <c r="G861" s="86"/>
      <c r="H861" s="86"/>
      <c r="I861" s="86"/>
      <c r="J861" s="86"/>
      <c r="K861" s="88"/>
    </row>
    <row r="862" spans="2:11" x14ac:dyDescent="0.3">
      <c r="B862" s="82"/>
      <c r="C862" s="86" t="s">
        <v>400</v>
      </c>
      <c r="D862" s="86"/>
      <c r="E862" s="86"/>
      <c r="F862" s="86"/>
      <c r="G862" s="350" t="s">
        <v>255</v>
      </c>
      <c r="H862" s="351"/>
      <c r="I862" s="86"/>
      <c r="J862" s="84">
        <f>IF(G862=$B$998,$A$998,IF(G862=$B$999,$A$999,IF(G862=$B$1000,$A$1000,IF(G862=$B$1001,$A$1001,IF(G862=$B$1002,$A$1002,"Not Calculated")))))</f>
        <v>0</v>
      </c>
      <c r="K862" s="88"/>
    </row>
    <row r="863" spans="2:11" x14ac:dyDescent="0.3">
      <c r="B863" s="82"/>
      <c r="C863" s="86" t="s">
        <v>130</v>
      </c>
      <c r="D863" s="86"/>
      <c r="E863" s="86"/>
      <c r="F863" s="86"/>
      <c r="G863" s="86"/>
      <c r="H863" s="86"/>
      <c r="I863" s="86"/>
      <c r="J863" s="251" t="str">
        <f>'Baseline PHP'!J118</f>
        <v>Not Calculated</v>
      </c>
      <c r="K863" s="88"/>
    </row>
    <row r="864" spans="2:11" x14ac:dyDescent="0.3">
      <c r="B864" s="82"/>
      <c r="C864" s="86"/>
      <c r="D864" s="86"/>
      <c r="E864" s="86"/>
      <c r="F864" s="86"/>
      <c r="G864" s="86"/>
      <c r="H864" s="86"/>
      <c r="I864" s="86"/>
      <c r="J864" s="86"/>
      <c r="K864" s="88"/>
    </row>
    <row r="865" spans="2:11" ht="15.6" x14ac:dyDescent="0.3">
      <c r="B865" s="82"/>
      <c r="C865" s="213" t="s">
        <v>749</v>
      </c>
      <c r="D865" s="86"/>
      <c r="E865" s="86"/>
      <c r="F865" s="86"/>
      <c r="G865" s="86"/>
      <c r="H865" s="86"/>
      <c r="I865" s="86"/>
      <c r="J865" s="86"/>
      <c r="K865" s="88"/>
    </row>
    <row r="866" spans="2:11" x14ac:dyDescent="0.3">
      <c r="B866" s="82"/>
      <c r="C866" s="86" t="s">
        <v>400</v>
      </c>
      <c r="D866" s="86"/>
      <c r="E866" s="86"/>
      <c r="F866" s="86"/>
      <c r="G866" s="350" t="s">
        <v>254</v>
      </c>
      <c r="H866" s="351"/>
      <c r="I866" s="86"/>
      <c r="J866" s="84">
        <f>IF(G866=$B$998,$A$998,IF(G866=$B$999,$A$999,IF(G866=$B$1000,$A$1000,IF(G866=$B$1001,$A$1001,IF(G866=$B$1002,$A$1002,"Not Calculated")))))</f>
        <v>2</v>
      </c>
      <c r="K866" s="88"/>
    </row>
    <row r="867" spans="2:11" x14ac:dyDescent="0.3">
      <c r="B867" s="82"/>
      <c r="C867" s="86" t="s">
        <v>130</v>
      </c>
      <c r="D867" s="86"/>
      <c r="E867" s="86"/>
      <c r="F867" s="86"/>
      <c r="G867" s="86"/>
      <c r="H867" s="86"/>
      <c r="I867" s="86"/>
      <c r="J867" s="251" t="str">
        <f>'Baseline PHP'!J136</f>
        <v>Not Calculated</v>
      </c>
      <c r="K867" s="88"/>
    </row>
    <row r="868" spans="2:11" x14ac:dyDescent="0.3">
      <c r="B868" s="82"/>
      <c r="C868" s="86"/>
      <c r="D868" s="86"/>
      <c r="E868" s="86"/>
      <c r="F868" s="86"/>
      <c r="G868" s="86"/>
      <c r="H868" s="86"/>
      <c r="I868" s="86"/>
      <c r="J868" s="86"/>
      <c r="K868" s="88"/>
    </row>
    <row r="869" spans="2:11" ht="15.6" x14ac:dyDescent="0.3">
      <c r="B869" s="82"/>
      <c r="C869" s="213" t="s">
        <v>116</v>
      </c>
      <c r="D869" s="86"/>
      <c r="E869" s="86"/>
      <c r="F869" s="86"/>
      <c r="G869" s="86"/>
      <c r="H869" s="86"/>
      <c r="I869" s="86"/>
      <c r="J869" s="86"/>
      <c r="K869" s="88"/>
    </row>
    <row r="870" spans="2:11" x14ac:dyDescent="0.3">
      <c r="B870" s="82"/>
      <c r="C870" s="86" t="s">
        <v>400</v>
      </c>
      <c r="D870" s="86"/>
      <c r="E870" s="86"/>
      <c r="F870" s="86"/>
      <c r="G870" s="350" t="s">
        <v>256</v>
      </c>
      <c r="H870" s="351"/>
      <c r="I870" s="86"/>
      <c r="J870" s="84">
        <f>IF(G870=$B$998,$A$998,IF(G870=$B$999,$A$999,IF(G870=$B$1000,$A$1000,IF(G870=$B$1001,$A$1001,IF(G870=$B$1002,$A$1002,"Not Calculated")))))</f>
        <v>1</v>
      </c>
      <c r="K870" s="88"/>
    </row>
    <row r="871" spans="2:11" x14ac:dyDescent="0.3">
      <c r="B871" s="82"/>
      <c r="C871" s="86" t="s">
        <v>130</v>
      </c>
      <c r="D871" s="86"/>
      <c r="E871" s="86"/>
      <c r="F871" s="86"/>
      <c r="G871" s="86"/>
      <c r="H871" s="86"/>
      <c r="I871" s="86"/>
      <c r="J871" s="251" t="str">
        <f>'Baseline PHP'!J150</f>
        <v>Not Calculated</v>
      </c>
      <c r="K871" s="88"/>
    </row>
    <row r="872" spans="2:11" x14ac:dyDescent="0.3">
      <c r="B872" s="82"/>
      <c r="C872" s="86"/>
      <c r="D872" s="86"/>
      <c r="E872" s="86"/>
      <c r="F872" s="86"/>
      <c r="G872" s="86"/>
      <c r="H872" s="86"/>
      <c r="I872" s="86"/>
      <c r="J872" s="86"/>
      <c r="K872" s="88"/>
    </row>
    <row r="873" spans="2:11" ht="15.6" x14ac:dyDescent="0.3">
      <c r="B873" s="82"/>
      <c r="C873" s="213" t="s">
        <v>750</v>
      </c>
      <c r="D873" s="86"/>
      <c r="E873" s="86"/>
      <c r="F873" s="86"/>
      <c r="G873" s="86"/>
      <c r="H873" s="86"/>
      <c r="I873" s="86"/>
      <c r="J873" s="86"/>
      <c r="K873" s="88"/>
    </row>
    <row r="874" spans="2:11" x14ac:dyDescent="0.3">
      <c r="B874" s="82"/>
      <c r="C874" s="86" t="s">
        <v>400</v>
      </c>
      <c r="D874" s="86"/>
      <c r="E874" s="86"/>
      <c r="F874" s="86"/>
      <c r="G874" s="350" t="s">
        <v>255</v>
      </c>
      <c r="H874" s="351"/>
      <c r="I874" s="86"/>
      <c r="J874" s="84">
        <f>IF(G874=$B$998,$A$998,IF(G874=$B$999,$A$999,IF(G874=$B$1000,$A$1000,IF(G874=$B$1001,$A$1001,IF(G874=$B$1002,$A$1002,"Not Calculated")))))</f>
        <v>0</v>
      </c>
      <c r="K874" s="88"/>
    </row>
    <row r="875" spans="2:11" x14ac:dyDescent="0.3">
      <c r="B875" s="82"/>
      <c r="C875" s="86" t="s">
        <v>130</v>
      </c>
      <c r="D875" s="86"/>
      <c r="E875" s="86"/>
      <c r="F875" s="86"/>
      <c r="G875" s="86"/>
      <c r="H875" s="86"/>
      <c r="I875" s="86"/>
      <c r="J875" s="251" t="str">
        <f>'Baseline PHP'!J164</f>
        <v>Not Calculated</v>
      </c>
      <c r="K875" s="88"/>
    </row>
    <row r="876" spans="2:11" x14ac:dyDescent="0.3">
      <c r="B876" s="82"/>
      <c r="C876" s="86"/>
      <c r="D876" s="86"/>
      <c r="E876" s="86"/>
      <c r="F876" s="86"/>
      <c r="G876" s="86"/>
      <c r="H876" s="86"/>
      <c r="I876" s="86"/>
      <c r="J876" s="86"/>
      <c r="K876" s="88"/>
    </row>
    <row r="877" spans="2:11" ht="15.6" x14ac:dyDescent="0.3">
      <c r="B877" s="82"/>
      <c r="C877" s="213" t="s">
        <v>743</v>
      </c>
      <c r="D877" s="86"/>
      <c r="E877" s="86"/>
      <c r="F877" s="86"/>
      <c r="G877" s="86"/>
      <c r="H877" s="86"/>
      <c r="I877" s="86"/>
      <c r="J877" s="86"/>
      <c r="K877" s="88"/>
    </row>
    <row r="878" spans="2:11" x14ac:dyDescent="0.3">
      <c r="B878" s="82"/>
      <c r="C878" s="86" t="s">
        <v>400</v>
      </c>
      <c r="D878" s="86"/>
      <c r="E878" s="86"/>
      <c r="F878" s="86"/>
      <c r="G878" s="350" t="s">
        <v>255</v>
      </c>
      <c r="H878" s="351"/>
      <c r="I878" s="86"/>
      <c r="J878" s="84">
        <f>IF(G878=$B$998,$A$998,IF(G878=$B$999,$A$999,IF(G878=$B$1000,$A$1000,IF(G878=$B$1001,$A$1001,IF(G878=$B$1002,$A$1002,"Not Calculated")))))</f>
        <v>0</v>
      </c>
      <c r="K878" s="88"/>
    </row>
    <row r="879" spans="2:11" x14ac:dyDescent="0.3">
      <c r="B879" s="82"/>
      <c r="C879" s="86" t="s">
        <v>130</v>
      </c>
      <c r="D879" s="86"/>
      <c r="E879" s="86"/>
      <c r="F879" s="86"/>
      <c r="G879" s="86"/>
      <c r="H879" s="86"/>
      <c r="I879" s="86"/>
      <c r="J879" s="251" t="str">
        <f>'Baseline PHP'!J180</f>
        <v>Not Calculated</v>
      </c>
      <c r="K879" s="88"/>
    </row>
    <row r="880" spans="2:11" x14ac:dyDescent="0.3">
      <c r="B880" s="82"/>
      <c r="C880" s="86"/>
      <c r="D880" s="86"/>
      <c r="E880" s="86"/>
      <c r="F880" s="86"/>
      <c r="G880" s="86"/>
      <c r="H880" s="86"/>
      <c r="I880" s="86"/>
      <c r="J880" s="86"/>
      <c r="K880" s="88"/>
    </row>
    <row r="881" spans="2:11" ht="15.6" x14ac:dyDescent="0.3">
      <c r="B881" s="82"/>
      <c r="C881" s="213" t="s">
        <v>744</v>
      </c>
      <c r="D881" s="86"/>
      <c r="E881" s="86"/>
      <c r="F881" s="86"/>
      <c r="G881" s="86"/>
      <c r="H881" s="86"/>
      <c r="I881" s="86"/>
      <c r="J881" s="86"/>
      <c r="K881" s="88"/>
    </row>
    <row r="882" spans="2:11" x14ac:dyDescent="0.3">
      <c r="B882" s="82"/>
      <c r="C882" s="86" t="s">
        <v>400</v>
      </c>
      <c r="D882" s="86"/>
      <c r="E882" s="86"/>
      <c r="F882" s="86"/>
      <c r="G882" s="350" t="s">
        <v>256</v>
      </c>
      <c r="H882" s="351"/>
      <c r="I882" s="86"/>
      <c r="J882" s="84">
        <f>IF(G882=$B$998,$A$998,IF(G882=$B$999,$A$999,IF(G882=$B$1000,$A$1000,IF(G882=$B$1001,$A$1001,IF(G882=$B$1002,$A$1002,"Not Calculated")))))</f>
        <v>1</v>
      </c>
      <c r="K882" s="88"/>
    </row>
    <row r="883" spans="2:11" x14ac:dyDescent="0.3">
      <c r="B883" s="82"/>
      <c r="C883" s="86" t="s">
        <v>130</v>
      </c>
      <c r="D883" s="86"/>
      <c r="E883" s="86"/>
      <c r="F883" s="86"/>
      <c r="G883" s="86"/>
      <c r="H883" s="86"/>
      <c r="I883" s="86"/>
      <c r="J883" s="251" t="str">
        <f>'Baseline PHP'!J194</f>
        <v>Not Calculated</v>
      </c>
      <c r="K883" s="88"/>
    </row>
    <row r="884" spans="2:11" x14ac:dyDescent="0.3">
      <c r="B884" s="82"/>
      <c r="C884" s="86"/>
      <c r="D884" s="86"/>
      <c r="E884" s="86"/>
      <c r="F884" s="86"/>
      <c r="G884" s="86"/>
      <c r="H884" s="86"/>
      <c r="I884" s="86"/>
      <c r="J884" s="86"/>
      <c r="K884" s="88"/>
    </row>
    <row r="885" spans="2:11" ht="15.6" x14ac:dyDescent="0.3">
      <c r="B885" s="82"/>
      <c r="C885" s="213" t="s">
        <v>745</v>
      </c>
      <c r="D885" s="86"/>
      <c r="E885" s="86"/>
      <c r="F885" s="86"/>
      <c r="G885" s="86"/>
      <c r="H885" s="86"/>
      <c r="I885" s="86"/>
      <c r="J885" s="86"/>
      <c r="K885" s="88"/>
    </row>
    <row r="886" spans="2:11" x14ac:dyDescent="0.3">
      <c r="B886" s="82"/>
      <c r="C886" s="86" t="s">
        <v>400</v>
      </c>
      <c r="D886" s="86"/>
      <c r="E886" s="86"/>
      <c r="F886" s="86"/>
      <c r="G886" s="350" t="s">
        <v>256</v>
      </c>
      <c r="H886" s="351"/>
      <c r="I886" s="86"/>
      <c r="J886" s="84">
        <f>IF(G886=$B$998,$A$998,IF(G886=$B$999,$A$999,IF(G886=$B$1000,$A$1000,IF(G886=$B$1001,$A$1001,IF(G886=$B$1002,$A$1002,"Not Calculated")))))</f>
        <v>1</v>
      </c>
      <c r="K886" s="88"/>
    </row>
    <row r="887" spans="2:11" x14ac:dyDescent="0.3">
      <c r="B887" s="82"/>
      <c r="C887" s="86" t="s">
        <v>130</v>
      </c>
      <c r="D887" s="86"/>
      <c r="E887" s="86"/>
      <c r="F887" s="86"/>
      <c r="G887" s="86"/>
      <c r="H887" s="86"/>
      <c r="I887" s="86"/>
      <c r="J887" s="251" t="str">
        <f>'Baseline PHP'!J208</f>
        <v>Not Calculated</v>
      </c>
      <c r="K887" s="88"/>
    </row>
    <row r="888" spans="2:11" x14ac:dyDescent="0.3">
      <c r="B888" s="82"/>
      <c r="C888" s="86"/>
      <c r="D888" s="86"/>
      <c r="E888" s="86"/>
      <c r="F888" s="86"/>
      <c r="G888" s="86"/>
      <c r="H888" s="86"/>
      <c r="I888" s="86"/>
      <c r="J888" s="86"/>
      <c r="K888" s="88"/>
    </row>
    <row r="889" spans="2:11" ht="15.6" x14ac:dyDescent="0.3">
      <c r="B889" s="82"/>
      <c r="C889" s="213" t="s">
        <v>746</v>
      </c>
      <c r="D889" s="86"/>
      <c r="E889" s="86"/>
      <c r="F889" s="86"/>
      <c r="G889" s="86"/>
      <c r="H889" s="86"/>
      <c r="I889" s="86"/>
      <c r="J889" s="86"/>
      <c r="K889" s="88"/>
    </row>
    <row r="890" spans="2:11" x14ac:dyDescent="0.3">
      <c r="B890" s="82"/>
      <c r="C890" s="86" t="s">
        <v>400</v>
      </c>
      <c r="D890" s="86"/>
      <c r="E890" s="86"/>
      <c r="F890" s="86"/>
      <c r="G890" s="350" t="s">
        <v>256</v>
      </c>
      <c r="H890" s="351"/>
      <c r="I890" s="86"/>
      <c r="J890" s="84">
        <f>IF(G890=$B$998,$A$998,IF(G890=$B$999,$A$999,IF(G890=$B$1000,$A$1000,IF(G890=$B$1001,$A$1001,IF(G890=$B$1002,$A$1002,"Not Calculated")))))</f>
        <v>1</v>
      </c>
      <c r="K890" s="88"/>
    </row>
    <row r="891" spans="2:11" x14ac:dyDescent="0.3">
      <c r="B891" s="82"/>
      <c r="C891" s="86" t="s">
        <v>130</v>
      </c>
      <c r="D891" s="86"/>
      <c r="E891" s="86"/>
      <c r="F891" s="86"/>
      <c r="G891" s="86"/>
      <c r="H891" s="86"/>
      <c r="I891" s="86"/>
      <c r="J891" s="251" t="str">
        <f>'Baseline PHP'!J222</f>
        <v>Not Calculated</v>
      </c>
      <c r="K891" s="88"/>
    </row>
    <row r="892" spans="2:11" x14ac:dyDescent="0.3">
      <c r="B892" s="82"/>
      <c r="C892" s="86"/>
      <c r="D892" s="86"/>
      <c r="E892" s="86"/>
      <c r="F892" s="86"/>
      <c r="G892" s="86"/>
      <c r="H892" s="86"/>
      <c r="I892" s="86"/>
      <c r="J892" s="86"/>
      <c r="K892" s="88"/>
    </row>
    <row r="893" spans="2:11" x14ac:dyDescent="0.3">
      <c r="B893" s="82"/>
      <c r="C893" s="86"/>
      <c r="D893" s="86"/>
      <c r="E893" s="86"/>
      <c r="F893" s="86"/>
      <c r="G893" s="86"/>
      <c r="H893" s="86"/>
      <c r="I893" s="86"/>
      <c r="J893" s="86"/>
      <c r="K893" s="88"/>
    </row>
    <row r="894" spans="2:11" ht="15.6" x14ac:dyDescent="0.3">
      <c r="B894" s="82"/>
      <c r="C894" s="214" t="s">
        <v>942</v>
      </c>
      <c r="D894" s="86"/>
      <c r="E894" s="86"/>
      <c r="F894" s="86"/>
      <c r="G894" s="86"/>
      <c r="H894" s="86"/>
      <c r="I894" s="86"/>
      <c r="J894" s="252" t="str">
        <f>IF(OR(J854="Not Calculated",J858="Not Calculated",J862="Not Calculated",J866="Not Calculated",J870="Not Calculated",J874="Not Calculated",J878="Not Calculated",J882="Not Calculated",J886="Not Calculated",J890="Not Calculated",J834="Not Calculated",J838="Not Calculated",J842="Not Calculated",J846="Not Calculated",J850="Not Calculated",J855="Not Calculated",J859="Not Calculated",J863="Not Calculated",J867="Not Calculated",J871="Not Calculated",J875="Not Calculated",J879="Not Calculated",J883="Not Calculated",J887="Not Calculated",J891="Not Calculated",J835="Not Calculated",J839="Not Calculated",J843="Not Calculated",J847="Not Calculated",J851="Not Calculated")=TRUE,"Not Calculated",((J834*J835)+(J838*J839)+(J842*J843)+(J846*J847)+(J850*J851)+(J854*J855)+(J858*J859)+(J862*J863)+(J866*J867)+(J870*J871)+(J874*J875)+(J878*J879)+(J882*J883)+(J886*J887)+(J890*J891))/(J834+J838+J842+J846+J850+J854+J858+J862+J866+J870+J874+J878+J882+J886+J890))</f>
        <v>Not Calculated</v>
      </c>
      <c r="K894" s="88"/>
    </row>
    <row r="895" spans="2:11" ht="15" thickBot="1" x14ac:dyDescent="0.35">
      <c r="B895" s="215"/>
      <c r="C895" s="95"/>
      <c r="D895" s="95"/>
      <c r="E895" s="95"/>
      <c r="F895" s="95"/>
      <c r="G895" s="95"/>
      <c r="H895" s="95"/>
      <c r="I895" s="95"/>
      <c r="J895" s="95"/>
      <c r="K895" s="97"/>
    </row>
    <row r="896" spans="2:11" ht="15" thickBot="1" x14ac:dyDescent="0.35"/>
    <row r="897" spans="2:11" x14ac:dyDescent="0.3">
      <c r="B897" s="78"/>
      <c r="C897" s="79"/>
      <c r="D897" s="79"/>
      <c r="E897" s="79"/>
      <c r="F897" s="79"/>
      <c r="G897" s="79"/>
      <c r="H897" s="79"/>
      <c r="I897" s="79"/>
      <c r="J897" s="79"/>
      <c r="K897" s="81"/>
    </row>
    <row r="898" spans="2:11" ht="20.399999999999999" x14ac:dyDescent="0.35">
      <c r="B898" s="82"/>
      <c r="C898" s="86"/>
      <c r="D898" s="86"/>
      <c r="E898" s="86"/>
      <c r="F898" s="86"/>
      <c r="G898" s="212" t="s">
        <v>936</v>
      </c>
      <c r="H898" s="86"/>
      <c r="I898" s="86"/>
      <c r="J898" s="86"/>
      <c r="K898" s="88"/>
    </row>
    <row r="899" spans="2:11" x14ac:dyDescent="0.3">
      <c r="B899" s="82"/>
      <c r="C899" s="86"/>
      <c r="D899" s="86"/>
      <c r="E899" s="86"/>
      <c r="F899" s="86"/>
      <c r="G899" s="86"/>
      <c r="H899" s="86"/>
      <c r="I899" s="86"/>
      <c r="J899" s="86"/>
      <c r="K899" s="88"/>
    </row>
    <row r="900" spans="2:11" ht="15" customHeight="1" x14ac:dyDescent="0.3">
      <c r="B900" s="82"/>
      <c r="C900" s="368" t="s">
        <v>938</v>
      </c>
      <c r="D900" s="368"/>
      <c r="E900" s="368"/>
      <c r="F900" s="368"/>
      <c r="G900" s="368"/>
      <c r="H900" s="368"/>
      <c r="I900" s="368"/>
      <c r="J900" s="368"/>
      <c r="K900" s="88"/>
    </row>
    <row r="901" spans="2:11" x14ac:dyDescent="0.3">
      <c r="B901" s="82"/>
      <c r="C901" s="368"/>
      <c r="D901" s="368"/>
      <c r="E901" s="368"/>
      <c r="F901" s="368"/>
      <c r="G901" s="368"/>
      <c r="H901" s="368"/>
      <c r="I901" s="368"/>
      <c r="J901" s="368"/>
      <c r="K901" s="88"/>
    </row>
    <row r="902" spans="2:11" x14ac:dyDescent="0.3">
      <c r="B902" s="82"/>
      <c r="C902" s="86"/>
      <c r="D902" s="86"/>
      <c r="E902" s="86"/>
      <c r="F902" s="86"/>
      <c r="G902" s="86"/>
      <c r="H902" s="86"/>
      <c r="I902" s="86"/>
      <c r="J902" s="86"/>
      <c r="K902" s="88"/>
    </row>
    <row r="903" spans="2:11" ht="15.6" x14ac:dyDescent="0.3">
      <c r="B903" s="82"/>
      <c r="C903" s="213" t="s">
        <v>939</v>
      </c>
      <c r="D903" s="86"/>
      <c r="E903" s="86"/>
      <c r="F903" s="86"/>
      <c r="G903" s="86"/>
      <c r="H903" s="86"/>
      <c r="I903" s="86"/>
      <c r="J903" s="86"/>
      <c r="K903" s="88"/>
    </row>
    <row r="904" spans="2:11" x14ac:dyDescent="0.3">
      <c r="B904" s="82"/>
      <c r="C904" s="86" t="s">
        <v>400</v>
      </c>
      <c r="D904" s="86"/>
      <c r="E904" s="86"/>
      <c r="F904" s="86"/>
      <c r="G904" s="350" t="s">
        <v>253</v>
      </c>
      <c r="H904" s="351"/>
      <c r="I904" s="86"/>
      <c r="J904" s="84">
        <f>IF(G904=$B$998,$A$998,IF(G904=$B$999,$A$999,IF(G904=$B$1000,$A$1000,IF(G904=$B$1001,$A$1001,IF(G904=$B$1002,$A$1002,"Not Calculated")))))</f>
        <v>4</v>
      </c>
      <c r="K904" s="88"/>
    </row>
    <row r="905" spans="2:11" x14ac:dyDescent="0.3">
      <c r="B905" s="82"/>
      <c r="C905" s="86" t="s">
        <v>130</v>
      </c>
      <c r="D905" s="86"/>
      <c r="E905" s="86"/>
      <c r="F905" s="86"/>
      <c r="G905" s="86"/>
      <c r="H905" s="86"/>
      <c r="I905" s="86"/>
      <c r="J905" s="251" t="str">
        <f>'Baseline HP'!J22</f>
        <v>Not Calculated</v>
      </c>
      <c r="K905" s="88"/>
    </row>
    <row r="906" spans="2:11" x14ac:dyDescent="0.3">
      <c r="B906" s="82"/>
      <c r="C906" s="86"/>
      <c r="D906" s="86"/>
      <c r="E906" s="86"/>
      <c r="F906" s="86"/>
      <c r="G906" s="86"/>
      <c r="H906" s="86"/>
      <c r="I906" s="86"/>
      <c r="J906" s="86"/>
      <c r="K906" s="88"/>
    </row>
    <row r="907" spans="2:11" ht="15.6" x14ac:dyDescent="0.3">
      <c r="B907" s="82"/>
      <c r="C907" s="213" t="s">
        <v>940</v>
      </c>
      <c r="D907" s="86"/>
      <c r="E907" s="86"/>
      <c r="F907" s="86"/>
      <c r="G907" s="86"/>
      <c r="H907" s="86"/>
      <c r="I907" s="86"/>
      <c r="J907" s="86"/>
      <c r="K907" s="88"/>
    </row>
    <row r="908" spans="2:11" x14ac:dyDescent="0.3">
      <c r="B908" s="82"/>
      <c r="C908" s="86" t="s">
        <v>400</v>
      </c>
      <c r="D908" s="86"/>
      <c r="E908" s="86"/>
      <c r="F908" s="86"/>
      <c r="G908" s="350" t="s">
        <v>257</v>
      </c>
      <c r="H908" s="351"/>
      <c r="I908" s="86"/>
      <c r="J908" s="84">
        <f>IF(G908=$B$998,$A$998,IF(G908=$B$999,$A$999,IF(G908=$B$1000,$A$1000,IF(G908=$B$1001,$A$1001,IF(G908=$B$1002,$A$1002,"Not Calculated")))))</f>
        <v>3</v>
      </c>
      <c r="K908" s="88"/>
    </row>
    <row r="909" spans="2:11" x14ac:dyDescent="0.3">
      <c r="B909" s="82"/>
      <c r="C909" s="86" t="s">
        <v>130</v>
      </c>
      <c r="D909" s="86"/>
      <c r="E909" s="86"/>
      <c r="F909" s="86"/>
      <c r="G909" s="86"/>
      <c r="H909" s="86"/>
      <c r="I909" s="86"/>
      <c r="J909" s="251" t="str">
        <f>'Baseline HP'!J32</f>
        <v>Not Calculated</v>
      </c>
      <c r="K909" s="88"/>
    </row>
    <row r="910" spans="2:11" x14ac:dyDescent="0.3">
      <c r="B910" s="82"/>
      <c r="C910" s="86"/>
      <c r="D910" s="86"/>
      <c r="E910" s="86"/>
      <c r="F910" s="86"/>
      <c r="G910" s="86"/>
      <c r="H910" s="86"/>
      <c r="I910" s="86"/>
      <c r="J910" s="86"/>
      <c r="K910" s="88"/>
    </row>
    <row r="911" spans="2:11" ht="15.6" x14ac:dyDescent="0.3">
      <c r="B911" s="82"/>
      <c r="C911" s="213" t="s">
        <v>738</v>
      </c>
      <c r="D911" s="86"/>
      <c r="E911" s="86"/>
      <c r="F911" s="86"/>
      <c r="G911" s="86"/>
      <c r="H911" s="86"/>
      <c r="I911" s="86"/>
      <c r="J911" s="86"/>
      <c r="K911" s="88"/>
    </row>
    <row r="912" spans="2:11" x14ac:dyDescent="0.3">
      <c r="B912" s="82"/>
      <c r="C912" s="86" t="s">
        <v>400</v>
      </c>
      <c r="D912" s="86"/>
      <c r="E912" s="86"/>
      <c r="F912" s="86"/>
      <c r="G912" s="350" t="s">
        <v>253</v>
      </c>
      <c r="H912" s="351"/>
      <c r="I912" s="86"/>
      <c r="J912" s="84">
        <f>IF(G912=$B$998,$A$998,IF(G912=$B$999,$A$999,IF(G912=$B$1000,$A$1000,IF(G912=$B$1001,$A$1001,IF(G912=$B$1002,$A$1002,"Not Calculated")))))</f>
        <v>4</v>
      </c>
      <c r="K912" s="88"/>
    </row>
    <row r="913" spans="2:11" x14ac:dyDescent="0.3">
      <c r="B913" s="82"/>
      <c r="C913" s="86" t="s">
        <v>130</v>
      </c>
      <c r="D913" s="86"/>
      <c r="E913" s="86"/>
      <c r="F913" s="86"/>
      <c r="G913" s="86"/>
      <c r="H913" s="86"/>
      <c r="I913" s="86"/>
      <c r="J913" s="251" t="str">
        <f>'Baseline HP'!J46</f>
        <v>Not Calculated</v>
      </c>
      <c r="K913" s="88"/>
    </row>
    <row r="914" spans="2:11" x14ac:dyDescent="0.3">
      <c r="B914" s="82"/>
      <c r="C914" s="86"/>
      <c r="D914" s="86"/>
      <c r="E914" s="86"/>
      <c r="F914" s="86"/>
      <c r="G914" s="86"/>
      <c r="H914" s="86"/>
      <c r="I914" s="86"/>
      <c r="J914" s="86"/>
      <c r="K914" s="88"/>
    </row>
    <row r="915" spans="2:11" ht="15.6" x14ac:dyDescent="0.3">
      <c r="B915" s="82"/>
      <c r="C915" s="213" t="s">
        <v>741</v>
      </c>
      <c r="D915" s="86"/>
      <c r="E915" s="86"/>
      <c r="F915" s="86"/>
      <c r="G915" s="86"/>
      <c r="H915" s="86"/>
      <c r="I915" s="86"/>
      <c r="J915" s="86"/>
      <c r="K915" s="88"/>
    </row>
    <row r="916" spans="2:11" ht="15" customHeight="1" x14ac:dyDescent="0.3">
      <c r="B916" s="82"/>
      <c r="C916" s="86" t="s">
        <v>400</v>
      </c>
      <c r="D916" s="86"/>
      <c r="E916" s="86"/>
      <c r="F916" s="86"/>
      <c r="G916" s="350" t="s">
        <v>254</v>
      </c>
      <c r="H916" s="351"/>
      <c r="I916" s="86"/>
      <c r="J916" s="84">
        <f>IF(G916=$B$998,$A$998,IF(G916=$B$999,$A$999,IF(G916=$B$1000,$A$1000,IF(G916=$B$1001,$A$1001,IF(G916=$B$1002,$A$1002,"Not Calculated")))))</f>
        <v>2</v>
      </c>
      <c r="K916" s="88"/>
    </row>
    <row r="917" spans="2:11" x14ac:dyDescent="0.3">
      <c r="B917" s="82"/>
      <c r="C917" s="86" t="s">
        <v>130</v>
      </c>
      <c r="D917" s="86"/>
      <c r="E917" s="86"/>
      <c r="F917" s="86"/>
      <c r="G917" s="86"/>
      <c r="H917" s="86"/>
      <c r="I917" s="86"/>
      <c r="J917" s="251" t="str">
        <f>'Baseline HP'!J58</f>
        <v>Not Calculated</v>
      </c>
      <c r="K917" s="88"/>
    </row>
    <row r="918" spans="2:11" x14ac:dyDescent="0.3">
      <c r="B918" s="82"/>
      <c r="C918" s="86"/>
      <c r="D918" s="86"/>
      <c r="E918" s="86"/>
      <c r="F918" s="86"/>
      <c r="G918" s="86"/>
      <c r="H918" s="86"/>
      <c r="I918" s="86"/>
      <c r="J918" s="86"/>
      <c r="K918" s="88"/>
    </row>
    <row r="919" spans="2:11" ht="15.6" x14ac:dyDescent="0.3">
      <c r="B919" s="82"/>
      <c r="C919" s="213" t="s">
        <v>740</v>
      </c>
      <c r="D919" s="86"/>
      <c r="E919" s="86"/>
      <c r="F919" s="86"/>
      <c r="G919" s="86"/>
      <c r="H919" s="86"/>
      <c r="I919" s="86"/>
      <c r="J919" s="86"/>
      <c r="K919" s="88"/>
    </row>
    <row r="920" spans="2:11" x14ac:dyDescent="0.3">
      <c r="B920" s="82"/>
      <c r="C920" s="86" t="s">
        <v>400</v>
      </c>
      <c r="D920" s="86"/>
      <c r="E920" s="86"/>
      <c r="F920" s="86"/>
      <c r="G920" s="350" t="s">
        <v>253</v>
      </c>
      <c r="H920" s="351"/>
      <c r="I920" s="86"/>
      <c r="J920" s="84">
        <f>IF(G920=$B$998,$A$998,IF(G920=$B$999,$A$999,IF(G920=$B$1000,$A$1000,IF(G920=$B$1001,$A$1001,IF(G920=$B$1002,$A$1002,"Not Calculated")))))</f>
        <v>4</v>
      </c>
      <c r="K920" s="88"/>
    </row>
    <row r="921" spans="2:11" x14ac:dyDescent="0.3">
      <c r="B921" s="82"/>
      <c r="C921" s="86" t="s">
        <v>130</v>
      </c>
      <c r="D921" s="86"/>
      <c r="E921" s="86"/>
      <c r="F921" s="86"/>
      <c r="G921" s="86"/>
      <c r="H921" s="86"/>
      <c r="I921" s="86"/>
      <c r="J921" s="251" t="str">
        <f>'Baseline HP'!J68</f>
        <v>Not Calculated</v>
      </c>
      <c r="K921" s="88"/>
    </row>
    <row r="922" spans="2:11" x14ac:dyDescent="0.3">
      <c r="B922" s="82"/>
      <c r="C922" s="86"/>
      <c r="D922" s="86"/>
      <c r="E922" s="86"/>
      <c r="F922" s="86"/>
      <c r="G922" s="86"/>
      <c r="H922" s="86"/>
      <c r="I922" s="86"/>
      <c r="J922" s="86"/>
      <c r="K922" s="88"/>
    </row>
    <row r="923" spans="2:11" ht="15.6" x14ac:dyDescent="0.3">
      <c r="B923" s="82"/>
      <c r="C923" s="213" t="s">
        <v>116</v>
      </c>
      <c r="D923" s="86"/>
      <c r="E923" s="86"/>
      <c r="F923" s="86"/>
      <c r="G923" s="86"/>
      <c r="H923" s="86"/>
      <c r="I923" s="86"/>
      <c r="J923" s="86"/>
      <c r="K923" s="88"/>
    </row>
    <row r="924" spans="2:11" x14ac:dyDescent="0.3">
      <c r="B924" s="82"/>
      <c r="C924" s="86" t="s">
        <v>400</v>
      </c>
      <c r="D924" s="86"/>
      <c r="E924" s="86"/>
      <c r="F924" s="86"/>
      <c r="G924" s="350" t="s">
        <v>256</v>
      </c>
      <c r="H924" s="351"/>
      <c r="I924" s="86"/>
      <c r="J924" s="84">
        <f>IF(G924=$B$998,$A$998,IF(G924=$B$999,$A$999,IF(G924=$B$1000,$A$1000,IF(G924=$B$1001,$A$1001,IF(G924=$B$1002,$A$1002,"Not Calculated")))))</f>
        <v>1</v>
      </c>
      <c r="K924" s="88"/>
    </row>
    <row r="925" spans="2:11" x14ac:dyDescent="0.3">
      <c r="B925" s="82"/>
      <c r="C925" s="86" t="s">
        <v>130</v>
      </c>
      <c r="D925" s="86"/>
      <c r="E925" s="86"/>
      <c r="F925" s="86"/>
      <c r="G925" s="86"/>
      <c r="H925" s="86"/>
      <c r="I925" s="86"/>
      <c r="J925" s="251" t="str">
        <f>'Baseline HP'!J84</f>
        <v>Not Calculated</v>
      </c>
      <c r="K925" s="88"/>
    </row>
    <row r="926" spans="2:11" x14ac:dyDescent="0.3">
      <c r="B926" s="82"/>
      <c r="C926" s="86"/>
      <c r="D926" s="86"/>
      <c r="E926" s="86"/>
      <c r="F926" s="86"/>
      <c r="G926" s="86"/>
      <c r="H926" s="86"/>
      <c r="I926" s="86"/>
      <c r="J926" s="86"/>
      <c r="K926" s="88"/>
    </row>
    <row r="927" spans="2:11" ht="15.6" x14ac:dyDescent="0.3">
      <c r="B927" s="82"/>
      <c r="C927" s="213" t="s">
        <v>745</v>
      </c>
      <c r="D927" s="86"/>
      <c r="E927" s="86"/>
      <c r="F927" s="86"/>
      <c r="G927" s="86"/>
      <c r="H927" s="86"/>
      <c r="I927" s="86"/>
      <c r="J927" s="86"/>
      <c r="K927" s="88"/>
    </row>
    <row r="928" spans="2:11" x14ac:dyDescent="0.3">
      <c r="B928" s="82"/>
      <c r="C928" s="86" t="s">
        <v>400</v>
      </c>
      <c r="D928" s="86"/>
      <c r="E928" s="86"/>
      <c r="F928" s="86"/>
      <c r="G928" s="350" t="s">
        <v>256</v>
      </c>
      <c r="H928" s="351"/>
      <c r="I928" s="86"/>
      <c r="J928" s="84">
        <f>IF(G928=$B$998,$A$998,IF(G928=$B$999,$A$999,IF(G928=$B$1000,$A$1000,IF(G928=$B$1001,$A$1001,IF(G928=$B$1002,$A$1002,"Not Calculated")))))</f>
        <v>1</v>
      </c>
      <c r="K928" s="88"/>
    </row>
    <row r="929" spans="2:11" x14ac:dyDescent="0.3">
      <c r="B929" s="82"/>
      <c r="C929" s="86" t="s">
        <v>130</v>
      </c>
      <c r="D929" s="86"/>
      <c r="E929" s="86"/>
      <c r="F929" s="86"/>
      <c r="G929" s="86"/>
      <c r="H929" s="86"/>
      <c r="I929" s="86"/>
      <c r="J929" s="251" t="str">
        <f>'Baseline HP'!J94</f>
        <v>Not Calculated</v>
      </c>
      <c r="K929" s="88"/>
    </row>
    <row r="930" spans="2:11" x14ac:dyDescent="0.3">
      <c r="B930" s="82"/>
      <c r="C930" s="86"/>
      <c r="D930" s="86"/>
      <c r="E930" s="86"/>
      <c r="F930" s="86"/>
      <c r="G930" s="86"/>
      <c r="H930" s="86"/>
      <c r="I930" s="86"/>
      <c r="J930" s="86"/>
      <c r="K930" s="88"/>
    </row>
    <row r="931" spans="2:11" ht="15.6" x14ac:dyDescent="0.3">
      <c r="B931" s="82"/>
      <c r="C931" s="213" t="s">
        <v>746</v>
      </c>
      <c r="D931" s="86"/>
      <c r="E931" s="86"/>
      <c r="F931" s="86"/>
      <c r="G931" s="86"/>
      <c r="H931" s="86"/>
      <c r="I931" s="86"/>
      <c r="J931" s="86"/>
      <c r="K931" s="88"/>
    </row>
    <row r="932" spans="2:11" x14ac:dyDescent="0.3">
      <c r="B932" s="82"/>
      <c r="C932" s="86" t="s">
        <v>400</v>
      </c>
      <c r="D932" s="86"/>
      <c r="E932" s="86"/>
      <c r="F932" s="86"/>
      <c r="G932" s="350" t="s">
        <v>256</v>
      </c>
      <c r="H932" s="351"/>
      <c r="I932" s="86"/>
      <c r="J932" s="84">
        <f>IF(G932=$B$998,$A$998,IF(G932=$B$999,$A$999,IF(G932=$B$1000,$A$1000,IF(G932=$B$1001,$A$1001,IF(G932=$B$1002,$A$1002,"Not Calculated")))))</f>
        <v>1</v>
      </c>
      <c r="K932" s="88"/>
    </row>
    <row r="933" spans="2:11" x14ac:dyDescent="0.3">
      <c r="B933" s="82"/>
      <c r="C933" s="86" t="s">
        <v>130</v>
      </c>
      <c r="D933" s="86"/>
      <c r="E933" s="86"/>
      <c r="F933" s="86"/>
      <c r="G933" s="86"/>
      <c r="H933" s="86"/>
      <c r="I933" s="86"/>
      <c r="J933" s="251" t="str">
        <f>'Baseline HP'!J108</f>
        <v>Not Calculated</v>
      </c>
      <c r="K933" s="88"/>
    </row>
    <row r="934" spans="2:11" x14ac:dyDescent="0.3">
      <c r="B934" s="82"/>
      <c r="C934" s="86"/>
      <c r="D934" s="86"/>
      <c r="E934" s="86"/>
      <c r="F934" s="86"/>
      <c r="G934" s="86"/>
      <c r="H934" s="86"/>
      <c r="I934" s="86"/>
      <c r="J934" s="86"/>
      <c r="K934" s="88"/>
    </row>
    <row r="935" spans="2:11" x14ac:dyDescent="0.3">
      <c r="B935" s="82"/>
      <c r="C935" s="86"/>
      <c r="D935" s="86"/>
      <c r="E935" s="86"/>
      <c r="F935" s="86"/>
      <c r="G935" s="86"/>
      <c r="H935" s="86"/>
      <c r="I935" s="86"/>
      <c r="J935" s="86"/>
      <c r="K935" s="88"/>
    </row>
    <row r="936" spans="2:11" ht="15.6" x14ac:dyDescent="0.3">
      <c r="B936" s="82"/>
      <c r="C936" s="214" t="s">
        <v>941</v>
      </c>
      <c r="D936" s="86"/>
      <c r="E936" s="86"/>
      <c r="F936" s="86"/>
      <c r="G936" s="86"/>
      <c r="H936" s="86"/>
      <c r="I936" s="86"/>
      <c r="J936" s="252" t="str">
        <f>IF(OR(J920="Not Calculated",J924="Not Calculated",J928="Not Calculated",J932="Not Calculated",J904="Not Calculated",J908="Not Calculated",J912="Not Calculated",J916="Not Calculated",J921="Not Calculated",J925="Not Calculated",J929="Not Calculated",J933="Not Calculated",J905="Not Calculated",J909="Not Calculated",J913="Not Calculated",J917="Not Calculated")=TRUE,"Not Calculated",((J904*J905)+(J908*J909)+(J912*J913)+(J916*J917)+(J920*J921)+(J924*J925)+(J928*J929)+(J932*J933))/(J904+J908+J912+J916+J920+J924+J928+J932))</f>
        <v>Not Calculated</v>
      </c>
      <c r="K936" s="88"/>
    </row>
    <row r="937" spans="2:11" ht="15" thickBot="1" x14ac:dyDescent="0.35">
      <c r="B937" s="215"/>
      <c r="C937" s="95"/>
      <c r="D937" s="95"/>
      <c r="E937" s="95"/>
      <c r="F937" s="95"/>
      <c r="G937" s="95"/>
      <c r="H937" s="95"/>
      <c r="I937" s="95"/>
      <c r="J937" s="95"/>
      <c r="K937" s="97"/>
    </row>
    <row r="938" spans="2:11" ht="15" thickBot="1" x14ac:dyDescent="0.35"/>
    <row r="939" spans="2:11" x14ac:dyDescent="0.3">
      <c r="B939" s="78"/>
      <c r="C939" s="79"/>
      <c r="D939" s="79"/>
      <c r="E939" s="79"/>
      <c r="F939" s="79"/>
      <c r="G939" s="79"/>
      <c r="H939" s="79"/>
      <c r="I939" s="79"/>
      <c r="J939" s="79"/>
      <c r="K939" s="81"/>
    </row>
    <row r="940" spans="2:11" ht="20.399999999999999" x14ac:dyDescent="0.35">
      <c r="B940" s="82"/>
      <c r="C940" s="86"/>
      <c r="D940" s="86"/>
      <c r="E940" s="86"/>
      <c r="F940" s="86"/>
      <c r="G940" s="212" t="s">
        <v>944</v>
      </c>
      <c r="H940" s="86"/>
      <c r="I940" s="86"/>
      <c r="J940" s="86"/>
      <c r="K940" s="88"/>
    </row>
    <row r="941" spans="2:11" ht="20.399999999999999" x14ac:dyDescent="0.35">
      <c r="B941" s="82"/>
      <c r="C941" s="86"/>
      <c r="D941" s="86"/>
      <c r="E941" s="86"/>
      <c r="F941" s="86"/>
      <c r="G941" s="212"/>
      <c r="H941" s="86"/>
      <c r="I941" s="86"/>
      <c r="J941" s="86"/>
      <c r="K941" s="88"/>
    </row>
    <row r="942" spans="2:11" ht="15.6" x14ac:dyDescent="0.3">
      <c r="B942" s="82"/>
      <c r="C942" s="214" t="s">
        <v>1144</v>
      </c>
      <c r="D942" s="86"/>
      <c r="E942" s="86"/>
      <c r="F942" s="86"/>
      <c r="G942" s="86"/>
      <c r="H942" s="86"/>
      <c r="I942" s="86"/>
      <c r="J942" s="252" t="str">
        <f>IF(OR(J936="Not Calculated",J894="Not Calculated")=TRUE,"Not Calculated",AVERAGE(J936,J894))</f>
        <v>Not Calculated</v>
      </c>
      <c r="K942" s="88"/>
    </row>
    <row r="943" spans="2:11" ht="15.6" x14ac:dyDescent="0.3">
      <c r="B943" s="82"/>
      <c r="C943" s="214"/>
      <c r="D943" s="86" t="s">
        <v>943</v>
      </c>
      <c r="E943" s="86"/>
      <c r="F943" s="86"/>
      <c r="G943" s="86"/>
      <c r="H943" s="86"/>
      <c r="I943" s="86"/>
      <c r="J943" s="252"/>
      <c r="K943" s="88"/>
    </row>
    <row r="944" spans="2:11" ht="16.2" thickBot="1" x14ac:dyDescent="0.35">
      <c r="B944" s="215"/>
      <c r="C944" s="229"/>
      <c r="D944" s="95"/>
      <c r="E944" s="95"/>
      <c r="F944" s="95"/>
      <c r="G944" s="95"/>
      <c r="H944" s="95"/>
      <c r="I944" s="95"/>
      <c r="J944" s="230"/>
      <c r="K944" s="97"/>
    </row>
    <row r="945" spans="2:11" ht="15" thickBot="1" x14ac:dyDescent="0.35"/>
    <row r="946" spans="2:11" x14ac:dyDescent="0.3">
      <c r="B946" s="216"/>
      <c r="C946" s="217"/>
      <c r="D946" s="217"/>
      <c r="E946" s="217"/>
      <c r="F946" s="217"/>
      <c r="G946" s="217"/>
      <c r="H946" s="217"/>
      <c r="I946" s="217"/>
      <c r="J946" s="217"/>
      <c r="K946" s="218"/>
    </row>
    <row r="947" spans="2:11" ht="20.399999999999999" x14ac:dyDescent="0.35">
      <c r="B947" s="219"/>
      <c r="C947" s="220"/>
      <c r="D947" s="220"/>
      <c r="E947" s="220"/>
      <c r="F947" s="220"/>
      <c r="G947" s="221" t="s">
        <v>258</v>
      </c>
      <c r="H947" s="220"/>
      <c r="I947" s="220"/>
      <c r="J947" s="220"/>
      <c r="K947" s="222"/>
    </row>
    <row r="948" spans="2:11" x14ac:dyDescent="0.3">
      <c r="B948" s="219"/>
      <c r="C948" s="220"/>
      <c r="D948" s="220"/>
      <c r="E948" s="220"/>
      <c r="F948" s="220"/>
      <c r="G948" s="220"/>
      <c r="H948" s="220"/>
      <c r="I948" s="220"/>
      <c r="J948" s="220"/>
      <c r="K948" s="222"/>
    </row>
    <row r="949" spans="2:11" ht="15.6" x14ac:dyDescent="0.3">
      <c r="B949" s="219"/>
      <c r="C949" s="223" t="s">
        <v>413</v>
      </c>
      <c r="D949" s="220"/>
      <c r="E949" s="220"/>
      <c r="F949" s="220"/>
      <c r="G949" s="220"/>
      <c r="H949" s="220"/>
      <c r="I949" s="220"/>
      <c r="J949" s="253" t="str">
        <f>IF(OR(J817="Not Calculated",J942="Not Calculated")=TRUE,"Not Calculated",J817/J942)</f>
        <v>Not Calculated</v>
      </c>
      <c r="K949" s="222"/>
    </row>
    <row r="950" spans="2:11" x14ac:dyDescent="0.3">
      <c r="B950" s="219"/>
      <c r="C950" s="220"/>
      <c r="D950" s="220" t="s">
        <v>945</v>
      </c>
      <c r="E950" s="220"/>
      <c r="F950" s="220"/>
      <c r="G950" s="220"/>
      <c r="H950" s="220"/>
      <c r="I950" s="220"/>
      <c r="J950" s="220"/>
      <c r="K950" s="222"/>
    </row>
    <row r="951" spans="2:11" x14ac:dyDescent="0.3">
      <c r="B951" s="219"/>
      <c r="C951" s="220"/>
      <c r="D951" s="220"/>
      <c r="E951" s="220"/>
      <c r="F951" s="220"/>
      <c r="G951" s="220"/>
      <c r="H951" s="220"/>
      <c r="I951" s="220"/>
      <c r="J951" s="220"/>
      <c r="K951" s="222"/>
    </row>
    <row r="952" spans="2:11" ht="15.6" x14ac:dyDescent="0.3">
      <c r="B952" s="219"/>
      <c r="C952" s="223" t="s">
        <v>1145</v>
      </c>
      <c r="D952" s="220"/>
      <c r="E952" s="220"/>
      <c r="F952" s="220"/>
      <c r="G952" s="220"/>
      <c r="H952" s="220"/>
      <c r="I952" s="220"/>
      <c r="J952" s="253" t="str">
        <f>IF(OR(J820="Not Calculated",J894="Not Calculated")=TRUE,"Not Calculated",J820/J894)</f>
        <v>Not Calculated</v>
      </c>
      <c r="K952" s="222"/>
    </row>
    <row r="953" spans="2:11" x14ac:dyDescent="0.3">
      <c r="B953" s="219"/>
      <c r="C953" s="220"/>
      <c r="D953" s="220" t="s">
        <v>946</v>
      </c>
      <c r="E953" s="220"/>
      <c r="F953" s="220"/>
      <c r="G953" s="220"/>
      <c r="H953" s="220"/>
      <c r="I953" s="220"/>
      <c r="J953" s="220"/>
      <c r="K953" s="222"/>
    </row>
    <row r="954" spans="2:11" x14ac:dyDescent="0.3">
      <c r="B954" s="219"/>
      <c r="C954" s="220"/>
      <c r="D954" s="220"/>
      <c r="E954" s="220"/>
      <c r="F954" s="220"/>
      <c r="G954" s="220"/>
      <c r="H954" s="220"/>
      <c r="I954" s="220"/>
      <c r="J954" s="220"/>
      <c r="K954" s="222"/>
    </row>
    <row r="955" spans="2:11" ht="15.6" x14ac:dyDescent="0.3">
      <c r="B955" s="219"/>
      <c r="C955" s="223" t="s">
        <v>1146</v>
      </c>
      <c r="D955" s="220"/>
      <c r="E955" s="220"/>
      <c r="F955" s="220"/>
      <c r="G955" s="220"/>
      <c r="H955" s="220"/>
      <c r="I955" s="220"/>
      <c r="J955" s="253" t="str">
        <f>IF(OR(J936="Not Calculated",J823="Not Calculated")=TRUE,"Not Calculated",J823/J936)</f>
        <v>Not Calculated</v>
      </c>
      <c r="K955" s="222"/>
    </row>
    <row r="956" spans="2:11" x14ac:dyDescent="0.3">
      <c r="B956" s="219"/>
      <c r="C956" s="220"/>
      <c r="D956" s="220" t="s">
        <v>947</v>
      </c>
      <c r="E956" s="220"/>
      <c r="F956" s="220"/>
      <c r="G956" s="220"/>
      <c r="H956" s="220"/>
      <c r="I956" s="220"/>
      <c r="J956" s="220"/>
      <c r="K956" s="222"/>
    </row>
    <row r="957" spans="2:11" ht="15" thickBot="1" x14ac:dyDescent="0.35">
      <c r="B957" s="224"/>
      <c r="C957" s="225"/>
      <c r="D957" s="225"/>
      <c r="E957" s="225"/>
      <c r="F957" s="225"/>
      <c r="G957" s="225"/>
      <c r="H957" s="225"/>
      <c r="I957" s="225"/>
      <c r="J957" s="225"/>
      <c r="K957" s="226"/>
    </row>
    <row r="959" spans="2:11" ht="15" customHeight="1" x14ac:dyDescent="0.3">
      <c r="F959" s="349"/>
      <c r="G959" s="349"/>
      <c r="H959" s="349"/>
    </row>
    <row r="960" spans="2:11" x14ac:dyDescent="0.3">
      <c r="F960" s="349"/>
      <c r="G960" s="349"/>
      <c r="H960" s="349"/>
    </row>
    <row r="965" spans="1:3" ht="15" hidden="1" customHeight="1" x14ac:dyDescent="0.3">
      <c r="A965" s="12" t="s">
        <v>247</v>
      </c>
    </row>
    <row r="966" spans="1:3" ht="15" hidden="1" customHeight="1" x14ac:dyDescent="0.3">
      <c r="A966" s="12">
        <v>0</v>
      </c>
      <c r="B966" s="12" t="s">
        <v>269</v>
      </c>
      <c r="C966" s="12" t="s">
        <v>259</v>
      </c>
    </row>
    <row r="967" spans="1:3" ht="15" hidden="1" customHeight="1" x14ac:dyDescent="0.3">
      <c r="A967" s="12">
        <v>1</v>
      </c>
      <c r="B967" s="12" t="s">
        <v>270</v>
      </c>
      <c r="C967" s="12" t="s">
        <v>260</v>
      </c>
    </row>
    <row r="968" spans="1:3" ht="15" hidden="1" customHeight="1" x14ac:dyDescent="0.3">
      <c r="A968" s="12">
        <v>2</v>
      </c>
      <c r="B968" s="12" t="s">
        <v>271</v>
      </c>
      <c r="C968" s="12" t="s">
        <v>261</v>
      </c>
    </row>
    <row r="969" spans="1:3" ht="15" hidden="1" customHeight="1" x14ac:dyDescent="0.3">
      <c r="A969" s="12">
        <v>3</v>
      </c>
      <c r="B969" s="12" t="s">
        <v>272</v>
      </c>
      <c r="C969" s="12" t="s">
        <v>246</v>
      </c>
    </row>
    <row r="970" spans="1:3" ht="15" hidden="1" customHeight="1" x14ac:dyDescent="0.3">
      <c r="A970" s="12">
        <v>4</v>
      </c>
      <c r="B970" s="12" t="s">
        <v>273</v>
      </c>
      <c r="C970" s="12" t="s">
        <v>262</v>
      </c>
    </row>
    <row r="971" spans="1:3" ht="15" hidden="1" customHeight="1" x14ac:dyDescent="0.3"/>
    <row r="972" spans="1:3" ht="15" hidden="1" customHeight="1" x14ac:dyDescent="0.3">
      <c r="A972" s="12" t="s">
        <v>278</v>
      </c>
    </row>
    <row r="973" spans="1:3" ht="15" hidden="1" customHeight="1" x14ac:dyDescent="0.3">
      <c r="A973" s="12">
        <v>0</v>
      </c>
      <c r="B973" s="227" t="s">
        <v>1015</v>
      </c>
    </row>
    <row r="974" spans="1:3" ht="15" hidden="1" customHeight="1" x14ac:dyDescent="0.3">
      <c r="A974" s="12">
        <v>1</v>
      </c>
      <c r="B974" s="12" t="s">
        <v>1025</v>
      </c>
    </row>
    <row r="975" spans="1:3" ht="15" hidden="1" customHeight="1" x14ac:dyDescent="0.3">
      <c r="A975" s="12">
        <v>2</v>
      </c>
      <c r="B975" s="12" t="s">
        <v>1017</v>
      </c>
    </row>
    <row r="976" spans="1:3" ht="15" hidden="1" customHeight="1" x14ac:dyDescent="0.3">
      <c r="A976" s="12">
        <v>3</v>
      </c>
      <c r="B976" s="12" t="s">
        <v>1018</v>
      </c>
    </row>
    <row r="977" spans="1:2" ht="15" hidden="1" customHeight="1" x14ac:dyDescent="0.3">
      <c r="A977" s="12">
        <v>4</v>
      </c>
      <c r="B977" s="12" t="s">
        <v>1019</v>
      </c>
    </row>
    <row r="978" spans="1:2" ht="15" hidden="1" customHeight="1" x14ac:dyDescent="0.3"/>
    <row r="979" spans="1:2" ht="15" hidden="1" customHeight="1" x14ac:dyDescent="0.3">
      <c r="A979" s="12" t="s">
        <v>313</v>
      </c>
    </row>
    <row r="980" spans="1:2" ht="15" hidden="1" customHeight="1" x14ac:dyDescent="0.3">
      <c r="A980" s="12">
        <v>0</v>
      </c>
      <c r="B980" s="227" t="s">
        <v>1015</v>
      </c>
    </row>
    <row r="981" spans="1:2" ht="15" hidden="1" customHeight="1" x14ac:dyDescent="0.3">
      <c r="A981" s="12">
        <v>1</v>
      </c>
      <c r="B981" s="12" t="s">
        <v>1020</v>
      </c>
    </row>
    <row r="982" spans="1:2" ht="15" hidden="1" customHeight="1" x14ac:dyDescent="0.3">
      <c r="A982" s="12">
        <v>2</v>
      </c>
      <c r="B982" s="12" t="s">
        <v>1021</v>
      </c>
    </row>
    <row r="983" spans="1:2" ht="15" hidden="1" customHeight="1" x14ac:dyDescent="0.3">
      <c r="A983" s="12">
        <v>3</v>
      </c>
      <c r="B983" s="12" t="s">
        <v>1022</v>
      </c>
    </row>
    <row r="984" spans="1:2" ht="15" hidden="1" customHeight="1" x14ac:dyDescent="0.3">
      <c r="A984" s="12">
        <v>4</v>
      </c>
      <c r="B984" s="12" t="s">
        <v>1023</v>
      </c>
    </row>
    <row r="985" spans="1:2" ht="15" hidden="1" customHeight="1" x14ac:dyDescent="0.3"/>
    <row r="986" spans="1:2" ht="15" hidden="1" customHeight="1" x14ac:dyDescent="0.3">
      <c r="A986" s="12" t="s">
        <v>263</v>
      </c>
    </row>
    <row r="987" spans="1:2" ht="15" hidden="1" customHeight="1" x14ac:dyDescent="0.3">
      <c r="A987" s="12">
        <v>0</v>
      </c>
      <c r="B987" s="12" t="s">
        <v>264</v>
      </c>
    </row>
    <row r="988" spans="1:2" ht="15" hidden="1" customHeight="1" x14ac:dyDescent="0.3">
      <c r="A988" s="12">
        <v>1</v>
      </c>
      <c r="B988" s="12" t="s">
        <v>265</v>
      </c>
    </row>
    <row r="989" spans="1:2" ht="15" hidden="1" customHeight="1" x14ac:dyDescent="0.3">
      <c r="A989" s="12">
        <v>2</v>
      </c>
      <c r="B989" s="12" t="s">
        <v>266</v>
      </c>
    </row>
    <row r="990" spans="1:2" ht="15" hidden="1" customHeight="1" x14ac:dyDescent="0.3">
      <c r="A990" s="12">
        <v>3</v>
      </c>
      <c r="B990" s="12" t="s">
        <v>248</v>
      </c>
    </row>
    <row r="991" spans="1:2" ht="15" hidden="1" customHeight="1" x14ac:dyDescent="0.3">
      <c r="A991" s="12">
        <v>4</v>
      </c>
      <c r="B991" s="12" t="s">
        <v>267</v>
      </c>
    </row>
    <row r="992" spans="1:2" ht="15" hidden="1" customHeight="1" x14ac:dyDescent="0.3"/>
    <row r="993" spans="1:11" ht="15" hidden="1" customHeight="1" x14ac:dyDescent="0.3">
      <c r="A993" s="12" t="s">
        <v>401</v>
      </c>
    </row>
    <row r="994" spans="1:11" ht="15" hidden="1" customHeight="1" x14ac:dyDescent="0.3">
      <c r="A994" s="12">
        <v>0</v>
      </c>
      <c r="B994" s="12" t="s">
        <v>215</v>
      </c>
    </row>
    <row r="995" spans="1:11" ht="15" hidden="1" customHeight="1" x14ac:dyDescent="0.3">
      <c r="A995" s="12">
        <v>1</v>
      </c>
      <c r="B995" s="12" t="s">
        <v>198</v>
      </c>
    </row>
    <row r="996" spans="1:11" ht="15" hidden="1" customHeight="1" x14ac:dyDescent="0.3"/>
    <row r="997" spans="1:11" ht="15" hidden="1" customHeight="1" x14ac:dyDescent="0.3">
      <c r="A997" s="12" t="s">
        <v>268</v>
      </c>
    </row>
    <row r="998" spans="1:11" ht="15" hidden="1" customHeight="1" x14ac:dyDescent="0.3">
      <c r="A998" s="12">
        <v>0</v>
      </c>
      <c r="B998" s="12" t="s">
        <v>255</v>
      </c>
    </row>
    <row r="999" spans="1:11" ht="15" hidden="1" customHeight="1" x14ac:dyDescent="0.3">
      <c r="A999" s="12">
        <v>1</v>
      </c>
      <c r="B999" s="12" t="s">
        <v>256</v>
      </c>
    </row>
    <row r="1000" spans="1:11" ht="15" hidden="1" customHeight="1" x14ac:dyDescent="0.3">
      <c r="A1000" s="12">
        <v>2</v>
      </c>
      <c r="B1000" s="12" t="s">
        <v>254</v>
      </c>
    </row>
    <row r="1001" spans="1:11" ht="15" hidden="1" customHeight="1" x14ac:dyDescent="0.3">
      <c r="A1001" s="12">
        <v>3</v>
      </c>
      <c r="B1001" s="12" t="s">
        <v>257</v>
      </c>
    </row>
    <row r="1002" spans="1:11" ht="15" hidden="1" customHeight="1" x14ac:dyDescent="0.3">
      <c r="A1002" s="12">
        <v>4</v>
      </c>
      <c r="B1002" s="12" t="s">
        <v>253</v>
      </c>
    </row>
    <row r="1003" spans="1:11" ht="15" customHeight="1" x14ac:dyDescent="0.3">
      <c r="B1003" s="12" t="s">
        <v>803</v>
      </c>
    </row>
    <row r="1004" spans="1:11" ht="15" customHeight="1" x14ac:dyDescent="0.3">
      <c r="B1004" s="346" t="s">
        <v>879</v>
      </c>
      <c r="C1004" s="347"/>
      <c r="D1004" s="347"/>
      <c r="E1004" s="347"/>
      <c r="F1004" s="347"/>
      <c r="G1004" s="347"/>
      <c r="H1004" s="347"/>
      <c r="I1004" s="347"/>
      <c r="J1004" s="347"/>
      <c r="K1004" s="348"/>
    </row>
    <row r="1005" spans="1:11" ht="15" customHeight="1" x14ac:dyDescent="0.3">
      <c r="B1005" s="340"/>
      <c r="C1005" s="341"/>
      <c r="D1005" s="341"/>
      <c r="E1005" s="341"/>
      <c r="F1005" s="341"/>
      <c r="G1005" s="341"/>
      <c r="H1005" s="341"/>
      <c r="I1005" s="341"/>
      <c r="J1005" s="341"/>
      <c r="K1005" s="342"/>
    </row>
    <row r="1006" spans="1:11" ht="15" customHeight="1" x14ac:dyDescent="0.3">
      <c r="B1006" s="340" t="s">
        <v>810</v>
      </c>
      <c r="C1006" s="341"/>
      <c r="D1006" s="341"/>
      <c r="E1006" s="341"/>
      <c r="F1006" s="341"/>
      <c r="G1006" s="341"/>
      <c r="H1006" s="341"/>
      <c r="I1006" s="341"/>
      <c r="J1006" s="341"/>
      <c r="K1006" s="342"/>
    </row>
    <row r="1007" spans="1:11" ht="15" customHeight="1" x14ac:dyDescent="0.3">
      <c r="B1007" s="340"/>
      <c r="C1007" s="341"/>
      <c r="D1007" s="341"/>
      <c r="E1007" s="341"/>
      <c r="F1007" s="341"/>
      <c r="G1007" s="341"/>
      <c r="H1007" s="341"/>
      <c r="I1007" s="341"/>
      <c r="J1007" s="341"/>
      <c r="K1007" s="342"/>
    </row>
    <row r="1008" spans="1:11" ht="15" customHeight="1" x14ac:dyDescent="0.3">
      <c r="B1008" s="340" t="s">
        <v>880</v>
      </c>
      <c r="C1008" s="341"/>
      <c r="D1008" s="341"/>
      <c r="E1008" s="341"/>
      <c r="F1008" s="341"/>
      <c r="G1008" s="341"/>
      <c r="H1008" s="341"/>
      <c r="I1008" s="341"/>
      <c r="J1008" s="341"/>
      <c r="K1008" s="342"/>
    </row>
    <row r="1009" spans="2:11" ht="15" customHeight="1" x14ac:dyDescent="0.3">
      <c r="B1009" s="340"/>
      <c r="C1009" s="341"/>
      <c r="D1009" s="341"/>
      <c r="E1009" s="341"/>
      <c r="F1009" s="341"/>
      <c r="G1009" s="341"/>
      <c r="H1009" s="341"/>
      <c r="I1009" s="341"/>
      <c r="J1009" s="341"/>
      <c r="K1009" s="342"/>
    </row>
    <row r="1010" spans="2:11" ht="30" customHeight="1" x14ac:dyDescent="0.3">
      <c r="B1010" s="340" t="s">
        <v>878</v>
      </c>
      <c r="C1010" s="341"/>
      <c r="D1010" s="341"/>
      <c r="E1010" s="341"/>
      <c r="F1010" s="341"/>
      <c r="G1010" s="341"/>
      <c r="H1010" s="341"/>
      <c r="I1010" s="341"/>
      <c r="J1010" s="341"/>
      <c r="K1010" s="342"/>
    </row>
    <row r="1011" spans="2:11" ht="15" customHeight="1" x14ac:dyDescent="0.3">
      <c r="B1011" s="340"/>
      <c r="C1011" s="341"/>
      <c r="D1011" s="341"/>
      <c r="E1011" s="341"/>
      <c r="F1011" s="341"/>
      <c r="G1011" s="341"/>
      <c r="H1011" s="341"/>
      <c r="I1011" s="341"/>
      <c r="J1011" s="341"/>
      <c r="K1011" s="342"/>
    </row>
    <row r="1012" spans="2:11" ht="30" customHeight="1" x14ac:dyDescent="0.3">
      <c r="B1012" s="340" t="s">
        <v>881</v>
      </c>
      <c r="C1012" s="341"/>
      <c r="D1012" s="341"/>
      <c r="E1012" s="341"/>
      <c r="F1012" s="341"/>
      <c r="G1012" s="341"/>
      <c r="H1012" s="341"/>
      <c r="I1012" s="341"/>
      <c r="J1012" s="341"/>
      <c r="K1012" s="342"/>
    </row>
    <row r="1013" spans="2:11" ht="15" customHeight="1" x14ac:dyDescent="0.3">
      <c r="B1013" s="340"/>
      <c r="C1013" s="341"/>
      <c r="D1013" s="341"/>
      <c r="E1013" s="341"/>
      <c r="F1013" s="341"/>
      <c r="G1013" s="341"/>
      <c r="H1013" s="341"/>
      <c r="I1013" s="341"/>
      <c r="J1013" s="341"/>
      <c r="K1013" s="342"/>
    </row>
    <row r="1014" spans="2:11" ht="15" customHeight="1" x14ac:dyDescent="0.3">
      <c r="B1014" s="340" t="s">
        <v>883</v>
      </c>
      <c r="C1014" s="341"/>
      <c r="D1014" s="341"/>
      <c r="E1014" s="341"/>
      <c r="F1014" s="341"/>
      <c r="G1014" s="341"/>
      <c r="H1014" s="341"/>
      <c r="I1014" s="341"/>
      <c r="J1014" s="341"/>
      <c r="K1014" s="342"/>
    </row>
    <row r="1015" spans="2:11" ht="15" customHeight="1" x14ac:dyDescent="0.3">
      <c r="B1015" s="340"/>
      <c r="C1015" s="341"/>
      <c r="D1015" s="341"/>
      <c r="E1015" s="341"/>
      <c r="F1015" s="341"/>
      <c r="G1015" s="341"/>
      <c r="H1015" s="341"/>
      <c r="I1015" s="341"/>
      <c r="J1015" s="341"/>
      <c r="K1015" s="342"/>
    </row>
    <row r="1016" spans="2:11" ht="45" customHeight="1" x14ac:dyDescent="0.3">
      <c r="B1016" s="340" t="s">
        <v>882</v>
      </c>
      <c r="C1016" s="341"/>
      <c r="D1016" s="341"/>
      <c r="E1016" s="341"/>
      <c r="F1016" s="341"/>
      <c r="G1016" s="341"/>
      <c r="H1016" s="341"/>
      <c r="I1016" s="341"/>
      <c r="J1016" s="341"/>
      <c r="K1016" s="342"/>
    </row>
    <row r="1017" spans="2:11" ht="15" customHeight="1" x14ac:dyDescent="0.3">
      <c r="B1017" s="340"/>
      <c r="C1017" s="341"/>
      <c r="D1017" s="341"/>
      <c r="E1017" s="341"/>
      <c r="F1017" s="341"/>
      <c r="G1017" s="341"/>
      <c r="H1017" s="341"/>
      <c r="I1017" s="341"/>
      <c r="J1017" s="341"/>
      <c r="K1017" s="342"/>
    </row>
    <row r="1018" spans="2:11" ht="15" customHeight="1" x14ac:dyDescent="0.3">
      <c r="B1018" s="340"/>
      <c r="C1018" s="341"/>
      <c r="D1018" s="341"/>
      <c r="E1018" s="341"/>
      <c r="F1018" s="341"/>
      <c r="G1018" s="341"/>
      <c r="H1018" s="341"/>
      <c r="I1018" s="341"/>
      <c r="J1018" s="341"/>
      <c r="K1018" s="342"/>
    </row>
    <row r="1019" spans="2:11" ht="15" customHeight="1" x14ac:dyDescent="0.3">
      <c r="B1019" s="340"/>
      <c r="C1019" s="341"/>
      <c r="D1019" s="341"/>
      <c r="E1019" s="341"/>
      <c r="F1019" s="341"/>
      <c r="G1019" s="341"/>
      <c r="H1019" s="341"/>
      <c r="I1019" s="341"/>
      <c r="J1019" s="341"/>
      <c r="K1019" s="342"/>
    </row>
    <row r="1020" spans="2:11" ht="15" customHeight="1" x14ac:dyDescent="0.3">
      <c r="B1020" s="340"/>
      <c r="C1020" s="341"/>
      <c r="D1020" s="341"/>
      <c r="E1020" s="341"/>
      <c r="F1020" s="341"/>
      <c r="G1020" s="341"/>
      <c r="H1020" s="341"/>
      <c r="I1020" s="341"/>
      <c r="J1020" s="341"/>
      <c r="K1020" s="342"/>
    </row>
    <row r="1021" spans="2:11" ht="15" customHeight="1" x14ac:dyDescent="0.3">
      <c r="B1021" s="340"/>
      <c r="C1021" s="341"/>
      <c r="D1021" s="341"/>
      <c r="E1021" s="341"/>
      <c r="F1021" s="341"/>
      <c r="G1021" s="341"/>
      <c r="H1021" s="341"/>
      <c r="I1021" s="341"/>
      <c r="J1021" s="341"/>
      <c r="K1021" s="342"/>
    </row>
    <row r="1022" spans="2:11" ht="15" customHeight="1" x14ac:dyDescent="0.3">
      <c r="B1022" s="340"/>
      <c r="C1022" s="341"/>
      <c r="D1022" s="341"/>
      <c r="E1022" s="341"/>
      <c r="F1022" s="341"/>
      <c r="G1022" s="341"/>
      <c r="H1022" s="341"/>
      <c r="I1022" s="341"/>
      <c r="J1022" s="341"/>
      <c r="K1022" s="342"/>
    </row>
    <row r="1023" spans="2:11" ht="15" customHeight="1" x14ac:dyDescent="0.3">
      <c r="B1023" s="340"/>
      <c r="C1023" s="341"/>
      <c r="D1023" s="341"/>
      <c r="E1023" s="341"/>
      <c r="F1023" s="341"/>
      <c r="G1023" s="341"/>
      <c r="H1023" s="341"/>
      <c r="I1023" s="341"/>
      <c r="J1023" s="341"/>
      <c r="K1023" s="342"/>
    </row>
    <row r="1024" spans="2:11" ht="15" customHeight="1" x14ac:dyDescent="0.3">
      <c r="B1024" s="340"/>
      <c r="C1024" s="341"/>
      <c r="D1024" s="341"/>
      <c r="E1024" s="341"/>
      <c r="F1024" s="341"/>
      <c r="G1024" s="341"/>
      <c r="H1024" s="341"/>
      <c r="I1024" s="341"/>
      <c r="J1024" s="341"/>
      <c r="K1024" s="342"/>
    </row>
    <row r="1025" spans="2:11" ht="15" customHeight="1" x14ac:dyDescent="0.3">
      <c r="B1025" s="340"/>
      <c r="C1025" s="341"/>
      <c r="D1025" s="341"/>
      <c r="E1025" s="341"/>
      <c r="F1025" s="341"/>
      <c r="G1025" s="341"/>
      <c r="H1025" s="341"/>
      <c r="I1025" s="341"/>
      <c r="J1025" s="341"/>
      <c r="K1025" s="342"/>
    </row>
    <row r="1026" spans="2:11" ht="15" customHeight="1" x14ac:dyDescent="0.3">
      <c r="B1026" s="340"/>
      <c r="C1026" s="341"/>
      <c r="D1026" s="341"/>
      <c r="E1026" s="341"/>
      <c r="F1026" s="341"/>
      <c r="G1026" s="341"/>
      <c r="H1026" s="341"/>
      <c r="I1026" s="341"/>
      <c r="J1026" s="341"/>
      <c r="K1026" s="342"/>
    </row>
    <row r="1027" spans="2:11" ht="15" customHeight="1" x14ac:dyDescent="0.3">
      <c r="B1027" s="340"/>
      <c r="C1027" s="341"/>
      <c r="D1027" s="341"/>
      <c r="E1027" s="341"/>
      <c r="F1027" s="341"/>
      <c r="G1027" s="341"/>
      <c r="H1027" s="341"/>
      <c r="I1027" s="341"/>
      <c r="J1027" s="341"/>
      <c r="K1027" s="342"/>
    </row>
    <row r="1028" spans="2:11" ht="15" customHeight="1" x14ac:dyDescent="0.3">
      <c r="B1028" s="340"/>
      <c r="C1028" s="341"/>
      <c r="D1028" s="341"/>
      <c r="E1028" s="341"/>
      <c r="F1028" s="341"/>
      <c r="G1028" s="341"/>
      <c r="H1028" s="341"/>
      <c r="I1028" s="341"/>
      <c r="J1028" s="341"/>
      <c r="K1028" s="342"/>
    </row>
    <row r="1029" spans="2:11" ht="15" customHeight="1" x14ac:dyDescent="0.3">
      <c r="B1029" s="337"/>
      <c r="C1029" s="338"/>
      <c r="D1029" s="338"/>
      <c r="E1029" s="338"/>
      <c r="F1029" s="338"/>
      <c r="G1029" s="338"/>
      <c r="H1029" s="338"/>
      <c r="I1029" s="338"/>
      <c r="J1029" s="338"/>
      <c r="K1029" s="339"/>
    </row>
  </sheetData>
  <mergeCells count="152">
    <mergeCell ref="C76:J76"/>
    <mergeCell ref="E15:J15"/>
    <mergeCell ref="C38:J38"/>
    <mergeCell ref="C57:J57"/>
    <mergeCell ref="B5:K5"/>
    <mergeCell ref="B6:K6"/>
    <mergeCell ref="B7:K7"/>
    <mergeCell ref="B8:K8"/>
    <mergeCell ref="B9:K9"/>
    <mergeCell ref="B10:K10"/>
    <mergeCell ref="C216:J216"/>
    <mergeCell ref="C237:J237"/>
    <mergeCell ref="C176:J176"/>
    <mergeCell ref="C196:J196"/>
    <mergeCell ref="C155:J155"/>
    <mergeCell ref="C120:J122"/>
    <mergeCell ref="C123:J124"/>
    <mergeCell ref="C129:J129"/>
    <mergeCell ref="C95:J95"/>
    <mergeCell ref="C114:J114"/>
    <mergeCell ref="C455:J455"/>
    <mergeCell ref="C402:J402"/>
    <mergeCell ref="C416:J416"/>
    <mergeCell ref="C438:J438"/>
    <mergeCell ref="C444:I445"/>
    <mergeCell ref="C365:J365"/>
    <mergeCell ref="C371:I372"/>
    <mergeCell ref="C305:J305"/>
    <mergeCell ref="C257:J257"/>
    <mergeCell ref="C286:J286"/>
    <mergeCell ref="C292:I293"/>
    <mergeCell ref="C420:I421"/>
    <mergeCell ref="C391:I392"/>
    <mergeCell ref="C311:I312"/>
    <mergeCell ref="C340:I341"/>
    <mergeCell ref="D343:I344"/>
    <mergeCell ref="C385:J385"/>
    <mergeCell ref="C324:J324"/>
    <mergeCell ref="C330:I331"/>
    <mergeCell ref="C347:J347"/>
    <mergeCell ref="C613:J613"/>
    <mergeCell ref="C620:I621"/>
    <mergeCell ref="C560:J560"/>
    <mergeCell ref="C566:I568"/>
    <mergeCell ref="C569:I571"/>
    <mergeCell ref="C524:I525"/>
    <mergeCell ref="C535:J535"/>
    <mergeCell ref="C518:J518"/>
    <mergeCell ref="C471:J471"/>
    <mergeCell ref="C477:I478"/>
    <mergeCell ref="C486:J486"/>
    <mergeCell ref="C502:J502"/>
    <mergeCell ref="C583:J583"/>
    <mergeCell ref="C599:J599"/>
    <mergeCell ref="C655:J655"/>
    <mergeCell ref="D664:I665"/>
    <mergeCell ref="C677:J677"/>
    <mergeCell ref="G719:H719"/>
    <mergeCell ref="G720:H720"/>
    <mergeCell ref="G721:H721"/>
    <mergeCell ref="C641:I643"/>
    <mergeCell ref="C633:J633"/>
    <mergeCell ref="C639:I640"/>
    <mergeCell ref="C714:J716"/>
    <mergeCell ref="G717:H717"/>
    <mergeCell ref="G718:H718"/>
    <mergeCell ref="G722:H722"/>
    <mergeCell ref="G723:H723"/>
    <mergeCell ref="G750:H750"/>
    <mergeCell ref="G751:H751"/>
    <mergeCell ref="G739:H739"/>
    <mergeCell ref="G740:H740"/>
    <mergeCell ref="G737:H737"/>
    <mergeCell ref="G738:H738"/>
    <mergeCell ref="C729:J731"/>
    <mergeCell ref="G732:H732"/>
    <mergeCell ref="G733:H733"/>
    <mergeCell ref="G734:H734"/>
    <mergeCell ref="G735:H735"/>
    <mergeCell ref="G724:H724"/>
    <mergeCell ref="G725:H725"/>
    <mergeCell ref="G736:H736"/>
    <mergeCell ref="C744:J746"/>
    <mergeCell ref="G747:H747"/>
    <mergeCell ref="G748:H748"/>
    <mergeCell ref="G749:H749"/>
    <mergeCell ref="G755:H755"/>
    <mergeCell ref="G850:H850"/>
    <mergeCell ref="F959:H960"/>
    <mergeCell ref="G886:H886"/>
    <mergeCell ref="G890:H890"/>
    <mergeCell ref="G878:H878"/>
    <mergeCell ref="G882:H882"/>
    <mergeCell ref="G870:H870"/>
    <mergeCell ref="G874:H874"/>
    <mergeCell ref="G862:H862"/>
    <mergeCell ref="G866:H866"/>
    <mergeCell ref="G854:H854"/>
    <mergeCell ref="G858:H858"/>
    <mergeCell ref="G846:H846"/>
    <mergeCell ref="C830:J831"/>
    <mergeCell ref="G834:H834"/>
    <mergeCell ref="G838:H838"/>
    <mergeCell ref="G842:H842"/>
    <mergeCell ref="G752:H752"/>
    <mergeCell ref="G753:H753"/>
    <mergeCell ref="C759:J761"/>
    <mergeCell ref="G762:H762"/>
    <mergeCell ref="G763:H763"/>
    <mergeCell ref="G764:H764"/>
    <mergeCell ref="G765:H765"/>
    <mergeCell ref="B1004:K1004"/>
    <mergeCell ref="B1005:K1005"/>
    <mergeCell ref="G928:H928"/>
    <mergeCell ref="G932:H932"/>
    <mergeCell ref="G924:H924"/>
    <mergeCell ref="G916:H916"/>
    <mergeCell ref="G920:H920"/>
    <mergeCell ref="C900:J901"/>
    <mergeCell ref="G904:H904"/>
    <mergeCell ref="G908:H908"/>
    <mergeCell ref="G912:H912"/>
    <mergeCell ref="G769:H769"/>
    <mergeCell ref="G770:H770"/>
    <mergeCell ref="G767:H767"/>
    <mergeCell ref="G768:H768"/>
    <mergeCell ref="G766:H766"/>
    <mergeCell ref="G754:H754"/>
    <mergeCell ref="B1006:K1006"/>
    <mergeCell ref="B1007:K1007"/>
    <mergeCell ref="B1008:K1008"/>
    <mergeCell ref="B1009:K1009"/>
    <mergeCell ref="B1010:K1010"/>
    <mergeCell ref="B1011:K1011"/>
    <mergeCell ref="B1012:K1012"/>
    <mergeCell ref="B1022:K1022"/>
    <mergeCell ref="B1023:K1023"/>
    <mergeCell ref="B1024:K1024"/>
    <mergeCell ref="B1025:K1025"/>
    <mergeCell ref="B1026:K1026"/>
    <mergeCell ref="B1027:K1027"/>
    <mergeCell ref="B1028:K1028"/>
    <mergeCell ref="B1029:K1029"/>
    <mergeCell ref="B1013:K1013"/>
    <mergeCell ref="B1014:K1014"/>
    <mergeCell ref="B1015:K1015"/>
    <mergeCell ref="B1016:K1016"/>
    <mergeCell ref="B1017:K1017"/>
    <mergeCell ref="B1018:K1018"/>
    <mergeCell ref="B1019:K1019"/>
    <mergeCell ref="B1020:K1020"/>
    <mergeCell ref="B1021:K1021"/>
  </mergeCells>
  <dataValidations count="23">
    <dataValidation type="list" allowBlank="1" showInputMessage="1" showErrorMessage="1" sqref="E15:J15" xr:uid="{00000000-0002-0000-1D00-000000000000}">
      <formula1>$C$966:$C$970</formula1>
    </dataValidation>
    <dataValidation type="list" allowBlank="1" showInputMessage="1" showErrorMessage="1" sqref="G834:H834 G890:H890 G886:H886 G882:H882 G878:H878 G874:H874 G870:H870 G866:H866 G862:H862 G858:H858 G854:H854 G850:H850 G846:H846 G842:H842 G838:H838 G904:H904 G932:H932 G928:H928 G924:H924 G920:H920 G916:H916 G912:H912 G908:H908" xr:uid="{00000000-0002-0000-1D00-000001000000}">
      <formula1>$B$998:$B$1002</formula1>
    </dataValidation>
    <dataValidation type="list" allowBlank="1" showInputMessage="1" showErrorMessage="1" sqref="G717:H725 G762:H770 G732:H740 G747:H755" xr:uid="{00000000-0002-0000-1D00-000002000000}">
      <formula1>$B$994:$B$995</formula1>
    </dataValidation>
    <dataValidation type="list" allowBlank="1" showInputMessage="1" showErrorMessage="1" sqref="J302 J362" xr:uid="{00000000-0002-0000-1D00-000003000000}">
      <formula1>$B$980:$B$984</formula1>
    </dataValidation>
    <dataValidation type="list" allowBlank="1" showInputMessage="1" showErrorMessage="1" sqref="C123:J124" xr:uid="{00000000-0002-0000-1D00-000004000000}">
      <formula1>$B$987:$B$991</formula1>
    </dataValidation>
    <dataValidation type="list" allowBlank="1" showInputMessage="1" showErrorMessage="1" sqref="J35 J213 J283 J652 J234 J54 J193 J173 J152 J126 J111 J92 J73 J254 J435 J452 J468 J499 J515 J532 J557 J580 J596 J674 J630" xr:uid="{00000000-0002-0000-1D00-000005000000}">
      <formula1>$B$973:$B$977</formula1>
    </dataValidation>
    <dataValidation type="list" allowBlank="1" showInputMessage="1" showErrorMessage="1" sqref="J33" xr:uid="{00000000-0002-0000-1D00-000006000000}">
      <formula1>$N$32:$N$37</formula1>
    </dataValidation>
    <dataValidation type="list" allowBlank="1" showInputMessage="1" showErrorMessage="1" sqref="J52" xr:uid="{00000000-0002-0000-1D00-000007000000}">
      <formula1>$N$51:$N$56</formula1>
    </dataValidation>
    <dataValidation type="list" allowBlank="1" showInputMessage="1" showErrorMessage="1" sqref="J71" xr:uid="{00000000-0002-0000-1D00-000008000000}">
      <formula1>$N$70:$N$75</formula1>
    </dataValidation>
    <dataValidation type="list" allowBlank="1" showInputMessage="1" showErrorMessage="1" sqref="J90" xr:uid="{00000000-0002-0000-1D00-000009000000}">
      <formula1>$N$89:$N$94</formula1>
    </dataValidation>
    <dataValidation type="list" allowBlank="1" showInputMessage="1" showErrorMessage="1" sqref="J109" xr:uid="{00000000-0002-0000-1D00-00000A000000}">
      <formula1>$N$108:$N$113</formula1>
    </dataValidation>
    <dataValidation type="list" allowBlank="1" showInputMessage="1" showErrorMessage="1" sqref="J150" xr:uid="{00000000-0002-0000-1D00-00000B000000}">
      <formula1>$N$149:$N$154</formula1>
    </dataValidation>
    <dataValidation type="list" allowBlank="1" showInputMessage="1" showErrorMessage="1" sqref="J171" xr:uid="{00000000-0002-0000-1D00-00000C000000}">
      <formula1>$N$170:$N$175</formula1>
    </dataValidation>
    <dataValidation type="list" allowBlank="1" showInputMessage="1" showErrorMessage="1" sqref="J191" xr:uid="{00000000-0002-0000-1D00-00000D000000}">
      <formula1>$N$190:$N$195</formula1>
    </dataValidation>
    <dataValidation type="list" allowBlank="1" showInputMessage="1" showErrorMessage="1" sqref="J211" xr:uid="{00000000-0002-0000-1D00-00000E000000}">
      <formula1>$N$210:$N$215</formula1>
    </dataValidation>
    <dataValidation type="list" allowBlank="1" showInputMessage="1" showErrorMessage="1" sqref="J232" xr:uid="{00000000-0002-0000-1D00-00000F000000}">
      <formula1>$N$231:$N$236</formula1>
    </dataValidation>
    <dataValidation type="list" allowBlank="1" showInputMessage="1" showErrorMessage="1" sqref="J252" xr:uid="{00000000-0002-0000-1D00-000010000000}">
      <formula1>$N$251:$N$256</formula1>
    </dataValidation>
    <dataValidation type="list" allowBlank="1" showInputMessage="1" showErrorMessage="1" sqref="J281" xr:uid="{00000000-0002-0000-1D00-000011000000}">
      <formula1>$N$280:$N$285</formula1>
    </dataValidation>
    <dataValidation type="list" allowBlank="1" showInputMessage="1" showErrorMessage="1" sqref="J555" xr:uid="{00000000-0002-0000-1D00-000012000000}">
      <formula1>$N$554:$N$559</formula1>
    </dataValidation>
    <dataValidation type="list" allowBlank="1" showInputMessage="1" showErrorMessage="1" sqref="J578" xr:uid="{00000000-0002-0000-1D00-000013000000}">
      <formula1>$N$577:$N$582</formula1>
    </dataValidation>
    <dataValidation type="list" allowBlank="1" showInputMessage="1" showErrorMessage="1" sqref="J628" xr:uid="{00000000-0002-0000-1D00-000014000000}">
      <formula1>$N$627:$N$632</formula1>
    </dataValidation>
    <dataValidation type="list" allowBlank="1" showInputMessage="1" showErrorMessage="1" sqref="J650" xr:uid="{00000000-0002-0000-1D00-000015000000}">
      <formula1>$N$649:$N$654</formula1>
    </dataValidation>
    <dataValidation type="list" allowBlank="1" showInputMessage="1" showErrorMessage="1" sqref="J672" xr:uid="{00000000-0002-0000-1D00-000016000000}">
      <formula1>$N$671:$N$676</formula1>
    </dataValidation>
  </dataValidations>
  <pageMargins left="0.7" right="0.7" top="0.75" bottom="0.75" header="0.3" footer="0.3"/>
  <pageSetup scale="7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pageSetUpPr fitToPage="1"/>
  </sheetPr>
  <dimension ref="A1:V157"/>
  <sheetViews>
    <sheetView showGridLines="0" showRowColHeaders="0" zoomScale="70" zoomScaleNormal="70" zoomScaleSheetLayoutView="40" workbookViewId="0">
      <pane xSplit="2" ySplit="6" topLeftCell="C13" activePane="bottomRight" state="frozen"/>
      <selection pane="topRight" activeCell="C1" sqref="C1"/>
      <selection pane="bottomLeft" activeCell="A7" sqref="A7"/>
      <selection pane="bottomRight" activeCell="B3" sqref="B3"/>
    </sheetView>
  </sheetViews>
  <sheetFormatPr defaultColWidth="9.109375" defaultRowHeight="14.4" x14ac:dyDescent="0.3"/>
  <cols>
    <col min="1" max="1" width="20.6640625" style="12" customWidth="1"/>
    <col min="2" max="2" width="31.5546875" style="12" customWidth="1"/>
    <col min="3" max="22" width="21.5546875" style="12" customWidth="1"/>
    <col min="23" max="16384" width="9.109375" style="12"/>
  </cols>
  <sheetData>
    <row r="1" spans="1:22" x14ac:dyDescent="0.3">
      <c r="F1" s="30"/>
      <c r="G1" s="30"/>
    </row>
    <row r="2" spans="1:22" ht="32.4" x14ac:dyDescent="0.3">
      <c r="E2" s="17" t="s">
        <v>1204</v>
      </c>
      <c r="H2" s="30"/>
    </row>
    <row r="3" spans="1:22" ht="22.8" x14ac:dyDescent="0.4">
      <c r="E3" s="31" t="s">
        <v>24</v>
      </c>
      <c r="H3" s="30"/>
      <c r="I3" s="30"/>
      <c r="K3" s="32"/>
      <c r="L3" s="32"/>
    </row>
    <row r="4" spans="1:22" ht="15.6" x14ac:dyDescent="0.3">
      <c r="G4" s="33"/>
      <c r="H4" s="30"/>
      <c r="I4" s="30"/>
    </row>
    <row r="6" spans="1:22" ht="31.2" x14ac:dyDescent="0.3">
      <c r="C6" s="124" t="s">
        <v>16</v>
      </c>
      <c r="D6" s="124" t="s">
        <v>17</v>
      </c>
      <c r="E6" s="124" t="s">
        <v>18</v>
      </c>
      <c r="F6" s="124" t="s">
        <v>15</v>
      </c>
      <c r="G6" s="124" t="s">
        <v>3</v>
      </c>
      <c r="H6" s="124" t="s">
        <v>19</v>
      </c>
      <c r="I6" s="124" t="s">
        <v>402</v>
      </c>
      <c r="J6" s="124" t="s">
        <v>10</v>
      </c>
      <c r="K6" s="124" t="s">
        <v>11</v>
      </c>
      <c r="L6" s="124" t="s">
        <v>12</v>
      </c>
      <c r="M6" s="124" t="s">
        <v>4</v>
      </c>
      <c r="N6" s="124" t="s">
        <v>21</v>
      </c>
      <c r="O6" s="124" t="s">
        <v>8</v>
      </c>
      <c r="P6" s="124" t="s">
        <v>14</v>
      </c>
      <c r="Q6" s="124" t="s">
        <v>9</v>
      </c>
      <c r="R6" s="124" t="s">
        <v>20</v>
      </c>
      <c r="S6" s="124" t="s">
        <v>6</v>
      </c>
      <c r="T6" s="124" t="s">
        <v>7</v>
      </c>
      <c r="U6" s="124" t="s">
        <v>13</v>
      </c>
      <c r="V6" s="124" t="s">
        <v>5</v>
      </c>
    </row>
    <row r="7" spans="1:22" ht="15" customHeight="1" x14ac:dyDescent="0.3">
      <c r="A7" s="408" t="s">
        <v>245</v>
      </c>
      <c r="B7" s="409"/>
      <c r="C7" s="129" t="str">
        <f ca="1">INDIRECT("'"&amp;C$6&amp;"'!$E$18")</f>
        <v>Probable</v>
      </c>
      <c r="D7" s="129" t="str">
        <f t="shared" ref="D7:V7" ca="1" si="0">INDIRECT("'"&amp;D$6&amp;"'!$E$18")</f>
        <v>Remote</v>
      </c>
      <c r="E7" s="129" t="str">
        <f t="shared" ca="1" si="0"/>
        <v>Remote</v>
      </c>
      <c r="F7" s="129" t="str">
        <f t="shared" ca="1" si="0"/>
        <v>Occasional</v>
      </c>
      <c r="G7" s="129" t="str">
        <f t="shared" ca="1" si="0"/>
        <v>Frequent</v>
      </c>
      <c r="H7" s="129" t="str">
        <f t="shared" ca="1" si="0"/>
        <v>Occasional</v>
      </c>
      <c r="I7" s="129" t="str">
        <f t="shared" ca="1" si="0"/>
        <v>Remote</v>
      </c>
      <c r="J7" s="129" t="str">
        <f t="shared" ca="1" si="0"/>
        <v>Probable</v>
      </c>
      <c r="K7" s="129" t="str">
        <f t="shared" ca="1" si="0"/>
        <v>Probable</v>
      </c>
      <c r="L7" s="129" t="str">
        <f t="shared" ca="1" si="0"/>
        <v>Frequent</v>
      </c>
      <c r="M7" s="129" t="str">
        <f t="shared" ca="1" si="0"/>
        <v>Frequent</v>
      </c>
      <c r="N7" s="129" t="str">
        <f t="shared" ca="1" si="0"/>
        <v>Occasional</v>
      </c>
      <c r="O7" s="129" t="str">
        <f t="shared" ca="1" si="0"/>
        <v>Frequent</v>
      </c>
      <c r="P7" s="129" t="str">
        <f t="shared" ca="1" si="0"/>
        <v>Remote</v>
      </c>
      <c r="Q7" s="129" t="str">
        <f t="shared" ca="1" si="0"/>
        <v>Probable</v>
      </c>
      <c r="R7" s="129" t="str">
        <f t="shared" ca="1" si="0"/>
        <v>Remote</v>
      </c>
      <c r="S7" s="129" t="str">
        <f t="shared" ca="1" si="0"/>
        <v>Probable</v>
      </c>
      <c r="T7" s="129" t="str">
        <f t="shared" ca="1" si="0"/>
        <v>Occasional</v>
      </c>
      <c r="U7" s="129" t="str">
        <f t="shared" ca="1" si="0"/>
        <v>Probable</v>
      </c>
      <c r="V7" s="129" t="str">
        <f t="shared" ca="1" si="0"/>
        <v>Frequent</v>
      </c>
    </row>
    <row r="8" spans="1:22" x14ac:dyDescent="0.3">
      <c r="A8" s="418"/>
      <c r="B8" s="419"/>
      <c r="C8" s="144"/>
      <c r="D8" s="144"/>
      <c r="E8" s="144"/>
      <c r="F8" s="144"/>
      <c r="G8" s="144"/>
      <c r="H8" s="144"/>
      <c r="I8" s="144"/>
      <c r="J8" s="144"/>
      <c r="K8" s="144"/>
      <c r="L8" s="144"/>
      <c r="M8" s="144"/>
      <c r="N8" s="144"/>
      <c r="O8" s="144"/>
      <c r="P8" s="144"/>
      <c r="Q8" s="144"/>
      <c r="R8" s="144"/>
      <c r="S8" s="144"/>
      <c r="T8" s="144"/>
      <c r="U8" s="144"/>
      <c r="V8" s="144"/>
    </row>
    <row r="9" spans="1:22" ht="15.75" customHeight="1" x14ac:dyDescent="0.3">
      <c r="A9" s="420" t="s">
        <v>27</v>
      </c>
      <c r="B9" s="421"/>
      <c r="C9" s="144"/>
      <c r="D9" s="144"/>
      <c r="E9" s="144"/>
      <c r="F9" s="144"/>
      <c r="G9" s="144"/>
      <c r="H9" s="144"/>
      <c r="I9" s="144"/>
      <c r="J9" s="144"/>
      <c r="K9" s="144"/>
      <c r="L9" s="144"/>
      <c r="M9" s="144"/>
      <c r="N9" s="144"/>
      <c r="O9" s="144"/>
      <c r="P9" s="144"/>
      <c r="Q9" s="144"/>
      <c r="R9" s="144"/>
      <c r="S9" s="144"/>
      <c r="T9" s="144"/>
      <c r="U9" s="144"/>
      <c r="V9" s="144"/>
    </row>
    <row r="10" spans="1:22" ht="15" customHeight="1" x14ac:dyDescent="0.3">
      <c r="A10" s="408" t="s">
        <v>724</v>
      </c>
      <c r="B10" s="409"/>
      <c r="C10" s="150">
        <f ca="1">IF(INDIRECT("'"&amp;C$6&amp;"'!$J$34")="N/A",INDIRECT("'"&amp;C$6&amp;"'!$J$26"),INDIRECT("'"&amp;C$6&amp;"'!$J$33"))</f>
        <v>33</v>
      </c>
      <c r="D10" s="150">
        <f t="shared" ref="D10:V10" ca="1" si="1">IF(INDIRECT("'"&amp;D$6&amp;"'!$J$34")="N/A",INDIRECT("'"&amp;D$6&amp;"'!$J$26"),INDIRECT("'"&amp;D$6&amp;"'!$J$33"))</f>
        <v>440.26666666666665</v>
      </c>
      <c r="E10" s="150">
        <f t="shared" ca="1" si="1"/>
        <v>0</v>
      </c>
      <c r="F10" s="150">
        <f t="shared" ca="1" si="1"/>
        <v>0</v>
      </c>
      <c r="G10" s="150">
        <f t="shared" ca="1" si="1"/>
        <v>3</v>
      </c>
      <c r="H10" s="150">
        <f t="shared" ca="1" si="1"/>
        <v>0</v>
      </c>
      <c r="I10" s="150">
        <f t="shared" ca="1" si="1"/>
        <v>0</v>
      </c>
      <c r="J10" s="150">
        <f t="shared" ca="1" si="1"/>
        <v>0</v>
      </c>
      <c r="K10" s="150">
        <f t="shared" ca="1" si="1"/>
        <v>0</v>
      </c>
      <c r="L10" s="150">
        <f t="shared" ca="1" si="1"/>
        <v>0</v>
      </c>
      <c r="M10" s="150">
        <f t="shared" ca="1" si="1"/>
        <v>1</v>
      </c>
      <c r="N10" s="150">
        <f t="shared" ca="1" si="1"/>
        <v>9</v>
      </c>
      <c r="O10" s="150">
        <f t="shared" ca="1" si="1"/>
        <v>0</v>
      </c>
      <c r="P10" s="150">
        <f t="shared" ca="1" si="1"/>
        <v>0</v>
      </c>
      <c r="Q10" s="150">
        <f t="shared" ca="1" si="1"/>
        <v>0</v>
      </c>
      <c r="R10" s="150">
        <f t="shared" ca="1" si="1"/>
        <v>0</v>
      </c>
      <c r="S10" s="150">
        <f t="shared" ca="1" si="1"/>
        <v>0</v>
      </c>
      <c r="T10" s="150">
        <f t="shared" ca="1" si="1"/>
        <v>4</v>
      </c>
      <c r="U10" s="150">
        <f t="shared" ca="1" si="1"/>
        <v>2</v>
      </c>
      <c r="V10" s="150">
        <f t="shared" ca="1" si="1"/>
        <v>0</v>
      </c>
    </row>
    <row r="11" spans="1:22" ht="15" customHeight="1" x14ac:dyDescent="0.3">
      <c r="A11" s="408" t="s">
        <v>725</v>
      </c>
      <c r="B11" s="409"/>
      <c r="C11" s="150">
        <f ca="1">IF(INDIRECT("'"&amp;C$6&amp;"'!$J$53")="N/A",INDIRECT("'"&amp;C$6&amp;"'!$J$45"),INDIRECT("'"&amp;C$6&amp;"'!$J$52"))</f>
        <v>17</v>
      </c>
      <c r="D11" s="150">
        <f t="shared" ref="D11:V11" ca="1" si="2">IF(INDIRECT("'"&amp;D$6&amp;"'!$J$53")="N/A",INDIRECT("'"&amp;D$6&amp;"'!$J$45"),INDIRECT("'"&amp;D$6&amp;"'!$J$52"))</f>
        <v>30</v>
      </c>
      <c r="E11" s="150">
        <f t="shared" ca="1" si="2"/>
        <v>0</v>
      </c>
      <c r="F11" s="150">
        <f t="shared" ca="1" si="2"/>
        <v>0</v>
      </c>
      <c r="G11" s="150">
        <f t="shared" ca="1" si="2"/>
        <v>0</v>
      </c>
      <c r="H11" s="150">
        <f t="shared" ca="1" si="2"/>
        <v>0</v>
      </c>
      <c r="I11" s="150">
        <f t="shared" ca="1" si="2"/>
        <v>0</v>
      </c>
      <c r="J11" s="150">
        <f t="shared" ca="1" si="2"/>
        <v>0</v>
      </c>
      <c r="K11" s="150">
        <f t="shared" ca="1" si="2"/>
        <v>1</v>
      </c>
      <c r="L11" s="150">
        <f t="shared" ca="1" si="2"/>
        <v>3</v>
      </c>
      <c r="M11" s="150">
        <f t="shared" ca="1" si="2"/>
        <v>0</v>
      </c>
      <c r="N11" s="150">
        <f t="shared" ca="1" si="2"/>
        <v>511</v>
      </c>
      <c r="O11" s="150">
        <f t="shared" ca="1" si="2"/>
        <v>0</v>
      </c>
      <c r="P11" s="150">
        <f t="shared" ca="1" si="2"/>
        <v>0</v>
      </c>
      <c r="Q11" s="150">
        <f t="shared" ca="1" si="2"/>
        <v>0</v>
      </c>
      <c r="R11" s="150">
        <f t="shared" ca="1" si="2"/>
        <v>0</v>
      </c>
      <c r="S11" s="150">
        <f t="shared" ca="1" si="2"/>
        <v>0</v>
      </c>
      <c r="T11" s="150">
        <f t="shared" ca="1" si="2"/>
        <v>0</v>
      </c>
      <c r="U11" s="150">
        <f t="shared" ca="1" si="2"/>
        <v>0</v>
      </c>
      <c r="V11" s="150">
        <f t="shared" ca="1" si="2"/>
        <v>0</v>
      </c>
    </row>
    <row r="12" spans="1:22" ht="15" customHeight="1" x14ac:dyDescent="0.3">
      <c r="A12" s="408" t="s">
        <v>731</v>
      </c>
      <c r="B12" s="409"/>
      <c r="C12" s="150">
        <f ca="1">IF(INDIRECT("'"&amp;C$6&amp;"'!$J$72")="N/A",INDIRECT("'"&amp;C$6&amp;"'!$J$64"),INDIRECT("'"&amp;C$6&amp;"'!$J$71"))</f>
        <v>27</v>
      </c>
      <c r="D12" s="150">
        <f t="shared" ref="D12:V12" ca="1" si="3">IF(INDIRECT("'"&amp;D$6&amp;"'!$J$72")="N/A",INDIRECT("'"&amp;D$6&amp;"'!$J$64"),INDIRECT("'"&amp;D$6&amp;"'!$J$71"))</f>
        <v>100</v>
      </c>
      <c r="E12" s="150">
        <f t="shared" ca="1" si="3"/>
        <v>0</v>
      </c>
      <c r="F12" s="150">
        <f t="shared" ca="1" si="3"/>
        <v>0</v>
      </c>
      <c r="G12" s="150">
        <f t="shared" ca="1" si="3"/>
        <v>0</v>
      </c>
      <c r="H12" s="150">
        <f t="shared" ca="1" si="3"/>
        <v>0</v>
      </c>
      <c r="I12" s="150">
        <f t="shared" ca="1" si="3"/>
        <v>0</v>
      </c>
      <c r="J12" s="150">
        <f t="shared" ca="1" si="3"/>
        <v>0</v>
      </c>
      <c r="K12" s="150">
        <f t="shared" ca="1" si="3"/>
        <v>1</v>
      </c>
      <c r="L12" s="150">
        <f t="shared" ca="1" si="3"/>
        <v>3</v>
      </c>
      <c r="M12" s="150">
        <f t="shared" ca="1" si="3"/>
        <v>0</v>
      </c>
      <c r="N12" s="150">
        <f t="shared" ca="1" si="3"/>
        <v>511</v>
      </c>
      <c r="O12" s="150">
        <f t="shared" ca="1" si="3"/>
        <v>0</v>
      </c>
      <c r="P12" s="150">
        <f t="shared" ca="1" si="3"/>
        <v>0</v>
      </c>
      <c r="Q12" s="150">
        <f t="shared" ca="1" si="3"/>
        <v>0</v>
      </c>
      <c r="R12" s="150">
        <f t="shared" ca="1" si="3"/>
        <v>50000</v>
      </c>
      <c r="S12" s="150">
        <f t="shared" ca="1" si="3"/>
        <v>0</v>
      </c>
      <c r="T12" s="150">
        <f t="shared" ca="1" si="3"/>
        <v>200</v>
      </c>
      <c r="U12" s="150">
        <f t="shared" ca="1" si="3"/>
        <v>0</v>
      </c>
      <c r="V12" s="150">
        <f t="shared" ca="1" si="3"/>
        <v>0</v>
      </c>
    </row>
    <row r="13" spans="1:22" ht="15" customHeight="1" x14ac:dyDescent="0.3">
      <c r="A13" s="408" t="s">
        <v>732</v>
      </c>
      <c r="B13" s="409"/>
      <c r="C13" s="150">
        <f ca="1">IF(INDIRECT("'"&amp;C$6&amp;"'!$J$91")="N/A",INDIRECT("'"&amp;C$6&amp;"'!$J$83"),INDIRECT("'"&amp;C$6&amp;"'!$J$90"))</f>
        <v>0</v>
      </c>
      <c r="D13" s="150">
        <f t="shared" ref="D13:V13" ca="1" si="4">IF(INDIRECT("'"&amp;D$6&amp;"'!$J$91")="N/A",INDIRECT("'"&amp;D$6&amp;"'!$J$83"),INDIRECT("'"&amp;D$6&amp;"'!$J$90"))</f>
        <v>21898.933333333334</v>
      </c>
      <c r="E13" s="150">
        <f t="shared" ca="1" si="4"/>
        <v>0</v>
      </c>
      <c r="F13" s="150">
        <f t="shared" ca="1" si="4"/>
        <v>0</v>
      </c>
      <c r="G13" s="150">
        <f t="shared" ca="1" si="4"/>
        <v>0</v>
      </c>
      <c r="H13" s="150">
        <f t="shared" ca="1" si="4"/>
        <v>0</v>
      </c>
      <c r="I13" s="150">
        <f t="shared" ca="1" si="4"/>
        <v>0</v>
      </c>
      <c r="J13" s="150">
        <f t="shared" ca="1" si="4"/>
        <v>0</v>
      </c>
      <c r="K13" s="150">
        <f t="shared" ca="1" si="4"/>
        <v>0</v>
      </c>
      <c r="L13" s="150">
        <f t="shared" ca="1" si="4"/>
        <v>0</v>
      </c>
      <c r="M13" s="150">
        <f t="shared" ca="1" si="4"/>
        <v>0</v>
      </c>
      <c r="N13" s="150">
        <f t="shared" ca="1" si="4"/>
        <v>18</v>
      </c>
      <c r="O13" s="150">
        <f t="shared" ca="1" si="4"/>
        <v>0</v>
      </c>
      <c r="P13" s="150">
        <f t="shared" ca="1" si="4"/>
        <v>0</v>
      </c>
      <c r="Q13" s="150">
        <f t="shared" ca="1" si="4"/>
        <v>0</v>
      </c>
      <c r="R13" s="150">
        <f t="shared" ca="1" si="4"/>
        <v>0</v>
      </c>
      <c r="S13" s="150">
        <f t="shared" ca="1" si="4"/>
        <v>0</v>
      </c>
      <c r="T13" s="150">
        <f t="shared" ca="1" si="4"/>
        <v>0</v>
      </c>
      <c r="U13" s="150">
        <f t="shared" ca="1" si="4"/>
        <v>0</v>
      </c>
      <c r="V13" s="150">
        <f t="shared" ca="1" si="4"/>
        <v>0</v>
      </c>
    </row>
    <row r="14" spans="1:22" ht="30" customHeight="1" x14ac:dyDescent="0.3">
      <c r="A14" s="408" t="s">
        <v>733</v>
      </c>
      <c r="B14" s="409"/>
      <c r="C14" s="150">
        <f ca="1">IF(INDIRECT("'"&amp;C$6&amp;"'!$J$110")="N/A",INDIRECT("'"&amp;C$6&amp;"'!$J$102"),INDIRECT("'"&amp;C$6&amp;"'!$J$109"))</f>
        <v>12</v>
      </c>
      <c r="D14" s="150">
        <f t="shared" ref="D14:V14" ca="1" si="5">IF(INDIRECT("'"&amp;D$6&amp;"'!$J$110")="N/A",INDIRECT("'"&amp;D$6&amp;"'!$J$102"),INDIRECT("'"&amp;D$6&amp;"'!$J$109"))</f>
        <v>0</v>
      </c>
      <c r="E14" s="150">
        <f t="shared" ca="1" si="5"/>
        <v>2</v>
      </c>
      <c r="F14" s="150">
        <f t="shared" ca="1" si="5"/>
        <v>0</v>
      </c>
      <c r="G14" s="150">
        <f t="shared" ca="1" si="5"/>
        <v>0</v>
      </c>
      <c r="H14" s="150">
        <f t="shared" ca="1" si="5"/>
        <v>0</v>
      </c>
      <c r="I14" s="150">
        <f t="shared" ca="1" si="5"/>
        <v>0</v>
      </c>
      <c r="J14" s="150">
        <f t="shared" ca="1" si="5"/>
        <v>0</v>
      </c>
      <c r="K14" s="150">
        <f t="shared" ca="1" si="5"/>
        <v>0</v>
      </c>
      <c r="L14" s="150">
        <f t="shared" ca="1" si="5"/>
        <v>0</v>
      </c>
      <c r="M14" s="150">
        <f t="shared" ca="1" si="5"/>
        <v>0</v>
      </c>
      <c r="N14" s="150">
        <f t="shared" ca="1" si="5"/>
        <v>0</v>
      </c>
      <c r="O14" s="150">
        <f t="shared" ca="1" si="5"/>
        <v>0</v>
      </c>
      <c r="P14" s="150">
        <f t="shared" ca="1" si="5"/>
        <v>0</v>
      </c>
      <c r="Q14" s="150">
        <f t="shared" ca="1" si="5"/>
        <v>0</v>
      </c>
      <c r="R14" s="150">
        <f t="shared" ca="1" si="5"/>
        <v>0</v>
      </c>
      <c r="S14" s="150">
        <f t="shared" ca="1" si="5"/>
        <v>0</v>
      </c>
      <c r="T14" s="150">
        <f t="shared" ca="1" si="5"/>
        <v>5</v>
      </c>
      <c r="U14" s="150">
        <f t="shared" ca="1" si="5"/>
        <v>0</v>
      </c>
      <c r="V14" s="150">
        <f t="shared" ca="1" si="5"/>
        <v>0</v>
      </c>
    </row>
    <row r="15" spans="1:22" ht="120" customHeight="1" x14ac:dyDescent="0.3">
      <c r="A15" s="416" t="s">
        <v>704</v>
      </c>
      <c r="B15" s="417"/>
      <c r="C15" s="129" t="str">
        <f ca="1">INDIRECT("'"&amp;C$6&amp;"'!$C$123")</f>
        <v>Population displays distress with 25% - 49% psychopathology.</v>
      </c>
      <c r="D15" s="129" t="str">
        <f t="shared" ref="D15:V15" ca="1" si="6">INDIRECT("'"&amp;D$6&amp;"'!$C$123")</f>
        <v>Population displays distress with ≥50% psychopathology.</v>
      </c>
      <c r="E15" s="129" t="str">
        <f t="shared" ca="1" si="6"/>
        <v>Population displays distress with ≥50% psychopathology.</v>
      </c>
      <c r="F15" s="129" t="str">
        <f t="shared" ca="1" si="6"/>
        <v xml:space="preserve">Population displays distress with &lt;25% psychopathology. </v>
      </c>
      <c r="G15" s="129" t="str">
        <f t="shared" ca="1" si="6"/>
        <v>Effects weak or highly transient; occasional or minor loss of nonessential social functions in a circumscribed geographical area.</v>
      </c>
      <c r="H15" s="129" t="str">
        <f t="shared" ca="1" si="6"/>
        <v>Population displays distress with 25% - 49% psychopathology.</v>
      </c>
      <c r="I15" s="129" t="str">
        <f t="shared" ca="1" si="6"/>
        <v xml:space="preserve">Population displays distress with &lt;25% psychopathology. </v>
      </c>
      <c r="J15" s="129" t="str">
        <f t="shared" ca="1" si="6"/>
        <v xml:space="preserve">Population displays distress with &lt;25% psychopathology. </v>
      </c>
      <c r="K15" s="129" t="str">
        <f t="shared" ca="1" si="6"/>
        <v>Minimal change in population behavior and negligible effects on social functioning.</v>
      </c>
      <c r="L15" s="129" t="str">
        <f t="shared" ca="1" si="6"/>
        <v>Minimal change in population behavior and negligible effects on social functioning.</v>
      </c>
      <c r="M15" s="129" t="str">
        <f t="shared" ca="1" si="6"/>
        <v>Effects weak or highly transient; occasional or minor loss of nonessential social functions in a circumscribed geographical area.</v>
      </c>
      <c r="N15" s="129" t="str">
        <f t="shared" ca="1" si="6"/>
        <v>Population displays distress with ≥50% psychopathology.</v>
      </c>
      <c r="O15" s="129" t="str">
        <f t="shared" ca="1" si="6"/>
        <v>Minimal change in population behavior and negligible effects on social functioning.</v>
      </c>
      <c r="P15" s="129" t="str">
        <f t="shared" ca="1" si="6"/>
        <v>Population displays distress with ≥50% psychopathology.</v>
      </c>
      <c r="Q15" s="129" t="str">
        <f t="shared" ca="1" si="6"/>
        <v>Population displays distress with 25% - 49% psychopathology.</v>
      </c>
      <c r="R15" s="129" t="str">
        <f t="shared" ca="1" si="6"/>
        <v>Population displays distress with ≥50% psychopathology.</v>
      </c>
      <c r="S15" s="129" t="str">
        <f t="shared" ca="1" si="6"/>
        <v>Minimal change in population behavior and negligible effects on social functioning.</v>
      </c>
      <c r="T15" s="129" t="str">
        <f t="shared" ca="1" si="6"/>
        <v xml:space="preserve">Population displays distress with &lt;25% psychopathology. </v>
      </c>
      <c r="U15" s="129" t="str">
        <f t="shared" ca="1" si="6"/>
        <v xml:space="preserve">Population displays distress with &lt;25% psychopathology. </v>
      </c>
      <c r="V15" s="129" t="str">
        <f t="shared" ca="1" si="6"/>
        <v>Minimal change in population behavior and negligible effects on social functioning.</v>
      </c>
    </row>
    <row r="16" spans="1:22" x14ac:dyDescent="0.3">
      <c r="A16" s="418"/>
      <c r="B16" s="419"/>
      <c r="C16" s="144"/>
      <c r="D16" s="144"/>
      <c r="E16" s="144"/>
      <c r="F16" s="144"/>
      <c r="G16" s="144"/>
      <c r="H16" s="144"/>
      <c r="I16" s="144"/>
      <c r="J16" s="144"/>
      <c r="K16" s="144"/>
      <c r="L16" s="144"/>
      <c r="M16" s="144"/>
      <c r="N16" s="144"/>
      <c r="O16" s="144"/>
      <c r="P16" s="144"/>
      <c r="Q16" s="144"/>
      <c r="R16" s="144"/>
      <c r="S16" s="144"/>
      <c r="T16" s="144"/>
      <c r="U16" s="144"/>
      <c r="V16" s="144"/>
    </row>
    <row r="17" spans="1:22" ht="15.75" customHeight="1" x14ac:dyDescent="0.3">
      <c r="A17" s="420" t="s">
        <v>28</v>
      </c>
      <c r="B17" s="421"/>
      <c r="C17" s="144"/>
      <c r="D17" s="144"/>
      <c r="E17" s="144"/>
      <c r="F17" s="144"/>
      <c r="G17" s="144"/>
      <c r="H17" s="144"/>
      <c r="I17" s="144"/>
      <c r="J17" s="144"/>
      <c r="K17" s="144"/>
      <c r="L17" s="144"/>
      <c r="M17" s="144"/>
      <c r="N17" s="144"/>
      <c r="O17" s="144"/>
      <c r="P17" s="144"/>
      <c r="Q17" s="144"/>
      <c r="R17" s="144"/>
      <c r="S17" s="144"/>
      <c r="T17" s="144"/>
      <c r="U17" s="144"/>
      <c r="V17" s="144"/>
    </row>
    <row r="18" spans="1:22" ht="15" customHeight="1" x14ac:dyDescent="0.3">
      <c r="A18" s="414" t="s">
        <v>719</v>
      </c>
      <c r="B18" s="127" t="s">
        <v>705</v>
      </c>
      <c r="C18" s="151">
        <f ca="1">IF(INDIRECT("'"&amp;C$6&amp;"'!$J$151")="N/A",INDIRECT("'"&amp;C$6&amp;"'!$J$141"),"-")</f>
        <v>0</v>
      </c>
      <c r="D18" s="151">
        <f t="shared" ref="D18:V18" ca="1" si="7">IF(INDIRECT("'"&amp;D$6&amp;"'!$J$151")="N/A",INDIRECT("'"&amp;D$6&amp;"'!$J$141"),"-")</f>
        <v>0</v>
      </c>
      <c r="E18" s="151">
        <f t="shared" ca="1" si="7"/>
        <v>0</v>
      </c>
      <c r="F18" s="151">
        <f t="shared" ca="1" si="7"/>
        <v>0</v>
      </c>
      <c r="G18" s="151">
        <f t="shared" ca="1" si="7"/>
        <v>0</v>
      </c>
      <c r="H18" s="151">
        <f t="shared" ca="1" si="7"/>
        <v>0</v>
      </c>
      <c r="I18" s="151">
        <f t="shared" ca="1" si="7"/>
        <v>0</v>
      </c>
      <c r="J18" s="151">
        <f t="shared" ca="1" si="7"/>
        <v>0</v>
      </c>
      <c r="K18" s="151">
        <f t="shared" ca="1" si="7"/>
        <v>0</v>
      </c>
      <c r="L18" s="151">
        <f t="shared" ca="1" si="7"/>
        <v>0</v>
      </c>
      <c r="M18" s="151">
        <f t="shared" ca="1" si="7"/>
        <v>0</v>
      </c>
      <c r="N18" s="151">
        <f t="shared" ca="1" si="7"/>
        <v>0</v>
      </c>
      <c r="O18" s="151">
        <f t="shared" ca="1" si="7"/>
        <v>0</v>
      </c>
      <c r="P18" s="151">
        <f t="shared" ca="1" si="7"/>
        <v>0</v>
      </c>
      <c r="Q18" s="151">
        <f t="shared" ca="1" si="7"/>
        <v>0</v>
      </c>
      <c r="R18" s="151">
        <f t="shared" ca="1" si="7"/>
        <v>0</v>
      </c>
      <c r="S18" s="151">
        <f t="shared" ca="1" si="7"/>
        <v>0</v>
      </c>
      <c r="T18" s="151">
        <f t="shared" ca="1" si="7"/>
        <v>0</v>
      </c>
      <c r="U18" s="151">
        <f t="shared" ca="1" si="7"/>
        <v>0</v>
      </c>
      <c r="V18" s="151">
        <f t="shared" ca="1" si="7"/>
        <v>0</v>
      </c>
    </row>
    <row r="19" spans="1:22" x14ac:dyDescent="0.3">
      <c r="A19" s="415"/>
      <c r="B19" s="128" t="s">
        <v>706</v>
      </c>
      <c r="C19" s="152">
        <f ca="1">IF(INDIRECT("'"&amp;C$6&amp;"'!$J$151")="N/A",INDIRECT("'"&amp;C$6&amp;"'!$J$142"), INDIRECT("'"&amp;C$6&amp;"'!$J$150"))</f>
        <v>0</v>
      </c>
      <c r="D19" s="152">
        <f t="shared" ref="D19:V19" ca="1" si="8">IF(INDIRECT("'"&amp;D$6&amp;"'!$J$151")="N/A",INDIRECT("'"&amp;D$6&amp;"'!$J$142"), INDIRECT("'"&amp;D$6&amp;"'!$J$150"))</f>
        <v>1094.9466666666667</v>
      </c>
      <c r="E19" s="152">
        <f t="shared" ca="1" si="8"/>
        <v>0</v>
      </c>
      <c r="F19" s="152">
        <f t="shared" ca="1" si="8"/>
        <v>0</v>
      </c>
      <c r="G19" s="152">
        <f t="shared" ca="1" si="8"/>
        <v>0</v>
      </c>
      <c r="H19" s="152">
        <f t="shared" ca="1" si="8"/>
        <v>0</v>
      </c>
      <c r="I19" s="152">
        <f t="shared" ca="1" si="8"/>
        <v>0</v>
      </c>
      <c r="J19" s="152">
        <f t="shared" ca="1" si="8"/>
        <v>0</v>
      </c>
      <c r="K19" s="152">
        <f t="shared" ca="1" si="8"/>
        <v>0</v>
      </c>
      <c r="L19" s="152">
        <f t="shared" ca="1" si="8"/>
        <v>0</v>
      </c>
      <c r="M19" s="152">
        <f t="shared" ca="1" si="8"/>
        <v>0</v>
      </c>
      <c r="N19" s="152">
        <f t="shared" ca="1" si="8"/>
        <v>0.9</v>
      </c>
      <c r="O19" s="152">
        <f t="shared" ca="1" si="8"/>
        <v>0</v>
      </c>
      <c r="P19" s="152">
        <f t="shared" ca="1" si="8"/>
        <v>0</v>
      </c>
      <c r="Q19" s="152">
        <f t="shared" ca="1" si="8"/>
        <v>0</v>
      </c>
      <c r="R19" s="152">
        <f t="shared" ca="1" si="8"/>
        <v>0</v>
      </c>
      <c r="S19" s="152">
        <f t="shared" ca="1" si="8"/>
        <v>0</v>
      </c>
      <c r="T19" s="152">
        <f t="shared" ca="1" si="8"/>
        <v>0</v>
      </c>
      <c r="U19" s="152">
        <f t="shared" ca="1" si="8"/>
        <v>0</v>
      </c>
      <c r="V19" s="152">
        <f t="shared" ca="1" si="8"/>
        <v>0</v>
      </c>
    </row>
    <row r="20" spans="1:22" ht="15" customHeight="1" x14ac:dyDescent="0.3">
      <c r="A20" s="414" t="s">
        <v>720</v>
      </c>
      <c r="B20" s="127" t="s">
        <v>705</v>
      </c>
      <c r="C20" s="151">
        <f ca="1">IF(INDIRECT("'"&amp;C$6&amp;"'!$J$172")="N/A",INDIRECT("'"&amp;C$6&amp;"'!$J$162"),"-")</f>
        <v>0</v>
      </c>
      <c r="D20" s="151">
        <f t="shared" ref="D20:V20" ca="1" si="9">IF(INDIRECT("'"&amp;D$6&amp;"'!$J$172")="N/A",INDIRECT("'"&amp;D$6&amp;"'!$J$162"),"-")</f>
        <v>0</v>
      </c>
      <c r="E20" s="151">
        <f t="shared" ca="1" si="9"/>
        <v>0</v>
      </c>
      <c r="F20" s="151">
        <f t="shared" ca="1" si="9"/>
        <v>0</v>
      </c>
      <c r="G20" s="151">
        <f t="shared" ca="1" si="9"/>
        <v>0</v>
      </c>
      <c r="H20" s="151">
        <f t="shared" ca="1" si="9"/>
        <v>0</v>
      </c>
      <c r="I20" s="151">
        <f t="shared" ca="1" si="9"/>
        <v>0</v>
      </c>
      <c r="J20" s="151">
        <f t="shared" ca="1" si="9"/>
        <v>0</v>
      </c>
      <c r="K20" s="151">
        <f t="shared" ca="1" si="9"/>
        <v>0</v>
      </c>
      <c r="L20" s="151">
        <f t="shared" ca="1" si="9"/>
        <v>0</v>
      </c>
      <c r="M20" s="151">
        <f t="shared" ca="1" si="9"/>
        <v>0</v>
      </c>
      <c r="N20" s="151">
        <f t="shared" ca="1" si="9"/>
        <v>0</v>
      </c>
      <c r="O20" s="151">
        <f t="shared" ca="1" si="9"/>
        <v>0</v>
      </c>
      <c r="P20" s="151">
        <f t="shared" ca="1" si="9"/>
        <v>0</v>
      </c>
      <c r="Q20" s="151">
        <f t="shared" ca="1" si="9"/>
        <v>0</v>
      </c>
      <c r="R20" s="151">
        <f t="shared" ca="1" si="9"/>
        <v>0</v>
      </c>
      <c r="S20" s="151">
        <f t="shared" ca="1" si="9"/>
        <v>0</v>
      </c>
      <c r="T20" s="151">
        <f t="shared" ca="1" si="9"/>
        <v>0</v>
      </c>
      <c r="U20" s="151">
        <f t="shared" ca="1" si="9"/>
        <v>0</v>
      </c>
      <c r="V20" s="151">
        <f t="shared" ca="1" si="9"/>
        <v>0</v>
      </c>
    </row>
    <row r="21" spans="1:22" ht="31.5" customHeight="1" x14ac:dyDescent="0.3">
      <c r="A21" s="415"/>
      <c r="B21" s="128" t="s">
        <v>706</v>
      </c>
      <c r="C21" s="152">
        <f ca="1">IF(INDIRECT("'"&amp;C$6&amp;"'!$J$172")="N/A",INDIRECT("'"&amp;C$6&amp;"'!$J$163"), INDIRECT("'"&amp;C$6&amp;"'!$J$171"))</f>
        <v>6</v>
      </c>
      <c r="D21" s="152">
        <f t="shared" ref="D21:V21" ca="1" si="10">IF(INDIRECT("'"&amp;D$6&amp;"'!$J$172")="N/A",INDIRECT("'"&amp;D$6&amp;"'!$J$163"), INDIRECT("'"&amp;D$6&amp;"'!$J$171"))</f>
        <v>22.222222222222221</v>
      </c>
      <c r="E21" s="152">
        <f t="shared" ca="1" si="10"/>
        <v>0</v>
      </c>
      <c r="F21" s="152">
        <f t="shared" ca="1" si="10"/>
        <v>0</v>
      </c>
      <c r="G21" s="152">
        <f t="shared" ca="1" si="10"/>
        <v>0</v>
      </c>
      <c r="H21" s="152">
        <f t="shared" ca="1" si="10"/>
        <v>0</v>
      </c>
      <c r="I21" s="152">
        <f t="shared" ca="1" si="10"/>
        <v>0</v>
      </c>
      <c r="J21" s="152">
        <f t="shared" ca="1" si="10"/>
        <v>0</v>
      </c>
      <c r="K21" s="152">
        <f t="shared" ca="1" si="10"/>
        <v>0.22222222222222221</v>
      </c>
      <c r="L21" s="152">
        <f t="shared" ca="1" si="10"/>
        <v>0.66666666666666663</v>
      </c>
      <c r="M21" s="152">
        <f t="shared" ca="1" si="10"/>
        <v>0</v>
      </c>
      <c r="N21" s="152">
        <f t="shared" ca="1" si="10"/>
        <v>113.55555555555556</v>
      </c>
      <c r="O21" s="152">
        <f t="shared" ca="1" si="10"/>
        <v>0</v>
      </c>
      <c r="P21" s="152">
        <f t="shared" ca="1" si="10"/>
        <v>0</v>
      </c>
      <c r="Q21" s="152">
        <f t="shared" ca="1" si="10"/>
        <v>0</v>
      </c>
      <c r="R21" s="152">
        <f t="shared" ca="1" si="10"/>
        <v>11111.111111111111</v>
      </c>
      <c r="S21" s="152">
        <f t="shared" ca="1" si="10"/>
        <v>0</v>
      </c>
      <c r="T21" s="152">
        <f t="shared" ca="1" si="10"/>
        <v>44.444444444444443</v>
      </c>
      <c r="U21" s="152">
        <f t="shared" ca="1" si="10"/>
        <v>0</v>
      </c>
      <c r="V21" s="152">
        <f t="shared" ca="1" si="10"/>
        <v>0</v>
      </c>
    </row>
    <row r="22" spans="1:22" ht="15" customHeight="1" x14ac:dyDescent="0.3">
      <c r="A22" s="414" t="s">
        <v>726</v>
      </c>
      <c r="B22" s="127" t="s">
        <v>705</v>
      </c>
      <c r="C22" s="151">
        <f ca="1">IF(INDIRECT("'"&amp;C$6&amp;"'!$J$192")="N/A",INDIRECT("'"&amp;C$6&amp;"'!$J$183"),"-")</f>
        <v>0</v>
      </c>
      <c r="D22" s="151">
        <f t="shared" ref="D22:V22" ca="1" si="11">IF(INDIRECT("'"&amp;D$6&amp;"'!$J$192")="N/A",INDIRECT("'"&amp;D$6&amp;"'!$J$183"),"-")</f>
        <v>0</v>
      </c>
      <c r="E22" s="151">
        <f t="shared" ca="1" si="11"/>
        <v>0</v>
      </c>
      <c r="F22" s="151">
        <f t="shared" ca="1" si="11"/>
        <v>0</v>
      </c>
      <c r="G22" s="151">
        <f t="shared" ca="1" si="11"/>
        <v>0</v>
      </c>
      <c r="H22" s="151">
        <f t="shared" ca="1" si="11"/>
        <v>0</v>
      </c>
      <c r="I22" s="151">
        <f t="shared" ca="1" si="11"/>
        <v>0</v>
      </c>
      <c r="J22" s="151">
        <f t="shared" ca="1" si="11"/>
        <v>0</v>
      </c>
      <c r="K22" s="151">
        <f t="shared" ca="1" si="11"/>
        <v>0</v>
      </c>
      <c r="L22" s="151">
        <f t="shared" ca="1" si="11"/>
        <v>0</v>
      </c>
      <c r="M22" s="151">
        <f t="shared" ca="1" si="11"/>
        <v>0</v>
      </c>
      <c r="N22" s="151">
        <f t="shared" ca="1" si="11"/>
        <v>0</v>
      </c>
      <c r="O22" s="151">
        <f t="shared" ca="1" si="11"/>
        <v>0</v>
      </c>
      <c r="P22" s="151">
        <f t="shared" ca="1" si="11"/>
        <v>0</v>
      </c>
      <c r="Q22" s="151">
        <f t="shared" ca="1" si="11"/>
        <v>0</v>
      </c>
      <c r="R22" s="151">
        <f t="shared" ca="1" si="11"/>
        <v>0</v>
      </c>
      <c r="S22" s="151">
        <f t="shared" ca="1" si="11"/>
        <v>0</v>
      </c>
      <c r="T22" s="151">
        <f t="shared" ca="1" si="11"/>
        <v>0</v>
      </c>
      <c r="U22" s="151">
        <f t="shared" ca="1" si="11"/>
        <v>0</v>
      </c>
      <c r="V22" s="151">
        <f t="shared" ca="1" si="11"/>
        <v>0</v>
      </c>
    </row>
    <row r="23" spans="1:22" x14ac:dyDescent="0.3">
      <c r="A23" s="415"/>
      <c r="B23" s="128" t="s">
        <v>706</v>
      </c>
      <c r="C23" s="152">
        <f ca="1">IF(INDIRECT("'"&amp;C$6&amp;"'!$J$192")="N/A",INDIRECT("'"&amp;C$6&amp;"'!$J$184"), INDIRECT("'"&amp;C$6&amp;"'!$J$191"))</f>
        <v>27</v>
      </c>
      <c r="D23" s="152">
        <f t="shared" ref="D23:V23" ca="1" si="12">IF(INDIRECT("'"&amp;D$6&amp;"'!$J$192")="N/A",INDIRECT("'"&amp;D$6&amp;"'!$J$184"), INDIRECT("'"&amp;D$6&amp;"'!$J$191"))</f>
        <v>15409</v>
      </c>
      <c r="E23" s="152">
        <f t="shared" ca="1" si="12"/>
        <v>0</v>
      </c>
      <c r="F23" s="152">
        <f t="shared" ca="1" si="12"/>
        <v>0</v>
      </c>
      <c r="G23" s="152">
        <f t="shared" ca="1" si="12"/>
        <v>0</v>
      </c>
      <c r="H23" s="152">
        <f t="shared" ca="1" si="12"/>
        <v>0</v>
      </c>
      <c r="I23" s="152">
        <f t="shared" ca="1" si="12"/>
        <v>0</v>
      </c>
      <c r="J23" s="152">
        <f t="shared" ca="1" si="12"/>
        <v>0</v>
      </c>
      <c r="K23" s="152">
        <f t="shared" ca="1" si="12"/>
        <v>0</v>
      </c>
      <c r="L23" s="152">
        <f t="shared" ca="1" si="12"/>
        <v>3</v>
      </c>
      <c r="M23" s="152">
        <f t="shared" ca="1" si="12"/>
        <v>0</v>
      </c>
      <c r="N23" s="152">
        <f t="shared" ca="1" si="12"/>
        <v>69</v>
      </c>
      <c r="O23" s="152">
        <f t="shared" ca="1" si="12"/>
        <v>27</v>
      </c>
      <c r="P23" s="152">
        <f t="shared" ca="1" si="12"/>
        <v>0</v>
      </c>
      <c r="Q23" s="152">
        <f t="shared" ca="1" si="12"/>
        <v>0</v>
      </c>
      <c r="R23" s="152">
        <f t="shared" ca="1" si="12"/>
        <v>0</v>
      </c>
      <c r="S23" s="152">
        <f t="shared" ca="1" si="12"/>
        <v>0</v>
      </c>
      <c r="T23" s="152">
        <f t="shared" ca="1" si="12"/>
        <v>40</v>
      </c>
      <c r="U23" s="152">
        <f t="shared" ca="1" si="12"/>
        <v>0</v>
      </c>
      <c r="V23" s="152">
        <f t="shared" ca="1" si="12"/>
        <v>0</v>
      </c>
    </row>
    <row r="24" spans="1:22" ht="15" customHeight="1" x14ac:dyDescent="0.3">
      <c r="A24" s="414" t="s">
        <v>721</v>
      </c>
      <c r="B24" s="127" t="s">
        <v>705</v>
      </c>
      <c r="C24" s="151">
        <f ca="1">IF(INDIRECT("'"&amp;C$6&amp;"'!$J$212")="N/A",INDIRECT("'"&amp;C$6&amp;"'!$J$203"),"-")</f>
        <v>0</v>
      </c>
      <c r="D24" s="151">
        <f t="shared" ref="D24:V24" ca="1" si="13">IF(INDIRECT("'"&amp;D$6&amp;"'!$J$212")="N/A",INDIRECT("'"&amp;D$6&amp;"'!$J$203"),"-")</f>
        <v>0</v>
      </c>
      <c r="E24" s="151">
        <f t="shared" ca="1" si="13"/>
        <v>0</v>
      </c>
      <c r="F24" s="151">
        <f t="shared" ca="1" si="13"/>
        <v>0</v>
      </c>
      <c r="G24" s="151">
        <f t="shared" ca="1" si="13"/>
        <v>0</v>
      </c>
      <c r="H24" s="151">
        <f t="shared" ca="1" si="13"/>
        <v>0</v>
      </c>
      <c r="I24" s="151">
        <f t="shared" ca="1" si="13"/>
        <v>0</v>
      </c>
      <c r="J24" s="151">
        <f t="shared" ca="1" si="13"/>
        <v>0</v>
      </c>
      <c r="K24" s="151">
        <f t="shared" ca="1" si="13"/>
        <v>0</v>
      </c>
      <c r="L24" s="151">
        <f t="shared" ca="1" si="13"/>
        <v>0</v>
      </c>
      <c r="M24" s="151">
        <f t="shared" ca="1" si="13"/>
        <v>0</v>
      </c>
      <c r="N24" s="151">
        <f t="shared" ca="1" si="13"/>
        <v>0</v>
      </c>
      <c r="O24" s="151">
        <f t="shared" ca="1" si="13"/>
        <v>0</v>
      </c>
      <c r="P24" s="151">
        <f t="shared" ca="1" si="13"/>
        <v>0</v>
      </c>
      <c r="Q24" s="151">
        <f t="shared" ca="1" si="13"/>
        <v>0</v>
      </c>
      <c r="R24" s="151">
        <f t="shared" ca="1" si="13"/>
        <v>0</v>
      </c>
      <c r="S24" s="151">
        <f t="shared" ca="1" si="13"/>
        <v>0</v>
      </c>
      <c r="T24" s="151">
        <f t="shared" ca="1" si="13"/>
        <v>0</v>
      </c>
      <c r="U24" s="151">
        <f t="shared" ca="1" si="13"/>
        <v>0</v>
      </c>
      <c r="V24" s="151">
        <f t="shared" ca="1" si="13"/>
        <v>0</v>
      </c>
    </row>
    <row r="25" spans="1:22" x14ac:dyDescent="0.3">
      <c r="A25" s="415"/>
      <c r="B25" s="128" t="s">
        <v>706</v>
      </c>
      <c r="C25" s="152">
        <f ca="1">IF(INDIRECT("'"&amp;C$6&amp;"'!$J$212")="N/A",INDIRECT("'"&amp;C$6&amp;"'!$J$204"), INDIRECT("'"&amp;C$6&amp;"'!$J$211"))</f>
        <v>0</v>
      </c>
      <c r="D25" s="152">
        <f t="shared" ref="D25:V25" ca="1" si="14">IF(INDIRECT("'"&amp;D$6&amp;"'!$J$212")="N/A",INDIRECT("'"&amp;D$6&amp;"'!$J$204"), INDIRECT("'"&amp;D$6&amp;"'!$J$211"))</f>
        <v>22.811388888888889</v>
      </c>
      <c r="E25" s="152">
        <f t="shared" ca="1" si="14"/>
        <v>0</v>
      </c>
      <c r="F25" s="152">
        <f t="shared" ca="1" si="14"/>
        <v>0</v>
      </c>
      <c r="G25" s="152">
        <f t="shared" ca="1" si="14"/>
        <v>0</v>
      </c>
      <c r="H25" s="152">
        <f t="shared" ca="1" si="14"/>
        <v>0</v>
      </c>
      <c r="I25" s="152">
        <f t="shared" ca="1" si="14"/>
        <v>0</v>
      </c>
      <c r="J25" s="152">
        <f t="shared" ca="1" si="14"/>
        <v>0</v>
      </c>
      <c r="K25" s="152">
        <f t="shared" ca="1" si="14"/>
        <v>0</v>
      </c>
      <c r="L25" s="152">
        <f t="shared" ca="1" si="14"/>
        <v>0</v>
      </c>
      <c r="M25" s="152">
        <f t="shared" ca="1" si="14"/>
        <v>0</v>
      </c>
      <c r="N25" s="152">
        <f t="shared" ca="1" si="14"/>
        <v>0</v>
      </c>
      <c r="O25" s="152">
        <f t="shared" ca="1" si="14"/>
        <v>0</v>
      </c>
      <c r="P25" s="152">
        <f t="shared" ca="1" si="14"/>
        <v>0</v>
      </c>
      <c r="Q25" s="152">
        <f t="shared" ca="1" si="14"/>
        <v>0</v>
      </c>
      <c r="R25" s="152">
        <f t="shared" ca="1" si="14"/>
        <v>0</v>
      </c>
      <c r="S25" s="152">
        <f t="shared" ca="1" si="14"/>
        <v>0</v>
      </c>
      <c r="T25" s="152">
        <f t="shared" ca="1" si="14"/>
        <v>0</v>
      </c>
      <c r="U25" s="152">
        <f t="shared" ca="1" si="14"/>
        <v>0</v>
      </c>
      <c r="V25" s="152">
        <f t="shared" ca="1" si="14"/>
        <v>0</v>
      </c>
    </row>
    <row r="26" spans="1:22" ht="15" customHeight="1" x14ac:dyDescent="0.3">
      <c r="A26" s="414" t="s">
        <v>722</v>
      </c>
      <c r="B26" s="127" t="s">
        <v>705</v>
      </c>
      <c r="C26" s="151">
        <f ca="1">IF(INDIRECT("'"&amp;C$6&amp;"'!$J$233")="N/A",INDIRECT("'"&amp;C$6&amp;"'!$J$223"),"-")</f>
        <v>0</v>
      </c>
      <c r="D26" s="151">
        <f t="shared" ref="D26:V26" ca="1" si="15">IF(INDIRECT("'"&amp;D$6&amp;"'!$J$233")="N/A",INDIRECT("'"&amp;D$6&amp;"'!$J$223"),"-")</f>
        <v>0</v>
      </c>
      <c r="E26" s="151">
        <f t="shared" ca="1" si="15"/>
        <v>0</v>
      </c>
      <c r="F26" s="151">
        <f t="shared" ca="1" si="15"/>
        <v>0</v>
      </c>
      <c r="G26" s="151">
        <f t="shared" ca="1" si="15"/>
        <v>0</v>
      </c>
      <c r="H26" s="151">
        <f t="shared" ca="1" si="15"/>
        <v>0</v>
      </c>
      <c r="I26" s="151">
        <f t="shared" ca="1" si="15"/>
        <v>0</v>
      </c>
      <c r="J26" s="151">
        <f t="shared" ca="1" si="15"/>
        <v>0</v>
      </c>
      <c r="K26" s="151">
        <f t="shared" ca="1" si="15"/>
        <v>0</v>
      </c>
      <c r="L26" s="151">
        <f t="shared" ca="1" si="15"/>
        <v>0</v>
      </c>
      <c r="M26" s="151">
        <f t="shared" ca="1" si="15"/>
        <v>0</v>
      </c>
      <c r="N26" s="151">
        <f t="shared" ca="1" si="15"/>
        <v>0</v>
      </c>
      <c r="O26" s="151">
        <f t="shared" ca="1" si="15"/>
        <v>0</v>
      </c>
      <c r="P26" s="151">
        <f t="shared" ca="1" si="15"/>
        <v>0</v>
      </c>
      <c r="Q26" s="151">
        <f t="shared" ca="1" si="15"/>
        <v>0</v>
      </c>
      <c r="R26" s="151">
        <f t="shared" ca="1" si="15"/>
        <v>0</v>
      </c>
      <c r="S26" s="151">
        <f t="shared" ca="1" si="15"/>
        <v>0</v>
      </c>
      <c r="T26" s="151">
        <f t="shared" ca="1" si="15"/>
        <v>0</v>
      </c>
      <c r="U26" s="151">
        <f t="shared" ca="1" si="15"/>
        <v>0</v>
      </c>
      <c r="V26" s="151">
        <f t="shared" ca="1" si="15"/>
        <v>0</v>
      </c>
    </row>
    <row r="27" spans="1:22" x14ac:dyDescent="0.3">
      <c r="A27" s="415"/>
      <c r="B27" s="128" t="s">
        <v>706</v>
      </c>
      <c r="C27" s="152">
        <f ca="1">IF(INDIRECT("'"&amp;C$6&amp;"'!$J$233")="N/A",INDIRECT("'"&amp;C$6&amp;"'!$J$224"), INDIRECT("'"&amp;C$6&amp;"'!$J$232"))</f>
        <v>12</v>
      </c>
      <c r="D27" s="152">
        <f t="shared" ref="D27:V27" ca="1" si="16">IF(INDIRECT("'"&amp;D$6&amp;"'!$J$233")="N/A",INDIRECT("'"&amp;D$6&amp;"'!$J$224"), INDIRECT("'"&amp;D$6&amp;"'!$J$232"))</f>
        <v>0</v>
      </c>
      <c r="E27" s="152">
        <f t="shared" ca="1" si="16"/>
        <v>2</v>
      </c>
      <c r="F27" s="152">
        <f t="shared" ca="1" si="16"/>
        <v>0</v>
      </c>
      <c r="G27" s="152">
        <f t="shared" ca="1" si="16"/>
        <v>0</v>
      </c>
      <c r="H27" s="152">
        <f t="shared" ca="1" si="16"/>
        <v>0</v>
      </c>
      <c r="I27" s="152">
        <f t="shared" ca="1" si="16"/>
        <v>0</v>
      </c>
      <c r="J27" s="152">
        <f t="shared" ca="1" si="16"/>
        <v>0</v>
      </c>
      <c r="K27" s="152">
        <f t="shared" ca="1" si="16"/>
        <v>0</v>
      </c>
      <c r="L27" s="152">
        <f t="shared" ca="1" si="16"/>
        <v>0</v>
      </c>
      <c r="M27" s="152">
        <f t="shared" ca="1" si="16"/>
        <v>0</v>
      </c>
      <c r="N27" s="152">
        <f t="shared" ca="1" si="16"/>
        <v>0</v>
      </c>
      <c r="O27" s="152">
        <f t="shared" ca="1" si="16"/>
        <v>0</v>
      </c>
      <c r="P27" s="152">
        <f t="shared" ca="1" si="16"/>
        <v>0</v>
      </c>
      <c r="Q27" s="152">
        <f t="shared" ca="1" si="16"/>
        <v>0</v>
      </c>
      <c r="R27" s="152">
        <f t="shared" ca="1" si="16"/>
        <v>0</v>
      </c>
      <c r="S27" s="152">
        <f t="shared" ca="1" si="16"/>
        <v>0</v>
      </c>
      <c r="T27" s="152">
        <f t="shared" ca="1" si="16"/>
        <v>5</v>
      </c>
      <c r="U27" s="152">
        <f t="shared" ca="1" si="16"/>
        <v>0</v>
      </c>
      <c r="V27" s="152">
        <f t="shared" ca="1" si="16"/>
        <v>0</v>
      </c>
    </row>
    <row r="28" spans="1:22" ht="15" customHeight="1" x14ac:dyDescent="0.3">
      <c r="A28" s="414" t="s">
        <v>723</v>
      </c>
      <c r="B28" s="127" t="s">
        <v>705</v>
      </c>
      <c r="C28" s="151">
        <f ca="1">IF(INDIRECT("'"&amp;C$6&amp;"'!$J$253")="N/A",INDIRECT("'"&amp;C$6&amp;"'!$J$244"),"-")</f>
        <v>0</v>
      </c>
      <c r="D28" s="151">
        <f t="shared" ref="D28:V28" ca="1" si="17">IF(INDIRECT("'"&amp;D$6&amp;"'!$J$253")="N/A",INDIRECT("'"&amp;D$6&amp;"'!$J$244"),"-")</f>
        <v>0</v>
      </c>
      <c r="E28" s="151">
        <f t="shared" ca="1" si="17"/>
        <v>0</v>
      </c>
      <c r="F28" s="151">
        <f t="shared" ca="1" si="17"/>
        <v>0</v>
      </c>
      <c r="G28" s="151">
        <f t="shared" ca="1" si="17"/>
        <v>0</v>
      </c>
      <c r="H28" s="151">
        <f t="shared" ca="1" si="17"/>
        <v>0</v>
      </c>
      <c r="I28" s="151">
        <f t="shared" ca="1" si="17"/>
        <v>0</v>
      </c>
      <c r="J28" s="151">
        <f t="shared" ca="1" si="17"/>
        <v>0</v>
      </c>
      <c r="K28" s="151">
        <f t="shared" ca="1" si="17"/>
        <v>0</v>
      </c>
      <c r="L28" s="151">
        <f t="shared" ca="1" si="17"/>
        <v>0</v>
      </c>
      <c r="M28" s="151">
        <f t="shared" ca="1" si="17"/>
        <v>0</v>
      </c>
      <c r="N28" s="151">
        <f t="shared" ca="1" si="17"/>
        <v>0</v>
      </c>
      <c r="O28" s="151">
        <f t="shared" ca="1" si="17"/>
        <v>0</v>
      </c>
      <c r="P28" s="151">
        <f t="shared" ca="1" si="17"/>
        <v>0</v>
      </c>
      <c r="Q28" s="151">
        <f t="shared" ca="1" si="17"/>
        <v>0</v>
      </c>
      <c r="R28" s="151">
        <f t="shared" ca="1" si="17"/>
        <v>0</v>
      </c>
      <c r="S28" s="151">
        <f t="shared" ca="1" si="17"/>
        <v>0</v>
      </c>
      <c r="T28" s="151">
        <f t="shared" ca="1" si="17"/>
        <v>0</v>
      </c>
      <c r="U28" s="151">
        <f t="shared" ca="1" si="17"/>
        <v>0</v>
      </c>
      <c r="V28" s="151">
        <f t="shared" ca="1" si="17"/>
        <v>0</v>
      </c>
    </row>
    <row r="29" spans="1:22" ht="31.5" customHeight="1" x14ac:dyDescent="0.3">
      <c r="A29" s="415"/>
      <c r="B29" s="128" t="s">
        <v>706</v>
      </c>
      <c r="C29" s="153">
        <f ca="1">IF(INDIRECT("'"&amp;C$6&amp;"'!$J$253")="N/A",INDIRECT("'"&amp;C$6&amp;"'!$J$245"), INDIRECT("'"&amp;C$6&amp;"'!$J$252"))</f>
        <v>0</v>
      </c>
      <c r="D29" s="153">
        <f t="shared" ref="D29:V29" ca="1" si="18">IF(INDIRECT("'"&amp;D$6&amp;"'!$J$253")="N/A",INDIRECT("'"&amp;D$6&amp;"'!$J$245"), INDIRECT("'"&amp;D$6&amp;"'!$J$252"))</f>
        <v>52557.440000000002</v>
      </c>
      <c r="E29" s="153">
        <f t="shared" ca="1" si="18"/>
        <v>0</v>
      </c>
      <c r="F29" s="153">
        <f t="shared" ca="1" si="18"/>
        <v>0</v>
      </c>
      <c r="G29" s="153">
        <f t="shared" ca="1" si="18"/>
        <v>0</v>
      </c>
      <c r="H29" s="153">
        <f t="shared" ca="1" si="18"/>
        <v>0</v>
      </c>
      <c r="I29" s="153">
        <f t="shared" ca="1" si="18"/>
        <v>0</v>
      </c>
      <c r="J29" s="153">
        <f t="shared" ca="1" si="18"/>
        <v>0</v>
      </c>
      <c r="K29" s="153">
        <f t="shared" ca="1" si="18"/>
        <v>0</v>
      </c>
      <c r="L29" s="153">
        <f t="shared" ca="1" si="18"/>
        <v>0</v>
      </c>
      <c r="M29" s="153">
        <f t="shared" ca="1" si="18"/>
        <v>0</v>
      </c>
      <c r="N29" s="153">
        <f t="shared" ca="1" si="18"/>
        <v>0</v>
      </c>
      <c r="O29" s="153">
        <f t="shared" ca="1" si="18"/>
        <v>0</v>
      </c>
      <c r="P29" s="153">
        <f t="shared" ca="1" si="18"/>
        <v>0</v>
      </c>
      <c r="Q29" s="153">
        <f t="shared" ca="1" si="18"/>
        <v>0</v>
      </c>
      <c r="R29" s="153">
        <f t="shared" ca="1" si="18"/>
        <v>0</v>
      </c>
      <c r="S29" s="153">
        <f t="shared" ca="1" si="18"/>
        <v>0</v>
      </c>
      <c r="T29" s="153">
        <f t="shared" ca="1" si="18"/>
        <v>0</v>
      </c>
      <c r="U29" s="153">
        <f t="shared" ca="1" si="18"/>
        <v>0</v>
      </c>
      <c r="V29" s="153">
        <f t="shared" ca="1" si="18"/>
        <v>0</v>
      </c>
    </row>
    <row r="30" spans="1:22" x14ac:dyDescent="0.3">
      <c r="A30" s="412"/>
      <c r="B30" s="413"/>
      <c r="C30" s="144"/>
      <c r="D30" s="144"/>
      <c r="E30" s="144"/>
      <c r="F30" s="144"/>
      <c r="G30" s="144"/>
      <c r="H30" s="144"/>
      <c r="I30" s="144"/>
      <c r="J30" s="144"/>
      <c r="K30" s="144"/>
      <c r="L30" s="144"/>
      <c r="M30" s="144"/>
      <c r="N30" s="144"/>
      <c r="O30" s="144"/>
      <c r="P30" s="144"/>
      <c r="Q30" s="144"/>
      <c r="R30" s="144"/>
      <c r="S30" s="144"/>
      <c r="T30" s="144"/>
      <c r="U30" s="144"/>
      <c r="V30" s="144"/>
    </row>
    <row r="31" spans="1:22" ht="15.75" customHeight="1" x14ac:dyDescent="0.3">
      <c r="A31" s="410" t="s">
        <v>1009</v>
      </c>
      <c r="B31" s="411"/>
      <c r="C31" s="144"/>
      <c r="D31" s="144"/>
      <c r="E31" s="144"/>
      <c r="F31" s="144"/>
      <c r="G31" s="144"/>
      <c r="H31" s="144"/>
      <c r="I31" s="144"/>
      <c r="J31" s="144"/>
      <c r="K31" s="144"/>
      <c r="L31" s="144"/>
      <c r="M31" s="144"/>
      <c r="N31" s="144"/>
      <c r="O31" s="144"/>
      <c r="P31" s="144"/>
      <c r="Q31" s="144"/>
      <c r="R31" s="144"/>
      <c r="S31" s="144"/>
      <c r="T31" s="144"/>
      <c r="U31" s="144"/>
      <c r="V31" s="144"/>
    </row>
    <row r="32" spans="1:22" ht="15" customHeight="1" x14ac:dyDescent="0.3">
      <c r="A32" s="422" t="s">
        <v>799</v>
      </c>
      <c r="B32" s="141" t="s">
        <v>800</v>
      </c>
      <c r="C32" s="151">
        <f ca="1">IF(INDIRECT("'"&amp;C$6&amp;"'!$J$282")="N/A",INDIRECT("'"&amp;C$6&amp;"'!$J$269"),"-")</f>
        <v>0</v>
      </c>
      <c r="D32" s="151">
        <f t="shared" ref="D32:V32" ca="1" si="19">IF(INDIRECT("'"&amp;D$6&amp;"'!$J$282")="N/A",INDIRECT("'"&amp;D$6&amp;"'!$J$269"),"-")</f>
        <v>0</v>
      </c>
      <c r="E32" s="151">
        <f t="shared" ca="1" si="19"/>
        <v>0</v>
      </c>
      <c r="F32" s="151">
        <f t="shared" ca="1" si="19"/>
        <v>0</v>
      </c>
      <c r="G32" s="151">
        <f t="shared" ca="1" si="19"/>
        <v>0</v>
      </c>
      <c r="H32" s="151">
        <f t="shared" ca="1" si="19"/>
        <v>0</v>
      </c>
      <c r="I32" s="151">
        <f t="shared" ca="1" si="19"/>
        <v>0</v>
      </c>
      <c r="J32" s="151">
        <f t="shared" ca="1" si="19"/>
        <v>0</v>
      </c>
      <c r="K32" s="151">
        <f t="shared" ca="1" si="19"/>
        <v>0</v>
      </c>
      <c r="L32" s="151">
        <f t="shared" ca="1" si="19"/>
        <v>0</v>
      </c>
      <c r="M32" s="151">
        <f t="shared" ca="1" si="19"/>
        <v>0</v>
      </c>
      <c r="N32" s="151">
        <f t="shared" ca="1" si="19"/>
        <v>0</v>
      </c>
      <c r="O32" s="151">
        <f t="shared" ca="1" si="19"/>
        <v>0</v>
      </c>
      <c r="P32" s="151">
        <f t="shared" ca="1" si="19"/>
        <v>0</v>
      </c>
      <c r="Q32" s="151">
        <f t="shared" ca="1" si="19"/>
        <v>0</v>
      </c>
      <c r="R32" s="151">
        <f t="shared" ca="1" si="19"/>
        <v>0</v>
      </c>
      <c r="S32" s="151">
        <f t="shared" ca="1" si="19"/>
        <v>0</v>
      </c>
      <c r="T32" s="151">
        <f t="shared" ca="1" si="19"/>
        <v>0</v>
      </c>
      <c r="U32" s="151">
        <f t="shared" ca="1" si="19"/>
        <v>0</v>
      </c>
      <c r="V32" s="151">
        <f t="shared" ca="1" si="19"/>
        <v>0</v>
      </c>
    </row>
    <row r="33" spans="1:22" ht="15" customHeight="1" x14ac:dyDescent="0.3">
      <c r="A33" s="423"/>
      <c r="B33" s="143" t="s">
        <v>801</v>
      </c>
      <c r="C33" s="153" t="e">
        <f ca="1">IF(INDIRECT("'"&amp;C$6&amp;"'!$J$282")="N/A",(INDIRECT("'"&amp;C$6&amp;"'!$J$274")/INDIRECT("'"&amp;C$6&amp;"'!$J$273")),INDIRECT("'"&amp;C$6&amp;"'!$J$281"))</f>
        <v>#VALUE!</v>
      </c>
      <c r="D33" s="153" t="e">
        <f t="shared" ref="D33:V33" ca="1" si="20">IF(INDIRECT("'"&amp;D$6&amp;"'!$J$282")="N/A",(INDIRECT("'"&amp;D$6&amp;"'!$J$274")/INDIRECT("'"&amp;D$6&amp;"'!$J$273")),INDIRECT("'"&amp;D$6&amp;"'!$J$281"))</f>
        <v>#VALUE!</v>
      </c>
      <c r="E33" s="153" t="e">
        <f t="shared" ca="1" si="20"/>
        <v>#VALUE!</v>
      </c>
      <c r="F33" s="153" t="e">
        <f t="shared" ca="1" si="20"/>
        <v>#VALUE!</v>
      </c>
      <c r="G33" s="153" t="e">
        <f t="shared" ca="1" si="20"/>
        <v>#VALUE!</v>
      </c>
      <c r="H33" s="153" t="e">
        <f t="shared" ca="1" si="20"/>
        <v>#VALUE!</v>
      </c>
      <c r="I33" s="153" t="e">
        <f t="shared" ca="1" si="20"/>
        <v>#VALUE!</v>
      </c>
      <c r="J33" s="153" t="e">
        <f t="shared" ca="1" si="20"/>
        <v>#VALUE!</v>
      </c>
      <c r="K33" s="153" t="e">
        <f t="shared" ca="1" si="20"/>
        <v>#VALUE!</v>
      </c>
      <c r="L33" s="153" t="e">
        <f t="shared" ca="1" si="20"/>
        <v>#VALUE!</v>
      </c>
      <c r="M33" s="153" t="e">
        <f t="shared" ca="1" si="20"/>
        <v>#VALUE!</v>
      </c>
      <c r="N33" s="153" t="e">
        <f t="shared" ca="1" si="20"/>
        <v>#VALUE!</v>
      </c>
      <c r="O33" s="153" t="e">
        <f t="shared" ca="1" si="20"/>
        <v>#VALUE!</v>
      </c>
      <c r="P33" s="153" t="e">
        <f t="shared" ca="1" si="20"/>
        <v>#VALUE!</v>
      </c>
      <c r="Q33" s="153" t="e">
        <f t="shared" ca="1" si="20"/>
        <v>#VALUE!</v>
      </c>
      <c r="R33" s="153" t="e">
        <f t="shared" ca="1" si="20"/>
        <v>#VALUE!</v>
      </c>
      <c r="S33" s="153" t="e">
        <f t="shared" ca="1" si="20"/>
        <v>#VALUE!</v>
      </c>
      <c r="T33" s="153" t="e">
        <f t="shared" ca="1" si="20"/>
        <v>#VALUE!</v>
      </c>
      <c r="U33" s="153" t="e">
        <f t="shared" ca="1" si="20"/>
        <v>#VALUE!</v>
      </c>
      <c r="V33" s="153" t="e">
        <f t="shared" ca="1" si="20"/>
        <v>#VALUE!</v>
      </c>
    </row>
    <row r="34" spans="1:22" ht="30" customHeight="1" x14ac:dyDescent="0.3">
      <c r="A34" s="428" t="s">
        <v>1001</v>
      </c>
      <c r="B34" s="140" t="s">
        <v>1128</v>
      </c>
      <c r="C34" s="154">
        <f ca="1">INDIRECT("'"&amp;C$6&amp;"'!$J$293")</f>
        <v>0</v>
      </c>
      <c r="D34" s="154">
        <f t="shared" ref="D34:V34" ca="1" si="21">INDIRECT("'"&amp;D$6&amp;"'!$J$293")</f>
        <v>0</v>
      </c>
      <c r="E34" s="154">
        <f t="shared" ca="1" si="21"/>
        <v>0</v>
      </c>
      <c r="F34" s="154">
        <f t="shared" ca="1" si="21"/>
        <v>0</v>
      </c>
      <c r="G34" s="154">
        <f t="shared" ca="1" si="21"/>
        <v>0</v>
      </c>
      <c r="H34" s="154">
        <f t="shared" ca="1" si="21"/>
        <v>0</v>
      </c>
      <c r="I34" s="154">
        <f t="shared" ca="1" si="21"/>
        <v>0</v>
      </c>
      <c r="J34" s="154">
        <f t="shared" ca="1" si="21"/>
        <v>0</v>
      </c>
      <c r="K34" s="154">
        <f t="shared" ca="1" si="21"/>
        <v>0</v>
      </c>
      <c r="L34" s="154">
        <f t="shared" ca="1" si="21"/>
        <v>0</v>
      </c>
      <c r="M34" s="154">
        <f t="shared" ca="1" si="21"/>
        <v>0</v>
      </c>
      <c r="N34" s="154">
        <f t="shared" ca="1" si="21"/>
        <v>0</v>
      </c>
      <c r="O34" s="154">
        <f t="shared" ca="1" si="21"/>
        <v>0</v>
      </c>
      <c r="P34" s="154">
        <f t="shared" ca="1" si="21"/>
        <v>0</v>
      </c>
      <c r="Q34" s="154">
        <f t="shared" ca="1" si="21"/>
        <v>0</v>
      </c>
      <c r="R34" s="154">
        <f t="shared" ca="1" si="21"/>
        <v>0</v>
      </c>
      <c r="S34" s="154">
        <f t="shared" ca="1" si="21"/>
        <v>0</v>
      </c>
      <c r="T34" s="154">
        <f t="shared" ca="1" si="21"/>
        <v>0</v>
      </c>
      <c r="U34" s="154">
        <f t="shared" ca="1" si="21"/>
        <v>0</v>
      </c>
      <c r="V34" s="154">
        <f t="shared" ca="1" si="21"/>
        <v>0</v>
      </c>
    </row>
    <row r="35" spans="1:22" ht="15" customHeight="1" x14ac:dyDescent="0.3">
      <c r="A35" s="423"/>
      <c r="B35" s="139" t="s">
        <v>727</v>
      </c>
      <c r="C35" s="152" t="str">
        <f ca="1">INDIRECT("'"&amp;C$6&amp;"'!$J$302")</f>
        <v>No impact (Score = 0)</v>
      </c>
      <c r="D35" s="152" t="str">
        <f t="shared" ref="D35:V35" ca="1" si="22">INDIRECT("'"&amp;D$6&amp;"'!$J$302")</f>
        <v>No impact (Score = 0)</v>
      </c>
      <c r="E35" s="152" t="str">
        <f t="shared" ca="1" si="22"/>
        <v>No impact (Score = 0)</v>
      </c>
      <c r="F35" s="152" t="str">
        <f t="shared" ca="1" si="22"/>
        <v>No impact (Score = 0)</v>
      </c>
      <c r="G35" s="152" t="str">
        <f t="shared" ca="1" si="22"/>
        <v>No impact (Score = 0)</v>
      </c>
      <c r="H35" s="152" t="str">
        <f t="shared" ca="1" si="22"/>
        <v>No impact (Score = 0)</v>
      </c>
      <c r="I35" s="152" t="str">
        <f t="shared" ca="1" si="22"/>
        <v>No impact (Score = 0)</v>
      </c>
      <c r="J35" s="152" t="str">
        <f t="shared" ca="1" si="22"/>
        <v>No impact (Score = 0)</v>
      </c>
      <c r="K35" s="152" t="str">
        <f t="shared" ca="1" si="22"/>
        <v>No impact (Score = 0)</v>
      </c>
      <c r="L35" s="152" t="str">
        <f t="shared" ca="1" si="22"/>
        <v>No impact (Score = 0)</v>
      </c>
      <c r="M35" s="152" t="str">
        <f t="shared" ca="1" si="22"/>
        <v>No impact (Score = 0)</v>
      </c>
      <c r="N35" s="152" t="str">
        <f t="shared" ca="1" si="22"/>
        <v>No impact (Score = 0)</v>
      </c>
      <c r="O35" s="152" t="str">
        <f t="shared" ca="1" si="22"/>
        <v>No impact (Score = 0)</v>
      </c>
      <c r="P35" s="152" t="str">
        <f t="shared" ca="1" si="22"/>
        <v>No impact (Score = 0)</v>
      </c>
      <c r="Q35" s="152" t="str">
        <f t="shared" ca="1" si="22"/>
        <v>No impact (Score = 0)</v>
      </c>
      <c r="R35" s="152" t="str">
        <f t="shared" ca="1" si="22"/>
        <v>No impact (Score = 0)</v>
      </c>
      <c r="S35" s="152" t="str">
        <f t="shared" ca="1" si="22"/>
        <v>No impact (Score = 0)</v>
      </c>
      <c r="T35" s="152" t="str">
        <f t="shared" ca="1" si="22"/>
        <v>No impact (Score = 0)</v>
      </c>
      <c r="U35" s="152" t="str">
        <f t="shared" ca="1" si="22"/>
        <v>No impact (Score = 0)</v>
      </c>
      <c r="V35" s="152" t="str">
        <f t="shared" ca="1" si="22"/>
        <v>No impact (Score = 0)</v>
      </c>
    </row>
    <row r="36" spans="1:22" ht="30" customHeight="1" x14ac:dyDescent="0.3">
      <c r="A36" s="422" t="s">
        <v>1057</v>
      </c>
      <c r="B36" s="141" t="s">
        <v>1129</v>
      </c>
      <c r="C36" s="155">
        <f ca="1">INDIRECT("'"&amp;C$6&amp;"'!$J$312")</f>
        <v>0</v>
      </c>
      <c r="D36" s="155">
        <f t="shared" ref="D36:V36" ca="1" si="23">INDIRECT("'"&amp;D$6&amp;"'!$J$312")</f>
        <v>0</v>
      </c>
      <c r="E36" s="155">
        <f t="shared" ca="1" si="23"/>
        <v>0</v>
      </c>
      <c r="F36" s="155">
        <f t="shared" ca="1" si="23"/>
        <v>0</v>
      </c>
      <c r="G36" s="155">
        <f t="shared" ca="1" si="23"/>
        <v>729</v>
      </c>
      <c r="H36" s="155">
        <f t="shared" ca="1" si="23"/>
        <v>0</v>
      </c>
      <c r="I36" s="155">
        <f t="shared" ca="1" si="23"/>
        <v>0</v>
      </c>
      <c r="J36" s="155">
        <f t="shared" ca="1" si="23"/>
        <v>0</v>
      </c>
      <c r="K36" s="155">
        <f t="shared" ca="1" si="23"/>
        <v>0</v>
      </c>
      <c r="L36" s="155">
        <f t="shared" ca="1" si="23"/>
        <v>0</v>
      </c>
      <c r="M36" s="155">
        <f t="shared" ca="1" si="23"/>
        <v>0</v>
      </c>
      <c r="N36" s="155">
        <f t="shared" ca="1" si="23"/>
        <v>0</v>
      </c>
      <c r="O36" s="155">
        <f t="shared" ca="1" si="23"/>
        <v>0</v>
      </c>
      <c r="P36" s="155">
        <f t="shared" ca="1" si="23"/>
        <v>0</v>
      </c>
      <c r="Q36" s="155">
        <f t="shared" ca="1" si="23"/>
        <v>0</v>
      </c>
      <c r="R36" s="155">
        <f t="shared" ca="1" si="23"/>
        <v>0</v>
      </c>
      <c r="S36" s="155">
        <f t="shared" ca="1" si="23"/>
        <v>0</v>
      </c>
      <c r="T36" s="155">
        <f t="shared" ca="1" si="23"/>
        <v>0</v>
      </c>
      <c r="U36" s="155">
        <f t="shared" ca="1" si="23"/>
        <v>0</v>
      </c>
      <c r="V36" s="155">
        <f t="shared" ca="1" si="23"/>
        <v>0</v>
      </c>
    </row>
    <row r="37" spans="1:22" ht="15" customHeight="1" x14ac:dyDescent="0.3">
      <c r="A37" s="423"/>
      <c r="B37" s="139" t="s">
        <v>728</v>
      </c>
      <c r="C37" s="156">
        <f ca="1">INDIRECT("'"&amp;C$6&amp;"'!$J$321")</f>
        <v>0</v>
      </c>
      <c r="D37" s="156">
        <f t="shared" ref="D37:V37" ca="1" si="24">INDIRECT("'"&amp;D$6&amp;"'!$J$321")</f>
        <v>0</v>
      </c>
      <c r="E37" s="156">
        <f t="shared" ca="1" si="24"/>
        <v>0</v>
      </c>
      <c r="F37" s="156">
        <f t="shared" ca="1" si="24"/>
        <v>0</v>
      </c>
      <c r="G37" s="156">
        <f t="shared" ca="1" si="24"/>
        <v>70</v>
      </c>
      <c r="H37" s="156">
        <f t="shared" ca="1" si="24"/>
        <v>0</v>
      </c>
      <c r="I37" s="156">
        <f t="shared" ca="1" si="24"/>
        <v>0</v>
      </c>
      <c r="J37" s="156">
        <f t="shared" ca="1" si="24"/>
        <v>0</v>
      </c>
      <c r="K37" s="156">
        <f t="shared" ca="1" si="24"/>
        <v>0</v>
      </c>
      <c r="L37" s="156">
        <f t="shared" ca="1" si="24"/>
        <v>0</v>
      </c>
      <c r="M37" s="156">
        <f t="shared" ca="1" si="24"/>
        <v>0</v>
      </c>
      <c r="N37" s="156">
        <f t="shared" ca="1" si="24"/>
        <v>0</v>
      </c>
      <c r="O37" s="156">
        <f t="shared" ca="1" si="24"/>
        <v>0</v>
      </c>
      <c r="P37" s="156">
        <f t="shared" ca="1" si="24"/>
        <v>3</v>
      </c>
      <c r="Q37" s="156">
        <f t="shared" ca="1" si="24"/>
        <v>4</v>
      </c>
      <c r="R37" s="156">
        <f t="shared" ca="1" si="24"/>
        <v>0</v>
      </c>
      <c r="S37" s="156">
        <f t="shared" ca="1" si="24"/>
        <v>0</v>
      </c>
      <c r="T37" s="156">
        <f t="shared" ca="1" si="24"/>
        <v>0</v>
      </c>
      <c r="U37" s="156">
        <f t="shared" ca="1" si="24"/>
        <v>72</v>
      </c>
      <c r="V37" s="156">
        <f t="shared" ca="1" si="24"/>
        <v>0</v>
      </c>
    </row>
    <row r="38" spans="1:22" ht="45" customHeight="1" x14ac:dyDescent="0.3">
      <c r="A38" s="422" t="s">
        <v>1003</v>
      </c>
      <c r="B38" s="142" t="s">
        <v>1130</v>
      </c>
      <c r="C38" s="155">
        <f ca="1">INDIRECT("'"&amp;C$6&amp;"'!$J$331")</f>
        <v>0</v>
      </c>
      <c r="D38" s="155">
        <f t="shared" ref="D38:V38" ca="1" si="25">INDIRECT("'"&amp;D$6&amp;"'!$J$331")</f>
        <v>0</v>
      </c>
      <c r="E38" s="155">
        <f t="shared" ca="1" si="25"/>
        <v>0</v>
      </c>
      <c r="F38" s="155">
        <f t="shared" ca="1" si="25"/>
        <v>0</v>
      </c>
      <c r="G38" s="155">
        <f t="shared" ca="1" si="25"/>
        <v>729</v>
      </c>
      <c r="H38" s="155">
        <f t="shared" ca="1" si="25"/>
        <v>0</v>
      </c>
      <c r="I38" s="155">
        <f t="shared" ca="1" si="25"/>
        <v>0</v>
      </c>
      <c r="J38" s="155">
        <f t="shared" ca="1" si="25"/>
        <v>0</v>
      </c>
      <c r="K38" s="155">
        <f t="shared" ca="1" si="25"/>
        <v>0</v>
      </c>
      <c r="L38" s="155">
        <f t="shared" ca="1" si="25"/>
        <v>0</v>
      </c>
      <c r="M38" s="155">
        <f t="shared" ca="1" si="25"/>
        <v>0</v>
      </c>
      <c r="N38" s="155">
        <f t="shared" ca="1" si="25"/>
        <v>0</v>
      </c>
      <c r="O38" s="155">
        <f t="shared" ca="1" si="25"/>
        <v>0</v>
      </c>
      <c r="P38" s="155">
        <f t="shared" ca="1" si="25"/>
        <v>0</v>
      </c>
      <c r="Q38" s="155">
        <f t="shared" ca="1" si="25"/>
        <v>0</v>
      </c>
      <c r="R38" s="155">
        <f t="shared" ca="1" si="25"/>
        <v>0</v>
      </c>
      <c r="S38" s="155">
        <f t="shared" ca="1" si="25"/>
        <v>0</v>
      </c>
      <c r="T38" s="155">
        <f t="shared" ca="1" si="25"/>
        <v>0</v>
      </c>
      <c r="U38" s="155">
        <f t="shared" ca="1" si="25"/>
        <v>0</v>
      </c>
      <c r="V38" s="155">
        <f t="shared" ca="1" si="25"/>
        <v>0</v>
      </c>
    </row>
    <row r="39" spans="1:22" ht="15" customHeight="1" x14ac:dyDescent="0.3">
      <c r="A39" s="423"/>
      <c r="B39" s="139" t="s">
        <v>977</v>
      </c>
      <c r="C39" s="156">
        <f ca="1">INDIRECT("'"&amp;C$6&amp;"'!$J$342")</f>
        <v>0</v>
      </c>
      <c r="D39" s="156">
        <f t="shared" ref="D39:V39" ca="1" si="26">INDIRECT("'"&amp;D$6&amp;"'!$J$342")</f>
        <v>0</v>
      </c>
      <c r="E39" s="156">
        <f t="shared" ca="1" si="26"/>
        <v>0</v>
      </c>
      <c r="F39" s="156">
        <f t="shared" ca="1" si="26"/>
        <v>0</v>
      </c>
      <c r="G39" s="156">
        <f t="shared" ca="1" si="26"/>
        <v>70</v>
      </c>
      <c r="H39" s="156">
        <f t="shared" ca="1" si="26"/>
        <v>0</v>
      </c>
      <c r="I39" s="156">
        <f t="shared" ca="1" si="26"/>
        <v>0</v>
      </c>
      <c r="J39" s="156">
        <f t="shared" ca="1" si="26"/>
        <v>0</v>
      </c>
      <c r="K39" s="156">
        <f t="shared" ca="1" si="26"/>
        <v>0</v>
      </c>
      <c r="L39" s="156">
        <f t="shared" ca="1" si="26"/>
        <v>0</v>
      </c>
      <c r="M39" s="156">
        <f t="shared" ca="1" si="26"/>
        <v>0</v>
      </c>
      <c r="N39" s="156">
        <f t="shared" ca="1" si="26"/>
        <v>0</v>
      </c>
      <c r="O39" s="156">
        <f t="shared" ca="1" si="26"/>
        <v>0</v>
      </c>
      <c r="P39" s="156">
        <f t="shared" ca="1" si="26"/>
        <v>3</v>
      </c>
      <c r="Q39" s="156">
        <f t="shared" ca="1" si="26"/>
        <v>4</v>
      </c>
      <c r="R39" s="156">
        <f t="shared" ca="1" si="26"/>
        <v>0</v>
      </c>
      <c r="S39" s="156">
        <f t="shared" ca="1" si="26"/>
        <v>0</v>
      </c>
      <c r="T39" s="156">
        <f t="shared" ca="1" si="26"/>
        <v>0</v>
      </c>
      <c r="U39" s="156">
        <f t="shared" ca="1" si="26"/>
        <v>72</v>
      </c>
      <c r="V39" s="156">
        <f t="shared" ca="1" si="26"/>
        <v>0</v>
      </c>
    </row>
    <row r="40" spans="1:22" ht="30" customHeight="1" x14ac:dyDescent="0.3">
      <c r="A40" s="422" t="s">
        <v>1004</v>
      </c>
      <c r="B40" s="142" t="s">
        <v>1131</v>
      </c>
      <c r="C40" s="155">
        <f ca="1">INDIRECT("'"&amp;C$6&amp;"'!$J$353")</f>
        <v>0</v>
      </c>
      <c r="D40" s="155">
        <f t="shared" ref="D40:V40" ca="1" si="27">INDIRECT("'"&amp;D$6&amp;"'!$J$353")</f>
        <v>0</v>
      </c>
      <c r="E40" s="155">
        <f t="shared" ca="1" si="27"/>
        <v>0</v>
      </c>
      <c r="F40" s="155">
        <f t="shared" ca="1" si="27"/>
        <v>0</v>
      </c>
      <c r="G40" s="155">
        <f t="shared" ca="1" si="27"/>
        <v>498</v>
      </c>
      <c r="H40" s="155">
        <f t="shared" ca="1" si="27"/>
        <v>0</v>
      </c>
      <c r="I40" s="155">
        <f t="shared" ca="1" si="27"/>
        <v>0</v>
      </c>
      <c r="J40" s="155">
        <f t="shared" ca="1" si="27"/>
        <v>0</v>
      </c>
      <c r="K40" s="155">
        <f t="shared" ca="1" si="27"/>
        <v>0</v>
      </c>
      <c r="L40" s="155">
        <f t="shared" ca="1" si="27"/>
        <v>0</v>
      </c>
      <c r="M40" s="155">
        <f t="shared" ca="1" si="27"/>
        <v>0</v>
      </c>
      <c r="N40" s="155">
        <f t="shared" ca="1" si="27"/>
        <v>0</v>
      </c>
      <c r="O40" s="155">
        <f t="shared" ca="1" si="27"/>
        <v>0</v>
      </c>
      <c r="P40" s="155">
        <f t="shared" ca="1" si="27"/>
        <v>0</v>
      </c>
      <c r="Q40" s="155">
        <f t="shared" ca="1" si="27"/>
        <v>0</v>
      </c>
      <c r="R40" s="155">
        <f t="shared" ca="1" si="27"/>
        <v>0</v>
      </c>
      <c r="S40" s="155">
        <f t="shared" ca="1" si="27"/>
        <v>0</v>
      </c>
      <c r="T40" s="155">
        <f t="shared" ca="1" si="27"/>
        <v>0</v>
      </c>
      <c r="U40" s="155">
        <f t="shared" ca="1" si="27"/>
        <v>0</v>
      </c>
      <c r="V40" s="155">
        <f t="shared" ca="1" si="27"/>
        <v>0</v>
      </c>
    </row>
    <row r="41" spans="1:22" ht="15" customHeight="1" x14ac:dyDescent="0.3">
      <c r="A41" s="423"/>
      <c r="B41" s="139" t="s">
        <v>729</v>
      </c>
      <c r="C41" s="153" t="str">
        <f ca="1">INDIRECT("'"&amp;C$6&amp;"'!$J$362")</f>
        <v>No impact (Score = 0)</v>
      </c>
      <c r="D41" s="153" t="str">
        <f t="shared" ref="D41:V41" ca="1" si="28">INDIRECT("'"&amp;D$6&amp;"'!$J$362")</f>
        <v>No impact (Score = 0)</v>
      </c>
      <c r="E41" s="153" t="str">
        <f t="shared" ca="1" si="28"/>
        <v>No impact (Score = 0)</v>
      </c>
      <c r="F41" s="153" t="str">
        <f t="shared" ca="1" si="28"/>
        <v>No impact (Score = 0)</v>
      </c>
      <c r="G41" s="153" t="str">
        <f t="shared" ca="1" si="28"/>
        <v>≤ 12 hours (Score = 3)</v>
      </c>
      <c r="H41" s="153" t="str">
        <f t="shared" ca="1" si="28"/>
        <v>No impact (Score = 0)</v>
      </c>
      <c r="I41" s="153" t="str">
        <f t="shared" ca="1" si="28"/>
        <v>&gt; 12 hours (Score = 4)</v>
      </c>
      <c r="J41" s="153" t="str">
        <f t="shared" ca="1" si="28"/>
        <v>No impact (Score = 0)</v>
      </c>
      <c r="K41" s="153" t="str">
        <f t="shared" ca="1" si="28"/>
        <v>No impact (Score = 0)</v>
      </c>
      <c r="L41" s="153" t="str">
        <f t="shared" ca="1" si="28"/>
        <v>No impact (Score = 0)</v>
      </c>
      <c r="M41" s="153" t="str">
        <f t="shared" ca="1" si="28"/>
        <v>No impact (Score = 0)</v>
      </c>
      <c r="N41" s="153" t="str">
        <f t="shared" ca="1" si="28"/>
        <v>No impact (Score = 0)</v>
      </c>
      <c r="O41" s="153" t="str">
        <f t="shared" ca="1" si="28"/>
        <v>No impact (Score = 0)</v>
      </c>
      <c r="P41" s="153" t="str">
        <f t="shared" ca="1" si="28"/>
        <v>No impact (Score = 0)</v>
      </c>
      <c r="Q41" s="153" t="str">
        <f t="shared" ca="1" si="28"/>
        <v>No impact (Score = 0)</v>
      </c>
      <c r="R41" s="153" t="str">
        <f t="shared" ca="1" si="28"/>
        <v>No impact (Score = 0)</v>
      </c>
      <c r="S41" s="153" t="str">
        <f t="shared" ca="1" si="28"/>
        <v>No impact (Score = 0)</v>
      </c>
      <c r="T41" s="153" t="str">
        <f t="shared" ca="1" si="28"/>
        <v>No impact (Score = 0)</v>
      </c>
      <c r="U41" s="153" t="str">
        <f t="shared" ca="1" si="28"/>
        <v>≤ 2 hours (Score = 1)</v>
      </c>
      <c r="V41" s="153" t="str">
        <f t="shared" ca="1" si="28"/>
        <v>No impact (Score = 0)</v>
      </c>
    </row>
    <row r="42" spans="1:22" ht="30" customHeight="1" x14ac:dyDescent="0.3">
      <c r="A42" s="422" t="s">
        <v>1008</v>
      </c>
      <c r="B42" s="141" t="s">
        <v>1132</v>
      </c>
      <c r="C42" s="155">
        <f ca="1">INDIRECT("'"&amp;C$6&amp;"'!$J$372")</f>
        <v>0</v>
      </c>
      <c r="D42" s="155">
        <f t="shared" ref="D42:V42" ca="1" si="29">INDIRECT("'"&amp;D$6&amp;"'!$J$372")</f>
        <v>0</v>
      </c>
      <c r="E42" s="155">
        <f t="shared" ca="1" si="29"/>
        <v>0</v>
      </c>
      <c r="F42" s="155">
        <f t="shared" ca="1" si="29"/>
        <v>0</v>
      </c>
      <c r="G42" s="155">
        <f t="shared" ca="1" si="29"/>
        <v>0</v>
      </c>
      <c r="H42" s="155">
        <f t="shared" ca="1" si="29"/>
        <v>0</v>
      </c>
      <c r="I42" s="155">
        <f t="shared" ca="1" si="29"/>
        <v>0</v>
      </c>
      <c r="J42" s="155">
        <f t="shared" ca="1" si="29"/>
        <v>0</v>
      </c>
      <c r="K42" s="155">
        <f t="shared" ca="1" si="29"/>
        <v>0</v>
      </c>
      <c r="L42" s="155">
        <f t="shared" ca="1" si="29"/>
        <v>0</v>
      </c>
      <c r="M42" s="155">
        <f t="shared" ca="1" si="29"/>
        <v>0</v>
      </c>
      <c r="N42" s="155">
        <f t="shared" ca="1" si="29"/>
        <v>0</v>
      </c>
      <c r="O42" s="155">
        <f t="shared" ca="1" si="29"/>
        <v>0</v>
      </c>
      <c r="P42" s="155">
        <f t="shared" ca="1" si="29"/>
        <v>0</v>
      </c>
      <c r="Q42" s="155">
        <f t="shared" ca="1" si="29"/>
        <v>0</v>
      </c>
      <c r="R42" s="155">
        <f t="shared" ca="1" si="29"/>
        <v>0</v>
      </c>
      <c r="S42" s="155">
        <f t="shared" ca="1" si="29"/>
        <v>0</v>
      </c>
      <c r="T42" s="155">
        <f t="shared" ca="1" si="29"/>
        <v>0</v>
      </c>
      <c r="U42" s="155">
        <f t="shared" ca="1" si="29"/>
        <v>0</v>
      </c>
      <c r="V42" s="155">
        <f t="shared" ca="1" si="29"/>
        <v>0</v>
      </c>
    </row>
    <row r="43" spans="1:22" ht="15" customHeight="1" x14ac:dyDescent="0.3">
      <c r="A43" s="423"/>
      <c r="B43" s="139" t="s">
        <v>730</v>
      </c>
      <c r="C43" s="156">
        <f ca="1">INDIRECT("'"&amp;C$6&amp;"'!$J$382")</f>
        <v>0</v>
      </c>
      <c r="D43" s="156">
        <f t="shared" ref="D43:V43" ca="1" si="30">INDIRECT("'"&amp;D$6&amp;"'!$J$382")</f>
        <v>0</v>
      </c>
      <c r="E43" s="156">
        <f t="shared" ca="1" si="30"/>
        <v>0</v>
      </c>
      <c r="F43" s="156">
        <f t="shared" ca="1" si="30"/>
        <v>0</v>
      </c>
      <c r="G43" s="156">
        <f t="shared" ca="1" si="30"/>
        <v>0</v>
      </c>
      <c r="H43" s="156">
        <f t="shared" ca="1" si="30"/>
        <v>0</v>
      </c>
      <c r="I43" s="156">
        <f t="shared" ca="1" si="30"/>
        <v>0</v>
      </c>
      <c r="J43" s="156">
        <f t="shared" ca="1" si="30"/>
        <v>0</v>
      </c>
      <c r="K43" s="156">
        <f t="shared" ca="1" si="30"/>
        <v>0</v>
      </c>
      <c r="L43" s="156">
        <f t="shared" ca="1" si="30"/>
        <v>0</v>
      </c>
      <c r="M43" s="156">
        <f t="shared" ca="1" si="30"/>
        <v>1</v>
      </c>
      <c r="N43" s="156">
        <f t="shared" ca="1" si="30"/>
        <v>0</v>
      </c>
      <c r="O43" s="156">
        <f t="shared" ca="1" si="30"/>
        <v>0</v>
      </c>
      <c r="P43" s="156">
        <f t="shared" ca="1" si="30"/>
        <v>365</v>
      </c>
      <c r="Q43" s="156">
        <f t="shared" ca="1" si="30"/>
        <v>2</v>
      </c>
      <c r="R43" s="156">
        <f t="shared" ca="1" si="30"/>
        <v>0</v>
      </c>
      <c r="S43" s="156">
        <f t="shared" ca="1" si="30"/>
        <v>0</v>
      </c>
      <c r="T43" s="156">
        <f t="shared" ca="1" si="30"/>
        <v>0</v>
      </c>
      <c r="U43" s="156">
        <f t="shared" ca="1" si="30"/>
        <v>0</v>
      </c>
      <c r="V43" s="156">
        <f t="shared" ca="1" si="30"/>
        <v>1</v>
      </c>
    </row>
    <row r="44" spans="1:22" ht="30" customHeight="1" x14ac:dyDescent="0.3">
      <c r="A44" s="416" t="s">
        <v>1133</v>
      </c>
      <c r="B44" s="417"/>
      <c r="C44" s="156">
        <f ca="1">INDIRECT("'"&amp;C$6&amp;"'!$J$392")</f>
        <v>0</v>
      </c>
      <c r="D44" s="156">
        <f t="shared" ref="D44:V44" ca="1" si="31">INDIRECT("'"&amp;D$6&amp;"'!$J$392")</f>
        <v>0</v>
      </c>
      <c r="E44" s="156">
        <f t="shared" ca="1" si="31"/>
        <v>0</v>
      </c>
      <c r="F44" s="156">
        <f t="shared" ca="1" si="31"/>
        <v>0</v>
      </c>
      <c r="G44" s="156">
        <f t="shared" ca="1" si="31"/>
        <v>200</v>
      </c>
      <c r="H44" s="156">
        <f t="shared" ca="1" si="31"/>
        <v>0</v>
      </c>
      <c r="I44" s="156">
        <f t="shared" ca="1" si="31"/>
        <v>0</v>
      </c>
      <c r="J44" s="156">
        <f t="shared" ca="1" si="31"/>
        <v>0</v>
      </c>
      <c r="K44" s="156">
        <f t="shared" ca="1" si="31"/>
        <v>0</v>
      </c>
      <c r="L44" s="156">
        <f t="shared" ca="1" si="31"/>
        <v>0</v>
      </c>
      <c r="M44" s="156">
        <f t="shared" ca="1" si="31"/>
        <v>0</v>
      </c>
      <c r="N44" s="156">
        <f t="shared" ca="1" si="31"/>
        <v>0</v>
      </c>
      <c r="O44" s="156">
        <f t="shared" ca="1" si="31"/>
        <v>0</v>
      </c>
      <c r="P44" s="156">
        <f t="shared" ca="1" si="31"/>
        <v>0</v>
      </c>
      <c r="Q44" s="156">
        <f t="shared" ca="1" si="31"/>
        <v>0</v>
      </c>
      <c r="R44" s="156">
        <f t="shared" ca="1" si="31"/>
        <v>0</v>
      </c>
      <c r="S44" s="156">
        <f t="shared" ca="1" si="31"/>
        <v>0</v>
      </c>
      <c r="T44" s="156">
        <f t="shared" ca="1" si="31"/>
        <v>0</v>
      </c>
      <c r="U44" s="156">
        <f t="shared" ca="1" si="31"/>
        <v>0</v>
      </c>
      <c r="V44" s="156">
        <f t="shared" ca="1" si="31"/>
        <v>0</v>
      </c>
    </row>
    <row r="45" spans="1:22" ht="30" customHeight="1" x14ac:dyDescent="0.3">
      <c r="A45" s="416" t="s">
        <v>1134</v>
      </c>
      <c r="B45" s="417"/>
      <c r="C45" s="150">
        <f ca="1">INDIRECT("'"&amp;C$6&amp;"'!$J$408")</f>
        <v>0</v>
      </c>
      <c r="D45" s="150">
        <f t="shared" ref="D45:V45" ca="1" si="32">INDIRECT("'"&amp;D$6&amp;"'!$J$408")</f>
        <v>2100</v>
      </c>
      <c r="E45" s="150">
        <f t="shared" ca="1" si="32"/>
        <v>0</v>
      </c>
      <c r="F45" s="150">
        <f t="shared" ca="1" si="32"/>
        <v>0</v>
      </c>
      <c r="G45" s="150">
        <f t="shared" ca="1" si="32"/>
        <v>0</v>
      </c>
      <c r="H45" s="150">
        <f t="shared" ca="1" si="32"/>
        <v>0</v>
      </c>
      <c r="I45" s="150">
        <f t="shared" ca="1" si="32"/>
        <v>0</v>
      </c>
      <c r="J45" s="150">
        <f t="shared" ca="1" si="32"/>
        <v>0</v>
      </c>
      <c r="K45" s="150">
        <f t="shared" ca="1" si="32"/>
        <v>0</v>
      </c>
      <c r="L45" s="150">
        <f t="shared" ca="1" si="32"/>
        <v>0</v>
      </c>
      <c r="M45" s="150">
        <f t="shared" ca="1" si="32"/>
        <v>0</v>
      </c>
      <c r="N45" s="150">
        <f t="shared" ca="1" si="32"/>
        <v>255.5</v>
      </c>
      <c r="O45" s="150">
        <f t="shared" ca="1" si="32"/>
        <v>0</v>
      </c>
      <c r="P45" s="150">
        <f t="shared" ca="1" si="32"/>
        <v>5</v>
      </c>
      <c r="Q45" s="150">
        <f t="shared" ca="1" si="32"/>
        <v>0</v>
      </c>
      <c r="R45" s="150">
        <f t="shared" ca="1" si="32"/>
        <v>0</v>
      </c>
      <c r="S45" s="150">
        <f t="shared" ca="1" si="32"/>
        <v>0</v>
      </c>
      <c r="T45" s="150">
        <f t="shared" ca="1" si="32"/>
        <v>0</v>
      </c>
      <c r="U45" s="150">
        <f t="shared" ca="1" si="32"/>
        <v>0</v>
      </c>
      <c r="V45" s="150">
        <f t="shared" ca="1" si="32"/>
        <v>0</v>
      </c>
    </row>
    <row r="46" spans="1:22" x14ac:dyDescent="0.3">
      <c r="A46" s="418"/>
      <c r="B46" s="419"/>
      <c r="C46" s="144"/>
      <c r="D46" s="144"/>
      <c r="E46" s="144"/>
      <c r="F46" s="144"/>
      <c r="G46" s="144"/>
      <c r="H46" s="144"/>
      <c r="I46" s="144"/>
      <c r="J46" s="144"/>
      <c r="K46" s="144"/>
      <c r="L46" s="144"/>
      <c r="M46" s="144"/>
      <c r="N46" s="144"/>
      <c r="O46" s="144"/>
      <c r="P46" s="144"/>
      <c r="Q46" s="144"/>
      <c r="R46" s="144"/>
      <c r="S46" s="144"/>
      <c r="T46" s="144"/>
      <c r="U46" s="144"/>
      <c r="V46" s="144"/>
    </row>
    <row r="47" spans="1:22" ht="15.75" customHeight="1" x14ac:dyDescent="0.3">
      <c r="A47" s="410" t="s">
        <v>249</v>
      </c>
      <c r="B47" s="411"/>
      <c r="C47" s="144"/>
      <c r="D47" s="144"/>
      <c r="E47" s="144"/>
      <c r="F47" s="144"/>
      <c r="G47" s="144"/>
      <c r="H47" s="144"/>
      <c r="I47" s="144"/>
      <c r="J47" s="144"/>
      <c r="K47" s="144"/>
      <c r="L47" s="144"/>
      <c r="M47" s="144"/>
      <c r="N47" s="144"/>
      <c r="O47" s="144"/>
      <c r="P47" s="144"/>
      <c r="Q47" s="144"/>
      <c r="R47" s="144"/>
      <c r="S47" s="144"/>
      <c r="T47" s="144"/>
      <c r="U47" s="144"/>
      <c r="V47" s="144"/>
    </row>
    <row r="48" spans="1:22" ht="15" customHeight="1" x14ac:dyDescent="0.3">
      <c r="A48" s="422" t="s">
        <v>318</v>
      </c>
      <c r="B48" s="141" t="s">
        <v>735</v>
      </c>
      <c r="C48" s="155">
        <f ca="1">INDIRECT("'"&amp;C$6&amp;"'!$J$428")</f>
        <v>0</v>
      </c>
      <c r="D48" s="155">
        <f t="shared" ref="D48:V48" ca="1" si="33">INDIRECT("'"&amp;D$6&amp;"'!$J$428")</f>
        <v>0</v>
      </c>
      <c r="E48" s="155">
        <f t="shared" ca="1" si="33"/>
        <v>0</v>
      </c>
      <c r="F48" s="155">
        <f t="shared" ca="1" si="33"/>
        <v>0</v>
      </c>
      <c r="G48" s="155">
        <f t="shared" ca="1" si="33"/>
        <v>0</v>
      </c>
      <c r="H48" s="155">
        <f t="shared" ca="1" si="33"/>
        <v>0</v>
      </c>
      <c r="I48" s="155">
        <f t="shared" ca="1" si="33"/>
        <v>0</v>
      </c>
      <c r="J48" s="155">
        <f t="shared" ca="1" si="33"/>
        <v>5</v>
      </c>
      <c r="K48" s="155">
        <f t="shared" ca="1" si="33"/>
        <v>0</v>
      </c>
      <c r="L48" s="155">
        <f t="shared" ca="1" si="33"/>
        <v>0</v>
      </c>
      <c r="M48" s="155">
        <f t="shared" ca="1" si="33"/>
        <v>0</v>
      </c>
      <c r="N48" s="155">
        <f t="shared" ca="1" si="33"/>
        <v>0</v>
      </c>
      <c r="O48" s="155">
        <f t="shared" ca="1" si="33"/>
        <v>0</v>
      </c>
      <c r="P48" s="155" t="str">
        <f t="shared" ca="1" si="33"/>
        <v>Not Calculated</v>
      </c>
      <c r="Q48" s="155">
        <f t="shared" ca="1" si="33"/>
        <v>10</v>
      </c>
      <c r="R48" s="155">
        <f t="shared" ca="1" si="33"/>
        <v>0</v>
      </c>
      <c r="S48" s="155">
        <f t="shared" ca="1" si="33"/>
        <v>1</v>
      </c>
      <c r="T48" s="155">
        <f t="shared" ca="1" si="33"/>
        <v>0</v>
      </c>
      <c r="U48" s="155">
        <f t="shared" ca="1" si="33"/>
        <v>0</v>
      </c>
      <c r="V48" s="155">
        <f t="shared" ca="1" si="33"/>
        <v>0</v>
      </c>
    </row>
    <row r="49" spans="1:22" ht="15" customHeight="1" x14ac:dyDescent="0.3">
      <c r="A49" s="423"/>
      <c r="B49" s="139" t="s">
        <v>727</v>
      </c>
      <c r="C49" s="146" t="str">
        <f ca="1">INDIRECT("'"&amp;C$6&amp;"'!$J$435")</f>
        <v>No impact (Score = 0)</v>
      </c>
      <c r="D49" s="146" t="str">
        <f t="shared" ref="D49:V49" ca="1" si="34">INDIRECT("'"&amp;D$6&amp;"'!$J$435")</f>
        <v>No impact (Score = 0)</v>
      </c>
      <c r="E49" s="146" t="str">
        <f t="shared" ca="1" si="34"/>
        <v>No impact (Score = 0)</v>
      </c>
      <c r="F49" s="146" t="str">
        <f t="shared" ca="1" si="34"/>
        <v>No impact (Score = 0)</v>
      </c>
      <c r="G49" s="146" t="str">
        <f t="shared" ca="1" si="34"/>
        <v>≤ 1 week (Score = 2)</v>
      </c>
      <c r="H49" s="146" t="str">
        <f t="shared" ca="1" si="34"/>
        <v>No impact (Score = 0)</v>
      </c>
      <c r="I49" s="146" t="str">
        <f t="shared" ca="1" si="34"/>
        <v>No impact (Score = 0)</v>
      </c>
      <c r="J49" s="146" t="str">
        <f t="shared" ca="1" si="34"/>
        <v>≤ 1 week (Score = 2)</v>
      </c>
      <c r="K49" s="146" t="str">
        <f t="shared" ca="1" si="34"/>
        <v>&gt; 2 weeks (Score = 4)</v>
      </c>
      <c r="L49" s="146" t="str">
        <f t="shared" ca="1" si="34"/>
        <v>No impact (Score = 0)</v>
      </c>
      <c r="M49" s="146" t="str">
        <f t="shared" ca="1" si="34"/>
        <v>≤ 1 week (Score = 2)</v>
      </c>
      <c r="N49" s="146" t="str">
        <f t="shared" ca="1" si="34"/>
        <v>No impact (Score = 0)</v>
      </c>
      <c r="O49" s="146" t="str">
        <f t="shared" ca="1" si="34"/>
        <v>No impact (Score = 0)</v>
      </c>
      <c r="P49" s="146" t="str">
        <f t="shared" ca="1" si="34"/>
        <v>&gt; 2 weeks (Score = 4)</v>
      </c>
      <c r="Q49" s="146" t="str">
        <f t="shared" ca="1" si="34"/>
        <v>≤ 1 week (Score = 2)</v>
      </c>
      <c r="R49" s="146" t="str">
        <f t="shared" ca="1" si="34"/>
        <v>No impact (Score = 0)</v>
      </c>
      <c r="S49" s="146" t="str">
        <f t="shared" ca="1" si="34"/>
        <v>≤ 1 day (Score = 1)</v>
      </c>
      <c r="T49" s="146" t="str">
        <f t="shared" ca="1" si="34"/>
        <v>≤ 1 week (Score = 2)</v>
      </c>
      <c r="U49" s="146" t="str">
        <f t="shared" ca="1" si="34"/>
        <v>≤ 1 week (Score = 2)</v>
      </c>
      <c r="V49" s="146" t="str">
        <f t="shared" ca="1" si="34"/>
        <v>≤ 1 week (Score = 2)</v>
      </c>
    </row>
    <row r="50" spans="1:22" ht="15" customHeight="1" x14ac:dyDescent="0.3">
      <c r="A50" s="428" t="s">
        <v>322</v>
      </c>
      <c r="B50" s="140" t="s">
        <v>735</v>
      </c>
      <c r="C50" s="155">
        <f ca="1">INDIRECT("'"&amp;C$6&amp;"'!$J$445")</f>
        <v>0</v>
      </c>
      <c r="D50" s="155">
        <f t="shared" ref="D50:V50" ca="1" si="35">INDIRECT("'"&amp;D$6&amp;"'!$J$445")</f>
        <v>0</v>
      </c>
      <c r="E50" s="155">
        <f t="shared" ca="1" si="35"/>
        <v>0</v>
      </c>
      <c r="F50" s="155">
        <f t="shared" ca="1" si="35"/>
        <v>0</v>
      </c>
      <c r="G50" s="155">
        <f t="shared" ca="1" si="35"/>
        <v>22.950819672131146</v>
      </c>
      <c r="H50" s="155">
        <f t="shared" ca="1" si="35"/>
        <v>0</v>
      </c>
      <c r="I50" s="155">
        <f t="shared" ca="1" si="35"/>
        <v>0</v>
      </c>
      <c r="J50" s="155">
        <f t="shared" ca="1" si="35"/>
        <v>0</v>
      </c>
      <c r="K50" s="155">
        <f t="shared" ca="1" si="35"/>
        <v>0</v>
      </c>
      <c r="L50" s="155">
        <f t="shared" ca="1" si="35"/>
        <v>0</v>
      </c>
      <c r="M50" s="155">
        <f t="shared" ca="1" si="35"/>
        <v>22.950819672131146</v>
      </c>
      <c r="N50" s="155">
        <f t="shared" ca="1" si="35"/>
        <v>0</v>
      </c>
      <c r="O50" s="155">
        <f t="shared" ca="1" si="35"/>
        <v>0</v>
      </c>
      <c r="P50" s="155">
        <f t="shared" ca="1" si="35"/>
        <v>0</v>
      </c>
      <c r="Q50" s="155">
        <f t="shared" ca="1" si="35"/>
        <v>0</v>
      </c>
      <c r="R50" s="155">
        <f t="shared" ca="1" si="35"/>
        <v>0</v>
      </c>
      <c r="S50" s="155">
        <f t="shared" ca="1" si="35"/>
        <v>0</v>
      </c>
      <c r="T50" s="155">
        <f t="shared" ca="1" si="35"/>
        <v>0</v>
      </c>
      <c r="U50" s="155">
        <f t="shared" ca="1" si="35"/>
        <v>100</v>
      </c>
      <c r="V50" s="155">
        <f t="shared" ca="1" si="35"/>
        <v>0</v>
      </c>
    </row>
    <row r="51" spans="1:22" ht="15" customHeight="1" x14ac:dyDescent="0.3">
      <c r="A51" s="428"/>
      <c r="B51" s="140" t="s">
        <v>727</v>
      </c>
      <c r="C51" s="147" t="str">
        <f ca="1">INDIRECT("'"&amp;C$6&amp;"'!$J$452")</f>
        <v>No impact (Score = 0)</v>
      </c>
      <c r="D51" s="147" t="str">
        <f t="shared" ref="D51:V51" ca="1" si="36">INDIRECT("'"&amp;D$6&amp;"'!$J$452")</f>
        <v>No impact (Score = 0)</v>
      </c>
      <c r="E51" s="147" t="str">
        <f t="shared" ca="1" si="36"/>
        <v>No impact (Score = 0)</v>
      </c>
      <c r="F51" s="147" t="str">
        <f t="shared" ca="1" si="36"/>
        <v>No impact (Score = 0)</v>
      </c>
      <c r="G51" s="147" t="str">
        <f t="shared" ca="1" si="36"/>
        <v>≤ 1 week (Score = 2)</v>
      </c>
      <c r="H51" s="147" t="str">
        <f t="shared" ca="1" si="36"/>
        <v>No impact (Score = 0)</v>
      </c>
      <c r="I51" s="147" t="str">
        <f t="shared" ca="1" si="36"/>
        <v>No impact (Score = 0)</v>
      </c>
      <c r="J51" s="147" t="str">
        <f t="shared" ca="1" si="36"/>
        <v>No impact (Score = 0)</v>
      </c>
      <c r="K51" s="147" t="str">
        <f t="shared" ca="1" si="36"/>
        <v>No impact (Score = 0)</v>
      </c>
      <c r="L51" s="147" t="str">
        <f t="shared" ca="1" si="36"/>
        <v>No impact (Score = 0)</v>
      </c>
      <c r="M51" s="147" t="str">
        <f t="shared" ca="1" si="36"/>
        <v>≤ 1 week (Score = 2)</v>
      </c>
      <c r="N51" s="147" t="str">
        <f t="shared" ca="1" si="36"/>
        <v>No impact (Score = 0)</v>
      </c>
      <c r="O51" s="147" t="str">
        <f t="shared" ca="1" si="36"/>
        <v>No impact (Score = 0)</v>
      </c>
      <c r="P51" s="147" t="str">
        <f t="shared" ca="1" si="36"/>
        <v>No impact (Score = 0)</v>
      </c>
      <c r="Q51" s="147" t="str">
        <f t="shared" ca="1" si="36"/>
        <v>No impact (Score = 0)</v>
      </c>
      <c r="R51" s="147" t="str">
        <f t="shared" ca="1" si="36"/>
        <v>No impact (Score = 0)</v>
      </c>
      <c r="S51" s="147" t="str">
        <f t="shared" ca="1" si="36"/>
        <v>No impact (Score = 0)</v>
      </c>
      <c r="T51" s="147" t="str">
        <f t="shared" ca="1" si="36"/>
        <v>No impact (Score = 0)</v>
      </c>
      <c r="U51" s="147" t="str">
        <f t="shared" ca="1" si="36"/>
        <v>≤ 1 week (Score = 2)</v>
      </c>
      <c r="V51" s="147" t="str">
        <f t="shared" ca="1" si="36"/>
        <v>No impact (Score = 0)</v>
      </c>
    </row>
    <row r="52" spans="1:22" ht="15" customHeight="1" x14ac:dyDescent="0.3">
      <c r="A52" s="422" t="s">
        <v>325</v>
      </c>
      <c r="B52" s="141" t="s">
        <v>735</v>
      </c>
      <c r="C52" s="154">
        <f ca="1">INDIRECT("'"&amp;C$6&amp;"'!$J$461")</f>
        <v>0</v>
      </c>
      <c r="D52" s="154">
        <f t="shared" ref="D52:V52" ca="1" si="37">INDIRECT("'"&amp;D$6&amp;"'!$J$461")</f>
        <v>0</v>
      </c>
      <c r="E52" s="154">
        <f t="shared" ca="1" si="37"/>
        <v>0</v>
      </c>
      <c r="F52" s="154">
        <f t="shared" ca="1" si="37"/>
        <v>0.5</v>
      </c>
      <c r="G52" s="154" t="str">
        <f t="shared" ca="1" si="37"/>
        <v>Not Calculated</v>
      </c>
      <c r="H52" s="154">
        <f t="shared" ca="1" si="37"/>
        <v>0</v>
      </c>
      <c r="I52" s="154">
        <f t="shared" ca="1" si="37"/>
        <v>0</v>
      </c>
      <c r="J52" s="154">
        <f t="shared" ca="1" si="37"/>
        <v>5</v>
      </c>
      <c r="K52" s="154">
        <f t="shared" ca="1" si="37"/>
        <v>0</v>
      </c>
      <c r="L52" s="154">
        <f t="shared" ca="1" si="37"/>
        <v>0</v>
      </c>
      <c r="M52" s="154">
        <f t="shared" ca="1" si="37"/>
        <v>0</v>
      </c>
      <c r="N52" s="154">
        <f t="shared" ca="1" si="37"/>
        <v>0</v>
      </c>
      <c r="O52" s="154">
        <f t="shared" ca="1" si="37"/>
        <v>0</v>
      </c>
      <c r="P52" s="154" t="str">
        <f t="shared" ca="1" si="37"/>
        <v>Not Calculated</v>
      </c>
      <c r="Q52" s="154">
        <f t="shared" ca="1" si="37"/>
        <v>10</v>
      </c>
      <c r="R52" s="154">
        <f t="shared" ca="1" si="37"/>
        <v>0</v>
      </c>
      <c r="S52" s="154">
        <f t="shared" ca="1" si="37"/>
        <v>1.5</v>
      </c>
      <c r="T52" s="154">
        <f t="shared" ca="1" si="37"/>
        <v>30</v>
      </c>
      <c r="U52" s="154">
        <f t="shared" ca="1" si="37"/>
        <v>100</v>
      </c>
      <c r="V52" s="154">
        <f t="shared" ca="1" si="37"/>
        <v>6.4</v>
      </c>
    </row>
    <row r="53" spans="1:22" ht="15" customHeight="1" x14ac:dyDescent="0.3">
      <c r="A53" s="423"/>
      <c r="B53" s="139" t="s">
        <v>727</v>
      </c>
      <c r="C53" s="147" t="str">
        <f ca="1">INDIRECT("'"&amp;C$6&amp;"'!$J$468")</f>
        <v>No impact (Score = 0)</v>
      </c>
      <c r="D53" s="147" t="str">
        <f t="shared" ref="D53:V53" ca="1" si="38">INDIRECT("'"&amp;D$6&amp;"'!$J$468")</f>
        <v>No impact (Score = 0)</v>
      </c>
      <c r="E53" s="147" t="str">
        <f t="shared" ca="1" si="38"/>
        <v>No impact (Score = 0)</v>
      </c>
      <c r="F53" s="147" t="str">
        <f t="shared" ca="1" si="38"/>
        <v>≤ 1 day (Score = 1)</v>
      </c>
      <c r="G53" s="147" t="str">
        <f t="shared" ca="1" si="38"/>
        <v>≤ 1 week (Score = 2)</v>
      </c>
      <c r="H53" s="147" t="str">
        <f t="shared" ca="1" si="38"/>
        <v>No impact (Score = 0)</v>
      </c>
      <c r="I53" s="147" t="str">
        <f t="shared" ca="1" si="38"/>
        <v>No impact (Score = 0)</v>
      </c>
      <c r="J53" s="147" t="str">
        <f t="shared" ca="1" si="38"/>
        <v>≤ 1 day (Score = 1)</v>
      </c>
      <c r="K53" s="147" t="str">
        <f t="shared" ca="1" si="38"/>
        <v>No impact (Score = 0)</v>
      </c>
      <c r="L53" s="147" t="str">
        <f t="shared" ca="1" si="38"/>
        <v>No impact (Score = 0)</v>
      </c>
      <c r="M53" s="147" t="str">
        <f t="shared" ca="1" si="38"/>
        <v>No impact (Score = 0)</v>
      </c>
      <c r="N53" s="147" t="str">
        <f t="shared" ca="1" si="38"/>
        <v>No impact (Score = 0)</v>
      </c>
      <c r="O53" s="147" t="str">
        <f t="shared" ca="1" si="38"/>
        <v>No impact (Score = 0)</v>
      </c>
      <c r="P53" s="147" t="str">
        <f t="shared" ca="1" si="38"/>
        <v>≤ 1 day (Score = 1)</v>
      </c>
      <c r="Q53" s="147" t="str">
        <f t="shared" ca="1" si="38"/>
        <v>≤ 1 day (Score = 1)</v>
      </c>
      <c r="R53" s="147" t="str">
        <f t="shared" ca="1" si="38"/>
        <v>No impact (Score = 0)</v>
      </c>
      <c r="S53" s="147" t="str">
        <f t="shared" ca="1" si="38"/>
        <v>≤ 1 day (Score = 1)</v>
      </c>
      <c r="T53" s="147" t="str">
        <f t="shared" ca="1" si="38"/>
        <v>≤ 1 week (Score = 2)</v>
      </c>
      <c r="U53" s="147" t="str">
        <f t="shared" ca="1" si="38"/>
        <v>≤ 1 week (Score = 2)</v>
      </c>
      <c r="V53" s="147" t="str">
        <f t="shared" ca="1" si="38"/>
        <v>≤ 1 week (Score = 2)</v>
      </c>
    </row>
    <row r="54" spans="1:22" ht="30" customHeight="1" x14ac:dyDescent="0.3">
      <c r="A54" s="424" t="s">
        <v>707</v>
      </c>
      <c r="B54" s="425"/>
      <c r="C54" s="154">
        <f ca="1">INDIRECT("'"&amp;C$6&amp;"'!$J$478")</f>
        <v>0</v>
      </c>
      <c r="D54" s="154">
        <f t="shared" ref="D54:V54" ca="1" si="39">INDIRECT("'"&amp;D$6&amp;"'!$J$478")</f>
        <v>21</v>
      </c>
      <c r="E54" s="154">
        <f t="shared" ca="1" si="39"/>
        <v>7</v>
      </c>
      <c r="F54" s="154">
        <f t="shared" ca="1" si="39"/>
        <v>6</v>
      </c>
      <c r="G54" s="154">
        <f t="shared" ca="1" si="39"/>
        <v>2</v>
      </c>
      <c r="H54" s="154">
        <f t="shared" ca="1" si="39"/>
        <v>7</v>
      </c>
      <c r="I54" s="154">
        <f t="shared" ca="1" si="39"/>
        <v>0</v>
      </c>
      <c r="J54" s="154">
        <f t="shared" ca="1" si="39"/>
        <v>0</v>
      </c>
      <c r="K54" s="154">
        <f t="shared" ca="1" si="39"/>
        <v>0</v>
      </c>
      <c r="L54" s="154">
        <f t="shared" ca="1" si="39"/>
        <v>0</v>
      </c>
      <c r="M54" s="154">
        <f t="shared" ca="1" si="39"/>
        <v>2</v>
      </c>
      <c r="N54" s="154">
        <f t="shared" ca="1" si="39"/>
        <v>2</v>
      </c>
      <c r="O54" s="154">
        <f t="shared" ca="1" si="39"/>
        <v>0</v>
      </c>
      <c r="P54" s="154">
        <f t="shared" ca="1" si="39"/>
        <v>0</v>
      </c>
      <c r="Q54" s="154">
        <f t="shared" ca="1" si="39"/>
        <v>56</v>
      </c>
      <c r="R54" s="154">
        <f t="shared" ca="1" si="39"/>
        <v>30</v>
      </c>
      <c r="S54" s="154">
        <f t="shared" ca="1" si="39"/>
        <v>1</v>
      </c>
      <c r="T54" s="154">
        <f t="shared" ca="1" si="39"/>
        <v>4</v>
      </c>
      <c r="U54" s="154">
        <f t="shared" ca="1" si="39"/>
        <v>3</v>
      </c>
      <c r="V54" s="154">
        <f t="shared" ca="1" si="39"/>
        <v>1.5</v>
      </c>
    </row>
    <row r="55" spans="1:22" ht="15" customHeight="1" x14ac:dyDescent="0.3">
      <c r="A55" s="422" t="s">
        <v>330</v>
      </c>
      <c r="B55" s="141" t="s">
        <v>735</v>
      </c>
      <c r="C55" s="155">
        <f ca="1">INDIRECT("'"&amp;C$6&amp;"'!$J$492")</f>
        <v>0</v>
      </c>
      <c r="D55" s="155">
        <f t="shared" ref="D55:V55" ca="1" si="40">INDIRECT("'"&amp;D$6&amp;"'!$J$492")</f>
        <v>21</v>
      </c>
      <c r="E55" s="155">
        <f t="shared" ca="1" si="40"/>
        <v>0</v>
      </c>
      <c r="F55" s="155">
        <f t="shared" ca="1" si="40"/>
        <v>0.246</v>
      </c>
      <c r="G55" s="155">
        <f t="shared" ca="1" si="40"/>
        <v>72</v>
      </c>
      <c r="H55" s="155">
        <f t="shared" ca="1" si="40"/>
        <v>5</v>
      </c>
      <c r="I55" s="155">
        <f t="shared" ca="1" si="40"/>
        <v>0</v>
      </c>
      <c r="J55" s="155">
        <f t="shared" ca="1" si="40"/>
        <v>0</v>
      </c>
      <c r="K55" s="155">
        <f t="shared" ca="1" si="40"/>
        <v>0</v>
      </c>
      <c r="L55" s="155">
        <f t="shared" ca="1" si="40"/>
        <v>0</v>
      </c>
      <c r="M55" s="155">
        <f t="shared" ca="1" si="40"/>
        <v>0</v>
      </c>
      <c r="N55" s="155">
        <f t="shared" ca="1" si="40"/>
        <v>5</v>
      </c>
      <c r="O55" s="155">
        <f t="shared" ca="1" si="40"/>
        <v>0</v>
      </c>
      <c r="P55" s="155">
        <f t="shared" ca="1" si="40"/>
        <v>0</v>
      </c>
      <c r="Q55" s="155">
        <f t="shared" ca="1" si="40"/>
        <v>25</v>
      </c>
      <c r="R55" s="155">
        <f t="shared" ca="1" si="40"/>
        <v>5</v>
      </c>
      <c r="S55" s="155">
        <f t="shared" ca="1" si="40"/>
        <v>1</v>
      </c>
      <c r="T55" s="155">
        <f t="shared" ca="1" si="40"/>
        <v>30</v>
      </c>
      <c r="U55" s="155">
        <f t="shared" ca="1" si="40"/>
        <v>100</v>
      </c>
      <c r="V55" s="155">
        <f t="shared" ca="1" si="40"/>
        <v>60</v>
      </c>
    </row>
    <row r="56" spans="1:22" ht="15" customHeight="1" x14ac:dyDescent="0.3">
      <c r="A56" s="423"/>
      <c r="B56" s="139" t="s">
        <v>727</v>
      </c>
      <c r="C56" s="147" t="str">
        <f ca="1">INDIRECT("'"&amp;C$6&amp;"'!$J$499")</f>
        <v>No impact (Score = 0)</v>
      </c>
      <c r="D56" s="147" t="str">
        <f t="shared" ref="D56:V56" ca="1" si="41">INDIRECT("'"&amp;D$6&amp;"'!$J$499")</f>
        <v>&gt; 2 weeks (Score = 4)</v>
      </c>
      <c r="E56" s="147" t="str">
        <f t="shared" ca="1" si="41"/>
        <v>No impact (Score = 0)</v>
      </c>
      <c r="F56" s="147" t="str">
        <f t="shared" ca="1" si="41"/>
        <v>&gt; 2 weeks (Score = 4)</v>
      </c>
      <c r="G56" s="147" t="str">
        <f t="shared" ca="1" si="41"/>
        <v>≤ 1 week (Score = 2)</v>
      </c>
      <c r="H56" s="147" t="str">
        <f t="shared" ca="1" si="41"/>
        <v>≤ 1 week (Score = 2)</v>
      </c>
      <c r="I56" s="147" t="str">
        <f t="shared" ca="1" si="41"/>
        <v>No impact (Score = 0)</v>
      </c>
      <c r="J56" s="147" t="str">
        <f t="shared" ca="1" si="41"/>
        <v>No impact (Score = 0)</v>
      </c>
      <c r="K56" s="147" t="str">
        <f t="shared" ca="1" si="41"/>
        <v>No impact (Score = 0)</v>
      </c>
      <c r="L56" s="147" t="str">
        <f t="shared" ca="1" si="41"/>
        <v>No impact (Score = 0)</v>
      </c>
      <c r="M56" s="147" t="str">
        <f t="shared" ca="1" si="41"/>
        <v>No impact (Score = 0)</v>
      </c>
      <c r="N56" s="147" t="str">
        <f t="shared" ca="1" si="41"/>
        <v>≤ 2 weeks (Score = 3)</v>
      </c>
      <c r="O56" s="147" t="str">
        <f t="shared" ca="1" si="41"/>
        <v>No impact (Score = 0)</v>
      </c>
      <c r="P56" s="147" t="str">
        <f t="shared" ca="1" si="41"/>
        <v>&gt; 2 weeks (Score = 4)</v>
      </c>
      <c r="Q56" s="147" t="str">
        <f t="shared" ca="1" si="41"/>
        <v>≤ 1 week (Score = 2)</v>
      </c>
      <c r="R56" s="147" t="str">
        <f t="shared" ca="1" si="41"/>
        <v>&gt; 2 weeks (Score = 4)</v>
      </c>
      <c r="S56" s="147" t="str">
        <f t="shared" ca="1" si="41"/>
        <v>≤ 1 week (Score = 2)</v>
      </c>
      <c r="T56" s="147" t="str">
        <f t="shared" ca="1" si="41"/>
        <v>≤ 1 day (Score = 1)</v>
      </c>
      <c r="U56" s="147" t="str">
        <f t="shared" ca="1" si="41"/>
        <v>≤ 1 week (Score = 2)</v>
      </c>
      <c r="V56" s="147" t="str">
        <f t="shared" ca="1" si="41"/>
        <v>≤ 1 week (Score = 2)</v>
      </c>
    </row>
    <row r="57" spans="1:22" ht="30" customHeight="1" x14ac:dyDescent="0.3">
      <c r="A57" s="426" t="s">
        <v>708</v>
      </c>
      <c r="B57" s="427"/>
      <c r="C57" s="153">
        <f ca="1">INDIRECT("'"&amp;C$6&amp;"'!$J$508")</f>
        <v>0</v>
      </c>
      <c r="D57" s="153">
        <f t="shared" ref="D57:V57" ca="1" si="42">INDIRECT("'"&amp;D$6&amp;"'!$J$508")</f>
        <v>100000</v>
      </c>
      <c r="E57" s="153">
        <f t="shared" ca="1" si="42"/>
        <v>0</v>
      </c>
      <c r="F57" s="153">
        <f t="shared" ca="1" si="42"/>
        <v>0</v>
      </c>
      <c r="G57" s="153">
        <f t="shared" ca="1" si="42"/>
        <v>1200</v>
      </c>
      <c r="H57" s="153">
        <f t="shared" ca="1" si="42"/>
        <v>0</v>
      </c>
      <c r="I57" s="153">
        <f t="shared" ca="1" si="42"/>
        <v>0</v>
      </c>
      <c r="J57" s="153">
        <f t="shared" ca="1" si="42"/>
        <v>0</v>
      </c>
      <c r="K57" s="153">
        <f t="shared" ca="1" si="42"/>
        <v>0</v>
      </c>
      <c r="L57" s="153">
        <f t="shared" ca="1" si="42"/>
        <v>250</v>
      </c>
      <c r="M57" s="153">
        <f t="shared" ca="1" si="42"/>
        <v>500</v>
      </c>
      <c r="N57" s="153">
        <f t="shared" ca="1" si="42"/>
        <v>0</v>
      </c>
      <c r="O57" s="153">
        <f t="shared" ca="1" si="42"/>
        <v>0</v>
      </c>
      <c r="P57" s="153">
        <f t="shared" ca="1" si="42"/>
        <v>0</v>
      </c>
      <c r="Q57" s="153">
        <f t="shared" ca="1" si="42"/>
        <v>0</v>
      </c>
      <c r="R57" s="153">
        <f t="shared" ca="1" si="42"/>
        <v>0</v>
      </c>
      <c r="S57" s="153">
        <f t="shared" ca="1" si="42"/>
        <v>0</v>
      </c>
      <c r="T57" s="153">
        <f t="shared" ca="1" si="42"/>
        <v>1600</v>
      </c>
      <c r="U57" s="153">
        <f t="shared" ca="1" si="42"/>
        <v>0</v>
      </c>
      <c r="V57" s="153">
        <f t="shared" ca="1" si="42"/>
        <v>0</v>
      </c>
    </row>
    <row r="58" spans="1:22" ht="45" customHeight="1" x14ac:dyDescent="0.3">
      <c r="A58" s="408" t="s">
        <v>734</v>
      </c>
      <c r="B58" s="409"/>
      <c r="C58" s="157">
        <f ca="1">INDIRECT("'"&amp;C$6&amp;"'!$J$525")</f>
        <v>0</v>
      </c>
      <c r="D58" s="157">
        <f t="shared" ref="D58:V58" ca="1" si="43">INDIRECT("'"&amp;D$6&amp;"'!$J$525")</f>
        <v>1.17</v>
      </c>
      <c r="E58" s="157">
        <f t="shared" ca="1" si="43"/>
        <v>0.5</v>
      </c>
      <c r="F58" s="157">
        <f t="shared" ca="1" si="43"/>
        <v>1</v>
      </c>
      <c r="G58" s="157">
        <f t="shared" ca="1" si="43"/>
        <v>20</v>
      </c>
      <c r="H58" s="157">
        <f t="shared" ca="1" si="43"/>
        <v>1</v>
      </c>
      <c r="I58" s="157">
        <f t="shared" ca="1" si="43"/>
        <v>0</v>
      </c>
      <c r="J58" s="157">
        <f t="shared" ca="1" si="43"/>
        <v>10</v>
      </c>
      <c r="K58" s="157">
        <f t="shared" ca="1" si="43"/>
        <v>0</v>
      </c>
      <c r="L58" s="157">
        <f t="shared" ca="1" si="43"/>
        <v>1</v>
      </c>
      <c r="M58" s="157">
        <f t="shared" ca="1" si="43"/>
        <v>20</v>
      </c>
      <c r="N58" s="157">
        <f t="shared" ca="1" si="43"/>
        <v>0.3</v>
      </c>
      <c r="O58" s="157">
        <f t="shared" ca="1" si="43"/>
        <v>1</v>
      </c>
      <c r="P58" s="157">
        <f t="shared" ca="1" si="43"/>
        <v>0</v>
      </c>
      <c r="Q58" s="157">
        <f t="shared" ca="1" si="43"/>
        <v>0</v>
      </c>
      <c r="R58" s="157">
        <f t="shared" ca="1" si="43"/>
        <v>3</v>
      </c>
      <c r="S58" s="157">
        <f t="shared" ca="1" si="43"/>
        <v>0</v>
      </c>
      <c r="T58" s="157">
        <f t="shared" ca="1" si="43"/>
        <v>2.5</v>
      </c>
      <c r="U58" s="157">
        <f t="shared" ca="1" si="43"/>
        <v>1</v>
      </c>
      <c r="V58" s="157">
        <f t="shared" ca="1" si="43"/>
        <v>0</v>
      </c>
    </row>
    <row r="59" spans="1:22" x14ac:dyDescent="0.3">
      <c r="A59" s="418"/>
      <c r="B59" s="419"/>
      <c r="C59" s="144"/>
      <c r="D59" s="144"/>
      <c r="E59" s="144"/>
      <c r="F59" s="144"/>
      <c r="G59" s="144"/>
      <c r="H59" s="144"/>
      <c r="I59" s="144"/>
      <c r="J59" s="144"/>
      <c r="K59" s="144"/>
      <c r="L59" s="144"/>
      <c r="M59" s="144"/>
      <c r="N59" s="144"/>
      <c r="O59" s="144"/>
      <c r="P59" s="144"/>
      <c r="Q59" s="144"/>
      <c r="R59" s="144"/>
      <c r="S59" s="144"/>
      <c r="T59" s="144"/>
      <c r="U59" s="144"/>
      <c r="V59" s="144"/>
    </row>
    <row r="60" spans="1:22" ht="15.75" customHeight="1" x14ac:dyDescent="0.3">
      <c r="A60" s="420" t="s">
        <v>29</v>
      </c>
      <c r="B60" s="421"/>
      <c r="C60" s="144"/>
      <c r="D60" s="144"/>
      <c r="E60" s="144"/>
      <c r="F60" s="144"/>
      <c r="G60" s="144"/>
      <c r="H60" s="144"/>
      <c r="I60" s="144"/>
      <c r="J60" s="144"/>
      <c r="K60" s="144"/>
      <c r="L60" s="144"/>
      <c r="M60" s="144"/>
      <c r="N60" s="144"/>
      <c r="O60" s="144"/>
      <c r="P60" s="144"/>
      <c r="Q60" s="144"/>
      <c r="R60" s="144"/>
      <c r="S60" s="144"/>
      <c r="T60" s="144"/>
      <c r="U60" s="144"/>
      <c r="V60" s="144"/>
    </row>
    <row r="61" spans="1:22" ht="15" customHeight="1" x14ac:dyDescent="0.3">
      <c r="A61" s="422" t="s">
        <v>709</v>
      </c>
      <c r="B61" s="140" t="s">
        <v>705</v>
      </c>
      <c r="C61" s="151">
        <f ca="1">IF(INDIRECT("'"&amp;C$6&amp;"'!$J$556")="N/A",INDIRECT("'"&amp;C$6&amp;"'!$J$547"),"-")</f>
        <v>0</v>
      </c>
      <c r="D61" s="151">
        <f t="shared" ref="D61:V61" ca="1" si="44">IF(INDIRECT("'"&amp;D$6&amp;"'!$J$556")="N/A",INDIRECT("'"&amp;D$6&amp;"'!$J$547"),"-")</f>
        <v>0</v>
      </c>
      <c r="E61" s="151">
        <f t="shared" ca="1" si="44"/>
        <v>0</v>
      </c>
      <c r="F61" s="151">
        <f t="shared" ca="1" si="44"/>
        <v>0</v>
      </c>
      <c r="G61" s="151">
        <f t="shared" ca="1" si="44"/>
        <v>0</v>
      </c>
      <c r="H61" s="151">
        <f t="shared" ca="1" si="44"/>
        <v>0</v>
      </c>
      <c r="I61" s="151">
        <f t="shared" ca="1" si="44"/>
        <v>0</v>
      </c>
      <c r="J61" s="151">
        <f t="shared" ca="1" si="44"/>
        <v>0</v>
      </c>
      <c r="K61" s="151">
        <f t="shared" ca="1" si="44"/>
        <v>0</v>
      </c>
      <c r="L61" s="151">
        <f t="shared" ca="1" si="44"/>
        <v>0</v>
      </c>
      <c r="M61" s="151">
        <f t="shared" ca="1" si="44"/>
        <v>0</v>
      </c>
      <c r="N61" s="151">
        <f t="shared" ca="1" si="44"/>
        <v>0</v>
      </c>
      <c r="O61" s="151">
        <f t="shared" ca="1" si="44"/>
        <v>0</v>
      </c>
      <c r="P61" s="151" t="str">
        <f t="shared" ca="1" si="44"/>
        <v>Not Calculated</v>
      </c>
      <c r="Q61" s="151">
        <f t="shared" ca="1" si="44"/>
        <v>0</v>
      </c>
      <c r="R61" s="151">
        <f t="shared" ca="1" si="44"/>
        <v>0</v>
      </c>
      <c r="S61" s="151">
        <f t="shared" ca="1" si="44"/>
        <v>0</v>
      </c>
      <c r="T61" s="151">
        <f t="shared" ca="1" si="44"/>
        <v>0</v>
      </c>
      <c r="U61" s="151">
        <f t="shared" ca="1" si="44"/>
        <v>0</v>
      </c>
      <c r="V61" s="151">
        <f t="shared" ca="1" si="44"/>
        <v>0</v>
      </c>
    </row>
    <row r="62" spans="1:22" x14ac:dyDescent="0.3">
      <c r="A62" s="423"/>
      <c r="B62" s="139" t="s">
        <v>706</v>
      </c>
      <c r="C62" s="152">
        <f ca="1">IF(INDIRECT("'"&amp;C$6&amp;"'!$J$556")="N/A",INDIRECT("'"&amp;C$6&amp;"'!$J$548"), INDIRECT("'"&amp;C$6&amp;"'!$J$555"))</f>
        <v>0</v>
      </c>
      <c r="D62" s="152">
        <f t="shared" ref="D62:V62" ca="1" si="45">IF(INDIRECT("'"&amp;D$6&amp;"'!$J$556")="N/A",INDIRECT("'"&amp;D$6&amp;"'!$J$548"), INDIRECT("'"&amp;D$6&amp;"'!$J$555"))</f>
        <v>0</v>
      </c>
      <c r="E62" s="152">
        <f t="shared" ca="1" si="45"/>
        <v>70</v>
      </c>
      <c r="F62" s="152">
        <f t="shared" ca="1" si="45"/>
        <v>0</v>
      </c>
      <c r="G62" s="152">
        <f t="shared" ca="1" si="45"/>
        <v>0</v>
      </c>
      <c r="H62" s="152">
        <f t="shared" ca="1" si="45"/>
        <v>0</v>
      </c>
      <c r="I62" s="152">
        <f t="shared" ca="1" si="45"/>
        <v>0</v>
      </c>
      <c r="J62" s="152">
        <f t="shared" ca="1" si="45"/>
        <v>0</v>
      </c>
      <c r="K62" s="152">
        <f t="shared" ca="1" si="45"/>
        <v>0</v>
      </c>
      <c r="L62" s="152">
        <f t="shared" ca="1" si="45"/>
        <v>0</v>
      </c>
      <c r="M62" s="152">
        <f t="shared" ca="1" si="45"/>
        <v>0</v>
      </c>
      <c r="N62" s="152">
        <f t="shared" ca="1" si="45"/>
        <v>70</v>
      </c>
      <c r="O62" s="152">
        <f t="shared" ca="1" si="45"/>
        <v>50</v>
      </c>
      <c r="P62" s="152">
        <f t="shared" ca="1" si="45"/>
        <v>0</v>
      </c>
      <c r="Q62" s="152">
        <f t="shared" ca="1" si="45"/>
        <v>0</v>
      </c>
      <c r="R62" s="152">
        <f t="shared" ca="1" si="45"/>
        <v>0</v>
      </c>
      <c r="S62" s="152">
        <f t="shared" ca="1" si="45"/>
        <v>0</v>
      </c>
      <c r="T62" s="152">
        <f t="shared" ca="1" si="45"/>
        <v>0</v>
      </c>
      <c r="U62" s="152">
        <f t="shared" ca="1" si="45"/>
        <v>0</v>
      </c>
      <c r="V62" s="152">
        <f t="shared" ca="1" si="45"/>
        <v>0</v>
      </c>
    </row>
    <row r="63" spans="1:22" ht="60" customHeight="1" x14ac:dyDescent="0.3">
      <c r="A63" s="408" t="s">
        <v>1062</v>
      </c>
      <c r="B63" s="409"/>
      <c r="C63" s="150">
        <f ca="1">IF(INDIRECT("'"&amp;C$6&amp;"'!$J$579")="N/A",INDIRECT("'"&amp;C$6&amp;"'!$J$571"),INDIRECT("'"&amp;C$6&amp;"'!$J$578"))</f>
        <v>0</v>
      </c>
      <c r="D63" s="150">
        <f t="shared" ref="D63:V63" ca="1" si="46">IF(INDIRECT("'"&amp;D$6&amp;"'!$J$579")="N/A",INDIRECT("'"&amp;D$6&amp;"'!$J$571"),INDIRECT("'"&amp;D$6&amp;"'!$J$578"))</f>
        <v>9661.2941176470595</v>
      </c>
      <c r="E63" s="150">
        <f t="shared" ca="1" si="46"/>
        <v>0</v>
      </c>
      <c r="F63" s="150">
        <f t="shared" ca="1" si="46"/>
        <v>0</v>
      </c>
      <c r="G63" s="150">
        <f t="shared" ca="1" si="46"/>
        <v>0</v>
      </c>
      <c r="H63" s="150">
        <f t="shared" ca="1" si="46"/>
        <v>0</v>
      </c>
      <c r="I63" s="150">
        <f t="shared" ca="1" si="46"/>
        <v>0</v>
      </c>
      <c r="J63" s="150">
        <f t="shared" ca="1" si="46"/>
        <v>0</v>
      </c>
      <c r="K63" s="150">
        <f t="shared" ca="1" si="46"/>
        <v>0</v>
      </c>
      <c r="L63" s="150">
        <f t="shared" ca="1" si="46"/>
        <v>0</v>
      </c>
      <c r="M63" s="150">
        <f t="shared" ca="1" si="46"/>
        <v>0</v>
      </c>
      <c r="N63" s="150">
        <f t="shared" ca="1" si="46"/>
        <v>511</v>
      </c>
      <c r="O63" s="150">
        <f t="shared" ca="1" si="46"/>
        <v>0</v>
      </c>
      <c r="P63" s="150">
        <f t="shared" ca="1" si="46"/>
        <v>0</v>
      </c>
      <c r="Q63" s="150">
        <f t="shared" ca="1" si="46"/>
        <v>0</v>
      </c>
      <c r="R63" s="150">
        <f t="shared" ca="1" si="46"/>
        <v>0</v>
      </c>
      <c r="S63" s="150">
        <f t="shared" ca="1" si="46"/>
        <v>0</v>
      </c>
      <c r="T63" s="150">
        <f t="shared" ca="1" si="46"/>
        <v>0</v>
      </c>
      <c r="U63" s="150">
        <f t="shared" ca="1" si="46"/>
        <v>0</v>
      </c>
      <c r="V63" s="150">
        <f t="shared" ca="1" si="46"/>
        <v>0</v>
      </c>
    </row>
    <row r="64" spans="1:22" ht="15" customHeight="1" x14ac:dyDescent="0.3">
      <c r="A64" s="429" t="s">
        <v>710</v>
      </c>
      <c r="B64" s="430"/>
      <c r="C64" s="151">
        <f ca="1">INDIRECT("'"&amp;C$6&amp;"'!$J$589")</f>
        <v>0</v>
      </c>
      <c r="D64" s="151">
        <f t="shared" ref="D64:V64" ca="1" si="47">INDIRECT("'"&amp;D$6&amp;"'!$J$589")</f>
        <v>1000</v>
      </c>
      <c r="E64" s="151">
        <f t="shared" ca="1" si="47"/>
        <v>0</v>
      </c>
      <c r="F64" s="151">
        <f t="shared" ca="1" si="47"/>
        <v>0</v>
      </c>
      <c r="G64" s="151">
        <f t="shared" ca="1" si="47"/>
        <v>274</v>
      </c>
      <c r="H64" s="151">
        <f t="shared" ca="1" si="47"/>
        <v>0</v>
      </c>
      <c r="I64" s="151">
        <f t="shared" ca="1" si="47"/>
        <v>0</v>
      </c>
      <c r="J64" s="151">
        <f t="shared" ca="1" si="47"/>
        <v>0</v>
      </c>
      <c r="K64" s="151">
        <f t="shared" ca="1" si="47"/>
        <v>0</v>
      </c>
      <c r="L64" s="151">
        <f t="shared" ca="1" si="47"/>
        <v>0</v>
      </c>
      <c r="M64" s="151">
        <f t="shared" ca="1" si="47"/>
        <v>250</v>
      </c>
      <c r="N64" s="151">
        <f t="shared" ca="1" si="47"/>
        <v>0</v>
      </c>
      <c r="O64" s="151">
        <f t="shared" ca="1" si="47"/>
        <v>0</v>
      </c>
      <c r="P64" s="151">
        <f t="shared" ca="1" si="47"/>
        <v>0</v>
      </c>
      <c r="Q64" s="151">
        <f t="shared" ca="1" si="47"/>
        <v>0</v>
      </c>
      <c r="R64" s="151">
        <f t="shared" ca="1" si="47"/>
        <v>0</v>
      </c>
      <c r="S64" s="151">
        <f t="shared" ca="1" si="47"/>
        <v>0</v>
      </c>
      <c r="T64" s="151">
        <f t="shared" ca="1" si="47"/>
        <v>400</v>
      </c>
      <c r="U64" s="151">
        <f t="shared" ca="1" si="47"/>
        <v>0</v>
      </c>
      <c r="V64" s="151">
        <f t="shared" ca="1" si="47"/>
        <v>0</v>
      </c>
    </row>
    <row r="65" spans="1:22" ht="30" customHeight="1" x14ac:dyDescent="0.3">
      <c r="A65" s="408" t="s">
        <v>711</v>
      </c>
      <c r="B65" s="409"/>
      <c r="C65" s="157">
        <f ca="1">INDIRECT("'"&amp;C$6&amp;"'!$J$605")</f>
        <v>0</v>
      </c>
      <c r="D65" s="157">
        <f t="shared" ref="D65:V65" ca="1" si="48">INDIRECT("'"&amp;D$6&amp;"'!$J$605")</f>
        <v>100</v>
      </c>
      <c r="E65" s="157" t="str">
        <f t="shared" ca="1" si="48"/>
        <v>Not Calculated</v>
      </c>
      <c r="F65" s="157">
        <f t="shared" ca="1" si="48"/>
        <v>0</v>
      </c>
      <c r="G65" s="157">
        <f t="shared" ca="1" si="48"/>
        <v>0</v>
      </c>
      <c r="H65" s="157">
        <f t="shared" ca="1" si="48"/>
        <v>0</v>
      </c>
      <c r="I65" s="157">
        <f t="shared" ca="1" si="48"/>
        <v>0</v>
      </c>
      <c r="J65" s="157">
        <f t="shared" ca="1" si="48"/>
        <v>0</v>
      </c>
      <c r="K65" s="157">
        <f t="shared" ca="1" si="48"/>
        <v>0</v>
      </c>
      <c r="L65" s="157">
        <f t="shared" ca="1" si="48"/>
        <v>0</v>
      </c>
      <c r="M65" s="157">
        <f t="shared" ca="1" si="48"/>
        <v>0</v>
      </c>
      <c r="N65" s="157">
        <f t="shared" ca="1" si="48"/>
        <v>0</v>
      </c>
      <c r="O65" s="157">
        <f t="shared" ca="1" si="48"/>
        <v>19</v>
      </c>
      <c r="P65" s="157">
        <f t="shared" ca="1" si="48"/>
        <v>0</v>
      </c>
      <c r="Q65" s="157">
        <f t="shared" ca="1" si="48"/>
        <v>100</v>
      </c>
      <c r="R65" s="157">
        <f t="shared" ca="1" si="48"/>
        <v>0</v>
      </c>
      <c r="S65" s="157">
        <f t="shared" ca="1" si="48"/>
        <v>0</v>
      </c>
      <c r="T65" s="157">
        <f t="shared" ca="1" si="48"/>
        <v>0</v>
      </c>
      <c r="U65" s="157">
        <f t="shared" ca="1" si="48"/>
        <v>0</v>
      </c>
      <c r="V65" s="157">
        <f t="shared" ca="1" si="48"/>
        <v>0</v>
      </c>
    </row>
    <row r="66" spans="1:22" ht="30" customHeight="1" x14ac:dyDescent="0.3">
      <c r="A66" s="408" t="s">
        <v>1063</v>
      </c>
      <c r="B66" s="409"/>
      <c r="C66" s="150">
        <f ca="1">IF(INDIRECT("'"&amp;C$6&amp;"'!$J$629")="N/A",INDIRECT("'"&amp;C$6&amp;"'!$J$621"),INDIRECT("'"&amp;C$6&amp;"'!$J$628"))</f>
        <v>0</v>
      </c>
      <c r="D66" s="150">
        <f t="shared" ref="D66:V66" ca="1" si="49">IF(INDIRECT("'"&amp;D$6&amp;"'!$J$629")="N/A",INDIRECT("'"&amp;D$6&amp;"'!$J$621"),INDIRECT("'"&amp;D$6&amp;"'!$J$628"))</f>
        <v>9661.2941176470595</v>
      </c>
      <c r="E66" s="150">
        <f t="shared" ca="1" si="49"/>
        <v>200</v>
      </c>
      <c r="F66" s="150">
        <f t="shared" ca="1" si="49"/>
        <v>0</v>
      </c>
      <c r="G66" s="150">
        <f t="shared" ca="1" si="49"/>
        <v>0</v>
      </c>
      <c r="H66" s="150">
        <f t="shared" ca="1" si="49"/>
        <v>0</v>
      </c>
      <c r="I66" s="150">
        <f t="shared" ca="1" si="49"/>
        <v>0</v>
      </c>
      <c r="J66" s="150">
        <f t="shared" ca="1" si="49"/>
        <v>0</v>
      </c>
      <c r="K66" s="150">
        <f t="shared" ca="1" si="49"/>
        <v>0</v>
      </c>
      <c r="L66" s="150">
        <f t="shared" ca="1" si="49"/>
        <v>0</v>
      </c>
      <c r="M66" s="150">
        <f t="shared" ca="1" si="49"/>
        <v>0</v>
      </c>
      <c r="N66" s="150">
        <f t="shared" ca="1" si="49"/>
        <v>100</v>
      </c>
      <c r="O66" s="150">
        <f t="shared" ca="1" si="49"/>
        <v>0</v>
      </c>
      <c r="P66" s="150">
        <f t="shared" ca="1" si="49"/>
        <v>0</v>
      </c>
      <c r="Q66" s="150">
        <f t="shared" ca="1" si="49"/>
        <v>0</v>
      </c>
      <c r="R66" s="150">
        <f t="shared" ca="1" si="49"/>
        <v>3000</v>
      </c>
      <c r="S66" s="150">
        <f t="shared" ca="1" si="49"/>
        <v>0</v>
      </c>
      <c r="T66" s="150">
        <f t="shared" ca="1" si="49"/>
        <v>0</v>
      </c>
      <c r="U66" s="150">
        <f t="shared" ca="1" si="49"/>
        <v>50</v>
      </c>
      <c r="V66" s="150">
        <f t="shared" ca="1" si="49"/>
        <v>0</v>
      </c>
    </row>
    <row r="67" spans="1:22" ht="60" customHeight="1" x14ac:dyDescent="0.3">
      <c r="A67" s="408" t="s">
        <v>1061</v>
      </c>
      <c r="B67" s="409"/>
      <c r="C67" s="150">
        <f ca="1">IF(INDIRECT("'"&amp;C$6&amp;"'!$J$651")="N/A",INDIRECT("'"&amp;C$6&amp;"'!$J$643"),INDIRECT("'"&amp;C$6&amp;"'!$J$650"))</f>
        <v>8</v>
      </c>
      <c r="D67" s="150">
        <f t="shared" ref="D67:V67" ca="1" si="50">IF(INDIRECT("'"&amp;D$6&amp;"'!$J$651")="N/A",INDIRECT("'"&amp;D$6&amp;"'!$J$643"),INDIRECT("'"&amp;D$6&amp;"'!$J$650"))</f>
        <v>75</v>
      </c>
      <c r="E67" s="150">
        <f t="shared" ca="1" si="50"/>
        <v>75</v>
      </c>
      <c r="F67" s="150">
        <f t="shared" ca="1" si="50"/>
        <v>8</v>
      </c>
      <c r="G67" s="150">
        <f t="shared" ca="1" si="50"/>
        <v>37.5</v>
      </c>
      <c r="H67" s="150">
        <f t="shared" ca="1" si="50"/>
        <v>12</v>
      </c>
      <c r="I67" s="150">
        <f t="shared" ca="1" si="50"/>
        <v>75</v>
      </c>
      <c r="J67" s="150">
        <f t="shared" ca="1" si="50"/>
        <v>12</v>
      </c>
      <c r="K67" s="150">
        <f t="shared" ca="1" si="50"/>
        <v>37.5</v>
      </c>
      <c r="L67" s="150">
        <f t="shared" ca="1" si="50"/>
        <v>75</v>
      </c>
      <c r="M67" s="150">
        <f t="shared" ca="1" si="50"/>
        <v>37.5</v>
      </c>
      <c r="N67" s="150">
        <f t="shared" ca="1" si="50"/>
        <v>37.5</v>
      </c>
      <c r="O67" s="150">
        <f t="shared" ca="1" si="50"/>
        <v>37.5</v>
      </c>
      <c r="P67" s="150">
        <f t="shared" ca="1" si="50"/>
        <v>150</v>
      </c>
      <c r="Q67" s="150">
        <f t="shared" ca="1" si="50"/>
        <v>75</v>
      </c>
      <c r="R67" s="150">
        <f t="shared" ca="1" si="50"/>
        <v>75</v>
      </c>
      <c r="S67" s="150">
        <f t="shared" ca="1" si="50"/>
        <v>12</v>
      </c>
      <c r="T67" s="150">
        <f t="shared" ca="1" si="50"/>
        <v>112.5</v>
      </c>
      <c r="U67" s="150">
        <f t="shared" ca="1" si="50"/>
        <v>37.5</v>
      </c>
      <c r="V67" s="150">
        <f t="shared" ca="1" si="50"/>
        <v>18.75</v>
      </c>
    </row>
    <row r="68" spans="1:22" ht="15" customHeight="1" x14ac:dyDescent="0.3">
      <c r="A68" s="422" t="s">
        <v>712</v>
      </c>
      <c r="B68" s="140" t="s">
        <v>705</v>
      </c>
      <c r="C68" s="151">
        <f ca="1">IF(INDIRECT("'"&amp;C$6&amp;"'!$J$673")="N/A",INDIRECT("'"&amp;C$6&amp;"'!$J$662"),"-")</f>
        <v>0</v>
      </c>
      <c r="D68" s="151">
        <f t="shared" ref="D68:V68" ca="1" si="51">IF(INDIRECT("'"&amp;D$6&amp;"'!$J$673")="N/A",INDIRECT("'"&amp;D$6&amp;"'!$J$662"),"-")</f>
        <v>0</v>
      </c>
      <c r="E68" s="151">
        <f t="shared" ca="1" si="51"/>
        <v>0</v>
      </c>
      <c r="F68" s="151">
        <f t="shared" ca="1" si="51"/>
        <v>0</v>
      </c>
      <c r="G68" s="151">
        <f t="shared" ca="1" si="51"/>
        <v>0</v>
      </c>
      <c r="H68" s="151">
        <f t="shared" ca="1" si="51"/>
        <v>0</v>
      </c>
      <c r="I68" s="151">
        <f t="shared" ca="1" si="51"/>
        <v>0</v>
      </c>
      <c r="J68" s="151">
        <f t="shared" ca="1" si="51"/>
        <v>0</v>
      </c>
      <c r="K68" s="151">
        <f t="shared" ca="1" si="51"/>
        <v>0</v>
      </c>
      <c r="L68" s="151">
        <f t="shared" ca="1" si="51"/>
        <v>0</v>
      </c>
      <c r="M68" s="151">
        <f t="shared" ca="1" si="51"/>
        <v>0</v>
      </c>
      <c r="N68" s="151">
        <f t="shared" ca="1" si="51"/>
        <v>0</v>
      </c>
      <c r="O68" s="151">
        <f t="shared" ca="1" si="51"/>
        <v>0</v>
      </c>
      <c r="P68" s="151">
        <f t="shared" ca="1" si="51"/>
        <v>0</v>
      </c>
      <c r="Q68" s="151">
        <f t="shared" ca="1" si="51"/>
        <v>0</v>
      </c>
      <c r="R68" s="151">
        <f t="shared" ca="1" si="51"/>
        <v>0</v>
      </c>
      <c r="S68" s="151">
        <f t="shared" ca="1" si="51"/>
        <v>0</v>
      </c>
      <c r="T68" s="151">
        <f t="shared" ca="1" si="51"/>
        <v>0</v>
      </c>
      <c r="U68" s="151">
        <f t="shared" ca="1" si="51"/>
        <v>0</v>
      </c>
      <c r="V68" s="151">
        <f t="shared" ca="1" si="51"/>
        <v>0</v>
      </c>
    </row>
    <row r="69" spans="1:22" x14ac:dyDescent="0.3">
      <c r="A69" s="423"/>
      <c r="B69" s="139" t="s">
        <v>706</v>
      </c>
      <c r="C69" s="153">
        <f ca="1">IF(INDIRECT("'"&amp;C$6&amp;"'!$J$673")="N/A",INDIRECT("'"&amp;C$6&amp;"'!$J$663"), INDIRECT("'"&amp;C$6&amp;"'!$J$672"))</f>
        <v>33</v>
      </c>
      <c r="D69" s="153">
        <f t="shared" ref="D69:V69" ca="1" si="52">IF(INDIRECT("'"&amp;D$6&amp;"'!$J$673")="N/A",INDIRECT("'"&amp;D$6&amp;"'!$J$663"), INDIRECT("'"&amp;D$6&amp;"'!$J$672"))</f>
        <v>440.26666666666665</v>
      </c>
      <c r="E69" s="153">
        <f t="shared" ca="1" si="52"/>
        <v>0</v>
      </c>
      <c r="F69" s="153">
        <f t="shared" ca="1" si="52"/>
        <v>0</v>
      </c>
      <c r="G69" s="153">
        <f t="shared" ca="1" si="52"/>
        <v>3</v>
      </c>
      <c r="H69" s="153">
        <f t="shared" ca="1" si="52"/>
        <v>0</v>
      </c>
      <c r="I69" s="153">
        <f t="shared" ca="1" si="52"/>
        <v>0</v>
      </c>
      <c r="J69" s="153">
        <f t="shared" ca="1" si="52"/>
        <v>0</v>
      </c>
      <c r="K69" s="153">
        <f t="shared" ca="1" si="52"/>
        <v>0</v>
      </c>
      <c r="L69" s="153">
        <f t="shared" ca="1" si="52"/>
        <v>0</v>
      </c>
      <c r="M69" s="153">
        <f t="shared" ca="1" si="52"/>
        <v>1</v>
      </c>
      <c r="N69" s="153">
        <f t="shared" ca="1" si="52"/>
        <v>9</v>
      </c>
      <c r="O69" s="153">
        <f t="shared" ca="1" si="52"/>
        <v>0</v>
      </c>
      <c r="P69" s="153">
        <f t="shared" ca="1" si="52"/>
        <v>0</v>
      </c>
      <c r="Q69" s="153">
        <f t="shared" ca="1" si="52"/>
        <v>0</v>
      </c>
      <c r="R69" s="153">
        <f t="shared" ca="1" si="52"/>
        <v>0</v>
      </c>
      <c r="S69" s="153">
        <f t="shared" ca="1" si="52"/>
        <v>0</v>
      </c>
      <c r="T69" s="153">
        <f t="shared" ca="1" si="52"/>
        <v>4</v>
      </c>
      <c r="U69" s="153">
        <f t="shared" ca="1" si="52"/>
        <v>2</v>
      </c>
      <c r="V69" s="153">
        <f t="shared" ca="1" si="52"/>
        <v>0</v>
      </c>
    </row>
    <row r="70" spans="1:22" x14ac:dyDescent="0.3">
      <c r="A70" s="418"/>
      <c r="B70" s="419"/>
      <c r="C70" s="144"/>
      <c r="D70" s="144"/>
      <c r="E70" s="144"/>
      <c r="F70" s="144"/>
      <c r="G70" s="144"/>
      <c r="H70" s="144"/>
      <c r="I70" s="144"/>
      <c r="J70" s="144"/>
      <c r="K70" s="144"/>
      <c r="L70" s="144"/>
      <c r="M70" s="144"/>
      <c r="N70" s="144"/>
      <c r="O70" s="144"/>
      <c r="P70" s="144"/>
      <c r="Q70" s="144"/>
      <c r="R70" s="144"/>
      <c r="S70" s="144"/>
      <c r="T70" s="144"/>
      <c r="U70" s="144"/>
      <c r="V70" s="144"/>
    </row>
    <row r="71" spans="1:22" ht="15.75" customHeight="1" x14ac:dyDescent="0.3">
      <c r="A71" s="420" t="s">
        <v>251</v>
      </c>
      <c r="B71" s="421"/>
      <c r="C71" s="144"/>
      <c r="D71" s="144"/>
      <c r="E71" s="144"/>
      <c r="F71" s="144"/>
      <c r="G71" s="144"/>
      <c r="H71" s="144"/>
      <c r="I71" s="144"/>
      <c r="J71" s="144"/>
      <c r="K71" s="144"/>
      <c r="L71" s="144"/>
      <c r="M71" s="144"/>
      <c r="N71" s="144"/>
      <c r="O71" s="144"/>
      <c r="P71" s="144"/>
      <c r="Q71" s="144"/>
      <c r="R71" s="144"/>
      <c r="S71" s="144"/>
      <c r="T71" s="144"/>
      <c r="U71" s="144"/>
      <c r="V71" s="144"/>
    </row>
    <row r="72" spans="1:22" ht="15" customHeight="1" x14ac:dyDescent="0.3">
      <c r="A72" s="422" t="s">
        <v>30</v>
      </c>
      <c r="B72" s="125" t="s">
        <v>713</v>
      </c>
      <c r="C72" s="145" t="str">
        <f ca="1">INDIRECT("'"&amp;C$6&amp;"'!$G$717")</f>
        <v>Yes</v>
      </c>
      <c r="D72" s="145" t="str">
        <f t="shared" ref="D72:V72" ca="1" si="53">INDIRECT("'"&amp;D$6&amp;"'!$G$717")</f>
        <v>Yes</v>
      </c>
      <c r="E72" s="145" t="str">
        <f t="shared" ca="1" si="53"/>
        <v>Yes</v>
      </c>
      <c r="F72" s="145" t="str">
        <f t="shared" ca="1" si="53"/>
        <v>Yes</v>
      </c>
      <c r="G72" s="145" t="str">
        <f t="shared" ca="1" si="53"/>
        <v>Yes</v>
      </c>
      <c r="H72" s="145" t="str">
        <f t="shared" ca="1" si="53"/>
        <v>Yes</v>
      </c>
      <c r="I72" s="145" t="str">
        <f t="shared" ca="1" si="53"/>
        <v>Yes</v>
      </c>
      <c r="J72" s="145" t="str">
        <f t="shared" ca="1" si="53"/>
        <v>Yes</v>
      </c>
      <c r="K72" s="145" t="str">
        <f t="shared" ca="1" si="53"/>
        <v>Yes</v>
      </c>
      <c r="L72" s="145" t="str">
        <f t="shared" ca="1" si="53"/>
        <v>Yes</v>
      </c>
      <c r="M72" s="145" t="str">
        <f t="shared" ca="1" si="53"/>
        <v>Yes</v>
      </c>
      <c r="N72" s="145" t="str">
        <f t="shared" ca="1" si="53"/>
        <v>Yes</v>
      </c>
      <c r="O72" s="145" t="str">
        <f t="shared" ca="1" si="53"/>
        <v>Yes</v>
      </c>
      <c r="P72" s="145" t="str">
        <f t="shared" ca="1" si="53"/>
        <v>Yes</v>
      </c>
      <c r="Q72" s="145" t="str">
        <f t="shared" ca="1" si="53"/>
        <v>Yes</v>
      </c>
      <c r="R72" s="145" t="str">
        <f t="shared" ca="1" si="53"/>
        <v>Yes</v>
      </c>
      <c r="S72" s="145" t="str">
        <f t="shared" ca="1" si="53"/>
        <v>Yes</v>
      </c>
      <c r="T72" s="145" t="str">
        <f t="shared" ca="1" si="53"/>
        <v>Yes</v>
      </c>
      <c r="U72" s="145" t="str">
        <f t="shared" ca="1" si="53"/>
        <v>Yes</v>
      </c>
      <c r="V72" s="145" t="str">
        <f t="shared" ca="1" si="53"/>
        <v>Yes</v>
      </c>
    </row>
    <row r="73" spans="1:22" x14ac:dyDescent="0.3">
      <c r="A73" s="428"/>
      <c r="B73" s="125" t="s">
        <v>714</v>
      </c>
      <c r="C73" s="146" t="str">
        <f ca="1">INDIRECT("'"&amp;C$6&amp;"'!$G$732")</f>
        <v>No</v>
      </c>
      <c r="D73" s="146" t="str">
        <f t="shared" ref="D73:V73" ca="1" si="54">INDIRECT("'"&amp;D$6&amp;"'!$G$732")</f>
        <v>No</v>
      </c>
      <c r="E73" s="146" t="str">
        <f t="shared" ca="1" si="54"/>
        <v>Yes</v>
      </c>
      <c r="F73" s="146" t="str">
        <f t="shared" ca="1" si="54"/>
        <v>No</v>
      </c>
      <c r="G73" s="146" t="str">
        <f t="shared" ca="1" si="54"/>
        <v>Yes</v>
      </c>
      <c r="H73" s="146" t="str">
        <f t="shared" ca="1" si="54"/>
        <v>Yes</v>
      </c>
      <c r="I73" s="146" t="str">
        <f t="shared" ca="1" si="54"/>
        <v>No</v>
      </c>
      <c r="J73" s="146" t="str">
        <f t="shared" ca="1" si="54"/>
        <v>No</v>
      </c>
      <c r="K73" s="146" t="str">
        <f t="shared" ca="1" si="54"/>
        <v>No</v>
      </c>
      <c r="L73" s="146" t="str">
        <f t="shared" ca="1" si="54"/>
        <v>Yes</v>
      </c>
      <c r="M73" s="146" t="str">
        <f t="shared" ca="1" si="54"/>
        <v>Yes</v>
      </c>
      <c r="N73" s="146" t="str">
        <f t="shared" ca="1" si="54"/>
        <v>Yes</v>
      </c>
      <c r="O73" s="146" t="str">
        <f t="shared" ca="1" si="54"/>
        <v>No</v>
      </c>
      <c r="P73" s="146" t="str">
        <f t="shared" ca="1" si="54"/>
        <v>Yes</v>
      </c>
      <c r="Q73" s="146" t="str">
        <f t="shared" ca="1" si="54"/>
        <v>No</v>
      </c>
      <c r="R73" s="146" t="str">
        <f t="shared" ca="1" si="54"/>
        <v>Yes</v>
      </c>
      <c r="S73" s="146" t="str">
        <f t="shared" ca="1" si="54"/>
        <v>Yes</v>
      </c>
      <c r="T73" s="146" t="str">
        <f t="shared" ca="1" si="54"/>
        <v>Yes</v>
      </c>
      <c r="U73" s="146" t="str">
        <f t="shared" ca="1" si="54"/>
        <v>No</v>
      </c>
      <c r="V73" s="146" t="str">
        <f t="shared" ca="1" si="54"/>
        <v>No</v>
      </c>
    </row>
    <row r="74" spans="1:22" x14ac:dyDescent="0.3">
      <c r="A74" s="428"/>
      <c r="B74" s="125" t="s">
        <v>715</v>
      </c>
      <c r="C74" s="146" t="str">
        <f ca="1">INDIRECT("'"&amp;C$6&amp;"'!$G$747")</f>
        <v>No</v>
      </c>
      <c r="D74" s="146" t="str">
        <f t="shared" ref="D74:V74" ca="1" si="55">INDIRECT("'"&amp;D$6&amp;"'!$G$747")</f>
        <v>No</v>
      </c>
      <c r="E74" s="146" t="str">
        <f t="shared" ca="1" si="55"/>
        <v>No</v>
      </c>
      <c r="F74" s="146" t="str">
        <f t="shared" ca="1" si="55"/>
        <v>No</v>
      </c>
      <c r="G74" s="146" t="str">
        <f t="shared" ca="1" si="55"/>
        <v>No</v>
      </c>
      <c r="H74" s="146" t="str">
        <f t="shared" ca="1" si="55"/>
        <v>No</v>
      </c>
      <c r="I74" s="146" t="str">
        <f t="shared" ca="1" si="55"/>
        <v>No</v>
      </c>
      <c r="J74" s="146" t="str">
        <f t="shared" ca="1" si="55"/>
        <v>No</v>
      </c>
      <c r="K74" s="146" t="str">
        <f t="shared" ca="1" si="55"/>
        <v>No</v>
      </c>
      <c r="L74" s="146" t="str">
        <f t="shared" ca="1" si="55"/>
        <v>No</v>
      </c>
      <c r="M74" s="146" t="str">
        <f t="shared" ca="1" si="55"/>
        <v>No</v>
      </c>
      <c r="N74" s="146" t="str">
        <f t="shared" ca="1" si="55"/>
        <v>No</v>
      </c>
      <c r="O74" s="146" t="str">
        <f t="shared" ca="1" si="55"/>
        <v>No</v>
      </c>
      <c r="P74" s="146" t="str">
        <f t="shared" ca="1" si="55"/>
        <v>No</v>
      </c>
      <c r="Q74" s="146" t="str">
        <f t="shared" ca="1" si="55"/>
        <v>No</v>
      </c>
      <c r="R74" s="146" t="str">
        <f t="shared" ca="1" si="55"/>
        <v>No</v>
      </c>
      <c r="S74" s="146" t="str">
        <f t="shared" ca="1" si="55"/>
        <v>No</v>
      </c>
      <c r="T74" s="146" t="str">
        <f t="shared" ca="1" si="55"/>
        <v>No</v>
      </c>
      <c r="U74" s="146" t="str">
        <f t="shared" ca="1" si="55"/>
        <v>No</v>
      </c>
      <c r="V74" s="146" t="str">
        <f t="shared" ca="1" si="55"/>
        <v>No</v>
      </c>
    </row>
    <row r="75" spans="1:22" x14ac:dyDescent="0.3">
      <c r="A75" s="423"/>
      <c r="B75" s="126" t="s">
        <v>716</v>
      </c>
      <c r="C75" s="146" t="str">
        <f ca="1">INDIRECT("'"&amp;C$6&amp;"'!$G$762")</f>
        <v>Yes</v>
      </c>
      <c r="D75" s="146" t="str">
        <f t="shared" ref="D75:V75" ca="1" si="56">INDIRECT("'"&amp;D$6&amp;"'!$G$762")</f>
        <v>Yes</v>
      </c>
      <c r="E75" s="146" t="str">
        <f t="shared" ca="1" si="56"/>
        <v>Yes</v>
      </c>
      <c r="F75" s="146" t="str">
        <f t="shared" ca="1" si="56"/>
        <v>Yes</v>
      </c>
      <c r="G75" s="146" t="str">
        <f t="shared" ca="1" si="56"/>
        <v>Yes</v>
      </c>
      <c r="H75" s="146" t="str">
        <f t="shared" ca="1" si="56"/>
        <v>Yes</v>
      </c>
      <c r="I75" s="146" t="str">
        <f t="shared" ca="1" si="56"/>
        <v>No</v>
      </c>
      <c r="J75" s="146" t="str">
        <f t="shared" ca="1" si="56"/>
        <v>Yes</v>
      </c>
      <c r="K75" s="146" t="str">
        <f t="shared" ca="1" si="56"/>
        <v>No</v>
      </c>
      <c r="L75" s="146" t="str">
        <f t="shared" ca="1" si="56"/>
        <v>Yes</v>
      </c>
      <c r="M75" s="146" t="str">
        <f t="shared" ca="1" si="56"/>
        <v>Yes</v>
      </c>
      <c r="N75" s="146" t="str">
        <f t="shared" ca="1" si="56"/>
        <v>Yes</v>
      </c>
      <c r="O75" s="146" t="str">
        <f t="shared" ca="1" si="56"/>
        <v>Yes</v>
      </c>
      <c r="P75" s="146" t="str">
        <f t="shared" ca="1" si="56"/>
        <v>Yes</v>
      </c>
      <c r="Q75" s="146" t="str">
        <f t="shared" ca="1" si="56"/>
        <v>Yes</v>
      </c>
      <c r="R75" s="146" t="str">
        <f t="shared" ca="1" si="56"/>
        <v>Yes</v>
      </c>
      <c r="S75" s="146" t="str">
        <f t="shared" ca="1" si="56"/>
        <v>Yes</v>
      </c>
      <c r="T75" s="146" t="str">
        <f t="shared" ca="1" si="56"/>
        <v>Yes</v>
      </c>
      <c r="U75" s="146" t="str">
        <f t="shared" ca="1" si="56"/>
        <v>Yes</v>
      </c>
      <c r="V75" s="146" t="str">
        <f t="shared" ca="1" si="56"/>
        <v>Yes</v>
      </c>
    </row>
    <row r="76" spans="1:22" ht="15" customHeight="1" x14ac:dyDescent="0.3">
      <c r="A76" s="422" t="s">
        <v>32</v>
      </c>
      <c r="B76" s="125" t="s">
        <v>713</v>
      </c>
      <c r="C76" s="145" t="str">
        <f ca="1">INDIRECT("'"&amp;C$6&amp;"'!$G$718")</f>
        <v>Yes</v>
      </c>
      <c r="D76" s="145" t="str">
        <f t="shared" ref="D76:V76" ca="1" si="57">INDIRECT("'"&amp;D$6&amp;"'!$G$718")</f>
        <v>Yes</v>
      </c>
      <c r="E76" s="145" t="str">
        <f t="shared" ca="1" si="57"/>
        <v>Yes</v>
      </c>
      <c r="F76" s="145" t="str">
        <f t="shared" ca="1" si="57"/>
        <v>Yes</v>
      </c>
      <c r="G76" s="145" t="str">
        <f t="shared" ca="1" si="57"/>
        <v>Yes</v>
      </c>
      <c r="H76" s="145" t="str">
        <f t="shared" ca="1" si="57"/>
        <v>Yes</v>
      </c>
      <c r="I76" s="145" t="str">
        <f t="shared" ca="1" si="57"/>
        <v>Yes</v>
      </c>
      <c r="J76" s="145" t="str">
        <f t="shared" ca="1" si="57"/>
        <v>Yes</v>
      </c>
      <c r="K76" s="145" t="str">
        <f t="shared" ca="1" si="57"/>
        <v>Yes</v>
      </c>
      <c r="L76" s="145" t="str">
        <f t="shared" ca="1" si="57"/>
        <v>Yes</v>
      </c>
      <c r="M76" s="145" t="str">
        <f t="shared" ca="1" si="57"/>
        <v>Yes</v>
      </c>
      <c r="N76" s="145" t="str">
        <f t="shared" ca="1" si="57"/>
        <v>Yes</v>
      </c>
      <c r="O76" s="145" t="str">
        <f t="shared" ca="1" si="57"/>
        <v>Yes</v>
      </c>
      <c r="P76" s="145" t="str">
        <f t="shared" ca="1" si="57"/>
        <v>Yes</v>
      </c>
      <c r="Q76" s="145" t="str">
        <f t="shared" ca="1" si="57"/>
        <v>Yes</v>
      </c>
      <c r="R76" s="145" t="str">
        <f t="shared" ca="1" si="57"/>
        <v>Yes</v>
      </c>
      <c r="S76" s="145" t="str">
        <f t="shared" ca="1" si="57"/>
        <v>Yes</v>
      </c>
      <c r="T76" s="145" t="str">
        <f t="shared" ca="1" si="57"/>
        <v>Yes</v>
      </c>
      <c r="U76" s="145" t="str">
        <f t="shared" ca="1" si="57"/>
        <v>Yes</v>
      </c>
      <c r="V76" s="145" t="str">
        <f t="shared" ca="1" si="57"/>
        <v>Yes</v>
      </c>
    </row>
    <row r="77" spans="1:22" x14ac:dyDescent="0.3">
      <c r="A77" s="428"/>
      <c r="B77" s="125" t="s">
        <v>714</v>
      </c>
      <c r="C77" s="146" t="str">
        <f ca="1">INDIRECT("'"&amp;C$6&amp;"'!$G$733")</f>
        <v>No</v>
      </c>
      <c r="D77" s="146" t="str">
        <f t="shared" ref="D77:V77" ca="1" si="58">INDIRECT("'"&amp;D$6&amp;"'!$G$733")</f>
        <v>No</v>
      </c>
      <c r="E77" s="146" t="str">
        <f t="shared" ca="1" si="58"/>
        <v>Yes</v>
      </c>
      <c r="F77" s="146" t="str">
        <f t="shared" ca="1" si="58"/>
        <v>No</v>
      </c>
      <c r="G77" s="146" t="str">
        <f t="shared" ca="1" si="58"/>
        <v>Yes</v>
      </c>
      <c r="H77" s="146" t="str">
        <f t="shared" ca="1" si="58"/>
        <v>Yes</v>
      </c>
      <c r="I77" s="146" t="str">
        <f t="shared" ca="1" si="58"/>
        <v>No</v>
      </c>
      <c r="J77" s="146" t="str">
        <f t="shared" ca="1" si="58"/>
        <v>No</v>
      </c>
      <c r="K77" s="146" t="str">
        <f t="shared" ca="1" si="58"/>
        <v>No</v>
      </c>
      <c r="L77" s="146" t="str">
        <f t="shared" ca="1" si="58"/>
        <v>Yes</v>
      </c>
      <c r="M77" s="146" t="str">
        <f t="shared" ca="1" si="58"/>
        <v>Yes</v>
      </c>
      <c r="N77" s="146" t="str">
        <f t="shared" ca="1" si="58"/>
        <v>Yes</v>
      </c>
      <c r="O77" s="146" t="str">
        <f t="shared" ca="1" si="58"/>
        <v>No</v>
      </c>
      <c r="P77" s="146" t="str">
        <f t="shared" ca="1" si="58"/>
        <v>Yes</v>
      </c>
      <c r="Q77" s="146" t="str">
        <f t="shared" ca="1" si="58"/>
        <v>No</v>
      </c>
      <c r="R77" s="146" t="str">
        <f t="shared" ca="1" si="58"/>
        <v>Yes</v>
      </c>
      <c r="S77" s="146" t="str">
        <f t="shared" ca="1" si="58"/>
        <v>Yes</v>
      </c>
      <c r="T77" s="146" t="str">
        <f t="shared" ca="1" si="58"/>
        <v>Yes</v>
      </c>
      <c r="U77" s="146" t="str">
        <f t="shared" ca="1" si="58"/>
        <v>No</v>
      </c>
      <c r="V77" s="146" t="str">
        <f t="shared" ca="1" si="58"/>
        <v>No</v>
      </c>
    </row>
    <row r="78" spans="1:22" x14ac:dyDescent="0.3">
      <c r="A78" s="428"/>
      <c r="B78" s="125" t="s">
        <v>715</v>
      </c>
      <c r="C78" s="146" t="str">
        <f ca="1">INDIRECT("'"&amp;C$6&amp;"'!$G$748")</f>
        <v>No</v>
      </c>
      <c r="D78" s="146" t="str">
        <f t="shared" ref="D78:V78" ca="1" si="59">INDIRECT("'"&amp;D$6&amp;"'!$G$748")</f>
        <v>Yes</v>
      </c>
      <c r="E78" s="146" t="str">
        <f t="shared" ca="1" si="59"/>
        <v>Yes</v>
      </c>
      <c r="F78" s="146" t="str">
        <f t="shared" ca="1" si="59"/>
        <v>No</v>
      </c>
      <c r="G78" s="146" t="str">
        <f t="shared" ca="1" si="59"/>
        <v>Yes</v>
      </c>
      <c r="H78" s="146" t="str">
        <f t="shared" ca="1" si="59"/>
        <v>Yes</v>
      </c>
      <c r="I78" s="146" t="str">
        <f t="shared" ca="1" si="59"/>
        <v>No</v>
      </c>
      <c r="J78" s="146" t="str">
        <f t="shared" ca="1" si="59"/>
        <v>No</v>
      </c>
      <c r="K78" s="146" t="str">
        <f t="shared" ca="1" si="59"/>
        <v>No</v>
      </c>
      <c r="L78" s="146" t="str">
        <f t="shared" ca="1" si="59"/>
        <v>Yes</v>
      </c>
      <c r="M78" s="146" t="str">
        <f t="shared" ca="1" si="59"/>
        <v>Yes</v>
      </c>
      <c r="N78" s="146" t="str">
        <f t="shared" ca="1" si="59"/>
        <v>Yes</v>
      </c>
      <c r="O78" s="146" t="str">
        <f t="shared" ca="1" si="59"/>
        <v>No</v>
      </c>
      <c r="P78" s="146" t="str">
        <f t="shared" ca="1" si="59"/>
        <v>Yes</v>
      </c>
      <c r="Q78" s="146" t="str">
        <f t="shared" ca="1" si="59"/>
        <v>No</v>
      </c>
      <c r="R78" s="146" t="str">
        <f t="shared" ca="1" si="59"/>
        <v>Yes</v>
      </c>
      <c r="S78" s="146" t="str">
        <f t="shared" ca="1" si="59"/>
        <v>No</v>
      </c>
      <c r="T78" s="146" t="str">
        <f t="shared" ca="1" si="59"/>
        <v>No</v>
      </c>
      <c r="U78" s="146" t="str">
        <f t="shared" ca="1" si="59"/>
        <v>No</v>
      </c>
      <c r="V78" s="146" t="str">
        <f t="shared" ca="1" si="59"/>
        <v>No</v>
      </c>
    </row>
    <row r="79" spans="1:22" x14ac:dyDescent="0.3">
      <c r="A79" s="423"/>
      <c r="B79" s="126" t="s">
        <v>716</v>
      </c>
      <c r="C79" s="146" t="str">
        <f ca="1">INDIRECT("'"&amp;C$6&amp;"'!$G$763")</f>
        <v>Yes</v>
      </c>
      <c r="D79" s="146" t="str">
        <f t="shared" ref="D79:V79" ca="1" si="60">INDIRECT("'"&amp;D$6&amp;"'!$G$763")</f>
        <v>Yes</v>
      </c>
      <c r="E79" s="146" t="str">
        <f t="shared" ca="1" si="60"/>
        <v>Yes</v>
      </c>
      <c r="F79" s="146" t="str">
        <f t="shared" ca="1" si="60"/>
        <v>Yes</v>
      </c>
      <c r="G79" s="146" t="str">
        <f t="shared" ca="1" si="60"/>
        <v>Yes</v>
      </c>
      <c r="H79" s="146" t="str">
        <f t="shared" ca="1" si="60"/>
        <v>Yes</v>
      </c>
      <c r="I79" s="146" t="str">
        <f t="shared" ca="1" si="60"/>
        <v>No</v>
      </c>
      <c r="J79" s="146" t="str">
        <f t="shared" ca="1" si="60"/>
        <v>Yes</v>
      </c>
      <c r="K79" s="146" t="str">
        <f t="shared" ca="1" si="60"/>
        <v>No</v>
      </c>
      <c r="L79" s="146" t="str">
        <f t="shared" ca="1" si="60"/>
        <v>Yes</v>
      </c>
      <c r="M79" s="146" t="str">
        <f t="shared" ca="1" si="60"/>
        <v>Yes</v>
      </c>
      <c r="N79" s="146" t="str">
        <f t="shared" ca="1" si="60"/>
        <v>Yes</v>
      </c>
      <c r="O79" s="146" t="str">
        <f t="shared" ca="1" si="60"/>
        <v>Yes</v>
      </c>
      <c r="P79" s="146" t="str">
        <f t="shared" ca="1" si="60"/>
        <v>Yes</v>
      </c>
      <c r="Q79" s="146" t="str">
        <f t="shared" ca="1" si="60"/>
        <v>Yes</v>
      </c>
      <c r="R79" s="146" t="str">
        <f t="shared" ca="1" si="60"/>
        <v>Yes</v>
      </c>
      <c r="S79" s="146" t="str">
        <f t="shared" ca="1" si="60"/>
        <v>Yes</v>
      </c>
      <c r="T79" s="146" t="str">
        <f t="shared" ca="1" si="60"/>
        <v>Yes</v>
      </c>
      <c r="U79" s="146" t="str">
        <f t="shared" ca="1" si="60"/>
        <v>Yes</v>
      </c>
      <c r="V79" s="146" t="str">
        <f t="shared" ca="1" si="60"/>
        <v>Yes</v>
      </c>
    </row>
    <row r="80" spans="1:22" ht="15" customHeight="1" x14ac:dyDescent="0.3">
      <c r="A80" s="422" t="s">
        <v>33</v>
      </c>
      <c r="B80" s="125" t="s">
        <v>713</v>
      </c>
      <c r="C80" s="145" t="str">
        <f ca="1">INDIRECT("'"&amp;C$6&amp;"'!$G$719")</f>
        <v>No</v>
      </c>
      <c r="D80" s="145" t="str">
        <f t="shared" ref="D80:V80" ca="1" si="61">INDIRECT("'"&amp;D$6&amp;"'!$G$719")</f>
        <v>No</v>
      </c>
      <c r="E80" s="145" t="str">
        <f t="shared" ca="1" si="61"/>
        <v>No</v>
      </c>
      <c r="F80" s="145" t="str">
        <f t="shared" ca="1" si="61"/>
        <v>No</v>
      </c>
      <c r="G80" s="145" t="str">
        <f t="shared" ca="1" si="61"/>
        <v>No</v>
      </c>
      <c r="H80" s="145" t="str">
        <f t="shared" ca="1" si="61"/>
        <v>Yes</v>
      </c>
      <c r="I80" s="145" t="str">
        <f t="shared" ca="1" si="61"/>
        <v>No</v>
      </c>
      <c r="J80" s="145" t="str">
        <f t="shared" ca="1" si="61"/>
        <v>No</v>
      </c>
      <c r="K80" s="145" t="str">
        <f t="shared" ca="1" si="61"/>
        <v>No</v>
      </c>
      <c r="L80" s="145" t="str">
        <f t="shared" ca="1" si="61"/>
        <v>No</v>
      </c>
      <c r="M80" s="145" t="str">
        <f t="shared" ca="1" si="61"/>
        <v>No</v>
      </c>
      <c r="N80" s="145" t="str">
        <f t="shared" ca="1" si="61"/>
        <v>No</v>
      </c>
      <c r="O80" s="145" t="str">
        <f t="shared" ca="1" si="61"/>
        <v>No</v>
      </c>
      <c r="P80" s="145" t="str">
        <f t="shared" ca="1" si="61"/>
        <v>No</v>
      </c>
      <c r="Q80" s="145" t="str">
        <f t="shared" ca="1" si="61"/>
        <v>No</v>
      </c>
      <c r="R80" s="145" t="str">
        <f t="shared" ca="1" si="61"/>
        <v>Yes</v>
      </c>
      <c r="S80" s="145" t="str">
        <f t="shared" ca="1" si="61"/>
        <v>No</v>
      </c>
      <c r="T80" s="145" t="str">
        <f t="shared" ca="1" si="61"/>
        <v>Yes</v>
      </c>
      <c r="U80" s="145" t="str">
        <f t="shared" ca="1" si="61"/>
        <v>Yes</v>
      </c>
      <c r="V80" s="145" t="str">
        <f t="shared" ca="1" si="61"/>
        <v>No</v>
      </c>
    </row>
    <row r="81" spans="1:22" x14ac:dyDescent="0.3">
      <c r="A81" s="428"/>
      <c r="B81" s="125" t="s">
        <v>714</v>
      </c>
      <c r="C81" s="146" t="str">
        <f ca="1">INDIRECT("'"&amp;C$6&amp;"'!$G$734")</f>
        <v>No</v>
      </c>
      <c r="D81" s="146" t="str">
        <f t="shared" ref="D81:V81" ca="1" si="62">INDIRECT("'"&amp;D$6&amp;"'!$G$734")</f>
        <v>No</v>
      </c>
      <c r="E81" s="146" t="str">
        <f t="shared" ca="1" si="62"/>
        <v>Yes</v>
      </c>
      <c r="F81" s="146" t="str">
        <f t="shared" ca="1" si="62"/>
        <v>No</v>
      </c>
      <c r="G81" s="146" t="str">
        <f t="shared" ca="1" si="62"/>
        <v>Yes</v>
      </c>
      <c r="H81" s="146" t="str">
        <f t="shared" ca="1" si="62"/>
        <v>Yes</v>
      </c>
      <c r="I81" s="146" t="str">
        <f t="shared" ca="1" si="62"/>
        <v>No</v>
      </c>
      <c r="J81" s="146" t="str">
        <f t="shared" ca="1" si="62"/>
        <v>No</v>
      </c>
      <c r="K81" s="146" t="str">
        <f t="shared" ca="1" si="62"/>
        <v>No</v>
      </c>
      <c r="L81" s="146" t="str">
        <f t="shared" ca="1" si="62"/>
        <v>Yes</v>
      </c>
      <c r="M81" s="146" t="str">
        <f t="shared" ca="1" si="62"/>
        <v>Yes</v>
      </c>
      <c r="N81" s="146" t="str">
        <f t="shared" ca="1" si="62"/>
        <v>Yes</v>
      </c>
      <c r="O81" s="146" t="str">
        <f t="shared" ca="1" si="62"/>
        <v>No</v>
      </c>
      <c r="P81" s="146" t="str">
        <f t="shared" ca="1" si="62"/>
        <v>Yes</v>
      </c>
      <c r="Q81" s="146" t="str">
        <f t="shared" ca="1" si="62"/>
        <v>No</v>
      </c>
      <c r="R81" s="146" t="str">
        <f t="shared" ca="1" si="62"/>
        <v>Yes</v>
      </c>
      <c r="S81" s="146" t="str">
        <f t="shared" ca="1" si="62"/>
        <v>Yes</v>
      </c>
      <c r="T81" s="146" t="str">
        <f t="shared" ca="1" si="62"/>
        <v>Yes</v>
      </c>
      <c r="U81" s="146" t="str">
        <f t="shared" ca="1" si="62"/>
        <v>No</v>
      </c>
      <c r="V81" s="146" t="str">
        <f t="shared" ca="1" si="62"/>
        <v>No</v>
      </c>
    </row>
    <row r="82" spans="1:22" x14ac:dyDescent="0.3">
      <c r="A82" s="428"/>
      <c r="B82" s="125" t="s">
        <v>715</v>
      </c>
      <c r="C82" s="146" t="str">
        <f ca="1">INDIRECT("'"&amp;C$6&amp;"'!$G$749")</f>
        <v>No</v>
      </c>
      <c r="D82" s="146" t="str">
        <f t="shared" ref="D82:V82" ca="1" si="63">INDIRECT("'"&amp;D$6&amp;"'!$G$749")</f>
        <v>Yes</v>
      </c>
      <c r="E82" s="146" t="str">
        <f t="shared" ca="1" si="63"/>
        <v>Yes</v>
      </c>
      <c r="F82" s="146" t="str">
        <f t="shared" ca="1" si="63"/>
        <v>No</v>
      </c>
      <c r="G82" s="146" t="str">
        <f t="shared" ca="1" si="63"/>
        <v>Yes</v>
      </c>
      <c r="H82" s="146" t="str">
        <f t="shared" ca="1" si="63"/>
        <v>Yes</v>
      </c>
      <c r="I82" s="146" t="str">
        <f t="shared" ca="1" si="63"/>
        <v>No</v>
      </c>
      <c r="J82" s="146" t="str">
        <f t="shared" ca="1" si="63"/>
        <v>No</v>
      </c>
      <c r="K82" s="146" t="str">
        <f t="shared" ca="1" si="63"/>
        <v>No</v>
      </c>
      <c r="L82" s="146" t="str">
        <f t="shared" ca="1" si="63"/>
        <v>Yes</v>
      </c>
      <c r="M82" s="146" t="str">
        <f t="shared" ca="1" si="63"/>
        <v>Yes</v>
      </c>
      <c r="N82" s="146" t="str">
        <f t="shared" ca="1" si="63"/>
        <v>Yes</v>
      </c>
      <c r="O82" s="146" t="str">
        <f t="shared" ca="1" si="63"/>
        <v>No</v>
      </c>
      <c r="P82" s="146" t="str">
        <f t="shared" ca="1" si="63"/>
        <v>Yes</v>
      </c>
      <c r="Q82" s="146" t="str">
        <f t="shared" ca="1" si="63"/>
        <v>No</v>
      </c>
      <c r="R82" s="146" t="str">
        <f t="shared" ca="1" si="63"/>
        <v>Yes</v>
      </c>
      <c r="S82" s="146" t="str">
        <f t="shared" ca="1" si="63"/>
        <v>No</v>
      </c>
      <c r="T82" s="146" t="str">
        <f t="shared" ca="1" si="63"/>
        <v>No</v>
      </c>
      <c r="U82" s="146" t="str">
        <f t="shared" ca="1" si="63"/>
        <v>No</v>
      </c>
      <c r="V82" s="146" t="str">
        <f t="shared" ca="1" si="63"/>
        <v>No</v>
      </c>
    </row>
    <row r="83" spans="1:22" x14ac:dyDescent="0.3">
      <c r="A83" s="423"/>
      <c r="B83" s="126" t="s">
        <v>716</v>
      </c>
      <c r="C83" s="146" t="str">
        <f ca="1">INDIRECT("'"&amp;C$6&amp;"'!$G$764")</f>
        <v>Yes</v>
      </c>
      <c r="D83" s="146" t="str">
        <f t="shared" ref="D83:V83" ca="1" si="64">INDIRECT("'"&amp;D$6&amp;"'!$G$764")</f>
        <v>Yes</v>
      </c>
      <c r="E83" s="146" t="str">
        <f t="shared" ca="1" si="64"/>
        <v>Yes</v>
      </c>
      <c r="F83" s="146" t="str">
        <f t="shared" ca="1" si="64"/>
        <v>Yes</v>
      </c>
      <c r="G83" s="146" t="str">
        <f t="shared" ca="1" si="64"/>
        <v>Yes</v>
      </c>
      <c r="H83" s="146" t="str">
        <f t="shared" ca="1" si="64"/>
        <v>Yes</v>
      </c>
      <c r="I83" s="146" t="str">
        <f t="shared" ca="1" si="64"/>
        <v>No</v>
      </c>
      <c r="J83" s="146" t="str">
        <f t="shared" ca="1" si="64"/>
        <v>Yes</v>
      </c>
      <c r="K83" s="146" t="str">
        <f t="shared" ca="1" si="64"/>
        <v>No</v>
      </c>
      <c r="L83" s="146" t="str">
        <f t="shared" ca="1" si="64"/>
        <v>Yes</v>
      </c>
      <c r="M83" s="146" t="str">
        <f t="shared" ca="1" si="64"/>
        <v>Yes</v>
      </c>
      <c r="N83" s="146" t="str">
        <f t="shared" ca="1" si="64"/>
        <v>Yes</v>
      </c>
      <c r="O83" s="146" t="str">
        <f t="shared" ca="1" si="64"/>
        <v>Yes</v>
      </c>
      <c r="P83" s="146" t="str">
        <f t="shared" ca="1" si="64"/>
        <v>Yes</v>
      </c>
      <c r="Q83" s="146" t="str">
        <f t="shared" ca="1" si="64"/>
        <v>Yes</v>
      </c>
      <c r="R83" s="146" t="str">
        <f t="shared" ca="1" si="64"/>
        <v>Yes</v>
      </c>
      <c r="S83" s="146" t="str">
        <f t="shared" ca="1" si="64"/>
        <v>Yes</v>
      </c>
      <c r="T83" s="146" t="str">
        <f t="shared" ca="1" si="64"/>
        <v>Yes</v>
      </c>
      <c r="U83" s="146" t="str">
        <f t="shared" ca="1" si="64"/>
        <v>Yes</v>
      </c>
      <c r="V83" s="146" t="str">
        <f t="shared" ca="1" si="64"/>
        <v>Yes</v>
      </c>
    </row>
    <row r="84" spans="1:22" ht="15" customHeight="1" x14ac:dyDescent="0.3">
      <c r="A84" s="422" t="s">
        <v>34</v>
      </c>
      <c r="B84" s="125" t="s">
        <v>713</v>
      </c>
      <c r="C84" s="145" t="str">
        <f ca="1">INDIRECT("'"&amp;C$6&amp;"'!$G$720")</f>
        <v>Yes</v>
      </c>
      <c r="D84" s="145" t="str">
        <f t="shared" ref="D84:V84" ca="1" si="65">INDIRECT("'"&amp;D$6&amp;"'!$G$720")</f>
        <v>Yes</v>
      </c>
      <c r="E84" s="145" t="str">
        <f t="shared" ca="1" si="65"/>
        <v>Yes</v>
      </c>
      <c r="F84" s="145" t="str">
        <f t="shared" ca="1" si="65"/>
        <v>Yes</v>
      </c>
      <c r="G84" s="145" t="str">
        <f t="shared" ca="1" si="65"/>
        <v>Yes</v>
      </c>
      <c r="H84" s="145" t="str">
        <f t="shared" ca="1" si="65"/>
        <v>Yes</v>
      </c>
      <c r="I84" s="145" t="str">
        <f t="shared" ca="1" si="65"/>
        <v>Yes</v>
      </c>
      <c r="J84" s="145" t="str">
        <f t="shared" ca="1" si="65"/>
        <v>Yes</v>
      </c>
      <c r="K84" s="145" t="str">
        <f t="shared" ca="1" si="65"/>
        <v>Yes</v>
      </c>
      <c r="L84" s="145" t="str">
        <f t="shared" ca="1" si="65"/>
        <v>Yes</v>
      </c>
      <c r="M84" s="145" t="str">
        <f t="shared" ca="1" si="65"/>
        <v>Yes</v>
      </c>
      <c r="N84" s="145" t="str">
        <f t="shared" ca="1" si="65"/>
        <v>Yes</v>
      </c>
      <c r="O84" s="145" t="str">
        <f t="shared" ca="1" si="65"/>
        <v>Yes</v>
      </c>
      <c r="P84" s="145" t="str">
        <f t="shared" ca="1" si="65"/>
        <v>Yes</v>
      </c>
      <c r="Q84" s="145" t="str">
        <f t="shared" ca="1" si="65"/>
        <v>Yes</v>
      </c>
      <c r="R84" s="145" t="str">
        <f t="shared" ca="1" si="65"/>
        <v>Yes</v>
      </c>
      <c r="S84" s="145" t="str">
        <f t="shared" ca="1" si="65"/>
        <v>Yes</v>
      </c>
      <c r="T84" s="145" t="str">
        <f t="shared" ca="1" si="65"/>
        <v>Yes</v>
      </c>
      <c r="U84" s="145" t="str">
        <f t="shared" ca="1" si="65"/>
        <v>Yes</v>
      </c>
      <c r="V84" s="145" t="str">
        <f t="shared" ca="1" si="65"/>
        <v>Yes</v>
      </c>
    </row>
    <row r="85" spans="1:22" x14ac:dyDescent="0.3">
      <c r="A85" s="428"/>
      <c r="B85" s="125" t="s">
        <v>714</v>
      </c>
      <c r="C85" s="146" t="str">
        <f ca="1">INDIRECT("'"&amp;C$6&amp;"'!$G$735")</f>
        <v>No</v>
      </c>
      <c r="D85" s="146" t="str">
        <f t="shared" ref="D85:V85" ca="1" si="66">INDIRECT("'"&amp;D$6&amp;"'!$G$735")</f>
        <v>No</v>
      </c>
      <c r="E85" s="146" t="str">
        <f t="shared" ca="1" si="66"/>
        <v>Yes</v>
      </c>
      <c r="F85" s="146" t="str">
        <f t="shared" ca="1" si="66"/>
        <v>No</v>
      </c>
      <c r="G85" s="146" t="str">
        <f t="shared" ca="1" si="66"/>
        <v>Yes</v>
      </c>
      <c r="H85" s="146" t="str">
        <f t="shared" ca="1" si="66"/>
        <v>Yes</v>
      </c>
      <c r="I85" s="146" t="str">
        <f t="shared" ca="1" si="66"/>
        <v>No</v>
      </c>
      <c r="J85" s="146" t="str">
        <f t="shared" ca="1" si="66"/>
        <v>No</v>
      </c>
      <c r="K85" s="146" t="str">
        <f t="shared" ca="1" si="66"/>
        <v>No</v>
      </c>
      <c r="L85" s="146" t="str">
        <f t="shared" ca="1" si="66"/>
        <v>Yes</v>
      </c>
      <c r="M85" s="146" t="str">
        <f t="shared" ca="1" si="66"/>
        <v>Yes</v>
      </c>
      <c r="N85" s="146" t="str">
        <f t="shared" ca="1" si="66"/>
        <v>Yes</v>
      </c>
      <c r="O85" s="146" t="str">
        <f t="shared" ca="1" si="66"/>
        <v>No</v>
      </c>
      <c r="P85" s="146" t="str">
        <f t="shared" ca="1" si="66"/>
        <v>Yes</v>
      </c>
      <c r="Q85" s="146" t="str">
        <f t="shared" ca="1" si="66"/>
        <v>No</v>
      </c>
      <c r="R85" s="146" t="str">
        <f t="shared" ca="1" si="66"/>
        <v>Yes</v>
      </c>
      <c r="S85" s="146" t="str">
        <f t="shared" ca="1" si="66"/>
        <v>Yes</v>
      </c>
      <c r="T85" s="146" t="str">
        <f t="shared" ca="1" si="66"/>
        <v>Yes</v>
      </c>
      <c r="U85" s="146" t="str">
        <f t="shared" ca="1" si="66"/>
        <v>No</v>
      </c>
      <c r="V85" s="146" t="str">
        <f t="shared" ca="1" si="66"/>
        <v>No</v>
      </c>
    </row>
    <row r="86" spans="1:22" x14ac:dyDescent="0.3">
      <c r="A86" s="428"/>
      <c r="B86" s="125" t="s">
        <v>715</v>
      </c>
      <c r="C86" s="146" t="str">
        <f ca="1">INDIRECT("'"&amp;C$6&amp;"'!$G$750")</f>
        <v>No</v>
      </c>
      <c r="D86" s="146" t="str">
        <f t="shared" ref="D86:V86" ca="1" si="67">INDIRECT("'"&amp;D$6&amp;"'!$G$750")</f>
        <v>Yes</v>
      </c>
      <c r="E86" s="146" t="str">
        <f t="shared" ca="1" si="67"/>
        <v>Yes</v>
      </c>
      <c r="F86" s="146" t="str">
        <f t="shared" ca="1" si="67"/>
        <v>No</v>
      </c>
      <c r="G86" s="146" t="str">
        <f t="shared" ca="1" si="67"/>
        <v>Yes</v>
      </c>
      <c r="H86" s="146" t="str">
        <f t="shared" ca="1" si="67"/>
        <v>Yes</v>
      </c>
      <c r="I86" s="146" t="str">
        <f t="shared" ca="1" si="67"/>
        <v>No</v>
      </c>
      <c r="J86" s="146" t="str">
        <f t="shared" ca="1" si="67"/>
        <v>No</v>
      </c>
      <c r="K86" s="146" t="str">
        <f t="shared" ca="1" si="67"/>
        <v>No</v>
      </c>
      <c r="L86" s="146" t="str">
        <f t="shared" ca="1" si="67"/>
        <v>Yes</v>
      </c>
      <c r="M86" s="146" t="str">
        <f t="shared" ca="1" si="67"/>
        <v>Yes</v>
      </c>
      <c r="N86" s="146" t="str">
        <f t="shared" ca="1" si="67"/>
        <v>Yes</v>
      </c>
      <c r="O86" s="146" t="str">
        <f t="shared" ca="1" si="67"/>
        <v>No</v>
      </c>
      <c r="P86" s="146" t="str">
        <f t="shared" ca="1" si="67"/>
        <v>Yes</v>
      </c>
      <c r="Q86" s="146" t="str">
        <f t="shared" ca="1" si="67"/>
        <v>No</v>
      </c>
      <c r="R86" s="146" t="str">
        <f t="shared" ca="1" si="67"/>
        <v>Yes</v>
      </c>
      <c r="S86" s="146" t="str">
        <f t="shared" ca="1" si="67"/>
        <v>No</v>
      </c>
      <c r="T86" s="146" t="str">
        <f t="shared" ca="1" si="67"/>
        <v>No</v>
      </c>
      <c r="U86" s="146" t="str">
        <f t="shared" ca="1" si="67"/>
        <v>No</v>
      </c>
      <c r="V86" s="146" t="str">
        <f t="shared" ca="1" si="67"/>
        <v>No</v>
      </c>
    </row>
    <row r="87" spans="1:22" x14ac:dyDescent="0.3">
      <c r="A87" s="423"/>
      <c r="B87" s="126" t="s">
        <v>716</v>
      </c>
      <c r="C87" s="146" t="str">
        <f ca="1">INDIRECT("'"&amp;C$6&amp;"'!$G$765")</f>
        <v>Yes</v>
      </c>
      <c r="D87" s="146" t="str">
        <f t="shared" ref="D87:V87" ca="1" si="68">INDIRECT("'"&amp;D$6&amp;"'!$G$765")</f>
        <v>Yes</v>
      </c>
      <c r="E87" s="146" t="str">
        <f t="shared" ca="1" si="68"/>
        <v>Yes</v>
      </c>
      <c r="F87" s="146" t="str">
        <f t="shared" ca="1" si="68"/>
        <v>Yes</v>
      </c>
      <c r="G87" s="146" t="str">
        <f t="shared" ca="1" si="68"/>
        <v>Yes</v>
      </c>
      <c r="H87" s="146" t="str">
        <f t="shared" ca="1" si="68"/>
        <v>Yes</v>
      </c>
      <c r="I87" s="146" t="str">
        <f t="shared" ca="1" si="68"/>
        <v>No</v>
      </c>
      <c r="J87" s="146" t="str">
        <f t="shared" ca="1" si="68"/>
        <v>Yes</v>
      </c>
      <c r="K87" s="146" t="str">
        <f t="shared" ca="1" si="68"/>
        <v>No</v>
      </c>
      <c r="L87" s="146" t="str">
        <f t="shared" ca="1" si="68"/>
        <v>Yes</v>
      </c>
      <c r="M87" s="146" t="str">
        <f t="shared" ca="1" si="68"/>
        <v>Yes</v>
      </c>
      <c r="N87" s="146" t="str">
        <f t="shared" ca="1" si="68"/>
        <v>Yes</v>
      </c>
      <c r="O87" s="146" t="str">
        <f t="shared" ca="1" si="68"/>
        <v>Yes</v>
      </c>
      <c r="P87" s="146" t="str">
        <f t="shared" ca="1" si="68"/>
        <v>Yes</v>
      </c>
      <c r="Q87" s="146" t="str">
        <f t="shared" ca="1" si="68"/>
        <v>Yes</v>
      </c>
      <c r="R87" s="146" t="str">
        <f t="shared" ca="1" si="68"/>
        <v>Yes</v>
      </c>
      <c r="S87" s="146" t="str">
        <f t="shared" ca="1" si="68"/>
        <v>Yes</v>
      </c>
      <c r="T87" s="146" t="str">
        <f t="shared" ca="1" si="68"/>
        <v>Yes</v>
      </c>
      <c r="U87" s="146" t="str">
        <f t="shared" ca="1" si="68"/>
        <v>Yes</v>
      </c>
      <c r="V87" s="146" t="str">
        <f t="shared" ca="1" si="68"/>
        <v>Yes</v>
      </c>
    </row>
    <row r="88" spans="1:22" ht="15" customHeight="1" x14ac:dyDescent="0.3">
      <c r="A88" s="422" t="s">
        <v>35</v>
      </c>
      <c r="B88" s="125" t="s">
        <v>713</v>
      </c>
      <c r="C88" s="145" t="str">
        <f ca="1">INDIRECT("'"&amp;C$6&amp;"'!$G$721")</f>
        <v>Yes</v>
      </c>
      <c r="D88" s="145" t="str">
        <f t="shared" ref="D88:V88" ca="1" si="69">INDIRECT("'"&amp;D$6&amp;"'!$G$721")</f>
        <v>Yes</v>
      </c>
      <c r="E88" s="145" t="str">
        <f t="shared" ca="1" si="69"/>
        <v>Yes</v>
      </c>
      <c r="F88" s="145" t="str">
        <f t="shared" ca="1" si="69"/>
        <v>Yes</v>
      </c>
      <c r="G88" s="145" t="str">
        <f t="shared" ca="1" si="69"/>
        <v>Yes</v>
      </c>
      <c r="H88" s="145" t="str">
        <f t="shared" ca="1" si="69"/>
        <v>Yes</v>
      </c>
      <c r="I88" s="145" t="str">
        <f t="shared" ca="1" si="69"/>
        <v>Yes</v>
      </c>
      <c r="J88" s="145" t="str">
        <f t="shared" ca="1" si="69"/>
        <v>Yes</v>
      </c>
      <c r="K88" s="145" t="str">
        <f t="shared" ca="1" si="69"/>
        <v>Yes</v>
      </c>
      <c r="L88" s="145" t="str">
        <f t="shared" ca="1" si="69"/>
        <v>Yes</v>
      </c>
      <c r="M88" s="145" t="str">
        <f t="shared" ca="1" si="69"/>
        <v>Yes</v>
      </c>
      <c r="N88" s="145" t="str">
        <f t="shared" ca="1" si="69"/>
        <v>Yes</v>
      </c>
      <c r="O88" s="145" t="str">
        <f t="shared" ca="1" si="69"/>
        <v>Yes</v>
      </c>
      <c r="P88" s="145" t="str">
        <f t="shared" ca="1" si="69"/>
        <v>Yes</v>
      </c>
      <c r="Q88" s="145" t="str">
        <f t="shared" ca="1" si="69"/>
        <v>Yes</v>
      </c>
      <c r="R88" s="145" t="str">
        <f t="shared" ca="1" si="69"/>
        <v>Yes</v>
      </c>
      <c r="S88" s="145" t="str">
        <f t="shared" ca="1" si="69"/>
        <v>Yes</v>
      </c>
      <c r="T88" s="145" t="str">
        <f t="shared" ca="1" si="69"/>
        <v>Yes</v>
      </c>
      <c r="U88" s="145" t="str">
        <f t="shared" ca="1" si="69"/>
        <v>Yes</v>
      </c>
      <c r="V88" s="145" t="str">
        <f t="shared" ca="1" si="69"/>
        <v>Yes</v>
      </c>
    </row>
    <row r="89" spans="1:22" x14ac:dyDescent="0.3">
      <c r="A89" s="428"/>
      <c r="B89" s="125" t="s">
        <v>714</v>
      </c>
      <c r="C89" s="146" t="str">
        <f ca="1">INDIRECT("'"&amp;C$6&amp;"'!$G$736")</f>
        <v>No</v>
      </c>
      <c r="D89" s="146" t="str">
        <f t="shared" ref="D89:V89" ca="1" si="70">INDIRECT("'"&amp;D$6&amp;"'!$G$736")</f>
        <v>No</v>
      </c>
      <c r="E89" s="146" t="str">
        <f t="shared" ca="1" si="70"/>
        <v>Yes</v>
      </c>
      <c r="F89" s="146" t="str">
        <f t="shared" ca="1" si="70"/>
        <v>No</v>
      </c>
      <c r="G89" s="146" t="str">
        <f t="shared" ca="1" si="70"/>
        <v>Yes</v>
      </c>
      <c r="H89" s="146" t="str">
        <f t="shared" ca="1" si="70"/>
        <v>Yes</v>
      </c>
      <c r="I89" s="146" t="str">
        <f t="shared" ca="1" si="70"/>
        <v>No</v>
      </c>
      <c r="J89" s="146" t="str">
        <f t="shared" ca="1" si="70"/>
        <v>No</v>
      </c>
      <c r="K89" s="146" t="str">
        <f t="shared" ca="1" si="70"/>
        <v>No</v>
      </c>
      <c r="L89" s="146" t="str">
        <f t="shared" ca="1" si="70"/>
        <v>Yes</v>
      </c>
      <c r="M89" s="146" t="str">
        <f t="shared" ca="1" si="70"/>
        <v>Yes</v>
      </c>
      <c r="N89" s="146" t="str">
        <f t="shared" ca="1" si="70"/>
        <v>Yes</v>
      </c>
      <c r="O89" s="146" t="str">
        <f t="shared" ca="1" si="70"/>
        <v>No</v>
      </c>
      <c r="P89" s="146" t="str">
        <f t="shared" ca="1" si="70"/>
        <v>Yes</v>
      </c>
      <c r="Q89" s="146" t="str">
        <f t="shared" ca="1" si="70"/>
        <v>No</v>
      </c>
      <c r="R89" s="146" t="str">
        <f t="shared" ca="1" si="70"/>
        <v>Yes</v>
      </c>
      <c r="S89" s="146" t="str">
        <f t="shared" ca="1" si="70"/>
        <v>Yes</v>
      </c>
      <c r="T89" s="146" t="str">
        <f t="shared" ca="1" si="70"/>
        <v>Yes</v>
      </c>
      <c r="U89" s="146" t="str">
        <f t="shared" ca="1" si="70"/>
        <v>No</v>
      </c>
      <c r="V89" s="146" t="str">
        <f t="shared" ca="1" si="70"/>
        <v>No</v>
      </c>
    </row>
    <row r="90" spans="1:22" x14ac:dyDescent="0.3">
      <c r="A90" s="428"/>
      <c r="B90" s="125" t="s">
        <v>715</v>
      </c>
      <c r="C90" s="146" t="str">
        <f ca="1">INDIRECT("'"&amp;C$6&amp;"'!$G$751")</f>
        <v>No</v>
      </c>
      <c r="D90" s="146" t="str">
        <f t="shared" ref="D90:V90" ca="1" si="71">INDIRECT("'"&amp;D$6&amp;"'!$G$751")</f>
        <v>No</v>
      </c>
      <c r="E90" s="146" t="str">
        <f t="shared" ca="1" si="71"/>
        <v>No</v>
      </c>
      <c r="F90" s="146" t="str">
        <f t="shared" ca="1" si="71"/>
        <v>No</v>
      </c>
      <c r="G90" s="146" t="str">
        <f t="shared" ca="1" si="71"/>
        <v>No</v>
      </c>
      <c r="H90" s="146" t="str">
        <f t="shared" ca="1" si="71"/>
        <v>No</v>
      </c>
      <c r="I90" s="146" t="str">
        <f t="shared" ca="1" si="71"/>
        <v>No</v>
      </c>
      <c r="J90" s="146" t="str">
        <f t="shared" ca="1" si="71"/>
        <v>No</v>
      </c>
      <c r="K90" s="146" t="str">
        <f t="shared" ca="1" si="71"/>
        <v>No</v>
      </c>
      <c r="L90" s="146" t="str">
        <f t="shared" ca="1" si="71"/>
        <v>No</v>
      </c>
      <c r="M90" s="146" t="str">
        <f t="shared" ca="1" si="71"/>
        <v>No</v>
      </c>
      <c r="N90" s="146" t="str">
        <f t="shared" ca="1" si="71"/>
        <v>No</v>
      </c>
      <c r="O90" s="146" t="str">
        <f t="shared" ca="1" si="71"/>
        <v>No</v>
      </c>
      <c r="P90" s="146" t="str">
        <f t="shared" ca="1" si="71"/>
        <v>No</v>
      </c>
      <c r="Q90" s="146" t="str">
        <f t="shared" ca="1" si="71"/>
        <v>No</v>
      </c>
      <c r="R90" s="146" t="str">
        <f t="shared" ca="1" si="71"/>
        <v>No</v>
      </c>
      <c r="S90" s="146" t="str">
        <f t="shared" ca="1" si="71"/>
        <v>No</v>
      </c>
      <c r="T90" s="146" t="str">
        <f t="shared" ca="1" si="71"/>
        <v>No</v>
      </c>
      <c r="U90" s="146" t="str">
        <f t="shared" ca="1" si="71"/>
        <v>No</v>
      </c>
      <c r="V90" s="146" t="str">
        <f t="shared" ca="1" si="71"/>
        <v>No</v>
      </c>
    </row>
    <row r="91" spans="1:22" x14ac:dyDescent="0.3">
      <c r="A91" s="423"/>
      <c r="B91" s="126" t="s">
        <v>716</v>
      </c>
      <c r="C91" s="146" t="str">
        <f ca="1">INDIRECT("'"&amp;C$6&amp;"'!$G$766")</f>
        <v>Yes</v>
      </c>
      <c r="D91" s="146" t="str">
        <f t="shared" ref="D91:V91" ca="1" si="72">INDIRECT("'"&amp;D$6&amp;"'!$G$766")</f>
        <v>Yes</v>
      </c>
      <c r="E91" s="146" t="str">
        <f t="shared" ca="1" si="72"/>
        <v>Yes</v>
      </c>
      <c r="F91" s="146" t="str">
        <f t="shared" ca="1" si="72"/>
        <v>Yes</v>
      </c>
      <c r="G91" s="146" t="str">
        <f t="shared" ca="1" si="72"/>
        <v>Yes</v>
      </c>
      <c r="H91" s="146" t="str">
        <f t="shared" ca="1" si="72"/>
        <v>Yes</v>
      </c>
      <c r="I91" s="146" t="str">
        <f t="shared" ca="1" si="72"/>
        <v>No</v>
      </c>
      <c r="J91" s="146" t="str">
        <f t="shared" ca="1" si="72"/>
        <v>Yes</v>
      </c>
      <c r="K91" s="146" t="str">
        <f t="shared" ca="1" si="72"/>
        <v>No</v>
      </c>
      <c r="L91" s="146" t="str">
        <f t="shared" ca="1" si="72"/>
        <v>Yes</v>
      </c>
      <c r="M91" s="146" t="str">
        <f t="shared" ca="1" si="72"/>
        <v>Yes</v>
      </c>
      <c r="N91" s="146" t="str">
        <f t="shared" ca="1" si="72"/>
        <v>Yes</v>
      </c>
      <c r="O91" s="146" t="str">
        <f t="shared" ca="1" si="72"/>
        <v>Yes</v>
      </c>
      <c r="P91" s="146" t="str">
        <f t="shared" ca="1" si="72"/>
        <v>Yes</v>
      </c>
      <c r="Q91" s="146" t="str">
        <f t="shared" ca="1" si="72"/>
        <v>Yes</v>
      </c>
      <c r="R91" s="146" t="str">
        <f t="shared" ca="1" si="72"/>
        <v>Yes</v>
      </c>
      <c r="S91" s="146" t="str">
        <f t="shared" ca="1" si="72"/>
        <v>Yes</v>
      </c>
      <c r="T91" s="146" t="str">
        <f t="shared" ca="1" si="72"/>
        <v>Yes</v>
      </c>
      <c r="U91" s="146" t="str">
        <f t="shared" ca="1" si="72"/>
        <v>Yes</v>
      </c>
      <c r="V91" s="146" t="str">
        <f t="shared" ca="1" si="72"/>
        <v>Yes</v>
      </c>
    </row>
    <row r="92" spans="1:22" x14ac:dyDescent="0.3">
      <c r="A92" s="422" t="s">
        <v>36</v>
      </c>
      <c r="B92" s="125" t="s">
        <v>713</v>
      </c>
      <c r="C92" s="145" t="str">
        <f ca="1">INDIRECT("'"&amp;C$6&amp;"'!$G$722")</f>
        <v>Yes</v>
      </c>
      <c r="D92" s="145" t="str">
        <f t="shared" ref="D92:V92" ca="1" si="73">INDIRECT("'"&amp;D$6&amp;"'!$G$722")</f>
        <v>Yes</v>
      </c>
      <c r="E92" s="145" t="str">
        <f t="shared" ca="1" si="73"/>
        <v>Yes</v>
      </c>
      <c r="F92" s="145" t="str">
        <f t="shared" ca="1" si="73"/>
        <v>Yes</v>
      </c>
      <c r="G92" s="145" t="str">
        <f t="shared" ca="1" si="73"/>
        <v>Yes</v>
      </c>
      <c r="H92" s="145" t="str">
        <f t="shared" ca="1" si="73"/>
        <v>Yes</v>
      </c>
      <c r="I92" s="145" t="str">
        <f t="shared" ca="1" si="73"/>
        <v>Yes</v>
      </c>
      <c r="J92" s="145" t="str">
        <f t="shared" ca="1" si="73"/>
        <v>Yes</v>
      </c>
      <c r="K92" s="145" t="str">
        <f t="shared" ca="1" si="73"/>
        <v>Yes</v>
      </c>
      <c r="L92" s="145" t="str">
        <f t="shared" ca="1" si="73"/>
        <v>Yes</v>
      </c>
      <c r="M92" s="145" t="str">
        <f t="shared" ca="1" si="73"/>
        <v>Yes</v>
      </c>
      <c r="N92" s="145" t="str">
        <f t="shared" ca="1" si="73"/>
        <v>Yes</v>
      </c>
      <c r="O92" s="145" t="str">
        <f t="shared" ca="1" si="73"/>
        <v>Yes</v>
      </c>
      <c r="P92" s="145" t="str">
        <f t="shared" ca="1" si="73"/>
        <v>Yes</v>
      </c>
      <c r="Q92" s="145" t="str">
        <f t="shared" ca="1" si="73"/>
        <v>Yes</v>
      </c>
      <c r="R92" s="145" t="str">
        <f t="shared" ca="1" si="73"/>
        <v>Yes</v>
      </c>
      <c r="S92" s="145" t="str">
        <f t="shared" ca="1" si="73"/>
        <v>Yes</v>
      </c>
      <c r="T92" s="145" t="str">
        <f t="shared" ca="1" si="73"/>
        <v>Yes</v>
      </c>
      <c r="U92" s="145" t="str">
        <f t="shared" ca="1" si="73"/>
        <v>Yes</v>
      </c>
      <c r="V92" s="145" t="str">
        <f t="shared" ca="1" si="73"/>
        <v>Yes</v>
      </c>
    </row>
    <row r="93" spans="1:22" x14ac:dyDescent="0.3">
      <c r="A93" s="428"/>
      <c r="B93" s="125" t="s">
        <v>714</v>
      </c>
      <c r="C93" s="146" t="str">
        <f ca="1">INDIRECT("'"&amp;C$6&amp;"'!$G$737")</f>
        <v>No</v>
      </c>
      <c r="D93" s="146" t="str">
        <f t="shared" ref="D93:V93" ca="1" si="74">INDIRECT("'"&amp;D$6&amp;"'!$G$737")</f>
        <v>No</v>
      </c>
      <c r="E93" s="146" t="str">
        <f t="shared" ca="1" si="74"/>
        <v>No</v>
      </c>
      <c r="F93" s="146" t="str">
        <f t="shared" ca="1" si="74"/>
        <v>No</v>
      </c>
      <c r="G93" s="146" t="str">
        <f t="shared" ca="1" si="74"/>
        <v>No</v>
      </c>
      <c r="H93" s="146" t="str">
        <f t="shared" ca="1" si="74"/>
        <v>No</v>
      </c>
      <c r="I93" s="146" t="str">
        <f t="shared" ca="1" si="74"/>
        <v>No</v>
      </c>
      <c r="J93" s="146" t="str">
        <f t="shared" ca="1" si="74"/>
        <v>No</v>
      </c>
      <c r="K93" s="146" t="str">
        <f t="shared" ca="1" si="74"/>
        <v>No</v>
      </c>
      <c r="L93" s="146" t="str">
        <f t="shared" ca="1" si="74"/>
        <v>No</v>
      </c>
      <c r="M93" s="146" t="str">
        <f t="shared" ca="1" si="74"/>
        <v>No</v>
      </c>
      <c r="N93" s="146" t="str">
        <f t="shared" ca="1" si="74"/>
        <v>No</v>
      </c>
      <c r="O93" s="146" t="str">
        <f t="shared" ca="1" si="74"/>
        <v>No</v>
      </c>
      <c r="P93" s="146" t="str">
        <f t="shared" ca="1" si="74"/>
        <v>No</v>
      </c>
      <c r="Q93" s="146" t="str">
        <f t="shared" ca="1" si="74"/>
        <v>No</v>
      </c>
      <c r="R93" s="146" t="str">
        <f t="shared" ca="1" si="74"/>
        <v>No</v>
      </c>
      <c r="S93" s="146" t="str">
        <f t="shared" ca="1" si="74"/>
        <v>No</v>
      </c>
      <c r="T93" s="146" t="str">
        <f t="shared" ca="1" si="74"/>
        <v>No</v>
      </c>
      <c r="U93" s="146" t="str">
        <f t="shared" ca="1" si="74"/>
        <v>No</v>
      </c>
      <c r="V93" s="146" t="str">
        <f t="shared" ca="1" si="74"/>
        <v>No</v>
      </c>
    </row>
    <row r="94" spans="1:22" x14ac:dyDescent="0.3">
      <c r="A94" s="428"/>
      <c r="B94" s="125" t="s">
        <v>715</v>
      </c>
      <c r="C94" s="146" t="str">
        <f ca="1">INDIRECT("'"&amp;C$6&amp;"'!$G$752")</f>
        <v>No</v>
      </c>
      <c r="D94" s="146" t="str">
        <f t="shared" ref="D94:V94" ca="1" si="75">INDIRECT("'"&amp;D$6&amp;"'!$G$752")</f>
        <v>Yes</v>
      </c>
      <c r="E94" s="146" t="str">
        <f t="shared" ca="1" si="75"/>
        <v>Yes</v>
      </c>
      <c r="F94" s="146" t="str">
        <f t="shared" ca="1" si="75"/>
        <v>No</v>
      </c>
      <c r="G94" s="146" t="str">
        <f t="shared" ca="1" si="75"/>
        <v>Yes</v>
      </c>
      <c r="H94" s="146" t="str">
        <f t="shared" ca="1" si="75"/>
        <v>Yes</v>
      </c>
      <c r="I94" s="146" t="str">
        <f t="shared" ca="1" si="75"/>
        <v>No</v>
      </c>
      <c r="J94" s="146" t="str">
        <f t="shared" ca="1" si="75"/>
        <v>No</v>
      </c>
      <c r="K94" s="146" t="str">
        <f t="shared" ca="1" si="75"/>
        <v>No</v>
      </c>
      <c r="L94" s="146" t="str">
        <f t="shared" ca="1" si="75"/>
        <v>Yes</v>
      </c>
      <c r="M94" s="146" t="str">
        <f t="shared" ca="1" si="75"/>
        <v>Yes</v>
      </c>
      <c r="N94" s="146" t="str">
        <f t="shared" ca="1" si="75"/>
        <v>Yes</v>
      </c>
      <c r="O94" s="146" t="str">
        <f t="shared" ca="1" si="75"/>
        <v>No</v>
      </c>
      <c r="P94" s="146" t="str">
        <f t="shared" ca="1" si="75"/>
        <v>Yes</v>
      </c>
      <c r="Q94" s="146" t="str">
        <f t="shared" ca="1" si="75"/>
        <v>No</v>
      </c>
      <c r="R94" s="146" t="str">
        <f t="shared" ca="1" si="75"/>
        <v>Yes</v>
      </c>
      <c r="S94" s="146" t="str">
        <f t="shared" ca="1" si="75"/>
        <v>No</v>
      </c>
      <c r="T94" s="146" t="str">
        <f t="shared" ca="1" si="75"/>
        <v>No</v>
      </c>
      <c r="U94" s="146" t="str">
        <f t="shared" ca="1" si="75"/>
        <v>No</v>
      </c>
      <c r="V94" s="146" t="str">
        <f t="shared" ca="1" si="75"/>
        <v>No</v>
      </c>
    </row>
    <row r="95" spans="1:22" x14ac:dyDescent="0.3">
      <c r="A95" s="423"/>
      <c r="B95" s="126" t="s">
        <v>716</v>
      </c>
      <c r="C95" s="146" t="str">
        <f ca="1">INDIRECT("'"&amp;C$6&amp;"'!$G$767")</f>
        <v>Yes</v>
      </c>
      <c r="D95" s="146" t="str">
        <f t="shared" ref="D95:V95" ca="1" si="76">INDIRECT("'"&amp;D$6&amp;"'!$G$767")</f>
        <v>Yes</v>
      </c>
      <c r="E95" s="146" t="str">
        <f t="shared" ca="1" si="76"/>
        <v>Yes</v>
      </c>
      <c r="F95" s="146" t="str">
        <f t="shared" ca="1" si="76"/>
        <v>Yes</v>
      </c>
      <c r="G95" s="146" t="str">
        <f t="shared" ca="1" si="76"/>
        <v>Yes</v>
      </c>
      <c r="H95" s="146" t="str">
        <f t="shared" ca="1" si="76"/>
        <v>Yes</v>
      </c>
      <c r="I95" s="146" t="str">
        <f t="shared" ca="1" si="76"/>
        <v>No</v>
      </c>
      <c r="J95" s="146" t="str">
        <f t="shared" ca="1" si="76"/>
        <v>Yes</v>
      </c>
      <c r="K95" s="146" t="str">
        <f t="shared" ca="1" si="76"/>
        <v>No</v>
      </c>
      <c r="L95" s="146" t="str">
        <f t="shared" ca="1" si="76"/>
        <v>Yes</v>
      </c>
      <c r="M95" s="146" t="str">
        <f t="shared" ca="1" si="76"/>
        <v>Yes</v>
      </c>
      <c r="N95" s="146" t="str">
        <f t="shared" ca="1" si="76"/>
        <v>Yes</v>
      </c>
      <c r="O95" s="146" t="str">
        <f t="shared" ca="1" si="76"/>
        <v>Yes</v>
      </c>
      <c r="P95" s="146" t="str">
        <f t="shared" ca="1" si="76"/>
        <v>Yes</v>
      </c>
      <c r="Q95" s="146" t="str">
        <f t="shared" ca="1" si="76"/>
        <v>Yes</v>
      </c>
      <c r="R95" s="146" t="str">
        <f t="shared" ca="1" si="76"/>
        <v>Yes</v>
      </c>
      <c r="S95" s="146" t="str">
        <f t="shared" ca="1" si="76"/>
        <v>Yes</v>
      </c>
      <c r="T95" s="146" t="str">
        <f t="shared" ca="1" si="76"/>
        <v>Yes</v>
      </c>
      <c r="U95" s="146" t="str">
        <f t="shared" ca="1" si="76"/>
        <v>Yes</v>
      </c>
      <c r="V95" s="146" t="str">
        <f t="shared" ca="1" si="76"/>
        <v>Yes</v>
      </c>
    </row>
    <row r="96" spans="1:22" ht="15" customHeight="1" x14ac:dyDescent="0.3">
      <c r="A96" s="422" t="s">
        <v>37</v>
      </c>
      <c r="B96" s="125" t="s">
        <v>713</v>
      </c>
      <c r="C96" s="145" t="str">
        <f ca="1">INDIRECT("'"&amp;C$6&amp;"'!$G$723")</f>
        <v>No</v>
      </c>
      <c r="D96" s="145" t="str">
        <f t="shared" ref="D96:V96" ca="1" si="77">INDIRECT("'"&amp;D$6&amp;"'!$G$723")</f>
        <v>Yes</v>
      </c>
      <c r="E96" s="145" t="str">
        <f t="shared" ca="1" si="77"/>
        <v>No</v>
      </c>
      <c r="F96" s="145" t="str">
        <f t="shared" ca="1" si="77"/>
        <v>No</v>
      </c>
      <c r="G96" s="145" t="str">
        <f t="shared" ca="1" si="77"/>
        <v>No</v>
      </c>
      <c r="H96" s="145" t="str">
        <f t="shared" ca="1" si="77"/>
        <v>No</v>
      </c>
      <c r="I96" s="145" t="str">
        <f t="shared" ca="1" si="77"/>
        <v>No</v>
      </c>
      <c r="J96" s="145" t="str">
        <f t="shared" ca="1" si="77"/>
        <v>No</v>
      </c>
      <c r="K96" s="145" t="str">
        <f t="shared" ca="1" si="77"/>
        <v>No</v>
      </c>
      <c r="L96" s="145" t="str">
        <f t="shared" ca="1" si="77"/>
        <v>No</v>
      </c>
      <c r="M96" s="145" t="str">
        <f t="shared" ca="1" si="77"/>
        <v>No</v>
      </c>
      <c r="N96" s="145" t="str">
        <f t="shared" ca="1" si="77"/>
        <v>No</v>
      </c>
      <c r="O96" s="145" t="str">
        <f t="shared" ca="1" si="77"/>
        <v>No</v>
      </c>
      <c r="P96" s="145" t="str">
        <f t="shared" ca="1" si="77"/>
        <v>No</v>
      </c>
      <c r="Q96" s="145" t="str">
        <f t="shared" ca="1" si="77"/>
        <v>Yes</v>
      </c>
      <c r="R96" s="145" t="str">
        <f t="shared" ca="1" si="77"/>
        <v>Yes</v>
      </c>
      <c r="S96" s="145" t="str">
        <f t="shared" ca="1" si="77"/>
        <v>No</v>
      </c>
      <c r="T96" s="145" t="str">
        <f t="shared" ca="1" si="77"/>
        <v>Yes</v>
      </c>
      <c r="U96" s="145" t="str">
        <f t="shared" ca="1" si="77"/>
        <v>Yes</v>
      </c>
      <c r="V96" s="145" t="str">
        <f t="shared" ca="1" si="77"/>
        <v>No</v>
      </c>
    </row>
    <row r="97" spans="1:22" x14ac:dyDescent="0.3">
      <c r="A97" s="428"/>
      <c r="B97" s="125" t="s">
        <v>714</v>
      </c>
      <c r="C97" s="146" t="str">
        <f ca="1">INDIRECT("'"&amp;C$6&amp;"'!$G$738")</f>
        <v>No</v>
      </c>
      <c r="D97" s="146" t="str">
        <f t="shared" ref="D97:V97" ca="1" si="78">INDIRECT("'"&amp;D$6&amp;"'!$G$738")</f>
        <v>No</v>
      </c>
      <c r="E97" s="146" t="str">
        <f t="shared" ca="1" si="78"/>
        <v>Yes</v>
      </c>
      <c r="F97" s="146" t="str">
        <f t="shared" ca="1" si="78"/>
        <v>No</v>
      </c>
      <c r="G97" s="146" t="str">
        <f t="shared" ca="1" si="78"/>
        <v>Yes</v>
      </c>
      <c r="H97" s="146" t="str">
        <f t="shared" ca="1" si="78"/>
        <v>Yes</v>
      </c>
      <c r="I97" s="146" t="str">
        <f t="shared" ca="1" si="78"/>
        <v>No</v>
      </c>
      <c r="J97" s="146" t="str">
        <f t="shared" ca="1" si="78"/>
        <v>No</v>
      </c>
      <c r="K97" s="146" t="str">
        <f t="shared" ca="1" si="78"/>
        <v>No</v>
      </c>
      <c r="L97" s="146" t="str">
        <f t="shared" ca="1" si="78"/>
        <v>Yes</v>
      </c>
      <c r="M97" s="146" t="str">
        <f t="shared" ca="1" si="78"/>
        <v>Yes</v>
      </c>
      <c r="N97" s="146" t="str">
        <f t="shared" ca="1" si="78"/>
        <v>Yes</v>
      </c>
      <c r="O97" s="146" t="str">
        <f t="shared" ca="1" si="78"/>
        <v>No</v>
      </c>
      <c r="P97" s="146" t="str">
        <f t="shared" ca="1" si="78"/>
        <v>Yes</v>
      </c>
      <c r="Q97" s="146" t="str">
        <f t="shared" ca="1" si="78"/>
        <v>No</v>
      </c>
      <c r="R97" s="146" t="str">
        <f t="shared" ca="1" si="78"/>
        <v>Yes</v>
      </c>
      <c r="S97" s="146" t="str">
        <f t="shared" ca="1" si="78"/>
        <v>Yes</v>
      </c>
      <c r="T97" s="146" t="str">
        <f t="shared" ca="1" si="78"/>
        <v>Yes</v>
      </c>
      <c r="U97" s="146" t="str">
        <f t="shared" ca="1" si="78"/>
        <v>Yes</v>
      </c>
      <c r="V97" s="146" t="str">
        <f t="shared" ca="1" si="78"/>
        <v>No</v>
      </c>
    </row>
    <row r="98" spans="1:22" x14ac:dyDescent="0.3">
      <c r="A98" s="428"/>
      <c r="B98" s="125" t="s">
        <v>715</v>
      </c>
      <c r="C98" s="146" t="str">
        <f ca="1">INDIRECT("'"&amp;C$6&amp;"'!$G$753")</f>
        <v>No</v>
      </c>
      <c r="D98" s="146" t="str">
        <f t="shared" ref="D98:V98" ca="1" si="79">INDIRECT("'"&amp;D$6&amp;"'!$G$753")</f>
        <v>Yes</v>
      </c>
      <c r="E98" s="146" t="str">
        <f t="shared" ca="1" si="79"/>
        <v>Yes</v>
      </c>
      <c r="F98" s="146" t="str">
        <f t="shared" ca="1" si="79"/>
        <v>No</v>
      </c>
      <c r="G98" s="146" t="str">
        <f t="shared" ca="1" si="79"/>
        <v>Yes</v>
      </c>
      <c r="H98" s="146" t="str">
        <f t="shared" ca="1" si="79"/>
        <v>Yes</v>
      </c>
      <c r="I98" s="146" t="str">
        <f t="shared" ca="1" si="79"/>
        <v>No</v>
      </c>
      <c r="J98" s="146" t="str">
        <f t="shared" ca="1" si="79"/>
        <v>No</v>
      </c>
      <c r="K98" s="146" t="str">
        <f t="shared" ca="1" si="79"/>
        <v>No</v>
      </c>
      <c r="L98" s="146" t="str">
        <f t="shared" ca="1" si="79"/>
        <v>Yes</v>
      </c>
      <c r="M98" s="146" t="str">
        <f t="shared" ca="1" si="79"/>
        <v>Yes</v>
      </c>
      <c r="N98" s="146" t="str">
        <f t="shared" ca="1" si="79"/>
        <v>Yes</v>
      </c>
      <c r="O98" s="146" t="str">
        <f t="shared" ca="1" si="79"/>
        <v>No</v>
      </c>
      <c r="P98" s="146" t="str">
        <f t="shared" ca="1" si="79"/>
        <v>Yes</v>
      </c>
      <c r="Q98" s="146" t="str">
        <f t="shared" ca="1" si="79"/>
        <v>No</v>
      </c>
      <c r="R98" s="146" t="str">
        <f t="shared" ca="1" si="79"/>
        <v>Yes</v>
      </c>
      <c r="S98" s="146" t="str">
        <f t="shared" ca="1" si="79"/>
        <v>No</v>
      </c>
      <c r="T98" s="146" t="str">
        <f t="shared" ca="1" si="79"/>
        <v>No</v>
      </c>
      <c r="U98" s="146" t="str">
        <f t="shared" ca="1" si="79"/>
        <v>No</v>
      </c>
      <c r="V98" s="146" t="str">
        <f t="shared" ca="1" si="79"/>
        <v>No</v>
      </c>
    </row>
    <row r="99" spans="1:22" x14ac:dyDescent="0.3">
      <c r="A99" s="423"/>
      <c r="B99" s="126" t="s">
        <v>716</v>
      </c>
      <c r="C99" s="146" t="str">
        <f ca="1">INDIRECT("'"&amp;C$6&amp;"'!$G$768")</f>
        <v>Yes</v>
      </c>
      <c r="D99" s="146" t="str">
        <f t="shared" ref="D99:V99" ca="1" si="80">INDIRECT("'"&amp;D$6&amp;"'!$G$768")</f>
        <v>Yes</v>
      </c>
      <c r="E99" s="146" t="str">
        <f t="shared" ca="1" si="80"/>
        <v>Yes</v>
      </c>
      <c r="F99" s="146" t="str">
        <f t="shared" ca="1" si="80"/>
        <v>Yes</v>
      </c>
      <c r="G99" s="146" t="str">
        <f t="shared" ca="1" si="80"/>
        <v>Yes</v>
      </c>
      <c r="H99" s="146" t="str">
        <f t="shared" ca="1" si="80"/>
        <v>Yes</v>
      </c>
      <c r="I99" s="146" t="str">
        <f t="shared" ca="1" si="80"/>
        <v>No</v>
      </c>
      <c r="J99" s="146" t="str">
        <f t="shared" ca="1" si="80"/>
        <v>Yes</v>
      </c>
      <c r="K99" s="146" t="str">
        <f t="shared" ca="1" si="80"/>
        <v>No</v>
      </c>
      <c r="L99" s="146" t="str">
        <f t="shared" ca="1" si="80"/>
        <v>Yes</v>
      </c>
      <c r="M99" s="146" t="str">
        <f t="shared" ca="1" si="80"/>
        <v>Yes</v>
      </c>
      <c r="N99" s="146" t="str">
        <f t="shared" ca="1" si="80"/>
        <v>Yes</v>
      </c>
      <c r="O99" s="146" t="str">
        <f t="shared" ca="1" si="80"/>
        <v>Yes</v>
      </c>
      <c r="P99" s="146" t="str">
        <f t="shared" ca="1" si="80"/>
        <v>Yes</v>
      </c>
      <c r="Q99" s="146" t="str">
        <f t="shared" ca="1" si="80"/>
        <v>Yes</v>
      </c>
      <c r="R99" s="146" t="str">
        <f t="shared" ca="1" si="80"/>
        <v>Yes</v>
      </c>
      <c r="S99" s="146" t="str">
        <f t="shared" ca="1" si="80"/>
        <v>Yes</v>
      </c>
      <c r="T99" s="146" t="str">
        <f t="shared" ca="1" si="80"/>
        <v>Yes</v>
      </c>
      <c r="U99" s="146" t="str">
        <f t="shared" ca="1" si="80"/>
        <v>Yes</v>
      </c>
      <c r="V99" s="146" t="str">
        <f t="shared" ca="1" si="80"/>
        <v>Yes</v>
      </c>
    </row>
    <row r="100" spans="1:22" ht="15" customHeight="1" x14ac:dyDescent="0.3">
      <c r="A100" s="422" t="s">
        <v>38</v>
      </c>
      <c r="B100" s="125" t="s">
        <v>713</v>
      </c>
      <c r="C100" s="145" t="str">
        <f ca="1">INDIRECT("'"&amp;C$6&amp;"'!$G$724")</f>
        <v>Yes</v>
      </c>
      <c r="D100" s="145" t="str">
        <f t="shared" ref="D100:V100" ca="1" si="81">INDIRECT("'"&amp;D$6&amp;"'!$G$724")</f>
        <v>Yes</v>
      </c>
      <c r="E100" s="145" t="str">
        <f t="shared" ca="1" si="81"/>
        <v>Yes</v>
      </c>
      <c r="F100" s="145" t="str">
        <f t="shared" ca="1" si="81"/>
        <v>Yes</v>
      </c>
      <c r="G100" s="145" t="str">
        <f t="shared" ca="1" si="81"/>
        <v>Yes</v>
      </c>
      <c r="H100" s="145" t="str">
        <f t="shared" ca="1" si="81"/>
        <v>Yes</v>
      </c>
      <c r="I100" s="145" t="str">
        <f t="shared" ca="1" si="81"/>
        <v>Yes</v>
      </c>
      <c r="J100" s="145" t="str">
        <f t="shared" ca="1" si="81"/>
        <v>Yes</v>
      </c>
      <c r="K100" s="145" t="str">
        <f t="shared" ca="1" si="81"/>
        <v>Yes</v>
      </c>
      <c r="L100" s="145" t="str">
        <f t="shared" ca="1" si="81"/>
        <v>Yes</v>
      </c>
      <c r="M100" s="145" t="str">
        <f t="shared" ca="1" si="81"/>
        <v>Yes</v>
      </c>
      <c r="N100" s="145" t="str">
        <f t="shared" ca="1" si="81"/>
        <v>Yes</v>
      </c>
      <c r="O100" s="145" t="str">
        <f t="shared" ca="1" si="81"/>
        <v>Yes</v>
      </c>
      <c r="P100" s="145" t="str">
        <f t="shared" ca="1" si="81"/>
        <v>Yes</v>
      </c>
      <c r="Q100" s="145" t="str">
        <f t="shared" ca="1" si="81"/>
        <v>Yes</v>
      </c>
      <c r="R100" s="145" t="str">
        <f t="shared" ca="1" si="81"/>
        <v>Yes</v>
      </c>
      <c r="S100" s="145" t="str">
        <f t="shared" ca="1" si="81"/>
        <v>Yes</v>
      </c>
      <c r="T100" s="145" t="str">
        <f t="shared" ca="1" si="81"/>
        <v>Yes</v>
      </c>
      <c r="U100" s="145" t="str">
        <f t="shared" ca="1" si="81"/>
        <v>Yes</v>
      </c>
      <c r="V100" s="145" t="str">
        <f t="shared" ca="1" si="81"/>
        <v>Yes</v>
      </c>
    </row>
    <row r="101" spans="1:22" x14ac:dyDescent="0.3">
      <c r="A101" s="428"/>
      <c r="B101" s="125" t="s">
        <v>714</v>
      </c>
      <c r="C101" s="146" t="str">
        <f ca="1">INDIRECT("'"&amp;C$6&amp;"'!$G$739")</f>
        <v>No</v>
      </c>
      <c r="D101" s="146" t="str">
        <f t="shared" ref="D101:V101" ca="1" si="82">INDIRECT("'"&amp;D$6&amp;"'!$G$739")</f>
        <v>No</v>
      </c>
      <c r="E101" s="146" t="str">
        <f t="shared" ca="1" si="82"/>
        <v>Yes</v>
      </c>
      <c r="F101" s="146" t="str">
        <f t="shared" ca="1" si="82"/>
        <v>No</v>
      </c>
      <c r="G101" s="146" t="str">
        <f t="shared" ca="1" si="82"/>
        <v>Yes</v>
      </c>
      <c r="H101" s="146" t="str">
        <f t="shared" ca="1" si="82"/>
        <v>Yes</v>
      </c>
      <c r="I101" s="146" t="str">
        <f t="shared" ca="1" si="82"/>
        <v>No</v>
      </c>
      <c r="J101" s="146" t="str">
        <f t="shared" ca="1" si="82"/>
        <v>No</v>
      </c>
      <c r="K101" s="146" t="str">
        <f t="shared" ca="1" si="82"/>
        <v>No</v>
      </c>
      <c r="L101" s="146" t="str">
        <f t="shared" ca="1" si="82"/>
        <v>Yes</v>
      </c>
      <c r="M101" s="146" t="str">
        <f t="shared" ca="1" si="82"/>
        <v>Yes</v>
      </c>
      <c r="N101" s="146" t="str">
        <f t="shared" ca="1" si="82"/>
        <v>Yes</v>
      </c>
      <c r="O101" s="146" t="str">
        <f t="shared" ca="1" si="82"/>
        <v>No</v>
      </c>
      <c r="P101" s="146" t="str">
        <f t="shared" ca="1" si="82"/>
        <v>Yes</v>
      </c>
      <c r="Q101" s="146" t="str">
        <f t="shared" ca="1" si="82"/>
        <v>No</v>
      </c>
      <c r="R101" s="146" t="str">
        <f t="shared" ca="1" si="82"/>
        <v>Yes</v>
      </c>
      <c r="S101" s="146" t="str">
        <f t="shared" ca="1" si="82"/>
        <v>Yes</v>
      </c>
      <c r="T101" s="146" t="str">
        <f t="shared" ca="1" si="82"/>
        <v>Yes</v>
      </c>
      <c r="U101" s="146" t="str">
        <f t="shared" ca="1" si="82"/>
        <v>No</v>
      </c>
      <c r="V101" s="146" t="str">
        <f t="shared" ca="1" si="82"/>
        <v>No</v>
      </c>
    </row>
    <row r="102" spans="1:22" x14ac:dyDescent="0.3">
      <c r="A102" s="428"/>
      <c r="B102" s="125" t="s">
        <v>715</v>
      </c>
      <c r="C102" s="146" t="str">
        <f ca="1">INDIRECT("'"&amp;C$6&amp;"'!$G$754")</f>
        <v>No</v>
      </c>
      <c r="D102" s="146" t="str">
        <f t="shared" ref="D102:V102" ca="1" si="83">INDIRECT("'"&amp;D$6&amp;"'!$G$754")</f>
        <v>Yes</v>
      </c>
      <c r="E102" s="146" t="str">
        <f t="shared" ca="1" si="83"/>
        <v>Yes</v>
      </c>
      <c r="F102" s="146" t="str">
        <f t="shared" ca="1" si="83"/>
        <v>No</v>
      </c>
      <c r="G102" s="146" t="str">
        <f t="shared" ca="1" si="83"/>
        <v>Yes</v>
      </c>
      <c r="H102" s="146" t="str">
        <f t="shared" ca="1" si="83"/>
        <v>Yes</v>
      </c>
      <c r="I102" s="146" t="str">
        <f t="shared" ca="1" si="83"/>
        <v>No</v>
      </c>
      <c r="J102" s="146" t="str">
        <f t="shared" ca="1" si="83"/>
        <v>No</v>
      </c>
      <c r="K102" s="146" t="str">
        <f t="shared" ca="1" si="83"/>
        <v>No</v>
      </c>
      <c r="L102" s="146" t="str">
        <f t="shared" ca="1" si="83"/>
        <v>Yes</v>
      </c>
      <c r="M102" s="146" t="str">
        <f t="shared" ca="1" si="83"/>
        <v>Yes</v>
      </c>
      <c r="N102" s="146" t="str">
        <f t="shared" ca="1" si="83"/>
        <v>Yes</v>
      </c>
      <c r="O102" s="146" t="str">
        <f t="shared" ca="1" si="83"/>
        <v>No</v>
      </c>
      <c r="P102" s="146" t="str">
        <f t="shared" ca="1" si="83"/>
        <v>Yes</v>
      </c>
      <c r="Q102" s="146" t="str">
        <f t="shared" ca="1" si="83"/>
        <v>No</v>
      </c>
      <c r="R102" s="146" t="str">
        <f t="shared" ca="1" si="83"/>
        <v>Yes</v>
      </c>
      <c r="S102" s="146" t="str">
        <f t="shared" ca="1" si="83"/>
        <v>No</v>
      </c>
      <c r="T102" s="146" t="str">
        <f t="shared" ca="1" si="83"/>
        <v>No</v>
      </c>
      <c r="U102" s="146" t="str">
        <f t="shared" ca="1" si="83"/>
        <v>No</v>
      </c>
      <c r="V102" s="146" t="str">
        <f t="shared" ca="1" si="83"/>
        <v>No</v>
      </c>
    </row>
    <row r="103" spans="1:22" x14ac:dyDescent="0.3">
      <c r="A103" s="423"/>
      <c r="B103" s="126" t="s">
        <v>716</v>
      </c>
      <c r="C103" s="146" t="str">
        <f ca="1">INDIRECT("'"&amp;C$6&amp;"'!$G$769")</f>
        <v>Yes</v>
      </c>
      <c r="D103" s="146" t="str">
        <f t="shared" ref="D103:V103" ca="1" si="84">INDIRECT("'"&amp;D$6&amp;"'!$G$769")</f>
        <v>Yes</v>
      </c>
      <c r="E103" s="146" t="str">
        <f t="shared" ca="1" si="84"/>
        <v>Yes</v>
      </c>
      <c r="F103" s="146" t="str">
        <f t="shared" ca="1" si="84"/>
        <v>Yes</v>
      </c>
      <c r="G103" s="146" t="str">
        <f t="shared" ca="1" si="84"/>
        <v>Yes</v>
      </c>
      <c r="H103" s="146" t="str">
        <f t="shared" ca="1" si="84"/>
        <v>Yes</v>
      </c>
      <c r="I103" s="146" t="str">
        <f t="shared" ca="1" si="84"/>
        <v>No</v>
      </c>
      <c r="J103" s="146" t="str">
        <f t="shared" ca="1" si="84"/>
        <v>Yes</v>
      </c>
      <c r="K103" s="146" t="str">
        <f t="shared" ca="1" si="84"/>
        <v>No</v>
      </c>
      <c r="L103" s="146" t="str">
        <f t="shared" ca="1" si="84"/>
        <v>Yes</v>
      </c>
      <c r="M103" s="146" t="str">
        <f t="shared" ca="1" si="84"/>
        <v>Yes</v>
      </c>
      <c r="N103" s="146" t="str">
        <f t="shared" ca="1" si="84"/>
        <v>Yes</v>
      </c>
      <c r="O103" s="146" t="str">
        <f t="shared" ca="1" si="84"/>
        <v>Yes</v>
      </c>
      <c r="P103" s="146" t="str">
        <f t="shared" ca="1" si="84"/>
        <v>Yes</v>
      </c>
      <c r="Q103" s="146" t="str">
        <f t="shared" ca="1" si="84"/>
        <v>Yes</v>
      </c>
      <c r="R103" s="146" t="str">
        <f t="shared" ca="1" si="84"/>
        <v>Yes</v>
      </c>
      <c r="S103" s="146" t="str">
        <f t="shared" ca="1" si="84"/>
        <v>Yes</v>
      </c>
      <c r="T103" s="146" t="str">
        <f t="shared" ca="1" si="84"/>
        <v>Yes</v>
      </c>
      <c r="U103" s="146" t="str">
        <f t="shared" ca="1" si="84"/>
        <v>Yes</v>
      </c>
      <c r="V103" s="146" t="str">
        <f t="shared" ca="1" si="84"/>
        <v>Yes</v>
      </c>
    </row>
    <row r="104" spans="1:22" ht="15" customHeight="1" x14ac:dyDescent="0.3">
      <c r="A104" s="422" t="s">
        <v>39</v>
      </c>
      <c r="B104" s="125" t="s">
        <v>713</v>
      </c>
      <c r="C104" s="145" t="str">
        <f ca="1">INDIRECT("'"&amp;C$6&amp;"'!$G$725")</f>
        <v>No</v>
      </c>
      <c r="D104" s="145" t="str">
        <f t="shared" ref="D104:V104" ca="1" si="85">INDIRECT("'"&amp;D$6&amp;"'!$G$725")</f>
        <v>Yes</v>
      </c>
      <c r="E104" s="145" t="str">
        <f t="shared" ca="1" si="85"/>
        <v>No</v>
      </c>
      <c r="F104" s="145" t="str">
        <f t="shared" ca="1" si="85"/>
        <v>No</v>
      </c>
      <c r="G104" s="145" t="str">
        <f t="shared" ca="1" si="85"/>
        <v>No</v>
      </c>
      <c r="H104" s="145" t="str">
        <f t="shared" ca="1" si="85"/>
        <v>No</v>
      </c>
      <c r="I104" s="145" t="str">
        <f t="shared" ca="1" si="85"/>
        <v>No</v>
      </c>
      <c r="J104" s="145" t="str">
        <f t="shared" ca="1" si="85"/>
        <v>No</v>
      </c>
      <c r="K104" s="145" t="str">
        <f t="shared" ca="1" si="85"/>
        <v>No</v>
      </c>
      <c r="L104" s="145" t="str">
        <f t="shared" ca="1" si="85"/>
        <v>No</v>
      </c>
      <c r="M104" s="145" t="str">
        <f t="shared" ca="1" si="85"/>
        <v>No</v>
      </c>
      <c r="N104" s="145" t="str">
        <f t="shared" ca="1" si="85"/>
        <v>No</v>
      </c>
      <c r="O104" s="145" t="str">
        <f t="shared" ca="1" si="85"/>
        <v>No</v>
      </c>
      <c r="P104" s="145" t="str">
        <f t="shared" ca="1" si="85"/>
        <v>No</v>
      </c>
      <c r="Q104" s="145" t="str">
        <f t="shared" ca="1" si="85"/>
        <v>Yes</v>
      </c>
      <c r="R104" s="145" t="str">
        <f t="shared" ca="1" si="85"/>
        <v>Yes</v>
      </c>
      <c r="S104" s="145" t="str">
        <f t="shared" ca="1" si="85"/>
        <v>No</v>
      </c>
      <c r="T104" s="145" t="str">
        <f t="shared" ca="1" si="85"/>
        <v>Yes</v>
      </c>
      <c r="U104" s="145" t="str">
        <f t="shared" ca="1" si="85"/>
        <v>Yes</v>
      </c>
      <c r="V104" s="145" t="str">
        <f t="shared" ca="1" si="85"/>
        <v>No</v>
      </c>
    </row>
    <row r="105" spans="1:22" x14ac:dyDescent="0.3">
      <c r="A105" s="428"/>
      <c r="B105" s="125" t="s">
        <v>714</v>
      </c>
      <c r="C105" s="146" t="str">
        <f ca="1">INDIRECT("'"&amp;C$6&amp;"'!$G$740")</f>
        <v>No</v>
      </c>
      <c r="D105" s="146" t="str">
        <f t="shared" ref="D105:V105" ca="1" si="86">INDIRECT("'"&amp;D$6&amp;"'!$G$740")</f>
        <v>No</v>
      </c>
      <c r="E105" s="146" t="str">
        <f t="shared" ca="1" si="86"/>
        <v>Yes</v>
      </c>
      <c r="F105" s="146" t="str">
        <f t="shared" ca="1" si="86"/>
        <v>No</v>
      </c>
      <c r="G105" s="146" t="str">
        <f t="shared" ca="1" si="86"/>
        <v>Yes</v>
      </c>
      <c r="H105" s="146" t="str">
        <f t="shared" ca="1" si="86"/>
        <v>Yes</v>
      </c>
      <c r="I105" s="146" t="str">
        <f t="shared" ca="1" si="86"/>
        <v>No</v>
      </c>
      <c r="J105" s="146" t="str">
        <f t="shared" ca="1" si="86"/>
        <v>No</v>
      </c>
      <c r="K105" s="146" t="str">
        <f t="shared" ca="1" si="86"/>
        <v>No</v>
      </c>
      <c r="L105" s="146" t="str">
        <f t="shared" ca="1" si="86"/>
        <v>Yes</v>
      </c>
      <c r="M105" s="146" t="str">
        <f t="shared" ca="1" si="86"/>
        <v>Yes</v>
      </c>
      <c r="N105" s="146" t="str">
        <f t="shared" ca="1" si="86"/>
        <v>Yes</v>
      </c>
      <c r="O105" s="146" t="str">
        <f t="shared" ca="1" si="86"/>
        <v>No</v>
      </c>
      <c r="P105" s="146" t="str">
        <f t="shared" ca="1" si="86"/>
        <v>Yes</v>
      </c>
      <c r="Q105" s="146" t="str">
        <f t="shared" ca="1" si="86"/>
        <v>No</v>
      </c>
      <c r="R105" s="146" t="str">
        <f t="shared" ca="1" si="86"/>
        <v>Yes</v>
      </c>
      <c r="S105" s="146" t="str">
        <f t="shared" ca="1" si="86"/>
        <v>Yes</v>
      </c>
      <c r="T105" s="146" t="str">
        <f t="shared" ca="1" si="86"/>
        <v>Yes</v>
      </c>
      <c r="U105" s="146" t="str">
        <f t="shared" ca="1" si="86"/>
        <v>Yes</v>
      </c>
      <c r="V105" s="146" t="str">
        <f t="shared" ca="1" si="86"/>
        <v>No</v>
      </c>
    </row>
    <row r="106" spans="1:22" x14ac:dyDescent="0.3">
      <c r="A106" s="428"/>
      <c r="B106" s="125" t="s">
        <v>715</v>
      </c>
      <c r="C106" s="146" t="str">
        <f ca="1">INDIRECT("'"&amp;C$6&amp;"'!$G$755")</f>
        <v>No</v>
      </c>
      <c r="D106" s="146" t="str">
        <f t="shared" ref="D106:V106" ca="1" si="87">INDIRECT("'"&amp;D$6&amp;"'!$G$755")</f>
        <v>Yes</v>
      </c>
      <c r="E106" s="146" t="str">
        <f t="shared" ca="1" si="87"/>
        <v>Yes</v>
      </c>
      <c r="F106" s="146" t="str">
        <f t="shared" ca="1" si="87"/>
        <v>No</v>
      </c>
      <c r="G106" s="146" t="str">
        <f t="shared" ca="1" si="87"/>
        <v>Yes</v>
      </c>
      <c r="H106" s="146" t="str">
        <f t="shared" ca="1" si="87"/>
        <v>Yes</v>
      </c>
      <c r="I106" s="146" t="str">
        <f t="shared" ca="1" si="87"/>
        <v>No</v>
      </c>
      <c r="J106" s="146" t="str">
        <f t="shared" ca="1" si="87"/>
        <v>No</v>
      </c>
      <c r="K106" s="146" t="str">
        <f t="shared" ca="1" si="87"/>
        <v>No</v>
      </c>
      <c r="L106" s="146" t="str">
        <f t="shared" ca="1" si="87"/>
        <v>Yes</v>
      </c>
      <c r="M106" s="146" t="str">
        <f t="shared" ca="1" si="87"/>
        <v>Yes</v>
      </c>
      <c r="N106" s="146" t="str">
        <f t="shared" ca="1" si="87"/>
        <v>Yes</v>
      </c>
      <c r="O106" s="146" t="str">
        <f t="shared" ca="1" si="87"/>
        <v>No</v>
      </c>
      <c r="P106" s="146" t="str">
        <f t="shared" ca="1" si="87"/>
        <v>Yes</v>
      </c>
      <c r="Q106" s="146" t="str">
        <f t="shared" ca="1" si="87"/>
        <v>No</v>
      </c>
      <c r="R106" s="146" t="str">
        <f t="shared" ca="1" si="87"/>
        <v>Yes</v>
      </c>
      <c r="S106" s="146" t="str">
        <f t="shared" ca="1" si="87"/>
        <v>No</v>
      </c>
      <c r="T106" s="146" t="str">
        <f t="shared" ca="1" si="87"/>
        <v>No</v>
      </c>
      <c r="U106" s="146" t="str">
        <f t="shared" ca="1" si="87"/>
        <v>No</v>
      </c>
      <c r="V106" s="146" t="str">
        <f t="shared" ca="1" si="87"/>
        <v>No</v>
      </c>
    </row>
    <row r="107" spans="1:22" x14ac:dyDescent="0.3">
      <c r="A107" s="423"/>
      <c r="B107" s="126" t="s">
        <v>716</v>
      </c>
      <c r="C107" s="146" t="str">
        <f ca="1">INDIRECT("'"&amp;C$6&amp;"'!$G$770")</f>
        <v>Yes</v>
      </c>
      <c r="D107" s="146" t="str">
        <f t="shared" ref="D107:V107" ca="1" si="88">INDIRECT("'"&amp;D$6&amp;"'!$G$770")</f>
        <v>Yes</v>
      </c>
      <c r="E107" s="146" t="str">
        <f t="shared" ca="1" si="88"/>
        <v>Yes</v>
      </c>
      <c r="F107" s="146" t="str">
        <f t="shared" ca="1" si="88"/>
        <v>Yes</v>
      </c>
      <c r="G107" s="146" t="str">
        <f t="shared" ca="1" si="88"/>
        <v>Yes</v>
      </c>
      <c r="H107" s="146" t="str">
        <f t="shared" ca="1" si="88"/>
        <v>Yes</v>
      </c>
      <c r="I107" s="146" t="str">
        <f t="shared" ca="1" si="88"/>
        <v>No</v>
      </c>
      <c r="J107" s="146" t="str">
        <f t="shared" ca="1" si="88"/>
        <v>Yes</v>
      </c>
      <c r="K107" s="146" t="str">
        <f t="shared" ca="1" si="88"/>
        <v>No</v>
      </c>
      <c r="L107" s="146" t="str">
        <f t="shared" ca="1" si="88"/>
        <v>Yes</v>
      </c>
      <c r="M107" s="146" t="str">
        <f t="shared" ca="1" si="88"/>
        <v>Yes</v>
      </c>
      <c r="N107" s="146" t="str">
        <f t="shared" ca="1" si="88"/>
        <v>Yes</v>
      </c>
      <c r="O107" s="146" t="str">
        <f t="shared" ca="1" si="88"/>
        <v>Yes</v>
      </c>
      <c r="P107" s="146" t="str">
        <f t="shared" ca="1" si="88"/>
        <v>Yes</v>
      </c>
      <c r="Q107" s="146" t="str">
        <f t="shared" ca="1" si="88"/>
        <v>Yes</v>
      </c>
      <c r="R107" s="146" t="str">
        <f t="shared" ca="1" si="88"/>
        <v>Yes</v>
      </c>
      <c r="S107" s="146" t="str">
        <f t="shared" ca="1" si="88"/>
        <v>Yes</v>
      </c>
      <c r="T107" s="146" t="str">
        <f t="shared" ca="1" si="88"/>
        <v>Yes</v>
      </c>
      <c r="U107" s="146" t="str">
        <f t="shared" ca="1" si="88"/>
        <v>Yes</v>
      </c>
      <c r="V107" s="146" t="str">
        <f t="shared" ca="1" si="88"/>
        <v>Yes</v>
      </c>
    </row>
    <row r="108" spans="1:22" x14ac:dyDescent="0.3">
      <c r="A108" s="418"/>
      <c r="B108" s="419"/>
      <c r="C108" s="148"/>
      <c r="D108" s="148"/>
      <c r="E108" s="148"/>
      <c r="F108" s="148"/>
      <c r="G108" s="148"/>
      <c r="H108" s="148"/>
      <c r="I108" s="148"/>
      <c r="J108" s="148"/>
      <c r="K108" s="148"/>
      <c r="L108" s="148"/>
      <c r="M108" s="148"/>
      <c r="N108" s="148"/>
      <c r="O108" s="148"/>
      <c r="P108" s="148"/>
      <c r="Q108" s="148"/>
      <c r="R108" s="148"/>
      <c r="S108" s="148"/>
      <c r="T108" s="148"/>
      <c r="U108" s="148"/>
      <c r="V108" s="148"/>
    </row>
    <row r="109" spans="1:22" ht="15.75" customHeight="1" x14ac:dyDescent="0.3">
      <c r="A109" s="420" t="s">
        <v>1059</v>
      </c>
      <c r="B109" s="421"/>
      <c r="C109" s="149"/>
      <c r="D109" s="149"/>
      <c r="E109" s="149"/>
      <c r="F109" s="149"/>
      <c r="G109" s="149"/>
      <c r="H109" s="149"/>
      <c r="I109" s="149"/>
      <c r="J109" s="149"/>
      <c r="K109" s="149"/>
      <c r="L109" s="149"/>
      <c r="M109" s="149"/>
      <c r="N109" s="149"/>
      <c r="O109" s="149"/>
      <c r="P109" s="149"/>
      <c r="Q109" s="149"/>
      <c r="R109" s="149"/>
      <c r="S109" s="149"/>
      <c r="T109" s="149"/>
      <c r="U109" s="149"/>
      <c r="V109" s="149"/>
    </row>
    <row r="110" spans="1:22" ht="15" customHeight="1" x14ac:dyDescent="0.3">
      <c r="A110" s="422" t="s">
        <v>95</v>
      </c>
      <c r="B110" s="125" t="s">
        <v>717</v>
      </c>
      <c r="C110" s="145" t="str">
        <f ca="1">INDIRECT("'"&amp;C$6&amp;"'!$G$834")</f>
        <v>Critical</v>
      </c>
      <c r="D110" s="145" t="str">
        <f t="shared" ref="D110:V110" ca="1" si="89">INDIRECT("'"&amp;D$6&amp;"'!$G$834")</f>
        <v>Critical</v>
      </c>
      <c r="E110" s="145" t="str">
        <f t="shared" ca="1" si="89"/>
        <v>Critical</v>
      </c>
      <c r="F110" s="145" t="str">
        <f t="shared" ca="1" si="89"/>
        <v>Important</v>
      </c>
      <c r="G110" s="145" t="str">
        <f t="shared" ca="1" si="89"/>
        <v>Critical</v>
      </c>
      <c r="H110" s="145" t="str">
        <f t="shared" ca="1" si="89"/>
        <v>Critical</v>
      </c>
      <c r="I110" s="145" t="str">
        <f t="shared" ca="1" si="89"/>
        <v>Critical</v>
      </c>
      <c r="J110" s="145" t="str">
        <f t="shared" ca="1" si="89"/>
        <v>Critical</v>
      </c>
      <c r="K110" s="145" t="str">
        <f t="shared" ca="1" si="89"/>
        <v>Critical</v>
      </c>
      <c r="L110" s="145" t="str">
        <f t="shared" ca="1" si="89"/>
        <v>Critical</v>
      </c>
      <c r="M110" s="145" t="str">
        <f t="shared" ca="1" si="89"/>
        <v>Critical</v>
      </c>
      <c r="N110" s="145" t="str">
        <f t="shared" ca="1" si="89"/>
        <v>Critical</v>
      </c>
      <c r="O110" s="145" t="str">
        <f t="shared" ca="1" si="89"/>
        <v>Important</v>
      </c>
      <c r="P110" s="145" t="str">
        <f t="shared" ca="1" si="89"/>
        <v>Critical</v>
      </c>
      <c r="Q110" s="145" t="str">
        <f t="shared" ca="1" si="89"/>
        <v>Critical</v>
      </c>
      <c r="R110" s="145" t="str">
        <f t="shared" ca="1" si="89"/>
        <v>Critical</v>
      </c>
      <c r="S110" s="145" t="str">
        <f t="shared" ca="1" si="89"/>
        <v>Critical</v>
      </c>
      <c r="T110" s="145" t="str">
        <f t="shared" ca="1" si="89"/>
        <v>Critical</v>
      </c>
      <c r="U110" s="145" t="str">
        <f t="shared" ca="1" si="89"/>
        <v>Critical</v>
      </c>
      <c r="V110" s="145" t="str">
        <f t="shared" ca="1" si="89"/>
        <v>Critical</v>
      </c>
    </row>
    <row r="111" spans="1:22" x14ac:dyDescent="0.3">
      <c r="A111" s="423"/>
      <c r="B111" s="126" t="s">
        <v>718</v>
      </c>
      <c r="C111" s="158" t="str">
        <f ca="1">INDIRECT("'"&amp;C$6&amp;"'!$J$835")</f>
        <v>Not Calculated</v>
      </c>
      <c r="D111" s="158" t="str">
        <f t="shared" ref="D111:V111" ca="1" si="90">INDIRECT("'"&amp;D$6&amp;"'!$J$835")</f>
        <v>Not Calculated</v>
      </c>
      <c r="E111" s="158" t="str">
        <f t="shared" ca="1" si="90"/>
        <v>Not Calculated</v>
      </c>
      <c r="F111" s="158" t="str">
        <f t="shared" ca="1" si="90"/>
        <v>Not Calculated</v>
      </c>
      <c r="G111" s="158" t="str">
        <f t="shared" ca="1" si="90"/>
        <v>Not Calculated</v>
      </c>
      <c r="H111" s="158" t="str">
        <f t="shared" ca="1" si="90"/>
        <v>Not Calculated</v>
      </c>
      <c r="I111" s="158" t="str">
        <f t="shared" ca="1" si="90"/>
        <v>Not Calculated</v>
      </c>
      <c r="J111" s="158" t="str">
        <f t="shared" ca="1" si="90"/>
        <v>Not Calculated</v>
      </c>
      <c r="K111" s="158" t="str">
        <f t="shared" ca="1" si="90"/>
        <v>Not Calculated</v>
      </c>
      <c r="L111" s="158" t="str">
        <f t="shared" ca="1" si="90"/>
        <v>Not Calculated</v>
      </c>
      <c r="M111" s="158" t="str">
        <f t="shared" ca="1" si="90"/>
        <v>Not Calculated</v>
      </c>
      <c r="N111" s="158" t="str">
        <f t="shared" ca="1" si="90"/>
        <v>Not Calculated</v>
      </c>
      <c r="O111" s="158" t="str">
        <f t="shared" ca="1" si="90"/>
        <v>Not Calculated</v>
      </c>
      <c r="P111" s="158" t="str">
        <f t="shared" ca="1" si="90"/>
        <v>Not Calculated</v>
      </c>
      <c r="Q111" s="158" t="str">
        <f t="shared" ca="1" si="90"/>
        <v>Not Calculated</v>
      </c>
      <c r="R111" s="158" t="str">
        <f t="shared" ca="1" si="90"/>
        <v>Not Calculated</v>
      </c>
      <c r="S111" s="158" t="str">
        <f t="shared" ca="1" si="90"/>
        <v>Not Calculated</v>
      </c>
      <c r="T111" s="158" t="str">
        <f t="shared" ca="1" si="90"/>
        <v>Not Calculated</v>
      </c>
      <c r="U111" s="158" t="str">
        <f t="shared" ca="1" si="90"/>
        <v>Not Calculated</v>
      </c>
      <c r="V111" s="158" t="str">
        <f t="shared" ca="1" si="90"/>
        <v>Not Calculated</v>
      </c>
    </row>
    <row r="112" spans="1:22" ht="15" customHeight="1" x14ac:dyDescent="0.3">
      <c r="A112" s="422" t="s">
        <v>98</v>
      </c>
      <c r="B112" s="125" t="s">
        <v>717</v>
      </c>
      <c r="C112" s="145" t="str">
        <f ca="1">INDIRECT("'"&amp;C$6&amp;"'!$G$838")</f>
        <v>Highly Important</v>
      </c>
      <c r="D112" s="145" t="str">
        <f t="shared" ref="D112:V112" ca="1" si="91">INDIRECT("'"&amp;D$6&amp;"'!$G$838")</f>
        <v>Critical</v>
      </c>
      <c r="E112" s="145" t="str">
        <f t="shared" ca="1" si="91"/>
        <v>Critical</v>
      </c>
      <c r="F112" s="145" t="str">
        <f t="shared" ca="1" si="91"/>
        <v>Important</v>
      </c>
      <c r="G112" s="145" t="str">
        <f t="shared" ca="1" si="91"/>
        <v>Critical</v>
      </c>
      <c r="H112" s="145" t="str">
        <f t="shared" ca="1" si="91"/>
        <v>Critical</v>
      </c>
      <c r="I112" s="145" t="str">
        <f t="shared" ca="1" si="91"/>
        <v>Critical</v>
      </c>
      <c r="J112" s="145" t="str">
        <f t="shared" ca="1" si="91"/>
        <v>Critical</v>
      </c>
      <c r="K112" s="145" t="str">
        <f t="shared" ca="1" si="91"/>
        <v>Critical</v>
      </c>
      <c r="L112" s="145" t="str">
        <f t="shared" ca="1" si="91"/>
        <v>Critical</v>
      </c>
      <c r="M112" s="145" t="str">
        <f t="shared" ca="1" si="91"/>
        <v>Critical</v>
      </c>
      <c r="N112" s="145" t="str">
        <f t="shared" ca="1" si="91"/>
        <v>Critical</v>
      </c>
      <c r="O112" s="145" t="str">
        <f t="shared" ca="1" si="91"/>
        <v>Important</v>
      </c>
      <c r="P112" s="145" t="str">
        <f t="shared" ca="1" si="91"/>
        <v>Critical</v>
      </c>
      <c r="Q112" s="145" t="str">
        <f t="shared" ca="1" si="91"/>
        <v>Critical</v>
      </c>
      <c r="R112" s="145" t="str">
        <f t="shared" ca="1" si="91"/>
        <v>Critical</v>
      </c>
      <c r="S112" s="145" t="str">
        <f t="shared" ca="1" si="91"/>
        <v>Important</v>
      </c>
      <c r="T112" s="145" t="str">
        <f t="shared" ca="1" si="91"/>
        <v>Critical</v>
      </c>
      <c r="U112" s="145" t="str">
        <f t="shared" ca="1" si="91"/>
        <v>Critical</v>
      </c>
      <c r="V112" s="145" t="str">
        <f t="shared" ca="1" si="91"/>
        <v>Highly Important</v>
      </c>
    </row>
    <row r="113" spans="1:22" x14ac:dyDescent="0.3">
      <c r="A113" s="423"/>
      <c r="B113" s="126" t="s">
        <v>718</v>
      </c>
      <c r="C113" s="158" t="str">
        <f ca="1">INDIRECT("'"&amp;C$6&amp;"'!$J$839")</f>
        <v>Not Calculated</v>
      </c>
      <c r="D113" s="158" t="str">
        <f t="shared" ref="D113:V113" ca="1" si="92">INDIRECT("'"&amp;D$6&amp;"'!$J$839")</f>
        <v>Not Calculated</v>
      </c>
      <c r="E113" s="158" t="str">
        <f t="shared" ca="1" si="92"/>
        <v>Not Calculated</v>
      </c>
      <c r="F113" s="158" t="str">
        <f t="shared" ca="1" si="92"/>
        <v>Not Calculated</v>
      </c>
      <c r="G113" s="158" t="str">
        <f t="shared" ca="1" si="92"/>
        <v>Not Calculated</v>
      </c>
      <c r="H113" s="158" t="str">
        <f t="shared" ca="1" si="92"/>
        <v>Not Calculated</v>
      </c>
      <c r="I113" s="158" t="str">
        <f t="shared" ca="1" si="92"/>
        <v>Not Calculated</v>
      </c>
      <c r="J113" s="158" t="str">
        <f t="shared" ca="1" si="92"/>
        <v>Not Calculated</v>
      </c>
      <c r="K113" s="158" t="str">
        <f t="shared" ca="1" si="92"/>
        <v>Not Calculated</v>
      </c>
      <c r="L113" s="158" t="str">
        <f t="shared" ca="1" si="92"/>
        <v>Not Calculated</v>
      </c>
      <c r="M113" s="158" t="str">
        <f t="shared" ca="1" si="92"/>
        <v>Not Calculated</v>
      </c>
      <c r="N113" s="158" t="str">
        <f t="shared" ca="1" si="92"/>
        <v>Not Calculated</v>
      </c>
      <c r="O113" s="158" t="str">
        <f t="shared" ca="1" si="92"/>
        <v>Not Calculated</v>
      </c>
      <c r="P113" s="158" t="str">
        <f t="shared" ca="1" si="92"/>
        <v>Not Calculated</v>
      </c>
      <c r="Q113" s="158" t="str">
        <f t="shared" ca="1" si="92"/>
        <v>Not Calculated</v>
      </c>
      <c r="R113" s="158" t="str">
        <f t="shared" ca="1" si="92"/>
        <v>Not Calculated</v>
      </c>
      <c r="S113" s="158" t="str">
        <f t="shared" ca="1" si="92"/>
        <v>Not Calculated</v>
      </c>
      <c r="T113" s="158" t="str">
        <f t="shared" ca="1" si="92"/>
        <v>Not Calculated</v>
      </c>
      <c r="U113" s="158" t="str">
        <f t="shared" ca="1" si="92"/>
        <v>Not Calculated</v>
      </c>
      <c r="V113" s="158" t="str">
        <f t="shared" ca="1" si="92"/>
        <v>Not Calculated</v>
      </c>
    </row>
    <row r="114" spans="1:22" ht="15" customHeight="1" x14ac:dyDescent="0.3">
      <c r="A114" s="422" t="s">
        <v>102</v>
      </c>
      <c r="B114" s="125" t="s">
        <v>717</v>
      </c>
      <c r="C114" s="145" t="str">
        <f ca="1">INDIRECT("'"&amp;C$6&amp;"'!$G$842")</f>
        <v>Important</v>
      </c>
      <c r="D114" s="145" t="str">
        <f t="shared" ref="D114:V114" ca="1" si="93">INDIRECT("'"&amp;D$6&amp;"'!$G$842")</f>
        <v>Critical</v>
      </c>
      <c r="E114" s="145" t="str">
        <f t="shared" ca="1" si="93"/>
        <v>Critical</v>
      </c>
      <c r="F114" s="145" t="str">
        <f t="shared" ca="1" si="93"/>
        <v>Important</v>
      </c>
      <c r="G114" s="145" t="str">
        <f t="shared" ca="1" si="93"/>
        <v>Critical</v>
      </c>
      <c r="H114" s="145" t="str">
        <f t="shared" ca="1" si="93"/>
        <v>Important</v>
      </c>
      <c r="I114" s="145" t="str">
        <f t="shared" ca="1" si="93"/>
        <v>Highly Important</v>
      </c>
      <c r="J114" s="145" t="str">
        <f t="shared" ca="1" si="93"/>
        <v>Not relevant</v>
      </c>
      <c r="K114" s="145" t="str">
        <f t="shared" ca="1" si="93"/>
        <v>Limited importance</v>
      </c>
      <c r="L114" s="145" t="str">
        <f t="shared" ca="1" si="93"/>
        <v>Critical</v>
      </c>
      <c r="M114" s="145" t="str">
        <f t="shared" ca="1" si="93"/>
        <v>Critical</v>
      </c>
      <c r="N114" s="145" t="str">
        <f t="shared" ca="1" si="93"/>
        <v>Critical</v>
      </c>
      <c r="O114" s="145" t="str">
        <f t="shared" ca="1" si="93"/>
        <v>Critical</v>
      </c>
      <c r="P114" s="145" t="str">
        <f t="shared" ca="1" si="93"/>
        <v>Critical</v>
      </c>
      <c r="Q114" s="145" t="str">
        <f t="shared" ca="1" si="93"/>
        <v>Critical</v>
      </c>
      <c r="R114" s="145" t="str">
        <f t="shared" ca="1" si="93"/>
        <v>Critical</v>
      </c>
      <c r="S114" s="145" t="str">
        <f t="shared" ca="1" si="93"/>
        <v>Critical</v>
      </c>
      <c r="T114" s="145" t="str">
        <f t="shared" ca="1" si="93"/>
        <v>Critical</v>
      </c>
      <c r="U114" s="145" t="str">
        <f t="shared" ca="1" si="93"/>
        <v>Critical</v>
      </c>
      <c r="V114" s="145" t="str">
        <f t="shared" ca="1" si="93"/>
        <v>Critical</v>
      </c>
    </row>
    <row r="115" spans="1:22" x14ac:dyDescent="0.3">
      <c r="A115" s="423"/>
      <c r="B115" s="126" t="s">
        <v>718</v>
      </c>
      <c r="C115" s="158" t="str">
        <f ca="1">INDIRECT("'"&amp;C$6&amp;"'!$J$843")</f>
        <v>Not Calculated</v>
      </c>
      <c r="D115" s="158" t="str">
        <f t="shared" ref="D115:V115" ca="1" si="94">INDIRECT("'"&amp;D$6&amp;"'!$J$843")</f>
        <v>Not Calculated</v>
      </c>
      <c r="E115" s="158" t="str">
        <f t="shared" ca="1" si="94"/>
        <v>Not Calculated</v>
      </c>
      <c r="F115" s="158" t="str">
        <f t="shared" ca="1" si="94"/>
        <v>Not Calculated</v>
      </c>
      <c r="G115" s="158" t="str">
        <f t="shared" ca="1" si="94"/>
        <v>Not Calculated</v>
      </c>
      <c r="H115" s="158" t="str">
        <f t="shared" ca="1" si="94"/>
        <v>Not Calculated</v>
      </c>
      <c r="I115" s="158" t="str">
        <f t="shared" ca="1" si="94"/>
        <v>Not Calculated</v>
      </c>
      <c r="J115" s="158" t="str">
        <f t="shared" ca="1" si="94"/>
        <v>Not Calculated</v>
      </c>
      <c r="K115" s="158" t="str">
        <f t="shared" ca="1" si="94"/>
        <v>Not Calculated</v>
      </c>
      <c r="L115" s="158" t="str">
        <f t="shared" ca="1" si="94"/>
        <v>Not Calculated</v>
      </c>
      <c r="M115" s="158" t="str">
        <f t="shared" ca="1" si="94"/>
        <v>Not Calculated</v>
      </c>
      <c r="N115" s="158" t="str">
        <f t="shared" ca="1" si="94"/>
        <v>Not Calculated</v>
      </c>
      <c r="O115" s="158" t="str">
        <f t="shared" ca="1" si="94"/>
        <v>Not Calculated</v>
      </c>
      <c r="P115" s="158" t="str">
        <f t="shared" ca="1" si="94"/>
        <v>Not Calculated</v>
      </c>
      <c r="Q115" s="158" t="str">
        <f t="shared" ca="1" si="94"/>
        <v>Not Calculated</v>
      </c>
      <c r="R115" s="158" t="str">
        <f t="shared" ca="1" si="94"/>
        <v>Not Calculated</v>
      </c>
      <c r="S115" s="158" t="str">
        <f t="shared" ca="1" si="94"/>
        <v>Not Calculated</v>
      </c>
      <c r="T115" s="158" t="str">
        <f t="shared" ca="1" si="94"/>
        <v>Not Calculated</v>
      </c>
      <c r="U115" s="158" t="str">
        <f t="shared" ca="1" si="94"/>
        <v>Not Calculated</v>
      </c>
      <c r="V115" s="158" t="str">
        <f t="shared" ca="1" si="94"/>
        <v>Not Calculated</v>
      </c>
    </row>
    <row r="116" spans="1:22" ht="15" customHeight="1" x14ac:dyDescent="0.3">
      <c r="A116" s="422" t="s">
        <v>104</v>
      </c>
      <c r="B116" s="125" t="s">
        <v>717</v>
      </c>
      <c r="C116" s="145" t="str">
        <f ca="1">INDIRECT("'"&amp;C$6&amp;"'!$G$846")</f>
        <v>Critical</v>
      </c>
      <c r="D116" s="145" t="str">
        <f t="shared" ref="D116:V116" ca="1" si="95">INDIRECT("'"&amp;D$6&amp;"'!$G$846")</f>
        <v>Critical</v>
      </c>
      <c r="E116" s="145" t="str">
        <f t="shared" ca="1" si="95"/>
        <v>Critical</v>
      </c>
      <c r="F116" s="145" t="str">
        <f t="shared" ca="1" si="95"/>
        <v>Critical</v>
      </c>
      <c r="G116" s="145" t="str">
        <f t="shared" ca="1" si="95"/>
        <v>Critical</v>
      </c>
      <c r="H116" s="145" t="str">
        <f t="shared" ca="1" si="95"/>
        <v>Critical</v>
      </c>
      <c r="I116" s="145" t="str">
        <f t="shared" ca="1" si="95"/>
        <v>Critical</v>
      </c>
      <c r="J116" s="145" t="str">
        <f t="shared" ca="1" si="95"/>
        <v>Highly Important</v>
      </c>
      <c r="K116" s="145" t="str">
        <f t="shared" ca="1" si="95"/>
        <v>Critical</v>
      </c>
      <c r="L116" s="145" t="str">
        <f t="shared" ca="1" si="95"/>
        <v>Critical</v>
      </c>
      <c r="M116" s="145" t="str">
        <f t="shared" ca="1" si="95"/>
        <v>Critical</v>
      </c>
      <c r="N116" s="145" t="str">
        <f t="shared" ca="1" si="95"/>
        <v>Critical</v>
      </c>
      <c r="O116" s="145" t="str">
        <f t="shared" ca="1" si="95"/>
        <v>Critical</v>
      </c>
      <c r="P116" s="145" t="str">
        <f t="shared" ca="1" si="95"/>
        <v>Critical</v>
      </c>
      <c r="Q116" s="145" t="str">
        <f t="shared" ca="1" si="95"/>
        <v>Critical</v>
      </c>
      <c r="R116" s="145" t="str">
        <f t="shared" ca="1" si="95"/>
        <v>Critical</v>
      </c>
      <c r="S116" s="145" t="str">
        <f t="shared" ca="1" si="95"/>
        <v>Critical</v>
      </c>
      <c r="T116" s="145" t="str">
        <f t="shared" ca="1" si="95"/>
        <v>Critical</v>
      </c>
      <c r="U116" s="145" t="str">
        <f t="shared" ca="1" si="95"/>
        <v>Critical</v>
      </c>
      <c r="V116" s="145" t="str">
        <f t="shared" ca="1" si="95"/>
        <v>Critical</v>
      </c>
    </row>
    <row r="117" spans="1:22" x14ac:dyDescent="0.3">
      <c r="A117" s="423"/>
      <c r="B117" s="126" t="s">
        <v>718</v>
      </c>
      <c r="C117" s="158" t="str">
        <f ca="1">INDIRECT("'"&amp;C$6&amp;"'!$J$847")</f>
        <v>Not Calculated</v>
      </c>
      <c r="D117" s="158" t="str">
        <f t="shared" ref="D117:V117" ca="1" si="96">INDIRECT("'"&amp;D$6&amp;"'!$J$847")</f>
        <v>Not Calculated</v>
      </c>
      <c r="E117" s="158" t="str">
        <f t="shared" ca="1" si="96"/>
        <v>Not Calculated</v>
      </c>
      <c r="F117" s="158" t="str">
        <f t="shared" ca="1" si="96"/>
        <v>Not Calculated</v>
      </c>
      <c r="G117" s="158" t="str">
        <f t="shared" ca="1" si="96"/>
        <v>Not Calculated</v>
      </c>
      <c r="H117" s="158" t="str">
        <f t="shared" ca="1" si="96"/>
        <v>Not Calculated</v>
      </c>
      <c r="I117" s="158" t="str">
        <f t="shared" ca="1" si="96"/>
        <v>Not Calculated</v>
      </c>
      <c r="J117" s="158" t="str">
        <f t="shared" ca="1" si="96"/>
        <v>Not Calculated</v>
      </c>
      <c r="K117" s="158" t="str">
        <f t="shared" ca="1" si="96"/>
        <v>Not Calculated</v>
      </c>
      <c r="L117" s="158" t="str">
        <f t="shared" ca="1" si="96"/>
        <v>Not Calculated</v>
      </c>
      <c r="M117" s="158" t="str">
        <f t="shared" ca="1" si="96"/>
        <v>Not Calculated</v>
      </c>
      <c r="N117" s="158" t="str">
        <f t="shared" ca="1" si="96"/>
        <v>Not Calculated</v>
      </c>
      <c r="O117" s="158" t="str">
        <f t="shared" ca="1" si="96"/>
        <v>Not Calculated</v>
      </c>
      <c r="P117" s="158" t="str">
        <f t="shared" ca="1" si="96"/>
        <v>Not Calculated</v>
      </c>
      <c r="Q117" s="158" t="str">
        <f t="shared" ca="1" si="96"/>
        <v>Not Calculated</v>
      </c>
      <c r="R117" s="158" t="str">
        <f t="shared" ca="1" si="96"/>
        <v>Not Calculated</v>
      </c>
      <c r="S117" s="158" t="str">
        <f t="shared" ca="1" si="96"/>
        <v>Not Calculated</v>
      </c>
      <c r="T117" s="158" t="str">
        <f t="shared" ca="1" si="96"/>
        <v>Not Calculated</v>
      </c>
      <c r="U117" s="158" t="str">
        <f t="shared" ca="1" si="96"/>
        <v>Not Calculated</v>
      </c>
      <c r="V117" s="158" t="str">
        <f t="shared" ca="1" si="96"/>
        <v>Not Calculated</v>
      </c>
    </row>
    <row r="118" spans="1:22" ht="15" customHeight="1" x14ac:dyDescent="0.3">
      <c r="A118" s="422" t="s">
        <v>92</v>
      </c>
      <c r="B118" s="125" t="s">
        <v>717</v>
      </c>
      <c r="C118" s="145" t="str">
        <f ca="1">INDIRECT("'"&amp;C$6&amp;"'!$G$850")</f>
        <v>Critical</v>
      </c>
      <c r="D118" s="145" t="str">
        <f t="shared" ref="D118:V118" ca="1" si="97">INDIRECT("'"&amp;D$6&amp;"'!$G$850")</f>
        <v>Critical</v>
      </c>
      <c r="E118" s="145" t="str">
        <f t="shared" ca="1" si="97"/>
        <v>Critical</v>
      </c>
      <c r="F118" s="145" t="str">
        <f t="shared" ca="1" si="97"/>
        <v>Limited importance</v>
      </c>
      <c r="G118" s="145" t="str">
        <f t="shared" ca="1" si="97"/>
        <v>Limited importance</v>
      </c>
      <c r="H118" s="145" t="str">
        <f t="shared" ca="1" si="97"/>
        <v>Critical</v>
      </c>
      <c r="I118" s="145" t="str">
        <f t="shared" ca="1" si="97"/>
        <v>Not relevant</v>
      </c>
      <c r="J118" s="145" t="str">
        <f t="shared" ca="1" si="97"/>
        <v>Not relevant</v>
      </c>
      <c r="K118" s="145" t="str">
        <f t="shared" ca="1" si="97"/>
        <v>Not relevant</v>
      </c>
      <c r="L118" s="145" t="str">
        <f t="shared" ca="1" si="97"/>
        <v>Not relevant</v>
      </c>
      <c r="M118" s="145" t="str">
        <f t="shared" ca="1" si="97"/>
        <v>Limited importance</v>
      </c>
      <c r="N118" s="145" t="str">
        <f t="shared" ca="1" si="97"/>
        <v>Critical</v>
      </c>
      <c r="O118" s="145" t="str">
        <f t="shared" ca="1" si="97"/>
        <v>Important</v>
      </c>
      <c r="P118" s="145" t="str">
        <f t="shared" ca="1" si="97"/>
        <v>Highly Important</v>
      </c>
      <c r="Q118" s="145" t="str">
        <f t="shared" ca="1" si="97"/>
        <v>Critical</v>
      </c>
      <c r="R118" s="145" t="str">
        <f t="shared" ca="1" si="97"/>
        <v>Critical</v>
      </c>
      <c r="S118" s="145" t="str">
        <f t="shared" ca="1" si="97"/>
        <v>Highly Important</v>
      </c>
      <c r="T118" s="145" t="str">
        <f t="shared" ca="1" si="97"/>
        <v>Important</v>
      </c>
      <c r="U118" s="145" t="str">
        <f t="shared" ca="1" si="97"/>
        <v>Important</v>
      </c>
      <c r="V118" s="145" t="str">
        <f t="shared" ca="1" si="97"/>
        <v>Important</v>
      </c>
    </row>
    <row r="119" spans="1:22" x14ac:dyDescent="0.3">
      <c r="A119" s="423"/>
      <c r="B119" s="126" t="s">
        <v>718</v>
      </c>
      <c r="C119" s="158" t="str">
        <f ca="1">INDIRECT("'"&amp;C$6&amp;"'!$J$851")</f>
        <v>Not Calculated</v>
      </c>
      <c r="D119" s="158" t="str">
        <f t="shared" ref="D119:V119" ca="1" si="98">INDIRECT("'"&amp;D$6&amp;"'!$J$851")</f>
        <v>Not Calculated</v>
      </c>
      <c r="E119" s="158" t="str">
        <f t="shared" ca="1" si="98"/>
        <v>Not Calculated</v>
      </c>
      <c r="F119" s="158" t="str">
        <f t="shared" ca="1" si="98"/>
        <v>Not Calculated</v>
      </c>
      <c r="G119" s="158" t="str">
        <f t="shared" ca="1" si="98"/>
        <v>Not Calculated</v>
      </c>
      <c r="H119" s="158" t="str">
        <f t="shared" ca="1" si="98"/>
        <v>Not Calculated</v>
      </c>
      <c r="I119" s="158" t="str">
        <f t="shared" ca="1" si="98"/>
        <v>Not Calculated</v>
      </c>
      <c r="J119" s="158" t="str">
        <f t="shared" ca="1" si="98"/>
        <v>Not Calculated</v>
      </c>
      <c r="K119" s="158" t="str">
        <f t="shared" ca="1" si="98"/>
        <v>Not Calculated</v>
      </c>
      <c r="L119" s="158" t="str">
        <f t="shared" ca="1" si="98"/>
        <v>Not Calculated</v>
      </c>
      <c r="M119" s="158" t="str">
        <f t="shared" ca="1" si="98"/>
        <v>Not Calculated</v>
      </c>
      <c r="N119" s="158" t="str">
        <f t="shared" ca="1" si="98"/>
        <v>Not Calculated</v>
      </c>
      <c r="O119" s="158" t="str">
        <f t="shared" ca="1" si="98"/>
        <v>Not Calculated</v>
      </c>
      <c r="P119" s="158" t="str">
        <f t="shared" ca="1" si="98"/>
        <v>Not Calculated</v>
      </c>
      <c r="Q119" s="158" t="str">
        <f t="shared" ca="1" si="98"/>
        <v>Not Calculated</v>
      </c>
      <c r="R119" s="158" t="str">
        <f t="shared" ca="1" si="98"/>
        <v>Not Calculated</v>
      </c>
      <c r="S119" s="158" t="str">
        <f t="shared" ca="1" si="98"/>
        <v>Not Calculated</v>
      </c>
      <c r="T119" s="158" t="str">
        <f t="shared" ca="1" si="98"/>
        <v>Not Calculated</v>
      </c>
      <c r="U119" s="158" t="str">
        <f t="shared" ca="1" si="98"/>
        <v>Not Calculated</v>
      </c>
      <c r="V119" s="158" t="str">
        <f t="shared" ca="1" si="98"/>
        <v>Not Calculated</v>
      </c>
    </row>
    <row r="120" spans="1:22" ht="15" customHeight="1" x14ac:dyDescent="0.3">
      <c r="A120" s="422" t="s">
        <v>107</v>
      </c>
      <c r="B120" s="125" t="s">
        <v>717</v>
      </c>
      <c r="C120" s="145" t="str">
        <f ca="1">INDIRECT("'"&amp;C$6&amp;"'!$G$854")</f>
        <v>Critical</v>
      </c>
      <c r="D120" s="145" t="str">
        <f t="shared" ref="D120:V120" ca="1" si="99">INDIRECT("'"&amp;D$6&amp;"'!$G$854")</f>
        <v>Critical</v>
      </c>
      <c r="E120" s="145" t="str">
        <f t="shared" ca="1" si="99"/>
        <v>Critical</v>
      </c>
      <c r="F120" s="145" t="str">
        <f t="shared" ca="1" si="99"/>
        <v>Critical</v>
      </c>
      <c r="G120" s="145" t="str">
        <f t="shared" ca="1" si="99"/>
        <v>Critical</v>
      </c>
      <c r="H120" s="145" t="str">
        <f t="shared" ca="1" si="99"/>
        <v>Critical</v>
      </c>
      <c r="I120" s="145" t="str">
        <f t="shared" ca="1" si="99"/>
        <v>Critical</v>
      </c>
      <c r="J120" s="145" t="str">
        <f t="shared" ca="1" si="99"/>
        <v>Highly Important</v>
      </c>
      <c r="K120" s="145" t="str">
        <f t="shared" ca="1" si="99"/>
        <v>Critical</v>
      </c>
      <c r="L120" s="145" t="str">
        <f t="shared" ca="1" si="99"/>
        <v>Critical</v>
      </c>
      <c r="M120" s="145" t="str">
        <f t="shared" ca="1" si="99"/>
        <v>Critical</v>
      </c>
      <c r="N120" s="145" t="str">
        <f t="shared" ca="1" si="99"/>
        <v>Critical</v>
      </c>
      <c r="O120" s="145" t="str">
        <f t="shared" ca="1" si="99"/>
        <v>Critical</v>
      </c>
      <c r="P120" s="145" t="str">
        <f t="shared" ca="1" si="99"/>
        <v>Critical</v>
      </c>
      <c r="Q120" s="145" t="str">
        <f t="shared" ca="1" si="99"/>
        <v>Critical</v>
      </c>
      <c r="R120" s="145" t="str">
        <f t="shared" ca="1" si="99"/>
        <v>Critical</v>
      </c>
      <c r="S120" s="145" t="str">
        <f t="shared" ca="1" si="99"/>
        <v>Critical</v>
      </c>
      <c r="T120" s="145" t="str">
        <f t="shared" ca="1" si="99"/>
        <v>Critical</v>
      </c>
      <c r="U120" s="145" t="str">
        <f t="shared" ca="1" si="99"/>
        <v>Critical</v>
      </c>
      <c r="V120" s="145" t="str">
        <f t="shared" ca="1" si="99"/>
        <v>Critical</v>
      </c>
    </row>
    <row r="121" spans="1:22" x14ac:dyDescent="0.3">
      <c r="A121" s="423"/>
      <c r="B121" s="126" t="s">
        <v>718</v>
      </c>
      <c r="C121" s="158" t="str">
        <f ca="1">INDIRECT("'"&amp;C$6&amp;"'!$J$855")</f>
        <v>Not Calculated</v>
      </c>
      <c r="D121" s="158" t="str">
        <f t="shared" ref="D121:V121" ca="1" si="100">INDIRECT("'"&amp;D$6&amp;"'!$J$855")</f>
        <v>Not Calculated</v>
      </c>
      <c r="E121" s="158" t="str">
        <f t="shared" ca="1" si="100"/>
        <v>Not Calculated</v>
      </c>
      <c r="F121" s="158" t="str">
        <f t="shared" ca="1" si="100"/>
        <v>Not Calculated</v>
      </c>
      <c r="G121" s="158" t="str">
        <f t="shared" ca="1" si="100"/>
        <v>Not Calculated</v>
      </c>
      <c r="H121" s="158" t="str">
        <f t="shared" ca="1" si="100"/>
        <v>Not Calculated</v>
      </c>
      <c r="I121" s="158" t="str">
        <f t="shared" ca="1" si="100"/>
        <v>Not Calculated</v>
      </c>
      <c r="J121" s="158" t="str">
        <f t="shared" ca="1" si="100"/>
        <v>Not Calculated</v>
      </c>
      <c r="K121" s="158" t="str">
        <f t="shared" ca="1" si="100"/>
        <v>Not Calculated</v>
      </c>
      <c r="L121" s="158" t="str">
        <f t="shared" ca="1" si="100"/>
        <v>Not Calculated</v>
      </c>
      <c r="M121" s="158" t="str">
        <f t="shared" ca="1" si="100"/>
        <v>Not Calculated</v>
      </c>
      <c r="N121" s="158" t="str">
        <f t="shared" ca="1" si="100"/>
        <v>Not Calculated</v>
      </c>
      <c r="O121" s="158" t="str">
        <f t="shared" ca="1" si="100"/>
        <v>Not Calculated</v>
      </c>
      <c r="P121" s="158" t="str">
        <f t="shared" ca="1" si="100"/>
        <v>Not Calculated</v>
      </c>
      <c r="Q121" s="158" t="str">
        <f t="shared" ca="1" si="100"/>
        <v>Not Calculated</v>
      </c>
      <c r="R121" s="158" t="str">
        <f t="shared" ca="1" si="100"/>
        <v>Not Calculated</v>
      </c>
      <c r="S121" s="158" t="str">
        <f t="shared" ca="1" si="100"/>
        <v>Not Calculated</v>
      </c>
      <c r="T121" s="158" t="str">
        <f t="shared" ca="1" si="100"/>
        <v>Not Calculated</v>
      </c>
      <c r="U121" s="158" t="str">
        <f t="shared" ca="1" si="100"/>
        <v>Not Calculated</v>
      </c>
      <c r="V121" s="158" t="str">
        <f t="shared" ca="1" si="100"/>
        <v>Not Calculated</v>
      </c>
    </row>
    <row r="122" spans="1:22" ht="15" customHeight="1" x14ac:dyDescent="0.3">
      <c r="A122" s="422" t="s">
        <v>110</v>
      </c>
      <c r="B122" s="125" t="s">
        <v>717</v>
      </c>
      <c r="C122" s="145" t="str">
        <f ca="1">INDIRECT("'"&amp;C$6&amp;"'!$G$858")</f>
        <v>Not relevant</v>
      </c>
      <c r="D122" s="145" t="str">
        <f t="shared" ref="D122:V122" ca="1" si="101">INDIRECT("'"&amp;D$6&amp;"'!$G$858")</f>
        <v>Limited importance</v>
      </c>
      <c r="E122" s="145" t="str">
        <f t="shared" ca="1" si="101"/>
        <v>Highly Important</v>
      </c>
      <c r="F122" s="145" t="str">
        <f t="shared" ca="1" si="101"/>
        <v>Not relevant</v>
      </c>
      <c r="G122" s="145" t="str">
        <f t="shared" ca="1" si="101"/>
        <v>Highly Important</v>
      </c>
      <c r="H122" s="145" t="str">
        <f t="shared" ca="1" si="101"/>
        <v>Limited importance</v>
      </c>
      <c r="I122" s="145" t="str">
        <f t="shared" ca="1" si="101"/>
        <v>Not relevant</v>
      </c>
      <c r="J122" s="145" t="str">
        <f t="shared" ca="1" si="101"/>
        <v>Not relevant</v>
      </c>
      <c r="K122" s="145" t="str">
        <f t="shared" ca="1" si="101"/>
        <v>Not relevant</v>
      </c>
      <c r="L122" s="145" t="str">
        <f t="shared" ca="1" si="101"/>
        <v>Highly Important</v>
      </c>
      <c r="M122" s="145" t="str">
        <f t="shared" ca="1" si="101"/>
        <v>Highly Important</v>
      </c>
      <c r="N122" s="145" t="str">
        <f t="shared" ca="1" si="101"/>
        <v>Highly Important</v>
      </c>
      <c r="O122" s="145" t="str">
        <f t="shared" ca="1" si="101"/>
        <v>Not relevant</v>
      </c>
      <c r="P122" s="145" t="str">
        <f t="shared" ca="1" si="101"/>
        <v>Critical</v>
      </c>
      <c r="Q122" s="145" t="str">
        <f t="shared" ca="1" si="101"/>
        <v>Highly Important</v>
      </c>
      <c r="R122" s="145" t="str">
        <f t="shared" ca="1" si="101"/>
        <v>Highly Important</v>
      </c>
      <c r="S122" s="145" t="str">
        <f t="shared" ca="1" si="101"/>
        <v>Important</v>
      </c>
      <c r="T122" s="145" t="str">
        <f t="shared" ca="1" si="101"/>
        <v>Highly Important</v>
      </c>
      <c r="U122" s="145" t="str">
        <f t="shared" ca="1" si="101"/>
        <v>Important</v>
      </c>
      <c r="V122" s="145" t="str">
        <f t="shared" ca="1" si="101"/>
        <v>Limited importance</v>
      </c>
    </row>
    <row r="123" spans="1:22" x14ac:dyDescent="0.3">
      <c r="A123" s="423"/>
      <c r="B123" s="126" t="s">
        <v>718</v>
      </c>
      <c r="C123" s="158" t="str">
        <f ca="1">INDIRECT("'"&amp;C$6&amp;"'!$J$859")</f>
        <v>Not Calculated</v>
      </c>
      <c r="D123" s="158" t="str">
        <f t="shared" ref="D123:V123" ca="1" si="102">INDIRECT("'"&amp;D$6&amp;"'!$J$859")</f>
        <v>Not Calculated</v>
      </c>
      <c r="E123" s="158" t="str">
        <f t="shared" ca="1" si="102"/>
        <v>Not Calculated</v>
      </c>
      <c r="F123" s="158" t="str">
        <f t="shared" ca="1" si="102"/>
        <v>Not Calculated</v>
      </c>
      <c r="G123" s="158" t="str">
        <f t="shared" ca="1" si="102"/>
        <v>Not Calculated</v>
      </c>
      <c r="H123" s="158" t="str">
        <f t="shared" ca="1" si="102"/>
        <v>Not Calculated</v>
      </c>
      <c r="I123" s="158" t="str">
        <f t="shared" ca="1" si="102"/>
        <v>Not Calculated</v>
      </c>
      <c r="J123" s="158" t="str">
        <f t="shared" ca="1" si="102"/>
        <v>Not Calculated</v>
      </c>
      <c r="K123" s="158" t="str">
        <f t="shared" ca="1" si="102"/>
        <v>Not Calculated</v>
      </c>
      <c r="L123" s="158" t="str">
        <f t="shared" ca="1" si="102"/>
        <v>Not Calculated</v>
      </c>
      <c r="M123" s="158" t="str">
        <f t="shared" ca="1" si="102"/>
        <v>Not Calculated</v>
      </c>
      <c r="N123" s="158" t="str">
        <f t="shared" ca="1" si="102"/>
        <v>Not Calculated</v>
      </c>
      <c r="O123" s="158" t="str">
        <f t="shared" ca="1" si="102"/>
        <v>Not Calculated</v>
      </c>
      <c r="P123" s="158" t="str">
        <f t="shared" ca="1" si="102"/>
        <v>Not Calculated</v>
      </c>
      <c r="Q123" s="158" t="str">
        <f t="shared" ca="1" si="102"/>
        <v>Not Calculated</v>
      </c>
      <c r="R123" s="158" t="str">
        <f t="shared" ca="1" si="102"/>
        <v>Not Calculated</v>
      </c>
      <c r="S123" s="158" t="str">
        <f t="shared" ca="1" si="102"/>
        <v>Not Calculated</v>
      </c>
      <c r="T123" s="158" t="str">
        <f t="shared" ca="1" si="102"/>
        <v>Not Calculated</v>
      </c>
      <c r="U123" s="158" t="str">
        <f t="shared" ca="1" si="102"/>
        <v>Not Calculated</v>
      </c>
      <c r="V123" s="158" t="str">
        <f t="shared" ca="1" si="102"/>
        <v>Not Calculated</v>
      </c>
    </row>
    <row r="124" spans="1:22" ht="15" customHeight="1" x14ac:dyDescent="0.3">
      <c r="A124" s="422" t="s">
        <v>112</v>
      </c>
      <c r="B124" s="125" t="s">
        <v>717</v>
      </c>
      <c r="C124" s="145" t="str">
        <f ca="1">INDIRECT("'"&amp;C$6&amp;"'!$G$862")</f>
        <v>Not relevant</v>
      </c>
      <c r="D124" s="145" t="str">
        <f t="shared" ref="D124:V124" ca="1" si="103">INDIRECT("'"&amp;D$6&amp;"'!$G$862")</f>
        <v>Critical</v>
      </c>
      <c r="E124" s="145" t="str">
        <f t="shared" ca="1" si="103"/>
        <v>Critical</v>
      </c>
      <c r="F124" s="145" t="str">
        <f t="shared" ca="1" si="103"/>
        <v>Not relevant</v>
      </c>
      <c r="G124" s="145" t="str">
        <f t="shared" ca="1" si="103"/>
        <v>Not relevant</v>
      </c>
      <c r="H124" s="145" t="str">
        <f t="shared" ca="1" si="103"/>
        <v>Not relevant</v>
      </c>
      <c r="I124" s="145" t="str">
        <f t="shared" ca="1" si="103"/>
        <v>Not relevant</v>
      </c>
      <c r="J124" s="145" t="str">
        <f t="shared" ca="1" si="103"/>
        <v>Not relevant</v>
      </c>
      <c r="K124" s="145" t="str">
        <f t="shared" ca="1" si="103"/>
        <v>Not relevant</v>
      </c>
      <c r="L124" s="145" t="str">
        <f t="shared" ca="1" si="103"/>
        <v>Not relevant</v>
      </c>
      <c r="M124" s="145" t="str">
        <f t="shared" ca="1" si="103"/>
        <v>Not relevant</v>
      </c>
      <c r="N124" s="145" t="str">
        <f t="shared" ca="1" si="103"/>
        <v>Critical</v>
      </c>
      <c r="O124" s="145" t="str">
        <f t="shared" ca="1" si="103"/>
        <v>Critical</v>
      </c>
      <c r="P124" s="145" t="str">
        <f t="shared" ca="1" si="103"/>
        <v>Critical</v>
      </c>
      <c r="Q124" s="145" t="str">
        <f t="shared" ca="1" si="103"/>
        <v>Critical</v>
      </c>
      <c r="R124" s="145" t="str">
        <f t="shared" ca="1" si="103"/>
        <v>Critical</v>
      </c>
      <c r="S124" s="145" t="str">
        <f t="shared" ca="1" si="103"/>
        <v>Not relevant</v>
      </c>
      <c r="T124" s="145" t="str">
        <f t="shared" ca="1" si="103"/>
        <v>Not relevant</v>
      </c>
      <c r="U124" s="145" t="str">
        <f t="shared" ca="1" si="103"/>
        <v>Important</v>
      </c>
      <c r="V124" s="145" t="str">
        <f t="shared" ca="1" si="103"/>
        <v>Not relevant</v>
      </c>
    </row>
    <row r="125" spans="1:22" x14ac:dyDescent="0.3">
      <c r="A125" s="423"/>
      <c r="B125" s="126" t="s">
        <v>718</v>
      </c>
      <c r="C125" s="158" t="str">
        <f ca="1">INDIRECT("'"&amp;C$6&amp;"'!$J$863")</f>
        <v>Not Calculated</v>
      </c>
      <c r="D125" s="158" t="str">
        <f t="shared" ref="D125:V125" ca="1" si="104">INDIRECT("'"&amp;D$6&amp;"'!$J$863")</f>
        <v>Not Calculated</v>
      </c>
      <c r="E125" s="158" t="str">
        <f t="shared" ca="1" si="104"/>
        <v>Not Calculated</v>
      </c>
      <c r="F125" s="158" t="str">
        <f t="shared" ca="1" si="104"/>
        <v>Not Calculated</v>
      </c>
      <c r="G125" s="158" t="str">
        <f t="shared" ca="1" si="104"/>
        <v>Not Calculated</v>
      </c>
      <c r="H125" s="158" t="str">
        <f t="shared" ca="1" si="104"/>
        <v>Not Calculated</v>
      </c>
      <c r="I125" s="158" t="str">
        <f t="shared" ca="1" si="104"/>
        <v>Not Calculated</v>
      </c>
      <c r="J125" s="158" t="str">
        <f t="shared" ca="1" si="104"/>
        <v>Not Calculated</v>
      </c>
      <c r="K125" s="158" t="str">
        <f t="shared" ca="1" si="104"/>
        <v>Not Calculated</v>
      </c>
      <c r="L125" s="158" t="str">
        <f t="shared" ca="1" si="104"/>
        <v>Not Calculated</v>
      </c>
      <c r="M125" s="158" t="str">
        <f t="shared" ca="1" si="104"/>
        <v>Not Calculated</v>
      </c>
      <c r="N125" s="158" t="str">
        <f t="shared" ca="1" si="104"/>
        <v>Not Calculated</v>
      </c>
      <c r="O125" s="158" t="str">
        <f t="shared" ca="1" si="104"/>
        <v>Not Calculated</v>
      </c>
      <c r="P125" s="158" t="str">
        <f t="shared" ca="1" si="104"/>
        <v>Not Calculated</v>
      </c>
      <c r="Q125" s="158" t="str">
        <f t="shared" ca="1" si="104"/>
        <v>Not Calculated</v>
      </c>
      <c r="R125" s="158" t="str">
        <f t="shared" ca="1" si="104"/>
        <v>Not Calculated</v>
      </c>
      <c r="S125" s="158" t="str">
        <f t="shared" ca="1" si="104"/>
        <v>Not Calculated</v>
      </c>
      <c r="T125" s="158" t="str">
        <f t="shared" ca="1" si="104"/>
        <v>Not Calculated</v>
      </c>
      <c r="U125" s="158" t="str">
        <f t="shared" ca="1" si="104"/>
        <v>Not Calculated</v>
      </c>
      <c r="V125" s="158" t="str">
        <f t="shared" ca="1" si="104"/>
        <v>Not Calculated</v>
      </c>
    </row>
    <row r="126" spans="1:22" ht="15" customHeight="1" x14ac:dyDescent="0.3">
      <c r="A126" s="422" t="s">
        <v>114</v>
      </c>
      <c r="B126" s="125" t="s">
        <v>717</v>
      </c>
      <c r="C126" s="145" t="str">
        <f ca="1">INDIRECT("'"&amp;C$6&amp;"'!$G$866")</f>
        <v>Important</v>
      </c>
      <c r="D126" s="145" t="str">
        <f t="shared" ref="D126:V126" ca="1" si="105">INDIRECT("'"&amp;D$6&amp;"'!$G$866")</f>
        <v>Critical</v>
      </c>
      <c r="E126" s="145" t="str">
        <f t="shared" ca="1" si="105"/>
        <v>Critical</v>
      </c>
      <c r="F126" s="145" t="str">
        <f t="shared" ca="1" si="105"/>
        <v>Not relevant</v>
      </c>
      <c r="G126" s="145" t="str">
        <f t="shared" ca="1" si="105"/>
        <v>Important</v>
      </c>
      <c r="H126" s="145" t="str">
        <f t="shared" ca="1" si="105"/>
        <v>Important</v>
      </c>
      <c r="I126" s="145" t="str">
        <f t="shared" ca="1" si="105"/>
        <v>Not relevant</v>
      </c>
      <c r="J126" s="145" t="str">
        <f t="shared" ca="1" si="105"/>
        <v>Not relevant</v>
      </c>
      <c r="K126" s="145" t="str">
        <f t="shared" ca="1" si="105"/>
        <v>Not relevant</v>
      </c>
      <c r="L126" s="145" t="str">
        <f t="shared" ca="1" si="105"/>
        <v>Important</v>
      </c>
      <c r="M126" s="145" t="str">
        <f t="shared" ca="1" si="105"/>
        <v>Important</v>
      </c>
      <c r="N126" s="145" t="str">
        <f t="shared" ca="1" si="105"/>
        <v>Critical</v>
      </c>
      <c r="O126" s="145" t="str">
        <f t="shared" ca="1" si="105"/>
        <v>Critical</v>
      </c>
      <c r="P126" s="145" t="str">
        <f t="shared" ca="1" si="105"/>
        <v>Critical</v>
      </c>
      <c r="Q126" s="145" t="str">
        <f t="shared" ca="1" si="105"/>
        <v>Critical</v>
      </c>
      <c r="R126" s="145" t="str">
        <f t="shared" ca="1" si="105"/>
        <v>Critical</v>
      </c>
      <c r="S126" s="145" t="str">
        <f t="shared" ca="1" si="105"/>
        <v>Limited importance</v>
      </c>
      <c r="T126" s="145" t="str">
        <f t="shared" ca="1" si="105"/>
        <v>Critical</v>
      </c>
      <c r="U126" s="145" t="str">
        <f t="shared" ca="1" si="105"/>
        <v>Important</v>
      </c>
      <c r="V126" s="145" t="str">
        <f t="shared" ca="1" si="105"/>
        <v>Important</v>
      </c>
    </row>
    <row r="127" spans="1:22" x14ac:dyDescent="0.3">
      <c r="A127" s="423"/>
      <c r="B127" s="126" t="s">
        <v>718</v>
      </c>
      <c r="C127" s="158" t="str">
        <f ca="1">INDIRECT("'"&amp;C$6&amp;"'!$J$867")</f>
        <v>Not Calculated</v>
      </c>
      <c r="D127" s="158" t="str">
        <f t="shared" ref="D127:V127" ca="1" si="106">INDIRECT("'"&amp;D$6&amp;"'!$J$867")</f>
        <v>Not Calculated</v>
      </c>
      <c r="E127" s="158" t="str">
        <f t="shared" ca="1" si="106"/>
        <v>Not Calculated</v>
      </c>
      <c r="F127" s="158" t="str">
        <f t="shared" ca="1" si="106"/>
        <v>Not Calculated</v>
      </c>
      <c r="G127" s="158" t="str">
        <f t="shared" ca="1" si="106"/>
        <v>Not Calculated</v>
      </c>
      <c r="H127" s="158" t="str">
        <f t="shared" ca="1" si="106"/>
        <v>Not Calculated</v>
      </c>
      <c r="I127" s="158" t="str">
        <f t="shared" ca="1" si="106"/>
        <v>Not Calculated</v>
      </c>
      <c r="J127" s="158" t="str">
        <f t="shared" ca="1" si="106"/>
        <v>Not Calculated</v>
      </c>
      <c r="K127" s="158" t="str">
        <f t="shared" ca="1" si="106"/>
        <v>Not Calculated</v>
      </c>
      <c r="L127" s="158" t="str">
        <f t="shared" ca="1" si="106"/>
        <v>Not Calculated</v>
      </c>
      <c r="M127" s="158" t="str">
        <f t="shared" ca="1" si="106"/>
        <v>Not Calculated</v>
      </c>
      <c r="N127" s="158" t="str">
        <f t="shared" ca="1" si="106"/>
        <v>Not Calculated</v>
      </c>
      <c r="O127" s="158" t="str">
        <f t="shared" ca="1" si="106"/>
        <v>Not Calculated</v>
      </c>
      <c r="P127" s="158" t="str">
        <f t="shared" ca="1" si="106"/>
        <v>Not Calculated</v>
      </c>
      <c r="Q127" s="158" t="str">
        <f t="shared" ca="1" si="106"/>
        <v>Not Calculated</v>
      </c>
      <c r="R127" s="158" t="str">
        <f t="shared" ca="1" si="106"/>
        <v>Not Calculated</v>
      </c>
      <c r="S127" s="158" t="str">
        <f t="shared" ca="1" si="106"/>
        <v>Not Calculated</v>
      </c>
      <c r="T127" s="158" t="str">
        <f t="shared" ca="1" si="106"/>
        <v>Not Calculated</v>
      </c>
      <c r="U127" s="158" t="str">
        <f t="shared" ca="1" si="106"/>
        <v>Not Calculated</v>
      </c>
      <c r="V127" s="158" t="str">
        <f t="shared" ca="1" si="106"/>
        <v>Not Calculated</v>
      </c>
    </row>
    <row r="128" spans="1:22" ht="15" customHeight="1" x14ac:dyDescent="0.3">
      <c r="A128" s="422" t="s">
        <v>116</v>
      </c>
      <c r="B128" s="125" t="s">
        <v>717</v>
      </c>
      <c r="C128" s="145" t="str">
        <f ca="1">INDIRECT("'"&amp;C$6&amp;"'!$G$870")</f>
        <v>Critical</v>
      </c>
      <c r="D128" s="145" t="str">
        <f t="shared" ref="D128:V128" ca="1" si="107">INDIRECT("'"&amp;D$6&amp;"'!$G$870")</f>
        <v>Critical</v>
      </c>
      <c r="E128" s="145" t="str">
        <f t="shared" ca="1" si="107"/>
        <v>Critical</v>
      </c>
      <c r="F128" s="145" t="str">
        <f t="shared" ca="1" si="107"/>
        <v>Important</v>
      </c>
      <c r="G128" s="145" t="str">
        <f t="shared" ca="1" si="107"/>
        <v>Important</v>
      </c>
      <c r="H128" s="145" t="str">
        <f t="shared" ca="1" si="107"/>
        <v>Critical</v>
      </c>
      <c r="I128" s="145" t="str">
        <f t="shared" ca="1" si="107"/>
        <v>Not relevant</v>
      </c>
      <c r="J128" s="145" t="str">
        <f t="shared" ca="1" si="107"/>
        <v>Not relevant</v>
      </c>
      <c r="K128" s="145" t="str">
        <f t="shared" ca="1" si="107"/>
        <v>Not relevant</v>
      </c>
      <c r="L128" s="145" t="str">
        <f t="shared" ca="1" si="107"/>
        <v>Not relevant</v>
      </c>
      <c r="M128" s="145" t="str">
        <f t="shared" ca="1" si="107"/>
        <v>Important</v>
      </c>
      <c r="N128" s="145" t="str">
        <f t="shared" ca="1" si="107"/>
        <v>Critical</v>
      </c>
      <c r="O128" s="145" t="str">
        <f t="shared" ca="1" si="107"/>
        <v>Important</v>
      </c>
      <c r="P128" s="145" t="str">
        <f t="shared" ca="1" si="107"/>
        <v>Critical</v>
      </c>
      <c r="Q128" s="145" t="str">
        <f t="shared" ca="1" si="107"/>
        <v>Critical</v>
      </c>
      <c r="R128" s="145" t="str">
        <f t="shared" ca="1" si="107"/>
        <v>Critical</v>
      </c>
      <c r="S128" s="145" t="str">
        <f t="shared" ca="1" si="107"/>
        <v>Important</v>
      </c>
      <c r="T128" s="145" t="str">
        <f t="shared" ca="1" si="107"/>
        <v>Highly Important</v>
      </c>
      <c r="U128" s="145" t="str">
        <f t="shared" ca="1" si="107"/>
        <v>Important</v>
      </c>
      <c r="V128" s="145" t="str">
        <f t="shared" ca="1" si="107"/>
        <v>Limited importance</v>
      </c>
    </row>
    <row r="129" spans="1:22" x14ac:dyDescent="0.3">
      <c r="A129" s="423"/>
      <c r="B129" s="126" t="s">
        <v>718</v>
      </c>
      <c r="C129" s="158" t="str">
        <f ca="1">INDIRECT("'"&amp;C$6&amp;"'!$J$871")</f>
        <v>Not Calculated</v>
      </c>
      <c r="D129" s="158" t="str">
        <f t="shared" ref="D129:V129" ca="1" si="108">INDIRECT("'"&amp;D$6&amp;"'!$J$871")</f>
        <v>Not Calculated</v>
      </c>
      <c r="E129" s="158" t="str">
        <f t="shared" ca="1" si="108"/>
        <v>Not Calculated</v>
      </c>
      <c r="F129" s="158" t="str">
        <f t="shared" ca="1" si="108"/>
        <v>Not Calculated</v>
      </c>
      <c r="G129" s="158" t="str">
        <f t="shared" ca="1" si="108"/>
        <v>Not Calculated</v>
      </c>
      <c r="H129" s="158" t="str">
        <f t="shared" ca="1" si="108"/>
        <v>Not Calculated</v>
      </c>
      <c r="I129" s="158" t="str">
        <f t="shared" ca="1" si="108"/>
        <v>Not Calculated</v>
      </c>
      <c r="J129" s="158" t="str">
        <f t="shared" ca="1" si="108"/>
        <v>Not Calculated</v>
      </c>
      <c r="K129" s="158" t="str">
        <f t="shared" ca="1" si="108"/>
        <v>Not Calculated</v>
      </c>
      <c r="L129" s="158" t="str">
        <f t="shared" ca="1" si="108"/>
        <v>Not Calculated</v>
      </c>
      <c r="M129" s="158" t="str">
        <f t="shared" ca="1" si="108"/>
        <v>Not Calculated</v>
      </c>
      <c r="N129" s="158" t="str">
        <f t="shared" ca="1" si="108"/>
        <v>Not Calculated</v>
      </c>
      <c r="O129" s="158" t="str">
        <f t="shared" ca="1" si="108"/>
        <v>Not Calculated</v>
      </c>
      <c r="P129" s="158" t="str">
        <f t="shared" ca="1" si="108"/>
        <v>Not Calculated</v>
      </c>
      <c r="Q129" s="158" t="str">
        <f t="shared" ca="1" si="108"/>
        <v>Not Calculated</v>
      </c>
      <c r="R129" s="158" t="str">
        <f t="shared" ca="1" si="108"/>
        <v>Not Calculated</v>
      </c>
      <c r="S129" s="158" t="str">
        <f t="shared" ca="1" si="108"/>
        <v>Not Calculated</v>
      </c>
      <c r="T129" s="158" t="str">
        <f t="shared" ca="1" si="108"/>
        <v>Not Calculated</v>
      </c>
      <c r="U129" s="158" t="str">
        <f t="shared" ca="1" si="108"/>
        <v>Not Calculated</v>
      </c>
      <c r="V129" s="158" t="str">
        <f t="shared" ca="1" si="108"/>
        <v>Not Calculated</v>
      </c>
    </row>
    <row r="130" spans="1:22" ht="15" customHeight="1" x14ac:dyDescent="0.3">
      <c r="A130" s="422" t="s">
        <v>118</v>
      </c>
      <c r="B130" s="125" t="s">
        <v>717</v>
      </c>
      <c r="C130" s="145" t="str">
        <f ca="1">INDIRECT("'"&amp;C$6&amp;"'!$G$874")</f>
        <v>Not relevant</v>
      </c>
      <c r="D130" s="145" t="str">
        <f t="shared" ref="D130:V130" ca="1" si="109">INDIRECT("'"&amp;D$6&amp;"'!$G$874")</f>
        <v>Critical</v>
      </c>
      <c r="E130" s="145" t="str">
        <f t="shared" ca="1" si="109"/>
        <v>Highly Important</v>
      </c>
      <c r="F130" s="145" t="str">
        <f t="shared" ca="1" si="109"/>
        <v>Not relevant</v>
      </c>
      <c r="G130" s="145" t="str">
        <f t="shared" ca="1" si="109"/>
        <v>Not relevant</v>
      </c>
      <c r="H130" s="145" t="str">
        <f t="shared" ca="1" si="109"/>
        <v>Not relevant</v>
      </c>
      <c r="I130" s="145" t="str">
        <f t="shared" ca="1" si="109"/>
        <v>Not relevant</v>
      </c>
      <c r="J130" s="145" t="str">
        <f t="shared" ca="1" si="109"/>
        <v>Not relevant</v>
      </c>
      <c r="K130" s="145" t="str">
        <f t="shared" ca="1" si="109"/>
        <v>Not relevant</v>
      </c>
      <c r="L130" s="145" t="str">
        <f t="shared" ca="1" si="109"/>
        <v>Not relevant</v>
      </c>
      <c r="M130" s="145" t="str">
        <f t="shared" ca="1" si="109"/>
        <v>Not relevant</v>
      </c>
      <c r="N130" s="145" t="str">
        <f t="shared" ca="1" si="109"/>
        <v>Highly Important</v>
      </c>
      <c r="O130" s="145" t="str">
        <f t="shared" ca="1" si="109"/>
        <v>Critical</v>
      </c>
      <c r="P130" s="145" t="str">
        <f t="shared" ca="1" si="109"/>
        <v>Critical</v>
      </c>
      <c r="Q130" s="145" t="str">
        <f t="shared" ca="1" si="109"/>
        <v>Critical</v>
      </c>
      <c r="R130" s="145" t="str">
        <f t="shared" ca="1" si="109"/>
        <v>Critical</v>
      </c>
      <c r="S130" s="145" t="str">
        <f t="shared" ca="1" si="109"/>
        <v>Not relevant</v>
      </c>
      <c r="T130" s="145" t="str">
        <f t="shared" ca="1" si="109"/>
        <v>Not relevant</v>
      </c>
      <c r="U130" s="145" t="str">
        <f t="shared" ca="1" si="109"/>
        <v>Not relevant</v>
      </c>
      <c r="V130" s="145" t="str">
        <f t="shared" ca="1" si="109"/>
        <v>Not relevant</v>
      </c>
    </row>
    <row r="131" spans="1:22" x14ac:dyDescent="0.3">
      <c r="A131" s="423"/>
      <c r="B131" s="126" t="s">
        <v>718</v>
      </c>
      <c r="C131" s="158" t="str">
        <f ca="1">INDIRECT("'"&amp;C$6&amp;"'!$J$875")</f>
        <v>Not Calculated</v>
      </c>
      <c r="D131" s="158" t="str">
        <f t="shared" ref="D131:V131" ca="1" si="110">INDIRECT("'"&amp;D$6&amp;"'!$J$875")</f>
        <v>Not Calculated</v>
      </c>
      <c r="E131" s="158" t="str">
        <f t="shared" ca="1" si="110"/>
        <v>Not Calculated</v>
      </c>
      <c r="F131" s="158" t="str">
        <f t="shared" ca="1" si="110"/>
        <v>Not Calculated</v>
      </c>
      <c r="G131" s="158" t="str">
        <f t="shared" ca="1" si="110"/>
        <v>Not Calculated</v>
      </c>
      <c r="H131" s="158" t="str">
        <f t="shared" ca="1" si="110"/>
        <v>Not Calculated</v>
      </c>
      <c r="I131" s="158" t="str">
        <f t="shared" ca="1" si="110"/>
        <v>Not Calculated</v>
      </c>
      <c r="J131" s="158" t="str">
        <f t="shared" ca="1" si="110"/>
        <v>Not Calculated</v>
      </c>
      <c r="K131" s="158" t="str">
        <f t="shared" ca="1" si="110"/>
        <v>Not Calculated</v>
      </c>
      <c r="L131" s="158" t="str">
        <f t="shared" ca="1" si="110"/>
        <v>Not Calculated</v>
      </c>
      <c r="M131" s="158" t="str">
        <f t="shared" ca="1" si="110"/>
        <v>Not Calculated</v>
      </c>
      <c r="N131" s="158" t="str">
        <f t="shared" ca="1" si="110"/>
        <v>Not Calculated</v>
      </c>
      <c r="O131" s="158" t="str">
        <f t="shared" ca="1" si="110"/>
        <v>Not Calculated</v>
      </c>
      <c r="P131" s="158" t="str">
        <f t="shared" ca="1" si="110"/>
        <v>Not Calculated</v>
      </c>
      <c r="Q131" s="158" t="str">
        <f t="shared" ca="1" si="110"/>
        <v>Not Calculated</v>
      </c>
      <c r="R131" s="158" t="str">
        <f t="shared" ca="1" si="110"/>
        <v>Not Calculated</v>
      </c>
      <c r="S131" s="158" t="str">
        <f t="shared" ca="1" si="110"/>
        <v>Not Calculated</v>
      </c>
      <c r="T131" s="158" t="str">
        <f t="shared" ca="1" si="110"/>
        <v>Not Calculated</v>
      </c>
      <c r="U131" s="158" t="str">
        <f t="shared" ca="1" si="110"/>
        <v>Not Calculated</v>
      </c>
      <c r="V131" s="158" t="str">
        <f t="shared" ca="1" si="110"/>
        <v>Not Calculated</v>
      </c>
    </row>
    <row r="132" spans="1:22" ht="15" customHeight="1" x14ac:dyDescent="0.3">
      <c r="A132" s="422" t="s">
        <v>120</v>
      </c>
      <c r="B132" s="125" t="s">
        <v>717</v>
      </c>
      <c r="C132" s="145" t="str">
        <f ca="1">INDIRECT("'"&amp;C$6&amp;"'!$G$878")</f>
        <v>Not relevant</v>
      </c>
      <c r="D132" s="145" t="str">
        <f t="shared" ref="D132:V132" ca="1" si="111">INDIRECT("'"&amp;D$6&amp;"'!$G$878")</f>
        <v>Critical</v>
      </c>
      <c r="E132" s="145" t="str">
        <f t="shared" ca="1" si="111"/>
        <v>Critical</v>
      </c>
      <c r="F132" s="145" t="str">
        <f t="shared" ca="1" si="111"/>
        <v>Not relevant</v>
      </c>
      <c r="G132" s="145" t="str">
        <f t="shared" ca="1" si="111"/>
        <v>Limited importance</v>
      </c>
      <c r="H132" s="145" t="str">
        <f t="shared" ca="1" si="111"/>
        <v>Limited importance</v>
      </c>
      <c r="I132" s="145" t="str">
        <f t="shared" ca="1" si="111"/>
        <v>Not relevant</v>
      </c>
      <c r="J132" s="145" t="str">
        <f t="shared" ca="1" si="111"/>
        <v>Not relevant</v>
      </c>
      <c r="K132" s="145" t="str">
        <f t="shared" ca="1" si="111"/>
        <v>Important</v>
      </c>
      <c r="L132" s="145" t="str">
        <f t="shared" ca="1" si="111"/>
        <v>Not relevant</v>
      </c>
      <c r="M132" s="145" t="str">
        <f t="shared" ca="1" si="111"/>
        <v>Limited importance</v>
      </c>
      <c r="N132" s="145" t="str">
        <f t="shared" ca="1" si="111"/>
        <v>Critical</v>
      </c>
      <c r="O132" s="145" t="str">
        <f t="shared" ca="1" si="111"/>
        <v>Critical</v>
      </c>
      <c r="P132" s="145" t="str">
        <f t="shared" ca="1" si="111"/>
        <v>Critical</v>
      </c>
      <c r="Q132" s="145" t="str">
        <f t="shared" ca="1" si="111"/>
        <v>Critical</v>
      </c>
      <c r="R132" s="145" t="str">
        <f t="shared" ca="1" si="111"/>
        <v>Critical</v>
      </c>
      <c r="S132" s="145" t="str">
        <f t="shared" ca="1" si="111"/>
        <v>Not relevant</v>
      </c>
      <c r="T132" s="145" t="str">
        <f t="shared" ca="1" si="111"/>
        <v>Limited importance</v>
      </c>
      <c r="U132" s="145" t="str">
        <f t="shared" ca="1" si="111"/>
        <v>Limited importance</v>
      </c>
      <c r="V132" s="145" t="str">
        <f t="shared" ca="1" si="111"/>
        <v>Not relevant</v>
      </c>
    </row>
    <row r="133" spans="1:22" x14ac:dyDescent="0.3">
      <c r="A133" s="423"/>
      <c r="B133" s="126" t="s">
        <v>718</v>
      </c>
      <c r="C133" s="158" t="str">
        <f ca="1">INDIRECT("'"&amp;C$6&amp;"'!$J$879")</f>
        <v>Not Calculated</v>
      </c>
      <c r="D133" s="158" t="str">
        <f t="shared" ref="D133:V133" ca="1" si="112">INDIRECT("'"&amp;D$6&amp;"'!$J$879")</f>
        <v>Not Calculated</v>
      </c>
      <c r="E133" s="158" t="str">
        <f t="shared" ca="1" si="112"/>
        <v>Not Calculated</v>
      </c>
      <c r="F133" s="158" t="str">
        <f t="shared" ca="1" si="112"/>
        <v>Not Calculated</v>
      </c>
      <c r="G133" s="158" t="str">
        <f t="shared" ca="1" si="112"/>
        <v>Not Calculated</v>
      </c>
      <c r="H133" s="158" t="str">
        <f t="shared" ca="1" si="112"/>
        <v>Not Calculated</v>
      </c>
      <c r="I133" s="158" t="str">
        <f t="shared" ca="1" si="112"/>
        <v>Not Calculated</v>
      </c>
      <c r="J133" s="158" t="str">
        <f t="shared" ca="1" si="112"/>
        <v>Not Calculated</v>
      </c>
      <c r="K133" s="158" t="str">
        <f t="shared" ca="1" si="112"/>
        <v>Not Calculated</v>
      </c>
      <c r="L133" s="158" t="str">
        <f t="shared" ca="1" si="112"/>
        <v>Not Calculated</v>
      </c>
      <c r="M133" s="158" t="str">
        <f t="shared" ca="1" si="112"/>
        <v>Not Calculated</v>
      </c>
      <c r="N133" s="158" t="str">
        <f t="shared" ca="1" si="112"/>
        <v>Not Calculated</v>
      </c>
      <c r="O133" s="158" t="str">
        <f t="shared" ca="1" si="112"/>
        <v>Not Calculated</v>
      </c>
      <c r="P133" s="158" t="str">
        <f t="shared" ca="1" si="112"/>
        <v>Not Calculated</v>
      </c>
      <c r="Q133" s="158" t="str">
        <f t="shared" ca="1" si="112"/>
        <v>Not Calculated</v>
      </c>
      <c r="R133" s="158" t="str">
        <f t="shared" ca="1" si="112"/>
        <v>Not Calculated</v>
      </c>
      <c r="S133" s="158" t="str">
        <f t="shared" ca="1" si="112"/>
        <v>Not Calculated</v>
      </c>
      <c r="T133" s="158" t="str">
        <f t="shared" ca="1" si="112"/>
        <v>Not Calculated</v>
      </c>
      <c r="U133" s="158" t="str">
        <f t="shared" ca="1" si="112"/>
        <v>Not Calculated</v>
      </c>
      <c r="V133" s="158" t="str">
        <f t="shared" ca="1" si="112"/>
        <v>Not Calculated</v>
      </c>
    </row>
    <row r="134" spans="1:22" ht="15" customHeight="1" x14ac:dyDescent="0.3">
      <c r="A134" s="422" t="s">
        <v>122</v>
      </c>
      <c r="B134" s="125" t="s">
        <v>717</v>
      </c>
      <c r="C134" s="145" t="str">
        <f ca="1">INDIRECT("'"&amp;C$6&amp;"'!$G$882")</f>
        <v>Limited importance</v>
      </c>
      <c r="D134" s="145" t="str">
        <f t="shared" ref="D134:V134" ca="1" si="113">INDIRECT("'"&amp;D$6&amp;"'!$G$882")</f>
        <v>Critical</v>
      </c>
      <c r="E134" s="145" t="str">
        <f t="shared" ca="1" si="113"/>
        <v>Highly Important</v>
      </c>
      <c r="F134" s="145" t="str">
        <f t="shared" ca="1" si="113"/>
        <v>Not relevant</v>
      </c>
      <c r="G134" s="145" t="str">
        <f t="shared" ca="1" si="113"/>
        <v>Important</v>
      </c>
      <c r="H134" s="145" t="str">
        <f t="shared" ca="1" si="113"/>
        <v>Critical</v>
      </c>
      <c r="I134" s="145" t="str">
        <f t="shared" ca="1" si="113"/>
        <v>Highly Important</v>
      </c>
      <c r="J134" s="145" t="str">
        <f t="shared" ca="1" si="113"/>
        <v>Highly Important</v>
      </c>
      <c r="K134" s="145" t="str">
        <f t="shared" ca="1" si="113"/>
        <v>Important</v>
      </c>
      <c r="L134" s="145" t="str">
        <f t="shared" ca="1" si="113"/>
        <v>Important</v>
      </c>
      <c r="M134" s="145" t="str">
        <f t="shared" ca="1" si="113"/>
        <v>Important</v>
      </c>
      <c r="N134" s="145" t="str">
        <f t="shared" ca="1" si="113"/>
        <v>Highly Important</v>
      </c>
      <c r="O134" s="145" t="str">
        <f t="shared" ca="1" si="113"/>
        <v>Critical</v>
      </c>
      <c r="P134" s="145" t="str">
        <f t="shared" ca="1" si="113"/>
        <v>Critical</v>
      </c>
      <c r="Q134" s="145" t="str">
        <f t="shared" ca="1" si="113"/>
        <v>Critical</v>
      </c>
      <c r="R134" s="145" t="str">
        <f t="shared" ca="1" si="113"/>
        <v>Critical</v>
      </c>
      <c r="S134" s="145" t="str">
        <f t="shared" ca="1" si="113"/>
        <v>Important</v>
      </c>
      <c r="T134" s="145" t="str">
        <f t="shared" ca="1" si="113"/>
        <v>Important</v>
      </c>
      <c r="U134" s="145" t="str">
        <f t="shared" ca="1" si="113"/>
        <v>Important</v>
      </c>
      <c r="V134" s="145" t="str">
        <f t="shared" ca="1" si="113"/>
        <v>Limited importance</v>
      </c>
    </row>
    <row r="135" spans="1:22" x14ac:dyDescent="0.3">
      <c r="A135" s="423"/>
      <c r="B135" s="126" t="s">
        <v>718</v>
      </c>
      <c r="C135" s="158" t="str">
        <f ca="1">INDIRECT("'"&amp;C$6&amp;"'!$J$883")</f>
        <v>Not Calculated</v>
      </c>
      <c r="D135" s="158" t="str">
        <f t="shared" ref="D135:V135" ca="1" si="114">INDIRECT("'"&amp;D$6&amp;"'!$J$883")</f>
        <v>Not Calculated</v>
      </c>
      <c r="E135" s="158" t="str">
        <f t="shared" ca="1" si="114"/>
        <v>Not Calculated</v>
      </c>
      <c r="F135" s="158" t="str">
        <f t="shared" ca="1" si="114"/>
        <v>Not Calculated</v>
      </c>
      <c r="G135" s="158" t="str">
        <f t="shared" ca="1" si="114"/>
        <v>Not Calculated</v>
      </c>
      <c r="H135" s="158" t="str">
        <f t="shared" ca="1" si="114"/>
        <v>Not Calculated</v>
      </c>
      <c r="I135" s="158" t="str">
        <f t="shared" ca="1" si="114"/>
        <v>Not Calculated</v>
      </c>
      <c r="J135" s="158" t="str">
        <f t="shared" ca="1" si="114"/>
        <v>Not Calculated</v>
      </c>
      <c r="K135" s="158" t="str">
        <f t="shared" ca="1" si="114"/>
        <v>Not Calculated</v>
      </c>
      <c r="L135" s="158" t="str">
        <f t="shared" ca="1" si="114"/>
        <v>Not Calculated</v>
      </c>
      <c r="M135" s="158" t="str">
        <f t="shared" ca="1" si="114"/>
        <v>Not Calculated</v>
      </c>
      <c r="N135" s="158" t="str">
        <f t="shared" ca="1" si="114"/>
        <v>Not Calculated</v>
      </c>
      <c r="O135" s="158" t="str">
        <f t="shared" ca="1" si="114"/>
        <v>Not Calculated</v>
      </c>
      <c r="P135" s="158" t="str">
        <f t="shared" ca="1" si="114"/>
        <v>Not Calculated</v>
      </c>
      <c r="Q135" s="158" t="str">
        <f t="shared" ca="1" si="114"/>
        <v>Not Calculated</v>
      </c>
      <c r="R135" s="158" t="str">
        <f t="shared" ca="1" si="114"/>
        <v>Not Calculated</v>
      </c>
      <c r="S135" s="158" t="str">
        <f t="shared" ca="1" si="114"/>
        <v>Not Calculated</v>
      </c>
      <c r="T135" s="158" t="str">
        <f t="shared" ca="1" si="114"/>
        <v>Not Calculated</v>
      </c>
      <c r="U135" s="158" t="str">
        <f t="shared" ca="1" si="114"/>
        <v>Not Calculated</v>
      </c>
      <c r="V135" s="158" t="str">
        <f t="shared" ca="1" si="114"/>
        <v>Not Calculated</v>
      </c>
    </row>
    <row r="136" spans="1:22" ht="15" customHeight="1" x14ac:dyDescent="0.3">
      <c r="A136" s="422" t="s">
        <v>124</v>
      </c>
      <c r="B136" s="125" t="s">
        <v>717</v>
      </c>
      <c r="C136" s="145" t="str">
        <f ca="1">INDIRECT("'"&amp;C$6&amp;"'!$G$886")</f>
        <v>Highly Important</v>
      </c>
      <c r="D136" s="145" t="str">
        <f t="shared" ref="D136:V136" ca="1" si="115">INDIRECT("'"&amp;D$6&amp;"'!$G$886")</f>
        <v>Critical</v>
      </c>
      <c r="E136" s="145" t="str">
        <f t="shared" ca="1" si="115"/>
        <v>Critical</v>
      </c>
      <c r="F136" s="145" t="str">
        <f t="shared" ca="1" si="115"/>
        <v>Limited importance</v>
      </c>
      <c r="G136" s="145" t="str">
        <f t="shared" ca="1" si="115"/>
        <v>Important</v>
      </c>
      <c r="H136" s="145" t="str">
        <f t="shared" ca="1" si="115"/>
        <v>Highly Important</v>
      </c>
      <c r="I136" s="145" t="str">
        <f t="shared" ca="1" si="115"/>
        <v>Not relevant</v>
      </c>
      <c r="J136" s="145" t="str">
        <f t="shared" ca="1" si="115"/>
        <v>Not relevant</v>
      </c>
      <c r="K136" s="145" t="str">
        <f t="shared" ca="1" si="115"/>
        <v>Important</v>
      </c>
      <c r="L136" s="145" t="str">
        <f t="shared" ca="1" si="115"/>
        <v>Not relevant</v>
      </c>
      <c r="M136" s="145" t="str">
        <f t="shared" ca="1" si="115"/>
        <v>Important</v>
      </c>
      <c r="N136" s="145" t="str">
        <f t="shared" ca="1" si="115"/>
        <v>Critical</v>
      </c>
      <c r="O136" s="145" t="str">
        <f t="shared" ca="1" si="115"/>
        <v>Critical</v>
      </c>
      <c r="P136" s="145" t="str">
        <f t="shared" ca="1" si="115"/>
        <v>Critical</v>
      </c>
      <c r="Q136" s="145" t="str">
        <f t="shared" ca="1" si="115"/>
        <v>Critical</v>
      </c>
      <c r="R136" s="145" t="str">
        <f t="shared" ca="1" si="115"/>
        <v>Critical</v>
      </c>
      <c r="S136" s="145" t="str">
        <f t="shared" ca="1" si="115"/>
        <v>Limited importance</v>
      </c>
      <c r="T136" s="145" t="str">
        <f t="shared" ca="1" si="115"/>
        <v>Highly Important</v>
      </c>
      <c r="U136" s="145" t="str">
        <f t="shared" ca="1" si="115"/>
        <v>Limited importance</v>
      </c>
      <c r="V136" s="145" t="str">
        <f t="shared" ca="1" si="115"/>
        <v>Limited importance</v>
      </c>
    </row>
    <row r="137" spans="1:22" x14ac:dyDescent="0.3">
      <c r="A137" s="423"/>
      <c r="B137" s="126" t="s">
        <v>718</v>
      </c>
      <c r="C137" s="158" t="str">
        <f ca="1">INDIRECT("'"&amp;C$6&amp;"'!$J$887")</f>
        <v>Not Calculated</v>
      </c>
      <c r="D137" s="158" t="str">
        <f t="shared" ref="D137:V137" ca="1" si="116">INDIRECT("'"&amp;D$6&amp;"'!$J$887")</f>
        <v>Not Calculated</v>
      </c>
      <c r="E137" s="158" t="str">
        <f t="shared" ca="1" si="116"/>
        <v>Not Calculated</v>
      </c>
      <c r="F137" s="158" t="str">
        <f t="shared" ca="1" si="116"/>
        <v>Not Calculated</v>
      </c>
      <c r="G137" s="158" t="str">
        <f t="shared" ca="1" si="116"/>
        <v>Not Calculated</v>
      </c>
      <c r="H137" s="158" t="str">
        <f t="shared" ca="1" si="116"/>
        <v>Not Calculated</v>
      </c>
      <c r="I137" s="158" t="str">
        <f t="shared" ca="1" si="116"/>
        <v>Not Calculated</v>
      </c>
      <c r="J137" s="158" t="str">
        <f t="shared" ca="1" si="116"/>
        <v>Not Calculated</v>
      </c>
      <c r="K137" s="158" t="str">
        <f t="shared" ca="1" si="116"/>
        <v>Not Calculated</v>
      </c>
      <c r="L137" s="158" t="str">
        <f t="shared" ca="1" si="116"/>
        <v>Not Calculated</v>
      </c>
      <c r="M137" s="158" t="str">
        <f t="shared" ca="1" si="116"/>
        <v>Not Calculated</v>
      </c>
      <c r="N137" s="158" t="str">
        <f t="shared" ca="1" si="116"/>
        <v>Not Calculated</v>
      </c>
      <c r="O137" s="158" t="str">
        <f t="shared" ca="1" si="116"/>
        <v>Not Calculated</v>
      </c>
      <c r="P137" s="158" t="str">
        <f t="shared" ca="1" si="116"/>
        <v>Not Calculated</v>
      </c>
      <c r="Q137" s="158" t="str">
        <f t="shared" ca="1" si="116"/>
        <v>Not Calculated</v>
      </c>
      <c r="R137" s="158" t="str">
        <f t="shared" ca="1" si="116"/>
        <v>Not Calculated</v>
      </c>
      <c r="S137" s="158" t="str">
        <f t="shared" ca="1" si="116"/>
        <v>Not Calculated</v>
      </c>
      <c r="T137" s="158" t="str">
        <f t="shared" ca="1" si="116"/>
        <v>Not Calculated</v>
      </c>
      <c r="U137" s="158" t="str">
        <f t="shared" ca="1" si="116"/>
        <v>Not Calculated</v>
      </c>
      <c r="V137" s="158" t="str">
        <f t="shared" ca="1" si="116"/>
        <v>Not Calculated</v>
      </c>
    </row>
    <row r="138" spans="1:22" ht="15" customHeight="1" x14ac:dyDescent="0.3">
      <c r="A138" s="422" t="s">
        <v>126</v>
      </c>
      <c r="B138" s="125" t="s">
        <v>717</v>
      </c>
      <c r="C138" s="145" t="str">
        <f ca="1">INDIRECT("'"&amp;C$6&amp;"'!$G$890")</f>
        <v>Limited importance</v>
      </c>
      <c r="D138" s="145" t="str">
        <f t="shared" ref="D138:V138" ca="1" si="117">INDIRECT("'"&amp;D$6&amp;"'!$G$890")</f>
        <v>Critical</v>
      </c>
      <c r="E138" s="145" t="str">
        <f t="shared" ca="1" si="117"/>
        <v>Highly Important</v>
      </c>
      <c r="F138" s="145" t="str">
        <f t="shared" ca="1" si="117"/>
        <v>Not relevant</v>
      </c>
      <c r="G138" s="145" t="str">
        <f t="shared" ca="1" si="117"/>
        <v>Highly Important</v>
      </c>
      <c r="H138" s="145" t="str">
        <f t="shared" ca="1" si="117"/>
        <v>Limited importance</v>
      </c>
      <c r="I138" s="145" t="str">
        <f t="shared" ca="1" si="117"/>
        <v>Important</v>
      </c>
      <c r="J138" s="145" t="str">
        <f t="shared" ca="1" si="117"/>
        <v>Not relevant</v>
      </c>
      <c r="K138" s="145" t="str">
        <f t="shared" ca="1" si="117"/>
        <v>Not relevant</v>
      </c>
      <c r="L138" s="145" t="str">
        <f t="shared" ca="1" si="117"/>
        <v>Important</v>
      </c>
      <c r="M138" s="145" t="str">
        <f t="shared" ca="1" si="117"/>
        <v>Highly Important</v>
      </c>
      <c r="N138" s="145" t="str">
        <f t="shared" ca="1" si="117"/>
        <v>Highly Important</v>
      </c>
      <c r="O138" s="145" t="str">
        <f t="shared" ca="1" si="117"/>
        <v>Highly Important</v>
      </c>
      <c r="P138" s="145" t="str">
        <f t="shared" ca="1" si="117"/>
        <v>Critical</v>
      </c>
      <c r="Q138" s="145" t="str">
        <f t="shared" ca="1" si="117"/>
        <v>Critical</v>
      </c>
      <c r="R138" s="145" t="str">
        <f t="shared" ca="1" si="117"/>
        <v>Critical</v>
      </c>
      <c r="S138" s="145" t="str">
        <f t="shared" ca="1" si="117"/>
        <v>Important</v>
      </c>
      <c r="T138" s="145" t="str">
        <f t="shared" ca="1" si="117"/>
        <v>Highly Important</v>
      </c>
      <c r="U138" s="145" t="str">
        <f t="shared" ca="1" si="117"/>
        <v>Important</v>
      </c>
      <c r="V138" s="145" t="str">
        <f t="shared" ca="1" si="117"/>
        <v>Limited importance</v>
      </c>
    </row>
    <row r="139" spans="1:22" x14ac:dyDescent="0.3">
      <c r="A139" s="423"/>
      <c r="B139" s="126" t="s">
        <v>718</v>
      </c>
      <c r="C139" s="159" t="str">
        <f ca="1">INDIRECT("'"&amp;C$6&amp;"'!$J$891")</f>
        <v>Not Calculated</v>
      </c>
      <c r="D139" s="159" t="str">
        <f t="shared" ref="D139:V139" ca="1" si="118">INDIRECT("'"&amp;D$6&amp;"'!$J$891")</f>
        <v>Not Calculated</v>
      </c>
      <c r="E139" s="159" t="str">
        <f t="shared" ca="1" si="118"/>
        <v>Not Calculated</v>
      </c>
      <c r="F139" s="159" t="str">
        <f t="shared" ca="1" si="118"/>
        <v>Not Calculated</v>
      </c>
      <c r="G139" s="159" t="str">
        <f t="shared" ca="1" si="118"/>
        <v>Not Calculated</v>
      </c>
      <c r="H139" s="159" t="str">
        <f t="shared" ca="1" si="118"/>
        <v>Not Calculated</v>
      </c>
      <c r="I139" s="159" t="str">
        <f t="shared" ca="1" si="118"/>
        <v>Not Calculated</v>
      </c>
      <c r="J139" s="159" t="str">
        <f t="shared" ca="1" si="118"/>
        <v>Not Calculated</v>
      </c>
      <c r="K139" s="159" t="str">
        <f t="shared" ca="1" si="118"/>
        <v>Not Calculated</v>
      </c>
      <c r="L139" s="159" t="str">
        <f t="shared" ca="1" si="118"/>
        <v>Not Calculated</v>
      </c>
      <c r="M139" s="159" t="str">
        <f t="shared" ca="1" si="118"/>
        <v>Not Calculated</v>
      </c>
      <c r="N139" s="159" t="str">
        <f t="shared" ca="1" si="118"/>
        <v>Not Calculated</v>
      </c>
      <c r="O139" s="159" t="str">
        <f t="shared" ca="1" si="118"/>
        <v>Not Calculated</v>
      </c>
      <c r="P139" s="159" t="str">
        <f t="shared" ca="1" si="118"/>
        <v>Not Calculated</v>
      </c>
      <c r="Q139" s="159" t="str">
        <f t="shared" ca="1" si="118"/>
        <v>Not Calculated</v>
      </c>
      <c r="R139" s="159" t="str">
        <f t="shared" ca="1" si="118"/>
        <v>Not Calculated</v>
      </c>
      <c r="S139" s="159" t="str">
        <f t="shared" ca="1" si="118"/>
        <v>Not Calculated</v>
      </c>
      <c r="T139" s="159" t="str">
        <f t="shared" ca="1" si="118"/>
        <v>Not Calculated</v>
      </c>
      <c r="U139" s="159" t="str">
        <f t="shared" ca="1" si="118"/>
        <v>Not Calculated</v>
      </c>
      <c r="V139" s="159" t="str">
        <f t="shared" ca="1" si="118"/>
        <v>Not Calculated</v>
      </c>
    </row>
    <row r="140" spans="1:22" x14ac:dyDescent="0.3">
      <c r="A140" s="418"/>
      <c r="B140" s="419"/>
      <c r="C140" s="148"/>
      <c r="D140" s="148"/>
      <c r="E140" s="148"/>
      <c r="F140" s="148"/>
      <c r="G140" s="148"/>
      <c r="H140" s="148"/>
      <c r="I140" s="148"/>
      <c r="J140" s="148"/>
      <c r="K140" s="148"/>
      <c r="L140" s="148"/>
      <c r="M140" s="148"/>
      <c r="N140" s="148"/>
      <c r="O140" s="148"/>
      <c r="P140" s="148"/>
      <c r="Q140" s="148"/>
      <c r="R140" s="148"/>
      <c r="S140" s="148"/>
      <c r="T140" s="148"/>
      <c r="U140" s="148"/>
      <c r="V140" s="148"/>
    </row>
    <row r="141" spans="1:22" ht="15.6" x14ac:dyDescent="0.3">
      <c r="A141" s="420" t="s">
        <v>1060</v>
      </c>
      <c r="B141" s="421"/>
      <c r="C141" s="149"/>
      <c r="D141" s="149"/>
      <c r="E141" s="149"/>
      <c r="F141" s="149"/>
      <c r="G141" s="149"/>
      <c r="H141" s="149"/>
      <c r="I141" s="149"/>
      <c r="J141" s="149"/>
      <c r="K141" s="149"/>
      <c r="L141" s="149"/>
      <c r="M141" s="149"/>
      <c r="N141" s="149"/>
      <c r="O141" s="149"/>
      <c r="P141" s="149"/>
      <c r="Q141" s="149"/>
      <c r="R141" s="149"/>
      <c r="S141" s="149"/>
      <c r="T141" s="149"/>
      <c r="U141" s="149"/>
      <c r="V141" s="149"/>
    </row>
    <row r="142" spans="1:22" x14ac:dyDescent="0.3">
      <c r="A142" s="422" t="s">
        <v>902</v>
      </c>
      <c r="B142" s="125" t="s">
        <v>717</v>
      </c>
      <c r="C142" s="145" t="str">
        <f ca="1">INDIRECT("'"&amp;C$6&amp;"'!$G$904")</f>
        <v>Critical</v>
      </c>
      <c r="D142" s="145" t="str">
        <f t="shared" ref="D142:V142" ca="1" si="119">INDIRECT("'"&amp;D$6&amp;"'!$G$904")</f>
        <v>Critical</v>
      </c>
      <c r="E142" s="145" t="str">
        <f t="shared" ca="1" si="119"/>
        <v>Critical</v>
      </c>
      <c r="F142" s="145" t="str">
        <f t="shared" ca="1" si="119"/>
        <v>Important</v>
      </c>
      <c r="G142" s="145" t="str">
        <f t="shared" ca="1" si="119"/>
        <v>Critical</v>
      </c>
      <c r="H142" s="145" t="str">
        <f t="shared" ca="1" si="119"/>
        <v>Critical</v>
      </c>
      <c r="I142" s="145" t="str">
        <f t="shared" ca="1" si="119"/>
        <v>Critical</v>
      </c>
      <c r="J142" s="145" t="str">
        <f t="shared" ca="1" si="119"/>
        <v>Critical</v>
      </c>
      <c r="K142" s="145" t="str">
        <f t="shared" ca="1" si="119"/>
        <v>Critical</v>
      </c>
      <c r="L142" s="145" t="str">
        <f t="shared" ca="1" si="119"/>
        <v>Critical</v>
      </c>
      <c r="M142" s="145" t="str">
        <f t="shared" ca="1" si="119"/>
        <v>Critical</v>
      </c>
      <c r="N142" s="145" t="str">
        <f t="shared" ca="1" si="119"/>
        <v>Critical</v>
      </c>
      <c r="O142" s="145" t="str">
        <f t="shared" ca="1" si="119"/>
        <v>Important</v>
      </c>
      <c r="P142" s="145" t="str">
        <f t="shared" ca="1" si="119"/>
        <v>Critical</v>
      </c>
      <c r="Q142" s="145" t="str">
        <f t="shared" ca="1" si="119"/>
        <v>Critical</v>
      </c>
      <c r="R142" s="145" t="str">
        <f t="shared" ca="1" si="119"/>
        <v>Critical</v>
      </c>
      <c r="S142" s="145" t="str">
        <f t="shared" ca="1" si="119"/>
        <v>Critical</v>
      </c>
      <c r="T142" s="145" t="str">
        <f t="shared" ca="1" si="119"/>
        <v>Critical</v>
      </c>
      <c r="U142" s="145" t="str">
        <f t="shared" ca="1" si="119"/>
        <v>Critical</v>
      </c>
      <c r="V142" s="145" t="str">
        <f t="shared" ca="1" si="119"/>
        <v>Critical</v>
      </c>
    </row>
    <row r="143" spans="1:22" x14ac:dyDescent="0.3">
      <c r="A143" s="423"/>
      <c r="B143" s="126" t="s">
        <v>718</v>
      </c>
      <c r="C143" s="158" t="str">
        <f ca="1">INDIRECT("'"&amp;C$6&amp;"'!$J$905")</f>
        <v>Not Calculated</v>
      </c>
      <c r="D143" s="158" t="str">
        <f t="shared" ref="D143:V143" ca="1" si="120">INDIRECT("'"&amp;D$6&amp;"'!$J$905")</f>
        <v>Not Calculated</v>
      </c>
      <c r="E143" s="158" t="str">
        <f t="shared" ca="1" si="120"/>
        <v>Not Calculated</v>
      </c>
      <c r="F143" s="158" t="str">
        <f t="shared" ca="1" si="120"/>
        <v>Not Calculated</v>
      </c>
      <c r="G143" s="158" t="str">
        <f t="shared" ca="1" si="120"/>
        <v>Not Calculated</v>
      </c>
      <c r="H143" s="158" t="str">
        <f t="shared" ca="1" si="120"/>
        <v>Not Calculated</v>
      </c>
      <c r="I143" s="158" t="str">
        <f t="shared" ca="1" si="120"/>
        <v>Not Calculated</v>
      </c>
      <c r="J143" s="158" t="str">
        <f t="shared" ca="1" si="120"/>
        <v>Not Calculated</v>
      </c>
      <c r="K143" s="158" t="str">
        <f t="shared" ca="1" si="120"/>
        <v>Not Calculated</v>
      </c>
      <c r="L143" s="158" t="str">
        <f t="shared" ca="1" si="120"/>
        <v>Not Calculated</v>
      </c>
      <c r="M143" s="158" t="str">
        <f t="shared" ca="1" si="120"/>
        <v>Not Calculated</v>
      </c>
      <c r="N143" s="158" t="str">
        <f t="shared" ca="1" si="120"/>
        <v>Not Calculated</v>
      </c>
      <c r="O143" s="158" t="str">
        <f t="shared" ca="1" si="120"/>
        <v>Not Calculated</v>
      </c>
      <c r="P143" s="158" t="str">
        <f t="shared" ca="1" si="120"/>
        <v>Not Calculated</v>
      </c>
      <c r="Q143" s="158" t="str">
        <f t="shared" ca="1" si="120"/>
        <v>Not Calculated</v>
      </c>
      <c r="R143" s="158" t="str">
        <f t="shared" ca="1" si="120"/>
        <v>Not Calculated</v>
      </c>
      <c r="S143" s="158" t="str">
        <f t="shared" ca="1" si="120"/>
        <v>Not Calculated</v>
      </c>
      <c r="T143" s="158" t="str">
        <f t="shared" ca="1" si="120"/>
        <v>Not Calculated</v>
      </c>
      <c r="U143" s="158" t="str">
        <f t="shared" ca="1" si="120"/>
        <v>Not Calculated</v>
      </c>
      <c r="V143" s="158" t="str">
        <f t="shared" ca="1" si="120"/>
        <v>Not Calculated</v>
      </c>
    </row>
    <row r="144" spans="1:22" x14ac:dyDescent="0.3">
      <c r="A144" s="422" t="s">
        <v>903</v>
      </c>
      <c r="B144" s="125" t="s">
        <v>717</v>
      </c>
      <c r="C144" s="145" t="str">
        <f ca="1">INDIRECT("'"&amp;C$6&amp;"'!$G$908")</f>
        <v>Highly Important</v>
      </c>
      <c r="D144" s="145" t="str">
        <f t="shared" ref="D144:V144" ca="1" si="121">INDIRECT("'"&amp;D$6&amp;"'!$G$908")</f>
        <v>Critical</v>
      </c>
      <c r="E144" s="145" t="str">
        <f t="shared" ca="1" si="121"/>
        <v>Critical</v>
      </c>
      <c r="F144" s="145" t="str">
        <f t="shared" ca="1" si="121"/>
        <v>Important</v>
      </c>
      <c r="G144" s="145" t="str">
        <f t="shared" ca="1" si="121"/>
        <v>Critical</v>
      </c>
      <c r="H144" s="145" t="str">
        <f t="shared" ca="1" si="121"/>
        <v>Critical</v>
      </c>
      <c r="I144" s="145" t="str">
        <f t="shared" ca="1" si="121"/>
        <v>Critical</v>
      </c>
      <c r="J144" s="145" t="str">
        <f t="shared" ca="1" si="121"/>
        <v>Critical</v>
      </c>
      <c r="K144" s="145" t="str">
        <f t="shared" ca="1" si="121"/>
        <v>Critical</v>
      </c>
      <c r="L144" s="145" t="str">
        <f t="shared" ca="1" si="121"/>
        <v>Critical</v>
      </c>
      <c r="M144" s="145" t="str">
        <f t="shared" ca="1" si="121"/>
        <v>Critical</v>
      </c>
      <c r="N144" s="145" t="str">
        <f t="shared" ca="1" si="121"/>
        <v>Critical</v>
      </c>
      <c r="O144" s="145" t="str">
        <f t="shared" ca="1" si="121"/>
        <v>Important</v>
      </c>
      <c r="P144" s="145" t="str">
        <f t="shared" ca="1" si="121"/>
        <v>Critical</v>
      </c>
      <c r="Q144" s="145" t="str">
        <f t="shared" ca="1" si="121"/>
        <v>Critical</v>
      </c>
      <c r="R144" s="145" t="str">
        <f t="shared" ca="1" si="121"/>
        <v>Critical</v>
      </c>
      <c r="S144" s="145" t="str">
        <f t="shared" ca="1" si="121"/>
        <v>Important</v>
      </c>
      <c r="T144" s="145" t="str">
        <f t="shared" ca="1" si="121"/>
        <v>Critical</v>
      </c>
      <c r="U144" s="145" t="str">
        <f t="shared" ca="1" si="121"/>
        <v>Critical</v>
      </c>
      <c r="V144" s="145" t="str">
        <f t="shared" ca="1" si="121"/>
        <v>Highly Important</v>
      </c>
    </row>
    <row r="145" spans="1:22" x14ac:dyDescent="0.3">
      <c r="A145" s="423"/>
      <c r="B145" s="126" t="s">
        <v>718</v>
      </c>
      <c r="C145" s="158" t="str">
        <f ca="1">INDIRECT("'"&amp;C$6&amp;"'!$J$909")</f>
        <v>Not Calculated</v>
      </c>
      <c r="D145" s="158" t="str">
        <f t="shared" ref="D145:V145" ca="1" si="122">INDIRECT("'"&amp;D$6&amp;"'!$J$909")</f>
        <v>Not Calculated</v>
      </c>
      <c r="E145" s="158" t="str">
        <f t="shared" ca="1" si="122"/>
        <v>Not Calculated</v>
      </c>
      <c r="F145" s="158" t="str">
        <f t="shared" ca="1" si="122"/>
        <v>Not Calculated</v>
      </c>
      <c r="G145" s="158" t="str">
        <f t="shared" ca="1" si="122"/>
        <v>Not Calculated</v>
      </c>
      <c r="H145" s="158" t="str">
        <f t="shared" ca="1" si="122"/>
        <v>Not Calculated</v>
      </c>
      <c r="I145" s="158" t="str">
        <f t="shared" ca="1" si="122"/>
        <v>Not Calculated</v>
      </c>
      <c r="J145" s="158" t="str">
        <f t="shared" ca="1" si="122"/>
        <v>Not Calculated</v>
      </c>
      <c r="K145" s="158" t="str">
        <f t="shared" ca="1" si="122"/>
        <v>Not Calculated</v>
      </c>
      <c r="L145" s="158" t="str">
        <f t="shared" ca="1" si="122"/>
        <v>Not Calculated</v>
      </c>
      <c r="M145" s="158" t="str">
        <f t="shared" ca="1" si="122"/>
        <v>Not Calculated</v>
      </c>
      <c r="N145" s="158" t="str">
        <f t="shared" ca="1" si="122"/>
        <v>Not Calculated</v>
      </c>
      <c r="O145" s="158" t="str">
        <f t="shared" ca="1" si="122"/>
        <v>Not Calculated</v>
      </c>
      <c r="P145" s="158" t="str">
        <f t="shared" ca="1" si="122"/>
        <v>Not Calculated</v>
      </c>
      <c r="Q145" s="158" t="str">
        <f t="shared" ca="1" si="122"/>
        <v>Not Calculated</v>
      </c>
      <c r="R145" s="158" t="str">
        <f t="shared" ca="1" si="122"/>
        <v>Not Calculated</v>
      </c>
      <c r="S145" s="158" t="str">
        <f t="shared" ca="1" si="122"/>
        <v>Not Calculated</v>
      </c>
      <c r="T145" s="158" t="str">
        <f t="shared" ca="1" si="122"/>
        <v>Not Calculated</v>
      </c>
      <c r="U145" s="158" t="str">
        <f t="shared" ca="1" si="122"/>
        <v>Not Calculated</v>
      </c>
      <c r="V145" s="158" t="str">
        <f t="shared" ca="1" si="122"/>
        <v>Not Calculated</v>
      </c>
    </row>
    <row r="146" spans="1:22" x14ac:dyDescent="0.3">
      <c r="A146" s="422" t="s">
        <v>102</v>
      </c>
      <c r="B146" s="125" t="s">
        <v>717</v>
      </c>
      <c r="C146" s="145" t="str">
        <f ca="1">INDIRECT("'"&amp;C$6&amp;"'!$G$912")</f>
        <v>Important</v>
      </c>
      <c r="D146" s="145" t="str">
        <f t="shared" ref="D146:V146" ca="1" si="123">INDIRECT("'"&amp;D$6&amp;"'!$G$912")</f>
        <v>Critical</v>
      </c>
      <c r="E146" s="145" t="str">
        <f t="shared" ca="1" si="123"/>
        <v>Critical</v>
      </c>
      <c r="F146" s="145" t="str">
        <f t="shared" ca="1" si="123"/>
        <v>Important</v>
      </c>
      <c r="G146" s="145" t="str">
        <f t="shared" ca="1" si="123"/>
        <v>Critical</v>
      </c>
      <c r="H146" s="145" t="str">
        <f t="shared" ca="1" si="123"/>
        <v>Important</v>
      </c>
      <c r="I146" s="145" t="str">
        <f t="shared" ca="1" si="123"/>
        <v>Highly Important</v>
      </c>
      <c r="J146" s="145" t="str">
        <f t="shared" ca="1" si="123"/>
        <v>Not relevant</v>
      </c>
      <c r="K146" s="145" t="str">
        <f t="shared" ca="1" si="123"/>
        <v>Limited importance</v>
      </c>
      <c r="L146" s="145" t="str">
        <f t="shared" ca="1" si="123"/>
        <v>Critical</v>
      </c>
      <c r="M146" s="145" t="str">
        <f t="shared" ca="1" si="123"/>
        <v>Critical</v>
      </c>
      <c r="N146" s="145" t="str">
        <f t="shared" ca="1" si="123"/>
        <v>Critical</v>
      </c>
      <c r="O146" s="145" t="str">
        <f t="shared" ca="1" si="123"/>
        <v>Critical</v>
      </c>
      <c r="P146" s="145" t="str">
        <f t="shared" ca="1" si="123"/>
        <v>Critical</v>
      </c>
      <c r="Q146" s="145" t="str">
        <f t="shared" ca="1" si="123"/>
        <v>Critical</v>
      </c>
      <c r="R146" s="145" t="str">
        <f t="shared" ca="1" si="123"/>
        <v>Critical</v>
      </c>
      <c r="S146" s="145" t="str">
        <f t="shared" ca="1" si="123"/>
        <v>Critical</v>
      </c>
      <c r="T146" s="145" t="str">
        <f t="shared" ca="1" si="123"/>
        <v>Critical</v>
      </c>
      <c r="U146" s="145" t="str">
        <f t="shared" ca="1" si="123"/>
        <v>Critical</v>
      </c>
      <c r="V146" s="145" t="str">
        <f t="shared" ca="1" si="123"/>
        <v>Critical</v>
      </c>
    </row>
    <row r="147" spans="1:22" x14ac:dyDescent="0.3">
      <c r="A147" s="423"/>
      <c r="B147" s="126" t="s">
        <v>718</v>
      </c>
      <c r="C147" s="158" t="str">
        <f ca="1">INDIRECT("'"&amp;C$6&amp;"'!$J$913")</f>
        <v>Not Calculated</v>
      </c>
      <c r="D147" s="158" t="str">
        <f t="shared" ref="D147:V147" ca="1" si="124">INDIRECT("'"&amp;D$6&amp;"'!$J$913")</f>
        <v>Not Calculated</v>
      </c>
      <c r="E147" s="158" t="str">
        <f t="shared" ca="1" si="124"/>
        <v>Not Calculated</v>
      </c>
      <c r="F147" s="158" t="str">
        <f t="shared" ca="1" si="124"/>
        <v>Not Calculated</v>
      </c>
      <c r="G147" s="158" t="str">
        <f t="shared" ca="1" si="124"/>
        <v>Not Calculated</v>
      </c>
      <c r="H147" s="158" t="str">
        <f t="shared" ca="1" si="124"/>
        <v>Not Calculated</v>
      </c>
      <c r="I147" s="158" t="str">
        <f t="shared" ca="1" si="124"/>
        <v>Not Calculated</v>
      </c>
      <c r="J147" s="158" t="str">
        <f t="shared" ca="1" si="124"/>
        <v>Not Calculated</v>
      </c>
      <c r="K147" s="158" t="str">
        <f t="shared" ca="1" si="124"/>
        <v>Not Calculated</v>
      </c>
      <c r="L147" s="158" t="str">
        <f t="shared" ca="1" si="124"/>
        <v>Not Calculated</v>
      </c>
      <c r="M147" s="158" t="str">
        <f t="shared" ca="1" si="124"/>
        <v>Not Calculated</v>
      </c>
      <c r="N147" s="158" t="str">
        <f t="shared" ca="1" si="124"/>
        <v>Not Calculated</v>
      </c>
      <c r="O147" s="158" t="str">
        <f t="shared" ca="1" si="124"/>
        <v>Not Calculated</v>
      </c>
      <c r="P147" s="158" t="str">
        <f t="shared" ca="1" si="124"/>
        <v>Not Calculated</v>
      </c>
      <c r="Q147" s="158" t="str">
        <f t="shared" ca="1" si="124"/>
        <v>Not Calculated</v>
      </c>
      <c r="R147" s="158" t="str">
        <f t="shared" ca="1" si="124"/>
        <v>Not Calculated</v>
      </c>
      <c r="S147" s="158" t="str">
        <f t="shared" ca="1" si="124"/>
        <v>Not Calculated</v>
      </c>
      <c r="T147" s="158" t="str">
        <f t="shared" ca="1" si="124"/>
        <v>Not Calculated</v>
      </c>
      <c r="U147" s="158" t="str">
        <f t="shared" ca="1" si="124"/>
        <v>Not Calculated</v>
      </c>
      <c r="V147" s="158" t="str">
        <f t="shared" ca="1" si="124"/>
        <v>Not Calculated</v>
      </c>
    </row>
    <row r="148" spans="1:22" x14ac:dyDescent="0.3">
      <c r="A148" s="422" t="s">
        <v>92</v>
      </c>
      <c r="B148" s="125" t="s">
        <v>717</v>
      </c>
      <c r="C148" s="145" t="str">
        <f ca="1">INDIRECT("'"&amp;C$6&amp;"'!$G$916")</f>
        <v>Critical</v>
      </c>
      <c r="D148" s="145" t="str">
        <f t="shared" ref="D148:V148" ca="1" si="125">INDIRECT("'"&amp;D$6&amp;"'!$G$916")</f>
        <v>Critical</v>
      </c>
      <c r="E148" s="145" t="str">
        <f t="shared" ca="1" si="125"/>
        <v>Critical</v>
      </c>
      <c r="F148" s="145" t="str">
        <f t="shared" ca="1" si="125"/>
        <v>Limited importance</v>
      </c>
      <c r="G148" s="145" t="str">
        <f t="shared" ca="1" si="125"/>
        <v>Limited importance</v>
      </c>
      <c r="H148" s="145" t="str">
        <f t="shared" ca="1" si="125"/>
        <v>Critical</v>
      </c>
      <c r="I148" s="145" t="str">
        <f t="shared" ca="1" si="125"/>
        <v>Not relevant</v>
      </c>
      <c r="J148" s="145" t="str">
        <f t="shared" ca="1" si="125"/>
        <v>Not relevant</v>
      </c>
      <c r="K148" s="145" t="str">
        <f t="shared" ca="1" si="125"/>
        <v>Not relevant</v>
      </c>
      <c r="L148" s="145" t="str">
        <f t="shared" ca="1" si="125"/>
        <v>Not relevant</v>
      </c>
      <c r="M148" s="145" t="str">
        <f t="shared" ca="1" si="125"/>
        <v>Limited importance</v>
      </c>
      <c r="N148" s="145" t="str">
        <f t="shared" ca="1" si="125"/>
        <v>Critical</v>
      </c>
      <c r="O148" s="145" t="str">
        <f t="shared" ca="1" si="125"/>
        <v>Important</v>
      </c>
      <c r="P148" s="145" t="str">
        <f t="shared" ca="1" si="125"/>
        <v>Highly Important</v>
      </c>
      <c r="Q148" s="145" t="str">
        <f t="shared" ca="1" si="125"/>
        <v>Critical</v>
      </c>
      <c r="R148" s="145" t="str">
        <f t="shared" ca="1" si="125"/>
        <v>Critical</v>
      </c>
      <c r="S148" s="145" t="str">
        <f t="shared" ca="1" si="125"/>
        <v>Highly Important</v>
      </c>
      <c r="T148" s="145" t="str">
        <f t="shared" ca="1" si="125"/>
        <v>Important</v>
      </c>
      <c r="U148" s="145" t="str">
        <f t="shared" ca="1" si="125"/>
        <v>Important</v>
      </c>
      <c r="V148" s="145" t="str">
        <f t="shared" ca="1" si="125"/>
        <v>Important</v>
      </c>
    </row>
    <row r="149" spans="1:22" x14ac:dyDescent="0.3">
      <c r="A149" s="423"/>
      <c r="B149" s="126" t="s">
        <v>718</v>
      </c>
      <c r="C149" s="158" t="str">
        <f ca="1">INDIRECT("'"&amp;C$6&amp;"'!$J$917")</f>
        <v>Not Calculated</v>
      </c>
      <c r="D149" s="158" t="str">
        <f t="shared" ref="D149:V149" ca="1" si="126">INDIRECT("'"&amp;D$6&amp;"'!$J$917")</f>
        <v>Not Calculated</v>
      </c>
      <c r="E149" s="158" t="str">
        <f t="shared" ca="1" si="126"/>
        <v>Not Calculated</v>
      </c>
      <c r="F149" s="158" t="str">
        <f t="shared" ca="1" si="126"/>
        <v>Not Calculated</v>
      </c>
      <c r="G149" s="158" t="str">
        <f t="shared" ca="1" si="126"/>
        <v>Not Calculated</v>
      </c>
      <c r="H149" s="158" t="str">
        <f t="shared" ca="1" si="126"/>
        <v>Not Calculated</v>
      </c>
      <c r="I149" s="158" t="str">
        <f t="shared" ca="1" si="126"/>
        <v>Not Calculated</v>
      </c>
      <c r="J149" s="158" t="str">
        <f t="shared" ca="1" si="126"/>
        <v>Not Calculated</v>
      </c>
      <c r="K149" s="158" t="str">
        <f t="shared" ca="1" si="126"/>
        <v>Not Calculated</v>
      </c>
      <c r="L149" s="158" t="str">
        <f t="shared" ca="1" si="126"/>
        <v>Not Calculated</v>
      </c>
      <c r="M149" s="158" t="str">
        <f t="shared" ca="1" si="126"/>
        <v>Not Calculated</v>
      </c>
      <c r="N149" s="158" t="str">
        <f t="shared" ca="1" si="126"/>
        <v>Not Calculated</v>
      </c>
      <c r="O149" s="158" t="str">
        <f t="shared" ca="1" si="126"/>
        <v>Not Calculated</v>
      </c>
      <c r="P149" s="158" t="str">
        <f t="shared" ca="1" si="126"/>
        <v>Not Calculated</v>
      </c>
      <c r="Q149" s="158" t="str">
        <f t="shared" ca="1" si="126"/>
        <v>Not Calculated</v>
      </c>
      <c r="R149" s="158" t="str">
        <f t="shared" ca="1" si="126"/>
        <v>Not Calculated</v>
      </c>
      <c r="S149" s="158" t="str">
        <f t="shared" ca="1" si="126"/>
        <v>Not Calculated</v>
      </c>
      <c r="T149" s="158" t="str">
        <f t="shared" ca="1" si="126"/>
        <v>Not Calculated</v>
      </c>
      <c r="U149" s="158" t="str">
        <f t="shared" ca="1" si="126"/>
        <v>Not Calculated</v>
      </c>
      <c r="V149" s="158" t="str">
        <f t="shared" ca="1" si="126"/>
        <v>Not Calculated</v>
      </c>
    </row>
    <row r="150" spans="1:22" x14ac:dyDescent="0.3">
      <c r="A150" s="422" t="s">
        <v>107</v>
      </c>
      <c r="B150" s="125" t="s">
        <v>717</v>
      </c>
      <c r="C150" s="145" t="str">
        <f ca="1">INDIRECT("'"&amp;C$6&amp;"'!$G$920")</f>
        <v>Critical</v>
      </c>
      <c r="D150" s="145" t="str">
        <f t="shared" ref="D150:V150" ca="1" si="127">INDIRECT("'"&amp;D$6&amp;"'!$G$920")</f>
        <v>Critical</v>
      </c>
      <c r="E150" s="145" t="str">
        <f t="shared" ca="1" si="127"/>
        <v>Critical</v>
      </c>
      <c r="F150" s="145" t="str">
        <f t="shared" ca="1" si="127"/>
        <v>Critical</v>
      </c>
      <c r="G150" s="145" t="str">
        <f t="shared" ca="1" si="127"/>
        <v>Critical</v>
      </c>
      <c r="H150" s="145" t="str">
        <f t="shared" ca="1" si="127"/>
        <v>Critical</v>
      </c>
      <c r="I150" s="145" t="str">
        <f t="shared" ca="1" si="127"/>
        <v>Critical</v>
      </c>
      <c r="J150" s="145" t="str">
        <f t="shared" ca="1" si="127"/>
        <v>Highly Important</v>
      </c>
      <c r="K150" s="145" t="str">
        <f t="shared" ca="1" si="127"/>
        <v>Critical</v>
      </c>
      <c r="L150" s="145" t="str">
        <f t="shared" ca="1" si="127"/>
        <v>Critical</v>
      </c>
      <c r="M150" s="145" t="str">
        <f t="shared" ca="1" si="127"/>
        <v>Critical</v>
      </c>
      <c r="N150" s="145" t="str">
        <f t="shared" ca="1" si="127"/>
        <v>Critical</v>
      </c>
      <c r="O150" s="145" t="str">
        <f t="shared" ca="1" si="127"/>
        <v>Critical</v>
      </c>
      <c r="P150" s="145" t="str">
        <f t="shared" ca="1" si="127"/>
        <v>Critical</v>
      </c>
      <c r="Q150" s="145" t="str">
        <f t="shared" ca="1" si="127"/>
        <v>Critical</v>
      </c>
      <c r="R150" s="145" t="str">
        <f t="shared" ca="1" si="127"/>
        <v>Critical</v>
      </c>
      <c r="S150" s="145" t="str">
        <f t="shared" ca="1" si="127"/>
        <v>Critical</v>
      </c>
      <c r="T150" s="145" t="str">
        <f t="shared" ca="1" si="127"/>
        <v>Critical</v>
      </c>
      <c r="U150" s="145" t="str">
        <f t="shared" ca="1" si="127"/>
        <v>Critical</v>
      </c>
      <c r="V150" s="145" t="str">
        <f t="shared" ca="1" si="127"/>
        <v>Critical</v>
      </c>
    </row>
    <row r="151" spans="1:22" x14ac:dyDescent="0.3">
      <c r="A151" s="423"/>
      <c r="B151" s="126" t="s">
        <v>718</v>
      </c>
      <c r="C151" s="158" t="str">
        <f ca="1">INDIRECT("'"&amp;C$6&amp;"'!$J$921")</f>
        <v>Not Calculated</v>
      </c>
      <c r="D151" s="158" t="str">
        <f t="shared" ref="D151:V151" ca="1" si="128">INDIRECT("'"&amp;D$6&amp;"'!$J$921")</f>
        <v>Not Calculated</v>
      </c>
      <c r="E151" s="158" t="str">
        <f t="shared" ca="1" si="128"/>
        <v>Not Calculated</v>
      </c>
      <c r="F151" s="158" t="str">
        <f t="shared" ca="1" si="128"/>
        <v>Not Calculated</v>
      </c>
      <c r="G151" s="158" t="str">
        <f t="shared" ca="1" si="128"/>
        <v>Not Calculated</v>
      </c>
      <c r="H151" s="158" t="str">
        <f t="shared" ca="1" si="128"/>
        <v>Not Calculated</v>
      </c>
      <c r="I151" s="158" t="str">
        <f t="shared" ca="1" si="128"/>
        <v>Not Calculated</v>
      </c>
      <c r="J151" s="158" t="str">
        <f t="shared" ca="1" si="128"/>
        <v>Not Calculated</v>
      </c>
      <c r="K151" s="158" t="str">
        <f t="shared" ca="1" si="128"/>
        <v>Not Calculated</v>
      </c>
      <c r="L151" s="158" t="str">
        <f t="shared" ca="1" si="128"/>
        <v>Not Calculated</v>
      </c>
      <c r="M151" s="158" t="str">
        <f t="shared" ca="1" si="128"/>
        <v>Not Calculated</v>
      </c>
      <c r="N151" s="158" t="str">
        <f t="shared" ca="1" si="128"/>
        <v>Not Calculated</v>
      </c>
      <c r="O151" s="158" t="str">
        <f t="shared" ca="1" si="128"/>
        <v>Not Calculated</v>
      </c>
      <c r="P151" s="158" t="str">
        <f t="shared" ca="1" si="128"/>
        <v>Not Calculated</v>
      </c>
      <c r="Q151" s="158" t="str">
        <f t="shared" ca="1" si="128"/>
        <v>Not Calculated</v>
      </c>
      <c r="R151" s="158" t="str">
        <f t="shared" ca="1" si="128"/>
        <v>Not Calculated</v>
      </c>
      <c r="S151" s="158" t="str">
        <f t="shared" ca="1" si="128"/>
        <v>Not Calculated</v>
      </c>
      <c r="T151" s="158" t="str">
        <f t="shared" ca="1" si="128"/>
        <v>Not Calculated</v>
      </c>
      <c r="U151" s="158" t="str">
        <f t="shared" ca="1" si="128"/>
        <v>Not Calculated</v>
      </c>
      <c r="V151" s="158" t="str">
        <f t="shared" ca="1" si="128"/>
        <v>Not Calculated</v>
      </c>
    </row>
    <row r="152" spans="1:22" x14ac:dyDescent="0.3">
      <c r="A152" s="422" t="s">
        <v>116</v>
      </c>
      <c r="B152" s="125" t="s">
        <v>717</v>
      </c>
      <c r="C152" s="145" t="str">
        <f ca="1">INDIRECT("'"&amp;C$6&amp;"'!$G$924")</f>
        <v>Critical</v>
      </c>
      <c r="D152" s="145" t="str">
        <f t="shared" ref="D152:V152" ca="1" si="129">INDIRECT("'"&amp;D$6&amp;"'!$G$924")</f>
        <v>Critical</v>
      </c>
      <c r="E152" s="145" t="str">
        <f t="shared" ca="1" si="129"/>
        <v>Critical</v>
      </c>
      <c r="F152" s="145" t="str">
        <f t="shared" ca="1" si="129"/>
        <v>Important</v>
      </c>
      <c r="G152" s="145" t="str">
        <f t="shared" ca="1" si="129"/>
        <v>Important</v>
      </c>
      <c r="H152" s="145" t="str">
        <f t="shared" ca="1" si="129"/>
        <v>Critical</v>
      </c>
      <c r="I152" s="145" t="str">
        <f t="shared" ca="1" si="129"/>
        <v>Not relevant</v>
      </c>
      <c r="J152" s="145" t="str">
        <f t="shared" ca="1" si="129"/>
        <v>Not relevant</v>
      </c>
      <c r="K152" s="145" t="str">
        <f t="shared" ca="1" si="129"/>
        <v>Not relevant</v>
      </c>
      <c r="L152" s="145" t="str">
        <f t="shared" ca="1" si="129"/>
        <v>Not relevant</v>
      </c>
      <c r="M152" s="145" t="str">
        <f t="shared" ca="1" si="129"/>
        <v>Important</v>
      </c>
      <c r="N152" s="145" t="str">
        <f t="shared" ca="1" si="129"/>
        <v>Critical</v>
      </c>
      <c r="O152" s="145" t="str">
        <f t="shared" ca="1" si="129"/>
        <v>Important</v>
      </c>
      <c r="P152" s="145" t="str">
        <f t="shared" ca="1" si="129"/>
        <v>Critical</v>
      </c>
      <c r="Q152" s="145" t="str">
        <f t="shared" ca="1" si="129"/>
        <v>Critical</v>
      </c>
      <c r="R152" s="145" t="str">
        <f t="shared" ca="1" si="129"/>
        <v>Critical</v>
      </c>
      <c r="S152" s="145" t="str">
        <f t="shared" ca="1" si="129"/>
        <v>Important</v>
      </c>
      <c r="T152" s="145" t="str">
        <f t="shared" ca="1" si="129"/>
        <v>Highly Important</v>
      </c>
      <c r="U152" s="145" t="str">
        <f t="shared" ca="1" si="129"/>
        <v>Important</v>
      </c>
      <c r="V152" s="145" t="str">
        <f t="shared" ca="1" si="129"/>
        <v>Limited importance</v>
      </c>
    </row>
    <row r="153" spans="1:22" x14ac:dyDescent="0.3">
      <c r="A153" s="423"/>
      <c r="B153" s="126" t="s">
        <v>718</v>
      </c>
      <c r="C153" s="158" t="str">
        <f ca="1">INDIRECT("'"&amp;C$6&amp;"'!$J$925")</f>
        <v>Not Calculated</v>
      </c>
      <c r="D153" s="158" t="str">
        <f t="shared" ref="D153:V153" ca="1" si="130">INDIRECT("'"&amp;D$6&amp;"'!$J$925")</f>
        <v>Not Calculated</v>
      </c>
      <c r="E153" s="158" t="str">
        <f t="shared" ca="1" si="130"/>
        <v>Not Calculated</v>
      </c>
      <c r="F153" s="158" t="str">
        <f t="shared" ca="1" si="130"/>
        <v>Not Calculated</v>
      </c>
      <c r="G153" s="158" t="str">
        <f t="shared" ca="1" si="130"/>
        <v>Not Calculated</v>
      </c>
      <c r="H153" s="158" t="str">
        <f t="shared" ca="1" si="130"/>
        <v>Not Calculated</v>
      </c>
      <c r="I153" s="158" t="str">
        <f t="shared" ca="1" si="130"/>
        <v>Not Calculated</v>
      </c>
      <c r="J153" s="158" t="str">
        <f t="shared" ca="1" si="130"/>
        <v>Not Calculated</v>
      </c>
      <c r="K153" s="158" t="str">
        <f t="shared" ca="1" si="130"/>
        <v>Not Calculated</v>
      </c>
      <c r="L153" s="158" t="str">
        <f t="shared" ca="1" si="130"/>
        <v>Not Calculated</v>
      </c>
      <c r="M153" s="158" t="str">
        <f t="shared" ca="1" si="130"/>
        <v>Not Calculated</v>
      </c>
      <c r="N153" s="158" t="str">
        <f t="shared" ca="1" si="130"/>
        <v>Not Calculated</v>
      </c>
      <c r="O153" s="158" t="str">
        <f t="shared" ca="1" si="130"/>
        <v>Not Calculated</v>
      </c>
      <c r="P153" s="158" t="str">
        <f t="shared" ca="1" si="130"/>
        <v>Not Calculated</v>
      </c>
      <c r="Q153" s="158" t="str">
        <f t="shared" ca="1" si="130"/>
        <v>Not Calculated</v>
      </c>
      <c r="R153" s="158" t="str">
        <f t="shared" ca="1" si="130"/>
        <v>Not Calculated</v>
      </c>
      <c r="S153" s="158" t="str">
        <f t="shared" ca="1" si="130"/>
        <v>Not Calculated</v>
      </c>
      <c r="T153" s="158" t="str">
        <f t="shared" ca="1" si="130"/>
        <v>Not Calculated</v>
      </c>
      <c r="U153" s="158" t="str">
        <f t="shared" ca="1" si="130"/>
        <v>Not Calculated</v>
      </c>
      <c r="V153" s="158" t="str">
        <f t="shared" ca="1" si="130"/>
        <v>Not Calculated</v>
      </c>
    </row>
    <row r="154" spans="1:22" x14ac:dyDescent="0.3">
      <c r="A154" s="422" t="s">
        <v>124</v>
      </c>
      <c r="B154" s="125" t="s">
        <v>717</v>
      </c>
      <c r="C154" s="145" t="str">
        <f ca="1">INDIRECT("'"&amp;C$6&amp;"'!$G$928")</f>
        <v>Highly Important</v>
      </c>
      <c r="D154" s="145" t="str">
        <f t="shared" ref="D154:V154" ca="1" si="131">INDIRECT("'"&amp;D$6&amp;"'!$G$928")</f>
        <v>Critical</v>
      </c>
      <c r="E154" s="145" t="str">
        <f t="shared" ca="1" si="131"/>
        <v>Critical</v>
      </c>
      <c r="F154" s="145" t="str">
        <f t="shared" ca="1" si="131"/>
        <v>Limited importance</v>
      </c>
      <c r="G154" s="145" t="str">
        <f t="shared" ca="1" si="131"/>
        <v>Important</v>
      </c>
      <c r="H154" s="145" t="str">
        <f t="shared" ca="1" si="131"/>
        <v>Highly Important</v>
      </c>
      <c r="I154" s="145" t="str">
        <f t="shared" ca="1" si="131"/>
        <v>Not relevant</v>
      </c>
      <c r="J154" s="145" t="str">
        <f t="shared" ca="1" si="131"/>
        <v>Not relevant</v>
      </c>
      <c r="K154" s="145" t="str">
        <f t="shared" ca="1" si="131"/>
        <v>Important</v>
      </c>
      <c r="L154" s="145" t="str">
        <f t="shared" ca="1" si="131"/>
        <v>Not relevant</v>
      </c>
      <c r="M154" s="145" t="str">
        <f t="shared" ca="1" si="131"/>
        <v>Important</v>
      </c>
      <c r="N154" s="145" t="str">
        <f t="shared" ca="1" si="131"/>
        <v>Critical</v>
      </c>
      <c r="O154" s="145" t="str">
        <f t="shared" ca="1" si="131"/>
        <v>Critical</v>
      </c>
      <c r="P154" s="145" t="str">
        <f t="shared" ca="1" si="131"/>
        <v>Critical</v>
      </c>
      <c r="Q154" s="145" t="str">
        <f t="shared" ca="1" si="131"/>
        <v>Critical</v>
      </c>
      <c r="R154" s="145" t="str">
        <f t="shared" ca="1" si="131"/>
        <v>Critical</v>
      </c>
      <c r="S154" s="145" t="str">
        <f t="shared" ca="1" si="131"/>
        <v>Limited importance</v>
      </c>
      <c r="T154" s="145" t="str">
        <f t="shared" ca="1" si="131"/>
        <v>Highly Important</v>
      </c>
      <c r="U154" s="145" t="str">
        <f t="shared" ca="1" si="131"/>
        <v>Limited importance</v>
      </c>
      <c r="V154" s="145" t="str">
        <f t="shared" ca="1" si="131"/>
        <v>Limited importance</v>
      </c>
    </row>
    <row r="155" spans="1:22" x14ac:dyDescent="0.3">
      <c r="A155" s="423"/>
      <c r="B155" s="126" t="s">
        <v>718</v>
      </c>
      <c r="C155" s="158" t="str">
        <f ca="1">INDIRECT("'"&amp;C$6&amp;"'!$J$929")</f>
        <v>Not Calculated</v>
      </c>
      <c r="D155" s="158" t="str">
        <f t="shared" ref="D155:V155" ca="1" si="132">INDIRECT("'"&amp;D$6&amp;"'!$J$929")</f>
        <v>Not Calculated</v>
      </c>
      <c r="E155" s="158" t="str">
        <f t="shared" ca="1" si="132"/>
        <v>Not Calculated</v>
      </c>
      <c r="F155" s="158" t="str">
        <f t="shared" ca="1" si="132"/>
        <v>Not Calculated</v>
      </c>
      <c r="G155" s="158" t="str">
        <f t="shared" ca="1" si="132"/>
        <v>Not Calculated</v>
      </c>
      <c r="H155" s="158" t="str">
        <f t="shared" ca="1" si="132"/>
        <v>Not Calculated</v>
      </c>
      <c r="I155" s="158" t="str">
        <f t="shared" ca="1" si="132"/>
        <v>Not Calculated</v>
      </c>
      <c r="J155" s="158" t="str">
        <f t="shared" ca="1" si="132"/>
        <v>Not Calculated</v>
      </c>
      <c r="K155" s="158" t="str">
        <f t="shared" ca="1" si="132"/>
        <v>Not Calculated</v>
      </c>
      <c r="L155" s="158" t="str">
        <f t="shared" ca="1" si="132"/>
        <v>Not Calculated</v>
      </c>
      <c r="M155" s="158" t="str">
        <f t="shared" ca="1" si="132"/>
        <v>Not Calculated</v>
      </c>
      <c r="N155" s="158" t="str">
        <f t="shared" ca="1" si="132"/>
        <v>Not Calculated</v>
      </c>
      <c r="O155" s="158" t="str">
        <f t="shared" ca="1" si="132"/>
        <v>Not Calculated</v>
      </c>
      <c r="P155" s="158" t="str">
        <f t="shared" ca="1" si="132"/>
        <v>Not Calculated</v>
      </c>
      <c r="Q155" s="158" t="str">
        <f t="shared" ca="1" si="132"/>
        <v>Not Calculated</v>
      </c>
      <c r="R155" s="158" t="str">
        <f t="shared" ca="1" si="132"/>
        <v>Not Calculated</v>
      </c>
      <c r="S155" s="158" t="str">
        <f t="shared" ca="1" si="132"/>
        <v>Not Calculated</v>
      </c>
      <c r="T155" s="158" t="str">
        <f t="shared" ca="1" si="132"/>
        <v>Not Calculated</v>
      </c>
      <c r="U155" s="158" t="str">
        <f t="shared" ca="1" si="132"/>
        <v>Not Calculated</v>
      </c>
      <c r="V155" s="158" t="str">
        <f t="shared" ca="1" si="132"/>
        <v>Not Calculated</v>
      </c>
    </row>
    <row r="156" spans="1:22" x14ac:dyDescent="0.3">
      <c r="A156" s="422" t="s">
        <v>126</v>
      </c>
      <c r="B156" s="125" t="s">
        <v>717</v>
      </c>
      <c r="C156" s="145" t="str">
        <f ca="1">INDIRECT("'"&amp;C$6&amp;"'!$G$932")</f>
        <v>Limited importance</v>
      </c>
      <c r="D156" s="145" t="str">
        <f t="shared" ref="D156:V156" ca="1" si="133">INDIRECT("'"&amp;D$6&amp;"'!$G$932")</f>
        <v>Critical</v>
      </c>
      <c r="E156" s="145" t="str">
        <f t="shared" ca="1" si="133"/>
        <v>Highly Important</v>
      </c>
      <c r="F156" s="145" t="str">
        <f t="shared" ca="1" si="133"/>
        <v>Not relevant</v>
      </c>
      <c r="G156" s="145" t="str">
        <f t="shared" ca="1" si="133"/>
        <v>Highly Important</v>
      </c>
      <c r="H156" s="145" t="str">
        <f t="shared" ca="1" si="133"/>
        <v>Limited importance</v>
      </c>
      <c r="I156" s="145" t="str">
        <f t="shared" ca="1" si="133"/>
        <v>Important</v>
      </c>
      <c r="J156" s="145" t="str">
        <f t="shared" ca="1" si="133"/>
        <v>Not relevant</v>
      </c>
      <c r="K156" s="145" t="str">
        <f t="shared" ca="1" si="133"/>
        <v>Not relevant</v>
      </c>
      <c r="L156" s="145" t="str">
        <f t="shared" ca="1" si="133"/>
        <v>Important</v>
      </c>
      <c r="M156" s="145" t="str">
        <f t="shared" ca="1" si="133"/>
        <v>Highly Important</v>
      </c>
      <c r="N156" s="145" t="str">
        <f t="shared" ca="1" si="133"/>
        <v>Highly Important</v>
      </c>
      <c r="O156" s="145" t="str">
        <f t="shared" ca="1" si="133"/>
        <v>Highly Important</v>
      </c>
      <c r="P156" s="145" t="str">
        <f t="shared" ca="1" si="133"/>
        <v>Critical</v>
      </c>
      <c r="Q156" s="145" t="str">
        <f t="shared" ca="1" si="133"/>
        <v>Critical</v>
      </c>
      <c r="R156" s="145" t="str">
        <f t="shared" ca="1" si="133"/>
        <v>Critical</v>
      </c>
      <c r="S156" s="145" t="str">
        <f t="shared" ca="1" si="133"/>
        <v>Important</v>
      </c>
      <c r="T156" s="145" t="str">
        <f t="shared" ca="1" si="133"/>
        <v>Highly Important</v>
      </c>
      <c r="U156" s="145" t="str">
        <f t="shared" ca="1" si="133"/>
        <v>Important</v>
      </c>
      <c r="V156" s="145" t="str">
        <f t="shared" ca="1" si="133"/>
        <v>Limited importance</v>
      </c>
    </row>
    <row r="157" spans="1:22" x14ac:dyDescent="0.3">
      <c r="A157" s="423"/>
      <c r="B157" s="126" t="s">
        <v>718</v>
      </c>
      <c r="C157" s="159" t="str">
        <f ca="1">INDIRECT("'"&amp;C$6&amp;"'!$J$933")</f>
        <v>Not Calculated</v>
      </c>
      <c r="D157" s="159" t="str">
        <f t="shared" ref="D157:V157" ca="1" si="134">INDIRECT("'"&amp;D$6&amp;"'!$J$933")</f>
        <v>Not Calculated</v>
      </c>
      <c r="E157" s="159" t="str">
        <f t="shared" ca="1" si="134"/>
        <v>Not Calculated</v>
      </c>
      <c r="F157" s="159" t="str">
        <f t="shared" ca="1" si="134"/>
        <v>Not Calculated</v>
      </c>
      <c r="G157" s="159" t="str">
        <f t="shared" ca="1" si="134"/>
        <v>Not Calculated</v>
      </c>
      <c r="H157" s="159" t="str">
        <f t="shared" ca="1" si="134"/>
        <v>Not Calculated</v>
      </c>
      <c r="I157" s="159" t="str">
        <f t="shared" ca="1" si="134"/>
        <v>Not Calculated</v>
      </c>
      <c r="J157" s="159" t="str">
        <f t="shared" ca="1" si="134"/>
        <v>Not Calculated</v>
      </c>
      <c r="K157" s="159" t="str">
        <f t="shared" ca="1" si="134"/>
        <v>Not Calculated</v>
      </c>
      <c r="L157" s="159" t="str">
        <f t="shared" ca="1" si="134"/>
        <v>Not Calculated</v>
      </c>
      <c r="M157" s="159" t="str">
        <f t="shared" ca="1" si="134"/>
        <v>Not Calculated</v>
      </c>
      <c r="N157" s="159" t="str">
        <f t="shared" ca="1" si="134"/>
        <v>Not Calculated</v>
      </c>
      <c r="O157" s="159" t="str">
        <f t="shared" ca="1" si="134"/>
        <v>Not Calculated</v>
      </c>
      <c r="P157" s="159" t="str">
        <f t="shared" ca="1" si="134"/>
        <v>Not Calculated</v>
      </c>
      <c r="Q157" s="159" t="str">
        <f t="shared" ca="1" si="134"/>
        <v>Not Calculated</v>
      </c>
      <c r="R157" s="159" t="str">
        <f t="shared" ca="1" si="134"/>
        <v>Not Calculated</v>
      </c>
      <c r="S157" s="159" t="str">
        <f t="shared" ca="1" si="134"/>
        <v>Not Calculated</v>
      </c>
      <c r="T157" s="159" t="str">
        <f t="shared" ca="1" si="134"/>
        <v>Not Calculated</v>
      </c>
      <c r="U157" s="159" t="str">
        <f t="shared" ca="1" si="134"/>
        <v>Not Calculated</v>
      </c>
      <c r="V157" s="159" t="str">
        <f t="shared" ca="1" si="134"/>
        <v>Not Calculated</v>
      </c>
    </row>
  </sheetData>
  <mergeCells count="83">
    <mergeCell ref="A154:A155"/>
    <mergeCell ref="A156:A157"/>
    <mergeCell ref="A152:A153"/>
    <mergeCell ref="A148:A149"/>
    <mergeCell ref="A150:A151"/>
    <mergeCell ref="A140:B140"/>
    <mergeCell ref="A141:B141"/>
    <mergeCell ref="A142:A143"/>
    <mergeCell ref="A144:A145"/>
    <mergeCell ref="A146:A147"/>
    <mergeCell ref="A138:A139"/>
    <mergeCell ref="A34:A35"/>
    <mergeCell ref="A36:A37"/>
    <mergeCell ref="A38:A39"/>
    <mergeCell ref="A40:A41"/>
    <mergeCell ref="A42:A43"/>
    <mergeCell ref="A48:A49"/>
    <mergeCell ref="A50:A51"/>
    <mergeCell ref="A52:A53"/>
    <mergeCell ref="A55:A56"/>
    <mergeCell ref="A64:B64"/>
    <mergeCell ref="A72:A75"/>
    <mergeCell ref="A76:A79"/>
    <mergeCell ref="A80:A83"/>
    <mergeCell ref="A84:A87"/>
    <mergeCell ref="A88:A91"/>
    <mergeCell ref="A134:A135"/>
    <mergeCell ref="A136:A137"/>
    <mergeCell ref="A110:A111"/>
    <mergeCell ref="A112:A113"/>
    <mergeCell ref="A114:A115"/>
    <mergeCell ref="A116:A117"/>
    <mergeCell ref="A118:A119"/>
    <mergeCell ref="A120:A121"/>
    <mergeCell ref="A122:A123"/>
    <mergeCell ref="A124:A125"/>
    <mergeCell ref="A126:A127"/>
    <mergeCell ref="A128:A129"/>
    <mergeCell ref="A130:A131"/>
    <mergeCell ref="A132:A133"/>
    <mergeCell ref="A108:B108"/>
    <mergeCell ref="A109:B109"/>
    <mergeCell ref="A100:A103"/>
    <mergeCell ref="A104:A107"/>
    <mergeCell ref="A92:A95"/>
    <mergeCell ref="A96:A99"/>
    <mergeCell ref="A67:B67"/>
    <mergeCell ref="A70:B70"/>
    <mergeCell ref="A71:B71"/>
    <mergeCell ref="A68:A69"/>
    <mergeCell ref="A63:B63"/>
    <mergeCell ref="A65:B65"/>
    <mergeCell ref="A66:B66"/>
    <mergeCell ref="A61:A62"/>
    <mergeCell ref="A57:B57"/>
    <mergeCell ref="A58:B58"/>
    <mergeCell ref="A59:B59"/>
    <mergeCell ref="A60:B60"/>
    <mergeCell ref="A47:B47"/>
    <mergeCell ref="A32:A33"/>
    <mergeCell ref="A54:B54"/>
    <mergeCell ref="A44:B44"/>
    <mergeCell ref="A45:B45"/>
    <mergeCell ref="A46:B46"/>
    <mergeCell ref="A7:B7"/>
    <mergeCell ref="A8:B8"/>
    <mergeCell ref="A9:B9"/>
    <mergeCell ref="A10:B10"/>
    <mergeCell ref="A11:B11"/>
    <mergeCell ref="A12:B12"/>
    <mergeCell ref="A13:B13"/>
    <mergeCell ref="A14:B14"/>
    <mergeCell ref="A31:B31"/>
    <mergeCell ref="A30:B30"/>
    <mergeCell ref="A28:A29"/>
    <mergeCell ref="A15:B15"/>
    <mergeCell ref="A16:B16"/>
    <mergeCell ref="A17:B17"/>
    <mergeCell ref="A18:A19"/>
    <mergeCell ref="A20:A21"/>
    <mergeCell ref="A22:A23"/>
    <mergeCell ref="A24:A25"/>
    <mergeCell ref="A26:A27"/>
  </mergeCells>
  <pageMargins left="0.7" right="0.7" top="0.75" bottom="0.75" header="0.3" footer="0.3"/>
  <pageSetup paperSize="5" scale="50" fitToWidth="4" fitToHeight="2" orientation="portrait" r:id="rId1"/>
  <rowBreaks count="1" manualBreakCount="1">
    <brk id="58" max="21"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9"/>
  <dimension ref="A1:V158"/>
  <sheetViews>
    <sheetView showGridLines="0" showRowColHeaders="0" zoomScale="85" zoomScaleNormal="85" workbookViewId="0">
      <selection activeCell="F4" sqref="F4"/>
    </sheetView>
  </sheetViews>
  <sheetFormatPr defaultColWidth="9.109375" defaultRowHeight="14.4" x14ac:dyDescent="0.3"/>
  <cols>
    <col min="1" max="16384" width="9.109375" style="12"/>
  </cols>
  <sheetData>
    <row r="1" spans="7:14" x14ac:dyDescent="0.3">
      <c r="H1" s="30"/>
      <c r="I1" s="30"/>
    </row>
    <row r="2" spans="7:14" ht="30" x14ac:dyDescent="0.3">
      <c r="G2" s="318" t="s">
        <v>1204</v>
      </c>
      <c r="H2" s="30"/>
      <c r="I2" s="30"/>
    </row>
    <row r="3" spans="7:14" ht="22.8" x14ac:dyDescent="0.3">
      <c r="G3" s="244" t="s">
        <v>365</v>
      </c>
      <c r="H3" s="30"/>
      <c r="I3" s="30"/>
      <c r="M3" s="32"/>
      <c r="N3" s="32"/>
    </row>
    <row r="152" spans="1:22" x14ac:dyDescent="0.3">
      <c r="A152" s="245"/>
      <c r="B152" s="245" t="s">
        <v>16</v>
      </c>
      <c r="C152" s="245" t="s">
        <v>17</v>
      </c>
      <c r="D152" s="245" t="s">
        <v>18</v>
      </c>
      <c r="E152" s="245" t="s">
        <v>15</v>
      </c>
      <c r="F152" s="245" t="s">
        <v>3</v>
      </c>
      <c r="G152" s="245" t="s">
        <v>19</v>
      </c>
      <c r="H152" s="245" t="s">
        <v>402</v>
      </c>
      <c r="I152" s="245" t="s">
        <v>10</v>
      </c>
      <c r="J152" s="245" t="s">
        <v>11</v>
      </c>
      <c r="K152" s="245" t="s">
        <v>12</v>
      </c>
      <c r="L152" s="245" t="s">
        <v>4</v>
      </c>
      <c r="M152" s="245" t="s">
        <v>21</v>
      </c>
      <c r="N152" s="245" t="s">
        <v>8</v>
      </c>
      <c r="O152" s="245" t="s">
        <v>14</v>
      </c>
      <c r="P152" s="245" t="s">
        <v>9</v>
      </c>
      <c r="Q152" s="245" t="s">
        <v>20</v>
      </c>
      <c r="R152" s="245" t="s">
        <v>6</v>
      </c>
      <c r="S152" s="245" t="s">
        <v>7</v>
      </c>
      <c r="T152" s="245" t="s">
        <v>13</v>
      </c>
      <c r="U152" s="245" t="s">
        <v>5</v>
      </c>
      <c r="V152" s="287"/>
    </row>
    <row r="153" spans="1:22" x14ac:dyDescent="0.3">
      <c r="A153" s="245" t="s">
        <v>27</v>
      </c>
      <c r="B153" s="246" t="str">
        <f ca="1">INDIRECT("'"&amp;B$152&amp;"'!$J$133")</f>
        <v>Not Calculated</v>
      </c>
      <c r="C153" s="246">
        <f t="shared" ref="C153:U153" ca="1" si="0">INDIRECT("'"&amp;C$152&amp;"'!$J$133")</f>
        <v>3.3333333333333335</v>
      </c>
      <c r="D153" s="246">
        <f t="shared" ca="1" si="0"/>
        <v>2</v>
      </c>
      <c r="E153" s="246">
        <f t="shared" ca="1" si="0"/>
        <v>1.8333333333333333</v>
      </c>
      <c r="F153" s="246">
        <f t="shared" ca="1" si="0"/>
        <v>1.4166666666666667</v>
      </c>
      <c r="G153" s="246">
        <f t="shared" ca="1" si="0"/>
        <v>1.4166666666666667</v>
      </c>
      <c r="H153" s="246">
        <f t="shared" ca="1" si="0"/>
        <v>0.5</v>
      </c>
      <c r="I153" s="246">
        <f t="shared" ca="1" si="0"/>
        <v>1.1666666666666667</v>
      </c>
      <c r="J153" s="246">
        <f t="shared" ca="1" si="0"/>
        <v>0.33333333333333331</v>
      </c>
      <c r="K153" s="246">
        <f t="shared" ca="1" si="0"/>
        <v>0.33333333333333331</v>
      </c>
      <c r="L153" s="246">
        <f t="shared" ca="1" si="0"/>
        <v>1.0833333333333333</v>
      </c>
      <c r="M153" s="246">
        <f t="shared" ca="1" si="0"/>
        <v>1.3333333333333333</v>
      </c>
      <c r="N153" s="246">
        <f t="shared" ca="1" si="0"/>
        <v>2</v>
      </c>
      <c r="O153" s="246">
        <f t="shared" ca="1" si="0"/>
        <v>2.3333333333333335</v>
      </c>
      <c r="P153" s="246">
        <f t="shared" ca="1" si="0"/>
        <v>3.25</v>
      </c>
      <c r="Q153" s="246">
        <f t="shared" ca="1" si="0"/>
        <v>2.1666666666666665</v>
      </c>
      <c r="R153" s="246">
        <f t="shared" ca="1" si="0"/>
        <v>1</v>
      </c>
      <c r="S153" s="246">
        <f t="shared" ca="1" si="0"/>
        <v>0.83333333333333337</v>
      </c>
      <c r="T153" s="246">
        <f t="shared" ca="1" si="0"/>
        <v>1.25</v>
      </c>
      <c r="U153" s="246">
        <f t="shared" ca="1" si="0"/>
        <v>1</v>
      </c>
      <c r="V153" s="287"/>
    </row>
    <row r="154" spans="1:22" x14ac:dyDescent="0.3">
      <c r="A154" s="245" t="s">
        <v>28</v>
      </c>
      <c r="B154" s="246" t="str">
        <f ca="1">INDIRECT("'"&amp;B$152&amp;"'!$J$261")</f>
        <v>Not Calculated</v>
      </c>
      <c r="C154" s="246" t="str">
        <f t="shared" ref="C154:U154" ca="1" si="1">INDIRECT("'"&amp;C$152&amp;"'!$J$261")</f>
        <v>Not Calculated</v>
      </c>
      <c r="D154" s="246" t="str">
        <f t="shared" ca="1" si="1"/>
        <v>Not Calculated</v>
      </c>
      <c r="E154" s="246" t="str">
        <f t="shared" ca="1" si="1"/>
        <v>Not Calculated</v>
      </c>
      <c r="F154" s="246" t="str">
        <f t="shared" ca="1" si="1"/>
        <v>Not Calculated</v>
      </c>
      <c r="G154" s="246" t="str">
        <f t="shared" ca="1" si="1"/>
        <v>Not Calculated</v>
      </c>
      <c r="H154" s="246" t="str">
        <f t="shared" ca="1" si="1"/>
        <v>Not Calculated</v>
      </c>
      <c r="I154" s="246" t="str">
        <f t="shared" ca="1" si="1"/>
        <v>Not Calculated</v>
      </c>
      <c r="J154" s="246" t="str">
        <f t="shared" ca="1" si="1"/>
        <v>Not Calculated</v>
      </c>
      <c r="K154" s="246" t="str">
        <f t="shared" ca="1" si="1"/>
        <v>Not Calculated</v>
      </c>
      <c r="L154" s="246" t="str">
        <f t="shared" ca="1" si="1"/>
        <v>Not Calculated</v>
      </c>
      <c r="M154" s="246" t="str">
        <f t="shared" ca="1" si="1"/>
        <v>Not Calculated</v>
      </c>
      <c r="N154" s="246" t="str">
        <f t="shared" ca="1" si="1"/>
        <v>Not Calculated</v>
      </c>
      <c r="O154" s="246" t="str">
        <f t="shared" ca="1" si="1"/>
        <v>Not Calculated</v>
      </c>
      <c r="P154" s="246" t="str">
        <f t="shared" ca="1" si="1"/>
        <v>Not Calculated</v>
      </c>
      <c r="Q154" s="246" t="str">
        <f t="shared" ca="1" si="1"/>
        <v>Not Calculated</v>
      </c>
      <c r="R154" s="246" t="str">
        <f t="shared" ca="1" si="1"/>
        <v>Not Calculated</v>
      </c>
      <c r="S154" s="246" t="str">
        <f t="shared" ca="1" si="1"/>
        <v>Not Calculated</v>
      </c>
      <c r="T154" s="246" t="str">
        <f t="shared" ca="1" si="1"/>
        <v>Not Calculated</v>
      </c>
      <c r="U154" s="246" t="str">
        <f t="shared" ca="1" si="1"/>
        <v>Not Calculated</v>
      </c>
      <c r="V154" s="287"/>
    </row>
    <row r="155" spans="1:22" x14ac:dyDescent="0.3">
      <c r="A155" s="245" t="s">
        <v>950</v>
      </c>
      <c r="B155" s="246">
        <f ca="1">INDIRECT("'"&amp;B$152&amp;"'!$J$421")</f>
        <v>1.4375</v>
      </c>
      <c r="C155" s="246">
        <f t="shared" ref="C155:U155" ca="1" si="2">INDIRECT("'"&amp;C$152&amp;"'!$J$421")</f>
        <v>2</v>
      </c>
      <c r="D155" s="246">
        <f t="shared" ca="1" si="2"/>
        <v>1.5</v>
      </c>
      <c r="E155" s="246">
        <f t="shared" ca="1" si="2"/>
        <v>1.375</v>
      </c>
      <c r="F155" s="246">
        <f t="shared" ca="1" si="2"/>
        <v>2.1875</v>
      </c>
      <c r="G155" s="246">
        <f t="shared" ca="1" si="2"/>
        <v>1.4375</v>
      </c>
      <c r="H155" s="246">
        <f t="shared" ca="1" si="2"/>
        <v>1.5</v>
      </c>
      <c r="I155" s="246">
        <f t="shared" ca="1" si="2"/>
        <v>1.25</v>
      </c>
      <c r="J155" s="246">
        <f t="shared" ca="1" si="2"/>
        <v>1.25</v>
      </c>
      <c r="K155" s="246">
        <f t="shared" ca="1" si="2"/>
        <v>1.3125</v>
      </c>
      <c r="L155" s="246">
        <f t="shared" ca="1" si="2"/>
        <v>1.4375</v>
      </c>
      <c r="M155" s="246">
        <f t="shared" ca="1" si="2"/>
        <v>1.9375</v>
      </c>
      <c r="N155" s="246">
        <f t="shared" ca="1" si="2"/>
        <v>1.5</v>
      </c>
      <c r="O155" s="246">
        <f t="shared" ca="1" si="2"/>
        <v>2.5</v>
      </c>
      <c r="P155" s="246">
        <f t="shared" ca="1" si="2"/>
        <v>1.5</v>
      </c>
      <c r="Q155" s="246">
        <f t="shared" ca="1" si="2"/>
        <v>1.4375</v>
      </c>
      <c r="R155" s="246">
        <f t="shared" ca="1" si="2"/>
        <v>1.5</v>
      </c>
      <c r="S155" s="246">
        <f t="shared" ca="1" si="2"/>
        <v>1.375</v>
      </c>
      <c r="T155" s="246">
        <f t="shared" ca="1" si="2"/>
        <v>1.9375</v>
      </c>
      <c r="U155" s="246">
        <f t="shared" ca="1" si="2"/>
        <v>1.3125</v>
      </c>
      <c r="V155" s="287"/>
    </row>
    <row r="156" spans="1:22" x14ac:dyDescent="0.3">
      <c r="A156" s="245" t="s">
        <v>249</v>
      </c>
      <c r="B156" s="246">
        <f ca="1">INDIRECT("'"&amp;B$152&amp;"'!$J$539")</f>
        <v>7.1428571428571425E-2</v>
      </c>
      <c r="C156" s="246">
        <f t="shared" ref="C156:U156" ca="1" si="3">INDIRECT("'"&amp;C$152&amp;"'!$J$539")</f>
        <v>2.1428571428571428</v>
      </c>
      <c r="D156" s="246">
        <f t="shared" ca="1" si="3"/>
        <v>0.7857142857142857</v>
      </c>
      <c r="E156" s="246">
        <f t="shared" ca="1" si="3"/>
        <v>1.1428571428571428</v>
      </c>
      <c r="F156" s="246">
        <f t="shared" ca="1" si="3"/>
        <v>2.5</v>
      </c>
      <c r="G156" s="246">
        <f t="shared" ca="1" si="3"/>
        <v>0.7857142857142857</v>
      </c>
      <c r="H156" s="246">
        <f t="shared" ca="1" si="3"/>
        <v>0</v>
      </c>
      <c r="I156" s="246">
        <f t="shared" ca="1" si="3"/>
        <v>1</v>
      </c>
      <c r="J156" s="246">
        <f t="shared" ca="1" si="3"/>
        <v>0.2857142857142857</v>
      </c>
      <c r="K156" s="246">
        <f t="shared" ca="1" si="3"/>
        <v>0.5</v>
      </c>
      <c r="L156" s="246">
        <f t="shared" ca="1" si="3"/>
        <v>1.6428571428571428</v>
      </c>
      <c r="M156" s="246">
        <f t="shared" ca="1" si="3"/>
        <v>1.2857142857142858</v>
      </c>
      <c r="N156" s="246">
        <f t="shared" ca="1" si="3"/>
        <v>0.2857142857142857</v>
      </c>
      <c r="O156" s="246">
        <f t="shared" ca="1" si="3"/>
        <v>1.7857142857142858</v>
      </c>
      <c r="P156" s="246">
        <f t="shared" ca="1" si="3"/>
        <v>1.6428571428571428</v>
      </c>
      <c r="Q156" s="246">
        <f t="shared" ca="1" si="3"/>
        <v>1.7142857142857142</v>
      </c>
      <c r="R156" s="246">
        <f t="shared" ca="1" si="3"/>
        <v>0.7142857142857143</v>
      </c>
      <c r="S156" s="246">
        <f t="shared" ca="1" si="3"/>
        <v>2.0714285714285716</v>
      </c>
      <c r="T156" s="246">
        <f t="shared" ca="1" si="3"/>
        <v>1.9285714285714286</v>
      </c>
      <c r="U156" s="246">
        <f t="shared" ca="1" si="3"/>
        <v>1.2142857142857142</v>
      </c>
      <c r="V156" s="287"/>
    </row>
    <row r="157" spans="1:22" x14ac:dyDescent="0.3">
      <c r="A157" s="245" t="s">
        <v>951</v>
      </c>
      <c r="B157" s="246" t="str">
        <f ca="1">INDIRECT("'"&amp;B$152&amp;"'!$J$681")</f>
        <v>Not Calculated</v>
      </c>
      <c r="C157" s="246" t="str">
        <f t="shared" ref="C157:U157" ca="1" si="4">INDIRECT("'"&amp;C$152&amp;"'!$J$681")</f>
        <v>Not Calculated</v>
      </c>
      <c r="D157" s="246" t="str">
        <f t="shared" ca="1" si="4"/>
        <v>Not Calculated</v>
      </c>
      <c r="E157" s="246" t="str">
        <f t="shared" ca="1" si="4"/>
        <v>Not Calculated</v>
      </c>
      <c r="F157" s="246" t="str">
        <f t="shared" ca="1" si="4"/>
        <v>Not Calculated</v>
      </c>
      <c r="G157" s="246" t="str">
        <f t="shared" ca="1" si="4"/>
        <v>Not Calculated</v>
      </c>
      <c r="H157" s="246" t="str">
        <f t="shared" ca="1" si="4"/>
        <v>Not Calculated</v>
      </c>
      <c r="I157" s="246" t="str">
        <f t="shared" ca="1" si="4"/>
        <v>Not Calculated</v>
      </c>
      <c r="J157" s="246" t="str">
        <f t="shared" ca="1" si="4"/>
        <v>Not Calculated</v>
      </c>
      <c r="K157" s="246" t="str">
        <f t="shared" ca="1" si="4"/>
        <v>Not Calculated</v>
      </c>
      <c r="L157" s="246" t="str">
        <f t="shared" ca="1" si="4"/>
        <v>Not Calculated</v>
      </c>
      <c r="M157" s="246" t="str">
        <f t="shared" ca="1" si="4"/>
        <v>Not Calculated</v>
      </c>
      <c r="N157" s="246" t="str">
        <f t="shared" ca="1" si="4"/>
        <v>Not Calculated</v>
      </c>
      <c r="O157" s="246" t="str">
        <f t="shared" ca="1" si="4"/>
        <v>Not Calculated</v>
      </c>
      <c r="P157" s="246" t="str">
        <f t="shared" ca="1" si="4"/>
        <v>Not Calculated</v>
      </c>
      <c r="Q157" s="246" t="str">
        <f t="shared" ca="1" si="4"/>
        <v>Not Calculated</v>
      </c>
      <c r="R157" s="246" t="str">
        <f t="shared" ca="1" si="4"/>
        <v>Not Calculated</v>
      </c>
      <c r="S157" s="246" t="str">
        <f t="shared" ca="1" si="4"/>
        <v>Not Calculated</v>
      </c>
      <c r="T157" s="246" t="str">
        <f t="shared" ca="1" si="4"/>
        <v>Not Calculated</v>
      </c>
      <c r="U157" s="246" t="str">
        <f t="shared" ca="1" si="4"/>
        <v>Not Calculated</v>
      </c>
      <c r="V157" s="287"/>
    </row>
    <row r="158" spans="1:22" x14ac:dyDescent="0.3">
      <c r="A158" s="287"/>
      <c r="B158" s="287"/>
      <c r="C158" s="287"/>
      <c r="D158" s="287"/>
      <c r="E158" s="287"/>
      <c r="F158" s="287"/>
      <c r="G158" s="287"/>
      <c r="H158" s="287"/>
      <c r="I158" s="287"/>
      <c r="J158" s="287"/>
      <c r="K158" s="287"/>
      <c r="L158" s="287"/>
      <c r="M158" s="287"/>
      <c r="N158" s="287"/>
      <c r="O158" s="287"/>
      <c r="P158" s="287"/>
      <c r="Q158" s="287"/>
      <c r="R158" s="287"/>
      <c r="S158" s="287"/>
      <c r="T158" s="287"/>
      <c r="U158" s="287"/>
      <c r="V158" s="287"/>
    </row>
  </sheetData>
  <pageMargins left="0.7" right="0.7" top="0.75" bottom="0.75" header="0.3" footer="0.3"/>
  <pageSetup scale="70" orientation="portrait" r:id="rId1"/>
  <rowBreaks count="2" manualBreakCount="2">
    <brk id="62" max="13" man="1"/>
    <brk id="120" max="13" man="1"/>
  </rowBreaks>
  <colBreaks count="1" manualBreakCount="1">
    <brk id="14" max="1048575" man="1"/>
  </col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B1:M81"/>
  <sheetViews>
    <sheetView showGridLines="0" showRowColHeaders="0" zoomScaleNormal="100" workbookViewId="0"/>
  </sheetViews>
  <sheetFormatPr defaultColWidth="9.109375" defaultRowHeight="14.4" x14ac:dyDescent="0.3"/>
  <cols>
    <col min="1" max="16384" width="9.109375" style="12"/>
  </cols>
  <sheetData>
    <row r="1" spans="2:13" x14ac:dyDescent="0.3">
      <c r="G1" s="30"/>
      <c r="H1" s="30"/>
    </row>
    <row r="2" spans="2:13" ht="30" x14ac:dyDescent="0.3">
      <c r="F2" s="318" t="s">
        <v>1204</v>
      </c>
      <c r="G2" s="30"/>
      <c r="H2" s="30"/>
    </row>
    <row r="3" spans="2:13" ht="22.8" x14ac:dyDescent="0.4">
      <c r="F3" s="31" t="s">
        <v>404</v>
      </c>
      <c r="G3" s="30"/>
      <c r="H3" s="30"/>
      <c r="L3" s="32"/>
      <c r="M3" s="32"/>
    </row>
    <row r="4" spans="2:13" ht="15" thickBot="1" x14ac:dyDescent="0.35"/>
    <row r="5" spans="2:13" x14ac:dyDescent="0.3">
      <c r="B5" s="108"/>
      <c r="C5" s="109"/>
      <c r="D5" s="109"/>
      <c r="E5" s="109"/>
      <c r="F5" s="109"/>
      <c r="G5" s="109"/>
      <c r="H5" s="110"/>
      <c r="I5" s="110"/>
      <c r="J5" s="111"/>
    </row>
    <row r="6" spans="2:13" ht="17.399999999999999" x14ac:dyDescent="0.3">
      <c r="B6" s="112"/>
      <c r="C6" s="1"/>
      <c r="D6" s="1"/>
      <c r="E6" s="1"/>
      <c r="F6" s="232" t="s">
        <v>1126</v>
      </c>
      <c r="G6" s="1"/>
      <c r="H6" s="231"/>
      <c r="I6" s="231"/>
      <c r="J6" s="113"/>
    </row>
    <row r="7" spans="2:13" x14ac:dyDescent="0.3">
      <c r="B7" s="112"/>
      <c r="C7" s="1"/>
      <c r="D7" s="1"/>
      <c r="E7" s="1"/>
      <c r="F7" s="1"/>
      <c r="G7" s="1"/>
      <c r="H7" s="231"/>
      <c r="I7" s="231"/>
      <c r="J7" s="113"/>
    </row>
    <row r="8" spans="2:13" ht="15.6" x14ac:dyDescent="0.3">
      <c r="B8" s="112"/>
      <c r="C8" s="13" t="s">
        <v>415</v>
      </c>
      <c r="D8" s="1"/>
      <c r="E8" s="1"/>
      <c r="F8" s="1"/>
      <c r="G8" s="13" t="s">
        <v>416</v>
      </c>
      <c r="H8" s="1"/>
      <c r="I8" s="1"/>
      <c r="J8" s="113"/>
      <c r="L8" s="107"/>
    </row>
    <row r="9" spans="2:13" x14ac:dyDescent="0.3">
      <c r="B9" s="112"/>
      <c r="C9" s="137" t="str">
        <f>'Summary of Scores'!B49</f>
        <v>Pandemic</v>
      </c>
      <c r="D9" s="137"/>
      <c r="E9" s="137"/>
      <c r="F9" s="137"/>
      <c r="G9" s="137"/>
      <c r="H9" s="138" t="str">
        <f ca="1">'Summary of Scores'!I49</f>
        <v>Not Calculated</v>
      </c>
      <c r="I9" s="1"/>
      <c r="J9" s="113"/>
    </row>
    <row r="10" spans="2:13" x14ac:dyDescent="0.3">
      <c r="B10" s="112"/>
      <c r="C10" s="137" t="str">
        <f>'Summary of Scores'!B39</f>
        <v>Coastal Storm</v>
      </c>
      <c r="D10" s="137"/>
      <c r="E10" s="137"/>
      <c r="F10" s="137"/>
      <c r="G10" s="137"/>
      <c r="H10" s="138" t="str">
        <f ca="1">'Summary of Scores'!I39</f>
        <v>Not Calculated</v>
      </c>
      <c r="I10" s="1"/>
      <c r="J10" s="113"/>
    </row>
    <row r="11" spans="2:13" x14ac:dyDescent="0.3">
      <c r="B11" s="112"/>
      <c r="C11" s="137" t="str">
        <f>'Summary of Scores'!B45</f>
        <v>Flood</v>
      </c>
      <c r="D11" s="137"/>
      <c r="E11" s="137"/>
      <c r="F11" s="137"/>
      <c r="G11" s="137"/>
      <c r="H11" s="138" t="str">
        <f ca="1">'Summary of Scores'!I45</f>
        <v>Not Calculated</v>
      </c>
      <c r="I11" s="1"/>
      <c r="J11" s="113"/>
    </row>
    <row r="12" spans="2:13" x14ac:dyDescent="0.3">
      <c r="B12" s="112"/>
      <c r="C12" s="137" t="str">
        <f>'Summary of Scores'!B53</f>
        <v>Utility Interr</v>
      </c>
      <c r="D12" s="137"/>
      <c r="E12" s="137"/>
      <c r="F12" s="137"/>
      <c r="G12" s="137"/>
      <c r="H12" s="138" t="str">
        <f ca="1">'Summary of Scores'!I53</f>
        <v>Not Calculated</v>
      </c>
      <c r="I12" s="1"/>
      <c r="J12" s="113"/>
    </row>
    <row r="13" spans="2:13" x14ac:dyDescent="0.3">
      <c r="B13" s="112"/>
      <c r="C13" s="137" t="str">
        <f>'Summary of Scores'!B47</f>
        <v>Localized ID</v>
      </c>
      <c r="D13" s="137"/>
      <c r="E13" s="137"/>
      <c r="F13" s="137"/>
      <c r="G13" s="137"/>
      <c r="H13" s="138" t="str">
        <f ca="1">'Summary of Scores'!I47</f>
        <v>Not Calculated</v>
      </c>
      <c r="I13" s="1"/>
      <c r="J13" s="113"/>
    </row>
    <row r="14" spans="2:13" x14ac:dyDescent="0.3">
      <c r="B14" s="112"/>
      <c r="C14" s="137" t="str">
        <f>'Summary of Scores'!B52</f>
        <v>Tornado</v>
      </c>
      <c r="D14" s="137"/>
      <c r="E14" s="137"/>
      <c r="F14" s="137"/>
      <c r="G14" s="137"/>
      <c r="H14" s="138" t="str">
        <f ca="1">'Summary of Scores'!I52</f>
        <v>Not Calculated</v>
      </c>
      <c r="I14" s="1"/>
      <c r="J14" s="113"/>
    </row>
    <row r="15" spans="2:13" x14ac:dyDescent="0.3">
      <c r="B15" s="112"/>
      <c r="C15" s="137" t="str">
        <f>'Summary of Scores'!B46</f>
        <v>HazMat Release</v>
      </c>
      <c r="D15" s="137"/>
      <c r="E15" s="137"/>
      <c r="F15" s="137"/>
      <c r="G15" s="137"/>
      <c r="H15" s="138" t="str">
        <f ca="1">'Summary of Scores'!I46</f>
        <v>Not Calculated</v>
      </c>
      <c r="I15" s="1"/>
      <c r="J15" s="113"/>
    </row>
    <row r="16" spans="2:13" x14ac:dyDescent="0.3">
      <c r="B16" s="112"/>
      <c r="C16" s="137" t="str">
        <f>'Summary of Scores'!B54</f>
        <v>Winter Storm</v>
      </c>
      <c r="D16" s="137"/>
      <c r="E16" s="137"/>
      <c r="F16" s="137"/>
      <c r="G16" s="137"/>
      <c r="H16" s="138" t="str">
        <f ca="1">'Summary of Scores'!I54</f>
        <v>Not Calculated</v>
      </c>
      <c r="I16" s="1"/>
      <c r="J16" s="113"/>
    </row>
    <row r="17" spans="2:10" x14ac:dyDescent="0.3">
      <c r="B17" s="112"/>
      <c r="C17" s="137" t="str">
        <f>'Summary of Scores'!B40</f>
        <v>Conv Explosive</v>
      </c>
      <c r="D17" s="137"/>
      <c r="E17" s="137"/>
      <c r="F17" s="137"/>
      <c r="G17" s="137"/>
      <c r="H17" s="138" t="str">
        <f ca="1">'Summary of Scores'!I40</f>
        <v>Not Calculated</v>
      </c>
      <c r="I17" s="1"/>
      <c r="J17" s="113"/>
    </row>
    <row r="18" spans="2:10" x14ac:dyDescent="0.3">
      <c r="B18" s="112"/>
      <c r="C18" s="137" t="str">
        <f>'Summary of Scores'!B48</f>
        <v>Nuclear Facility</v>
      </c>
      <c r="D18" s="137"/>
      <c r="E18" s="137"/>
      <c r="F18" s="137"/>
      <c r="G18" s="137"/>
      <c r="H18" s="138" t="str">
        <f ca="1">'Summary of Scores'!I48</f>
        <v>Not Calculated</v>
      </c>
      <c r="I18" s="1"/>
      <c r="J18" s="113"/>
    </row>
    <row r="19" spans="2:10" x14ac:dyDescent="0.3">
      <c r="B19" s="112"/>
      <c r="C19" s="137" t="str">
        <f>'Summary of Scores'!B38</f>
        <v>Civil Disturbance</v>
      </c>
      <c r="D19" s="137"/>
      <c r="E19" s="137"/>
      <c r="F19" s="137"/>
      <c r="G19" s="137"/>
      <c r="H19" s="138" t="str">
        <f ca="1">'Summary of Scores'!I38</f>
        <v>Not Calculated</v>
      </c>
      <c r="I19" s="1"/>
      <c r="J19" s="113"/>
    </row>
    <row r="20" spans="2:10" x14ac:dyDescent="0.3">
      <c r="B20" s="112"/>
      <c r="C20" s="137" t="str">
        <f>'Summary of Scores'!B36</f>
        <v>Bio Terrorism</v>
      </c>
      <c r="D20" s="137"/>
      <c r="E20" s="137"/>
      <c r="F20" s="137"/>
      <c r="G20" s="137"/>
      <c r="H20" s="138" t="str">
        <f ca="1">'Summary of Scores'!I36</f>
        <v>Not Calculated</v>
      </c>
      <c r="I20" s="1"/>
      <c r="J20" s="113"/>
    </row>
    <row r="21" spans="2:10" x14ac:dyDescent="0.3">
      <c r="B21" s="112"/>
      <c r="C21" s="137" t="str">
        <f>'Summary of Scores'!B50</f>
        <v>RDD</v>
      </c>
      <c r="D21" s="137"/>
      <c r="E21" s="137"/>
      <c r="F21" s="137"/>
      <c r="G21" s="137"/>
      <c r="H21" s="138" t="str">
        <f ca="1">'Summary of Scores'!I50</f>
        <v>Not Calculated</v>
      </c>
      <c r="I21" s="1"/>
      <c r="J21" s="113"/>
    </row>
    <row r="22" spans="2:10" x14ac:dyDescent="0.3">
      <c r="B22" s="112"/>
      <c r="C22" s="137" t="str">
        <f>'Summary of Scores'!B51</f>
        <v>Temp Extremes</v>
      </c>
      <c r="D22" s="137"/>
      <c r="E22" s="137"/>
      <c r="F22" s="137"/>
      <c r="G22" s="137"/>
      <c r="H22" s="138" t="str">
        <f ca="1">'Summary of Scores'!I51</f>
        <v>Not Calculated</v>
      </c>
      <c r="I22" s="1"/>
      <c r="J22" s="113"/>
    </row>
    <row r="23" spans="2:10" x14ac:dyDescent="0.3">
      <c r="B23" s="112"/>
      <c r="C23" s="137" t="str">
        <f>'Summary of Scores'!B35</f>
        <v>Active Shooter</v>
      </c>
      <c r="D23" s="137"/>
      <c r="E23" s="137"/>
      <c r="F23" s="137"/>
      <c r="G23" s="137"/>
      <c r="H23" s="138" t="str">
        <f ca="1">'Summary of Scores'!I35</f>
        <v>Not Calculated</v>
      </c>
      <c r="I23" s="1"/>
      <c r="J23" s="113"/>
    </row>
    <row r="24" spans="2:10" x14ac:dyDescent="0.3">
      <c r="B24" s="112"/>
      <c r="C24" s="137" t="str">
        <f>'Summary of Scores'!B42</f>
        <v>Drought</v>
      </c>
      <c r="D24" s="137"/>
      <c r="E24" s="137"/>
      <c r="F24" s="137"/>
      <c r="G24" s="137"/>
      <c r="H24" s="138" t="str">
        <f ca="1">'Summary of Scores'!I42</f>
        <v>Not Calculated</v>
      </c>
      <c r="I24" s="1"/>
      <c r="J24" s="113"/>
    </row>
    <row r="25" spans="2:10" x14ac:dyDescent="0.3">
      <c r="B25" s="112"/>
      <c r="C25" s="137" t="str">
        <f>'Summary of Scores'!B37</f>
        <v>Chem Terrorism</v>
      </c>
      <c r="D25" s="137"/>
      <c r="E25" s="137"/>
      <c r="F25" s="137"/>
      <c r="G25" s="137"/>
      <c r="H25" s="138" t="str">
        <f ca="1">'Summary of Scores'!I37</f>
        <v>Not Calculated</v>
      </c>
      <c r="I25" s="1"/>
      <c r="J25" s="113"/>
    </row>
    <row r="26" spans="2:10" x14ac:dyDescent="0.3">
      <c r="B26" s="112"/>
      <c r="C26" s="137" t="str">
        <f>'Summary of Scores'!B44</f>
        <v>Fire</v>
      </c>
      <c r="D26" s="137"/>
      <c r="E26" s="137"/>
      <c r="F26" s="137"/>
      <c r="G26" s="137"/>
      <c r="H26" s="138" t="str">
        <f ca="1">'Summary of Scores'!I44</f>
        <v>Not Calculated</v>
      </c>
      <c r="I26" s="1"/>
      <c r="J26" s="113"/>
    </row>
    <row r="27" spans="2:10" x14ac:dyDescent="0.3">
      <c r="B27" s="112"/>
      <c r="C27" s="137" t="str">
        <f>'Summary of Scores'!B43</f>
        <v>Earthquake</v>
      </c>
      <c r="D27" s="137"/>
      <c r="E27" s="137"/>
      <c r="F27" s="137"/>
      <c r="G27" s="137"/>
      <c r="H27" s="138" t="str">
        <f ca="1">'Summary of Scores'!I43</f>
        <v>Not Calculated</v>
      </c>
      <c r="I27" s="1"/>
      <c r="J27" s="113"/>
    </row>
    <row r="28" spans="2:10" x14ac:dyDescent="0.3">
      <c r="B28" s="112"/>
      <c r="C28" s="137" t="str">
        <f>'Summary of Scores'!B41</f>
        <v>Cyber Terrorism</v>
      </c>
      <c r="D28" s="137"/>
      <c r="E28" s="137"/>
      <c r="F28" s="137"/>
      <c r="G28" s="137"/>
      <c r="H28" s="138" t="str">
        <f ca="1">'Summary of Scores'!I41</f>
        <v>Not Calculated</v>
      </c>
      <c r="I28" s="1"/>
      <c r="J28" s="113"/>
    </row>
    <row r="29" spans="2:10" ht="15" thickBot="1" x14ac:dyDescent="0.35">
      <c r="B29" s="114"/>
      <c r="C29" s="115"/>
      <c r="D29" s="115"/>
      <c r="E29" s="115"/>
      <c r="F29" s="115"/>
      <c r="G29" s="115"/>
      <c r="H29" s="115"/>
      <c r="I29" s="115"/>
      <c r="J29" s="116"/>
    </row>
    <row r="30" spans="2:10" ht="15" thickBot="1" x14ac:dyDescent="0.35"/>
    <row r="31" spans="2:10" x14ac:dyDescent="0.3">
      <c r="B31" s="108"/>
      <c r="C31" s="109"/>
      <c r="D31" s="109"/>
      <c r="E31" s="109"/>
      <c r="F31" s="109"/>
      <c r="G31" s="109"/>
      <c r="H31" s="110"/>
      <c r="I31" s="110"/>
      <c r="J31" s="111"/>
    </row>
    <row r="32" spans="2:10" ht="17.399999999999999" x14ac:dyDescent="0.3">
      <c r="B32" s="112"/>
      <c r="C32" s="1"/>
      <c r="D32" s="1"/>
      <c r="E32" s="1"/>
      <c r="F32" s="232" t="s">
        <v>1127</v>
      </c>
      <c r="G32" s="1"/>
      <c r="H32" s="231"/>
      <c r="I32" s="231"/>
      <c r="J32" s="113"/>
    </row>
    <row r="33" spans="2:10" x14ac:dyDescent="0.3">
      <c r="B33" s="112"/>
      <c r="C33" s="1"/>
      <c r="D33" s="1"/>
      <c r="E33" s="1"/>
      <c r="F33" s="1"/>
      <c r="G33" s="1"/>
      <c r="H33" s="231"/>
      <c r="I33" s="231"/>
      <c r="J33" s="113"/>
    </row>
    <row r="34" spans="2:10" ht="15.6" x14ac:dyDescent="0.3">
      <c r="B34" s="112"/>
      <c r="C34" s="13" t="s">
        <v>415</v>
      </c>
      <c r="D34" s="1"/>
      <c r="E34" s="1"/>
      <c r="F34" s="1"/>
      <c r="G34" s="13" t="s">
        <v>416</v>
      </c>
      <c r="H34" s="1"/>
      <c r="I34" s="1"/>
      <c r="J34" s="113"/>
    </row>
    <row r="35" spans="2:10" x14ac:dyDescent="0.3">
      <c r="B35" s="112"/>
      <c r="C35" s="137" t="str">
        <f>'Summary of Scores'!B36</f>
        <v>Bio Terrorism</v>
      </c>
      <c r="D35" s="137"/>
      <c r="E35" s="137"/>
      <c r="F35" s="137"/>
      <c r="G35" s="137"/>
      <c r="H35" s="138" t="str">
        <f ca="1">'Summary of Scores'!J36</f>
        <v>Not Calculated</v>
      </c>
      <c r="I35" s="1"/>
      <c r="J35" s="113"/>
    </row>
    <row r="36" spans="2:10" x14ac:dyDescent="0.3">
      <c r="B36" s="112"/>
      <c r="C36" s="137" t="str">
        <f>'Summary of Scores'!B35</f>
        <v>Active Shooter</v>
      </c>
      <c r="D36" s="137"/>
      <c r="E36" s="137"/>
      <c r="F36" s="137"/>
      <c r="G36" s="137"/>
      <c r="H36" s="138" t="str">
        <f ca="1">'Summary of Scores'!J35</f>
        <v>Not Calculated</v>
      </c>
      <c r="I36" s="1"/>
      <c r="J36" s="113"/>
    </row>
    <row r="37" spans="2:10" x14ac:dyDescent="0.3">
      <c r="B37" s="112"/>
      <c r="C37" s="137" t="str">
        <f>'Summary of Scores'!B38</f>
        <v>Civil Disturbance</v>
      </c>
      <c r="D37" s="137"/>
      <c r="E37" s="137"/>
      <c r="F37" s="137"/>
      <c r="G37" s="137"/>
      <c r="H37" s="138" t="str">
        <f ca="1">'Summary of Scores'!J38</f>
        <v>Not Calculated</v>
      </c>
      <c r="I37" s="1"/>
      <c r="J37" s="113"/>
    </row>
    <row r="38" spans="2:10" x14ac:dyDescent="0.3">
      <c r="B38" s="112"/>
      <c r="C38" s="137" t="str">
        <f>'Summary of Scores'!B39</f>
        <v>Coastal Storm</v>
      </c>
      <c r="D38" s="137"/>
      <c r="E38" s="137"/>
      <c r="F38" s="137"/>
      <c r="G38" s="137"/>
      <c r="H38" s="138" t="str">
        <f ca="1">'Summary of Scores'!J39</f>
        <v>Not Calculated</v>
      </c>
      <c r="I38" s="1"/>
      <c r="J38" s="113"/>
    </row>
    <row r="39" spans="2:10" x14ac:dyDescent="0.3">
      <c r="B39" s="112"/>
      <c r="C39" s="137" t="str">
        <f>'Summary of Scores'!B40</f>
        <v>Conv Explosive</v>
      </c>
      <c r="D39" s="137"/>
      <c r="E39" s="137"/>
      <c r="F39" s="137"/>
      <c r="G39" s="137"/>
      <c r="H39" s="138" t="str">
        <f ca="1">'Summary of Scores'!J40</f>
        <v>Not Calculated</v>
      </c>
      <c r="I39" s="1"/>
      <c r="J39" s="113"/>
    </row>
    <row r="40" spans="2:10" x14ac:dyDescent="0.3">
      <c r="B40" s="112"/>
      <c r="C40" s="137" t="str">
        <f>'Summary of Scores'!B41</f>
        <v>Cyber Terrorism</v>
      </c>
      <c r="D40" s="137"/>
      <c r="E40" s="137"/>
      <c r="F40" s="137"/>
      <c r="G40" s="137"/>
      <c r="H40" s="138" t="str">
        <f ca="1">'Summary of Scores'!J41</f>
        <v>Not Calculated</v>
      </c>
      <c r="I40" s="1"/>
      <c r="J40" s="113"/>
    </row>
    <row r="41" spans="2:10" x14ac:dyDescent="0.3">
      <c r="B41" s="112"/>
      <c r="C41" s="137" t="str">
        <f>'Summary of Scores'!B42</f>
        <v>Drought</v>
      </c>
      <c r="D41" s="137"/>
      <c r="E41" s="137"/>
      <c r="F41" s="137"/>
      <c r="G41" s="137"/>
      <c r="H41" s="138" t="str">
        <f ca="1">'Summary of Scores'!J42</f>
        <v>Not Calculated</v>
      </c>
      <c r="I41" s="1"/>
      <c r="J41" s="113"/>
    </row>
    <row r="42" spans="2:10" x14ac:dyDescent="0.3">
      <c r="B42" s="112"/>
      <c r="C42" s="137" t="str">
        <f>'Summary of Scores'!B43</f>
        <v>Earthquake</v>
      </c>
      <c r="D42" s="137"/>
      <c r="E42" s="137"/>
      <c r="F42" s="137"/>
      <c r="G42" s="137"/>
      <c r="H42" s="138" t="str">
        <f ca="1">'Summary of Scores'!J43</f>
        <v>Not Calculated</v>
      </c>
      <c r="I42" s="1"/>
      <c r="J42" s="113"/>
    </row>
    <row r="43" spans="2:10" x14ac:dyDescent="0.3">
      <c r="B43" s="112"/>
      <c r="C43" s="137" t="str">
        <f>'Summary of Scores'!B44</f>
        <v>Fire</v>
      </c>
      <c r="D43" s="137"/>
      <c r="E43" s="137"/>
      <c r="F43" s="137"/>
      <c r="G43" s="137"/>
      <c r="H43" s="138" t="str">
        <f ca="1">'Summary of Scores'!J44</f>
        <v>Not Calculated</v>
      </c>
      <c r="I43" s="1"/>
      <c r="J43" s="113"/>
    </row>
    <row r="44" spans="2:10" x14ac:dyDescent="0.3">
      <c r="B44" s="112"/>
      <c r="C44" s="137" t="str">
        <f>'Summary of Scores'!B45</f>
        <v>Flood</v>
      </c>
      <c r="D44" s="137"/>
      <c r="E44" s="137"/>
      <c r="F44" s="137"/>
      <c r="G44" s="137"/>
      <c r="H44" s="138" t="str">
        <f ca="1">'Summary of Scores'!J45</f>
        <v>Not Calculated</v>
      </c>
      <c r="I44" s="1"/>
      <c r="J44" s="113"/>
    </row>
    <row r="45" spans="2:10" x14ac:dyDescent="0.3">
      <c r="B45" s="112"/>
      <c r="C45" s="137" t="str">
        <f>'Summary of Scores'!B46</f>
        <v>HazMat Release</v>
      </c>
      <c r="D45" s="137"/>
      <c r="E45" s="137"/>
      <c r="F45" s="137"/>
      <c r="G45" s="137"/>
      <c r="H45" s="138" t="str">
        <f ca="1">'Summary of Scores'!J46</f>
        <v>Not Calculated</v>
      </c>
      <c r="I45" s="1"/>
      <c r="J45" s="113"/>
    </row>
    <row r="46" spans="2:10" x14ac:dyDescent="0.3">
      <c r="B46" s="112"/>
      <c r="C46" s="137" t="str">
        <f>'Summary of Scores'!B47</f>
        <v>Localized ID</v>
      </c>
      <c r="D46" s="137"/>
      <c r="E46" s="137"/>
      <c r="F46" s="137"/>
      <c r="G46" s="137"/>
      <c r="H46" s="138" t="str">
        <f ca="1">'Summary of Scores'!J47</f>
        <v>Not Calculated</v>
      </c>
      <c r="I46" s="1"/>
      <c r="J46" s="113"/>
    </row>
    <row r="47" spans="2:10" x14ac:dyDescent="0.3">
      <c r="B47" s="112"/>
      <c r="C47" s="137" t="str">
        <f>'Summary of Scores'!B48</f>
        <v>Nuclear Facility</v>
      </c>
      <c r="D47" s="137"/>
      <c r="E47" s="137"/>
      <c r="F47" s="137"/>
      <c r="G47" s="137"/>
      <c r="H47" s="138" t="str">
        <f ca="1">'Summary of Scores'!J48</f>
        <v>Not Calculated</v>
      </c>
      <c r="I47" s="1"/>
      <c r="J47" s="113"/>
    </row>
    <row r="48" spans="2:10" x14ac:dyDescent="0.3">
      <c r="B48" s="112"/>
      <c r="C48" s="137" t="str">
        <f>'Summary of Scores'!B49</f>
        <v>Pandemic</v>
      </c>
      <c r="D48" s="137"/>
      <c r="E48" s="137"/>
      <c r="F48" s="137"/>
      <c r="G48" s="137"/>
      <c r="H48" s="138" t="str">
        <f ca="1">'Summary of Scores'!J49</f>
        <v>Not Calculated</v>
      </c>
      <c r="I48" s="1"/>
      <c r="J48" s="113"/>
    </row>
    <row r="49" spans="2:10" x14ac:dyDescent="0.3">
      <c r="B49" s="112"/>
      <c r="C49" s="137" t="str">
        <f>'Summary of Scores'!B50</f>
        <v>RDD</v>
      </c>
      <c r="D49" s="137"/>
      <c r="E49" s="137"/>
      <c r="F49" s="137"/>
      <c r="G49" s="137"/>
      <c r="H49" s="138" t="str">
        <f ca="1">'Summary of Scores'!J50</f>
        <v>Not Calculated</v>
      </c>
      <c r="I49" s="1"/>
      <c r="J49" s="113"/>
    </row>
    <row r="50" spans="2:10" x14ac:dyDescent="0.3">
      <c r="B50" s="112"/>
      <c r="C50" s="137" t="str">
        <f>'Summary of Scores'!B51</f>
        <v>Temp Extremes</v>
      </c>
      <c r="D50" s="137"/>
      <c r="E50" s="137"/>
      <c r="F50" s="137"/>
      <c r="G50" s="137"/>
      <c r="H50" s="138" t="str">
        <f ca="1">'Summary of Scores'!J51</f>
        <v>Not Calculated</v>
      </c>
      <c r="I50" s="1"/>
      <c r="J50" s="113"/>
    </row>
    <row r="51" spans="2:10" x14ac:dyDescent="0.3">
      <c r="B51" s="112"/>
      <c r="C51" s="137" t="str">
        <f>'Summary of Scores'!B52</f>
        <v>Tornado</v>
      </c>
      <c r="D51" s="137"/>
      <c r="E51" s="137"/>
      <c r="F51" s="137"/>
      <c r="G51" s="137"/>
      <c r="H51" s="138" t="str">
        <f ca="1">'Summary of Scores'!J52</f>
        <v>Not Calculated</v>
      </c>
      <c r="I51" s="1"/>
      <c r="J51" s="113"/>
    </row>
    <row r="52" spans="2:10" x14ac:dyDescent="0.3">
      <c r="B52" s="112"/>
      <c r="C52" s="137" t="str">
        <f>'Summary of Scores'!B53</f>
        <v>Utility Interr</v>
      </c>
      <c r="D52" s="137"/>
      <c r="E52" s="137"/>
      <c r="F52" s="137"/>
      <c r="G52" s="137"/>
      <c r="H52" s="138" t="str">
        <f ca="1">'Summary of Scores'!J53</f>
        <v>Not Calculated</v>
      </c>
      <c r="I52" s="1"/>
      <c r="J52" s="113"/>
    </row>
    <row r="53" spans="2:10" x14ac:dyDescent="0.3">
      <c r="B53" s="112"/>
      <c r="C53" s="137" t="str">
        <f>'Summary of Scores'!B54</f>
        <v>Winter Storm</v>
      </c>
      <c r="D53" s="137"/>
      <c r="E53" s="137"/>
      <c r="F53" s="137"/>
      <c r="G53" s="137"/>
      <c r="H53" s="138" t="str">
        <f ca="1">'Summary of Scores'!J54</f>
        <v>Not Calculated</v>
      </c>
      <c r="I53" s="1"/>
      <c r="J53" s="113"/>
    </row>
    <row r="54" spans="2:10" x14ac:dyDescent="0.3">
      <c r="B54" s="112"/>
      <c r="C54" s="137" t="str">
        <f>'Summary of Scores'!B37</f>
        <v>Chem Terrorism</v>
      </c>
      <c r="D54" s="137"/>
      <c r="E54" s="137"/>
      <c r="F54" s="137"/>
      <c r="G54" s="137"/>
      <c r="H54" s="138" t="str">
        <f ca="1">'Summary of Scores'!J37</f>
        <v>Not Calculated</v>
      </c>
      <c r="I54" s="1"/>
      <c r="J54" s="113"/>
    </row>
    <row r="55" spans="2:10" ht="15" thickBot="1" x14ac:dyDescent="0.35">
      <c r="B55" s="114"/>
      <c r="C55" s="115"/>
      <c r="D55" s="115"/>
      <c r="E55" s="115"/>
      <c r="F55" s="115"/>
      <c r="G55" s="115"/>
      <c r="H55" s="115"/>
      <c r="I55" s="115"/>
      <c r="J55" s="116"/>
    </row>
    <row r="56" spans="2:10" ht="15" thickBot="1" x14ac:dyDescent="0.35"/>
    <row r="57" spans="2:10" x14ac:dyDescent="0.3">
      <c r="B57" s="108"/>
      <c r="C57" s="109"/>
      <c r="D57" s="109"/>
      <c r="E57" s="109"/>
      <c r="F57" s="109"/>
      <c r="G57" s="109"/>
      <c r="H57" s="110"/>
      <c r="I57" s="110"/>
      <c r="J57" s="111"/>
    </row>
    <row r="58" spans="2:10" ht="17.399999999999999" x14ac:dyDescent="0.3">
      <c r="B58" s="112"/>
      <c r="C58" s="1"/>
      <c r="D58" s="1"/>
      <c r="E58" s="1"/>
      <c r="F58" s="232" t="s">
        <v>404</v>
      </c>
      <c r="G58" s="1"/>
      <c r="H58" s="231"/>
      <c r="I58" s="231"/>
      <c r="J58" s="113"/>
    </row>
    <row r="59" spans="2:10" x14ac:dyDescent="0.3">
      <c r="B59" s="112"/>
      <c r="C59" s="1"/>
      <c r="D59" s="1"/>
      <c r="E59" s="1"/>
      <c r="F59" s="1"/>
      <c r="G59" s="1"/>
      <c r="H59" s="231"/>
      <c r="I59" s="231"/>
      <c r="J59" s="113"/>
    </row>
    <row r="60" spans="2:10" ht="15.6" x14ac:dyDescent="0.3">
      <c r="B60" s="112"/>
      <c r="C60" s="13" t="s">
        <v>415</v>
      </c>
      <c r="D60" s="1"/>
      <c r="E60" s="1"/>
      <c r="F60" s="1"/>
      <c r="G60" s="13" t="s">
        <v>416</v>
      </c>
      <c r="H60" s="1"/>
      <c r="I60" s="1"/>
      <c r="J60" s="113"/>
    </row>
    <row r="61" spans="2:10" x14ac:dyDescent="0.3">
      <c r="B61" s="112"/>
      <c r="C61" s="137" t="str">
        <f>'Summary of Scores'!B40</f>
        <v>Conv Explosive</v>
      </c>
      <c r="D61" s="137"/>
      <c r="E61" s="137"/>
      <c r="F61" s="137"/>
      <c r="G61" s="137"/>
      <c r="H61" s="138" t="str">
        <f ca="1">'Summary of Scores'!K40</f>
        <v>Not Calculated</v>
      </c>
      <c r="I61" s="1"/>
      <c r="J61" s="113"/>
    </row>
    <row r="62" spans="2:10" x14ac:dyDescent="0.3">
      <c r="B62" s="112"/>
      <c r="C62" s="137" t="str">
        <f>'Summary of Scores'!B50</f>
        <v>RDD</v>
      </c>
      <c r="D62" s="137"/>
      <c r="E62" s="137"/>
      <c r="F62" s="137"/>
      <c r="G62" s="137"/>
      <c r="H62" s="138" t="str">
        <f ca="1">'Summary of Scores'!K50</f>
        <v>Not Calculated</v>
      </c>
      <c r="I62" s="1"/>
      <c r="J62" s="113"/>
    </row>
    <row r="63" spans="2:10" x14ac:dyDescent="0.3">
      <c r="B63" s="112"/>
      <c r="C63" s="137" t="str">
        <f>'Summary of Scores'!B39</f>
        <v>Coastal Storm</v>
      </c>
      <c r="D63" s="137"/>
      <c r="E63" s="137"/>
      <c r="F63" s="137"/>
      <c r="G63" s="137"/>
      <c r="H63" s="138" t="str">
        <f ca="1">'Summary of Scores'!K39</f>
        <v>Not Calculated</v>
      </c>
      <c r="I63" s="1"/>
      <c r="J63" s="113"/>
    </row>
    <row r="64" spans="2:10" x14ac:dyDescent="0.3">
      <c r="B64" s="112"/>
      <c r="C64" s="137" t="str">
        <f>'Summary of Scores'!B44</f>
        <v>Fire</v>
      </c>
      <c r="D64" s="137"/>
      <c r="E64" s="137"/>
      <c r="F64" s="137"/>
      <c r="G64" s="137"/>
      <c r="H64" s="138" t="str">
        <f ca="1">'Summary of Scores'!K44</f>
        <v>Not Calculated</v>
      </c>
      <c r="I64" s="1"/>
      <c r="J64" s="113"/>
    </row>
    <row r="65" spans="2:10" x14ac:dyDescent="0.3">
      <c r="B65" s="112"/>
      <c r="C65" s="137" t="str">
        <f>'Summary of Scores'!B45</f>
        <v>Flood</v>
      </c>
      <c r="D65" s="137"/>
      <c r="E65" s="137"/>
      <c r="F65" s="137"/>
      <c r="G65" s="137"/>
      <c r="H65" s="138" t="str">
        <f ca="1">'Summary of Scores'!K45</f>
        <v>Not Calculated</v>
      </c>
      <c r="I65" s="1"/>
      <c r="J65" s="113"/>
    </row>
    <row r="66" spans="2:10" x14ac:dyDescent="0.3">
      <c r="B66" s="112"/>
      <c r="C66" s="137" t="str">
        <f>'Summary of Scores'!B46</f>
        <v>HazMat Release</v>
      </c>
      <c r="D66" s="137"/>
      <c r="E66" s="137"/>
      <c r="F66" s="137"/>
      <c r="G66" s="137"/>
      <c r="H66" s="138" t="str">
        <f ca="1">'Summary of Scores'!K46</f>
        <v>Not Calculated</v>
      </c>
      <c r="I66" s="1"/>
      <c r="J66" s="113"/>
    </row>
    <row r="67" spans="2:10" x14ac:dyDescent="0.3">
      <c r="B67" s="112"/>
      <c r="C67" s="137" t="str">
        <f>'Summary of Scores'!B48</f>
        <v>Nuclear Facility</v>
      </c>
      <c r="D67" s="137"/>
      <c r="E67" s="137"/>
      <c r="F67" s="137"/>
      <c r="G67" s="137"/>
      <c r="H67" s="138" t="str">
        <f ca="1">'Summary of Scores'!K48</f>
        <v>Not Calculated</v>
      </c>
      <c r="I67" s="1"/>
      <c r="J67" s="113"/>
    </row>
    <row r="68" spans="2:10" x14ac:dyDescent="0.3">
      <c r="B68" s="112"/>
      <c r="C68" s="137" t="str">
        <f>'Summary of Scores'!B52</f>
        <v>Tornado</v>
      </c>
      <c r="D68" s="137"/>
      <c r="E68" s="137"/>
      <c r="F68" s="137"/>
      <c r="G68" s="137"/>
      <c r="H68" s="138" t="str">
        <f ca="1">'Summary of Scores'!K52</f>
        <v>Not Calculated</v>
      </c>
      <c r="I68" s="1"/>
      <c r="J68" s="113"/>
    </row>
    <row r="69" spans="2:10" x14ac:dyDescent="0.3">
      <c r="B69" s="112"/>
      <c r="C69" s="137" t="str">
        <f>'Summary of Scores'!B37</f>
        <v>Chem Terrorism</v>
      </c>
      <c r="D69" s="137"/>
      <c r="E69" s="137"/>
      <c r="F69" s="137"/>
      <c r="G69" s="137"/>
      <c r="H69" s="138" t="str">
        <f ca="1">'Summary of Scores'!K37</f>
        <v>Not Calculated</v>
      </c>
      <c r="I69" s="1"/>
      <c r="J69" s="113"/>
    </row>
    <row r="70" spans="2:10" x14ac:dyDescent="0.3">
      <c r="B70" s="112"/>
      <c r="C70" s="137" t="str">
        <f>'Summary of Scores'!B36</f>
        <v>Bio Terrorism</v>
      </c>
      <c r="D70" s="137"/>
      <c r="E70" s="137"/>
      <c r="F70" s="137"/>
      <c r="G70" s="137"/>
      <c r="H70" s="138" t="str">
        <f ca="1">'Summary of Scores'!K36</f>
        <v>Not Calculated</v>
      </c>
      <c r="I70" s="1"/>
      <c r="J70" s="113"/>
    </row>
    <row r="71" spans="2:10" x14ac:dyDescent="0.3">
      <c r="B71" s="112"/>
      <c r="C71" s="137" t="str">
        <f>'Summary of Scores'!B51</f>
        <v>Temp Extremes</v>
      </c>
      <c r="D71" s="137"/>
      <c r="E71" s="137"/>
      <c r="F71" s="137"/>
      <c r="G71" s="137"/>
      <c r="H71" s="138" t="str">
        <f ca="1">'Summary of Scores'!K51</f>
        <v>Not Calculated</v>
      </c>
      <c r="I71" s="1"/>
      <c r="J71" s="113"/>
    </row>
    <row r="72" spans="2:10" x14ac:dyDescent="0.3">
      <c r="B72" s="112"/>
      <c r="C72" s="137" t="str">
        <f>'Summary of Scores'!B53</f>
        <v>Utility Interr</v>
      </c>
      <c r="D72" s="137"/>
      <c r="E72" s="137"/>
      <c r="F72" s="137"/>
      <c r="G72" s="137"/>
      <c r="H72" s="138" t="str">
        <f ca="1">'Summary of Scores'!K53</f>
        <v>Not Calculated</v>
      </c>
      <c r="I72" s="1"/>
      <c r="J72" s="113"/>
    </row>
    <row r="73" spans="2:10" x14ac:dyDescent="0.3">
      <c r="B73" s="112"/>
      <c r="C73" s="137" t="str">
        <f>'Summary of Scores'!B35</f>
        <v>Active Shooter</v>
      </c>
      <c r="D73" s="137"/>
      <c r="E73" s="137"/>
      <c r="F73" s="137"/>
      <c r="G73" s="137"/>
      <c r="H73" s="138" t="str">
        <f ca="1">'Summary of Scores'!K35</f>
        <v>Not Calculated</v>
      </c>
      <c r="I73" s="1"/>
      <c r="J73" s="113"/>
    </row>
    <row r="74" spans="2:10" x14ac:dyDescent="0.3">
      <c r="B74" s="112"/>
      <c r="C74" s="137" t="str">
        <f>'Summary of Scores'!B38</f>
        <v>Civil Disturbance</v>
      </c>
      <c r="D74" s="137"/>
      <c r="E74" s="137"/>
      <c r="F74" s="137"/>
      <c r="G74" s="137"/>
      <c r="H74" s="138" t="str">
        <f ca="1">'Summary of Scores'!K38</f>
        <v>Not Calculated</v>
      </c>
      <c r="I74" s="1"/>
      <c r="J74" s="113"/>
    </row>
    <row r="75" spans="2:10" x14ac:dyDescent="0.3">
      <c r="B75" s="112"/>
      <c r="C75" s="137" t="str">
        <f>'Summary of Scores'!B42</f>
        <v>Drought</v>
      </c>
      <c r="D75" s="137"/>
      <c r="E75" s="137"/>
      <c r="F75" s="137"/>
      <c r="G75" s="137"/>
      <c r="H75" s="138" t="str">
        <f ca="1">'Summary of Scores'!K42</f>
        <v>Not Calculated</v>
      </c>
      <c r="I75" s="1"/>
      <c r="J75" s="113"/>
    </row>
    <row r="76" spans="2:10" x14ac:dyDescent="0.3">
      <c r="B76" s="112"/>
      <c r="C76" s="137" t="str">
        <f>'Summary of Scores'!B47</f>
        <v>Localized ID</v>
      </c>
      <c r="D76" s="137"/>
      <c r="E76" s="137"/>
      <c r="F76" s="137"/>
      <c r="G76" s="137"/>
      <c r="H76" s="138" t="str">
        <f ca="1">'Summary of Scores'!K47</f>
        <v>Not Calculated</v>
      </c>
      <c r="I76" s="1"/>
      <c r="J76" s="113"/>
    </row>
    <row r="77" spans="2:10" x14ac:dyDescent="0.3">
      <c r="B77" s="112"/>
      <c r="C77" s="137" t="str">
        <f>'Summary of Scores'!B49</f>
        <v>Pandemic</v>
      </c>
      <c r="D77" s="137"/>
      <c r="E77" s="137"/>
      <c r="F77" s="137"/>
      <c r="G77" s="137"/>
      <c r="H77" s="138" t="str">
        <f ca="1">'Summary of Scores'!K49</f>
        <v>Not Calculated</v>
      </c>
      <c r="I77" s="1"/>
      <c r="J77" s="113"/>
    </row>
    <row r="78" spans="2:10" x14ac:dyDescent="0.3">
      <c r="B78" s="112"/>
      <c r="C78" s="137" t="str">
        <f>'Summary of Scores'!B54</f>
        <v>Winter Storm</v>
      </c>
      <c r="D78" s="137"/>
      <c r="E78" s="137"/>
      <c r="F78" s="137"/>
      <c r="G78" s="137"/>
      <c r="H78" s="138" t="str">
        <f ca="1">'Summary of Scores'!K54</f>
        <v>Not Calculated</v>
      </c>
      <c r="I78" s="1"/>
      <c r="J78" s="113"/>
    </row>
    <row r="79" spans="2:10" x14ac:dyDescent="0.3">
      <c r="B79" s="112"/>
      <c r="C79" s="137" t="str">
        <f>'Summary of Scores'!B41</f>
        <v>Cyber Terrorism</v>
      </c>
      <c r="D79" s="137"/>
      <c r="E79" s="137"/>
      <c r="F79" s="137"/>
      <c r="G79" s="137"/>
      <c r="H79" s="138" t="str">
        <f ca="1">'Summary of Scores'!K41</f>
        <v>Not Calculated</v>
      </c>
      <c r="I79" s="1"/>
      <c r="J79" s="113"/>
    </row>
    <row r="80" spans="2:10" x14ac:dyDescent="0.3">
      <c r="B80" s="112"/>
      <c r="C80" s="137" t="str">
        <f>'Summary of Scores'!B43</f>
        <v>Earthquake</v>
      </c>
      <c r="D80" s="137"/>
      <c r="E80" s="137"/>
      <c r="F80" s="137"/>
      <c r="G80" s="137"/>
      <c r="H80" s="138" t="str">
        <f ca="1">'Summary of Scores'!K43</f>
        <v>Not Calculated</v>
      </c>
      <c r="I80" s="1"/>
      <c r="J80" s="113"/>
    </row>
    <row r="81" spans="2:10" ht="15" thickBot="1" x14ac:dyDescent="0.35">
      <c r="B81" s="114"/>
      <c r="C81" s="115"/>
      <c r="D81" s="115"/>
      <c r="E81" s="115"/>
      <c r="F81" s="115"/>
      <c r="G81" s="115"/>
      <c r="H81" s="115"/>
      <c r="I81" s="115"/>
      <c r="J81" s="116"/>
    </row>
  </sheetData>
  <sortState xmlns:xlrd2="http://schemas.microsoft.com/office/spreadsheetml/2017/richdata2" ref="C61:H80">
    <sortCondition ref="H61:H80"/>
  </sortState>
  <pageMargins left="0.7" right="0.7" top="0.75" bottom="0.75" header="0.3" footer="0.3"/>
  <pageSetup scale="76" orientation="portrait" r:id="rId1"/>
  <rowBreaks count="1" manualBreakCount="1">
    <brk id="55" max="10"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pageSetUpPr fitToPage="1"/>
  </sheetPr>
  <dimension ref="B1:S54"/>
  <sheetViews>
    <sheetView showGridLines="0" showRowColHeaders="0" zoomScale="85" zoomScaleNormal="85" workbookViewId="0">
      <selection activeCell="B9" sqref="B9"/>
    </sheetView>
  </sheetViews>
  <sheetFormatPr defaultColWidth="9.109375" defaultRowHeight="14.4" x14ac:dyDescent="0.3"/>
  <cols>
    <col min="1" max="1" width="3.33203125" style="12" customWidth="1"/>
    <col min="2" max="2" width="16.88671875" style="12" customWidth="1"/>
    <col min="3" max="13" width="14.5546875" style="12" customWidth="1"/>
    <col min="14" max="16" width="9.109375" style="12" customWidth="1"/>
    <col min="17" max="17" width="17.33203125" style="12" customWidth="1"/>
    <col min="18" max="18" width="15" style="12" customWidth="1"/>
    <col min="19" max="16384" width="9.109375" style="12"/>
  </cols>
  <sheetData>
    <row r="1" spans="2:19" x14ac:dyDescent="0.3">
      <c r="H1" s="30"/>
      <c r="I1" s="30"/>
    </row>
    <row r="2" spans="2:19" ht="32.4" x14ac:dyDescent="0.3">
      <c r="G2" s="17" t="s">
        <v>1204</v>
      </c>
      <c r="H2" s="30"/>
      <c r="I2" s="30"/>
    </row>
    <row r="3" spans="2:19" ht="22.8" x14ac:dyDescent="0.4">
      <c r="G3" s="31" t="s">
        <v>405</v>
      </c>
      <c r="H3" s="30"/>
      <c r="I3" s="30"/>
      <c r="M3" s="32"/>
    </row>
    <row r="6" spans="2:19" s="100" customFormat="1" ht="15" customHeight="1" x14ac:dyDescent="0.3">
      <c r="B6" s="434" t="s">
        <v>407</v>
      </c>
      <c r="C6" s="441" t="s">
        <v>247</v>
      </c>
      <c r="D6" s="438" t="s">
        <v>408</v>
      </c>
      <c r="E6" s="438"/>
      <c r="F6" s="438"/>
      <c r="G6" s="439" t="s">
        <v>410</v>
      </c>
      <c r="H6" s="439"/>
      <c r="I6" s="439"/>
      <c r="J6" s="442" t="s">
        <v>401</v>
      </c>
      <c r="K6" s="440" t="s">
        <v>411</v>
      </c>
      <c r="L6" s="440"/>
      <c r="M6" s="440"/>
      <c r="N6" s="12"/>
      <c r="O6" s="12"/>
      <c r="P6" s="12"/>
      <c r="Q6" s="12"/>
      <c r="R6" s="12"/>
      <c r="S6" s="16"/>
    </row>
    <row r="7" spans="2:19" s="100" customFormat="1" x14ac:dyDescent="0.3">
      <c r="B7" s="434"/>
      <c r="C7" s="441"/>
      <c r="D7" s="247" t="s">
        <v>1124</v>
      </c>
      <c r="E7" s="247" t="s">
        <v>1125</v>
      </c>
      <c r="F7" s="247" t="s">
        <v>409</v>
      </c>
      <c r="G7" s="248" t="s">
        <v>1124</v>
      </c>
      <c r="H7" s="248" t="s">
        <v>1125</v>
      </c>
      <c r="I7" s="248" t="s">
        <v>409</v>
      </c>
      <c r="J7" s="442"/>
      <c r="K7" s="249" t="s">
        <v>1124</v>
      </c>
      <c r="L7" s="249" t="s">
        <v>1125</v>
      </c>
      <c r="M7" s="249" t="s">
        <v>409</v>
      </c>
      <c r="N7" s="12"/>
      <c r="O7" s="12"/>
      <c r="P7" s="12"/>
      <c r="Q7" s="12"/>
      <c r="R7" s="12"/>
      <c r="S7" s="16"/>
    </row>
    <row r="8" spans="2:19" x14ac:dyDescent="0.3">
      <c r="B8" s="228" t="s">
        <v>16</v>
      </c>
      <c r="C8" s="289">
        <f ca="1">INDIRECT("'"&amp;$O8&amp;"'!$E$17")</f>
        <v>3</v>
      </c>
      <c r="D8" s="290" t="str">
        <f ca="1">INDIRECT("'"&amp;$O8&amp;"'!$J$690")</f>
        <v>Not Calculated</v>
      </c>
      <c r="E8" s="290" t="str">
        <f ca="1">INDIRECT("'"&amp;$O8&amp;"'!$J$693")</f>
        <v>Not Calculated</v>
      </c>
      <c r="F8" s="290" t="str">
        <f ca="1">INDIRECT("'"&amp;$O8&amp;"'!$J$687")</f>
        <v>Not Calculated</v>
      </c>
      <c r="G8" s="290" t="str">
        <f ca="1">INDIRECT("'"&amp;$O8&amp;"'!$J$703")</f>
        <v>Not Calculated</v>
      </c>
      <c r="H8" s="290" t="str">
        <f ca="1">INDIRECT("'"&amp;$O8&amp;"'!$J$706")</f>
        <v>Not Calculated</v>
      </c>
      <c r="I8" s="290" t="str">
        <f ca="1">INDIRECT("'"&amp;$O8&amp;"'!$J$700")</f>
        <v>Not Calculated</v>
      </c>
      <c r="J8" s="290">
        <f ca="1">INDIRECT("'"&amp;$O8&amp;"'!$J$811")</f>
        <v>0.83333333333333337</v>
      </c>
      <c r="K8" s="290" t="str">
        <f ca="1">INDIRECT("'"&amp;$O8&amp;"'!$J$820")</f>
        <v>Not Calculated</v>
      </c>
      <c r="L8" s="290" t="str">
        <f ca="1">INDIRECT("'"&amp;$O8&amp;"'!$J$823")</f>
        <v>Not Calculated</v>
      </c>
      <c r="M8" s="290" t="str">
        <f ca="1">INDIRECT("'"&amp;$O8&amp;"'!$J$817")</f>
        <v>Not Calculated</v>
      </c>
      <c r="O8" s="245" t="s">
        <v>16</v>
      </c>
    </row>
    <row r="9" spans="2:19" x14ac:dyDescent="0.3">
      <c r="B9" s="228" t="s">
        <v>695</v>
      </c>
      <c r="C9" s="289">
        <f t="shared" ref="C9:C27" ca="1" si="0">INDIRECT("'"&amp;$O9&amp;"'!$E$17")</f>
        <v>1</v>
      </c>
      <c r="D9" s="290" t="str">
        <f t="shared" ref="D9:D27" ca="1" si="1">INDIRECT("'"&amp;$O9&amp;"'!$J$690")</f>
        <v>Not Calculated</v>
      </c>
      <c r="E9" s="290" t="str">
        <f t="shared" ref="E9:E27" ca="1" si="2">INDIRECT("'"&amp;$O9&amp;"'!$J$693")</f>
        <v>Not Calculated</v>
      </c>
      <c r="F9" s="290" t="str">
        <f t="shared" ref="F9:F27" ca="1" si="3">INDIRECT("'"&amp;$O9&amp;"'!$J$687")</f>
        <v>Not Calculated</v>
      </c>
      <c r="G9" s="290" t="str">
        <f t="shared" ref="G9:G27" ca="1" si="4">INDIRECT("'"&amp;$O9&amp;"'!$J$703")</f>
        <v>Not Calculated</v>
      </c>
      <c r="H9" s="290" t="str">
        <f t="shared" ref="H9:H27" ca="1" si="5">INDIRECT("'"&amp;$O9&amp;"'!$J$706")</f>
        <v>Not Calculated</v>
      </c>
      <c r="I9" s="290" t="str">
        <f t="shared" ref="I9:I27" ca="1" si="6">INDIRECT("'"&amp;$O9&amp;"'!$J$700")</f>
        <v>Not Calculated</v>
      </c>
      <c r="J9" s="290">
        <f t="shared" ref="J9:J27" ca="1" si="7">INDIRECT("'"&amp;$O9&amp;"'!$J$811")</f>
        <v>1.3333333333333333</v>
      </c>
      <c r="K9" s="290" t="str">
        <f t="shared" ref="K9:K27" ca="1" si="8">INDIRECT("'"&amp;$O9&amp;"'!$J$820")</f>
        <v>Not Calculated</v>
      </c>
      <c r="L9" s="290" t="str">
        <f t="shared" ref="L9:L27" ca="1" si="9">INDIRECT("'"&amp;$O9&amp;"'!$J$823")</f>
        <v>Not Calculated</v>
      </c>
      <c r="M9" s="290" t="str">
        <f t="shared" ref="M9:M27" ca="1" si="10">INDIRECT("'"&amp;$O9&amp;"'!$J$817")</f>
        <v>Not Calculated</v>
      </c>
      <c r="O9" s="245" t="s">
        <v>17</v>
      </c>
    </row>
    <row r="10" spans="2:19" x14ac:dyDescent="0.3">
      <c r="B10" s="228" t="s">
        <v>696</v>
      </c>
      <c r="C10" s="289">
        <f t="shared" ca="1" si="0"/>
        <v>1</v>
      </c>
      <c r="D10" s="290" t="str">
        <f t="shared" ca="1" si="1"/>
        <v>Not Calculated</v>
      </c>
      <c r="E10" s="290" t="str">
        <f t="shared" ca="1" si="2"/>
        <v>Not Calculated</v>
      </c>
      <c r="F10" s="290" t="str">
        <f t="shared" ca="1" si="3"/>
        <v>Not Calculated</v>
      </c>
      <c r="G10" s="290" t="str">
        <f t="shared" ca="1" si="4"/>
        <v>Not Calculated</v>
      </c>
      <c r="H10" s="290" t="str">
        <f t="shared" ca="1" si="5"/>
        <v>Not Calculated</v>
      </c>
      <c r="I10" s="290" t="str">
        <f t="shared" ca="1" si="6"/>
        <v>Not Calculated</v>
      </c>
      <c r="J10" s="290">
        <f t="shared" ca="1" si="7"/>
        <v>1.6666666666666667</v>
      </c>
      <c r="K10" s="290" t="str">
        <f t="shared" ca="1" si="8"/>
        <v>Not Calculated</v>
      </c>
      <c r="L10" s="290" t="str">
        <f t="shared" ca="1" si="9"/>
        <v>Not Calculated</v>
      </c>
      <c r="M10" s="290" t="str">
        <f t="shared" ca="1" si="10"/>
        <v>Not Calculated</v>
      </c>
      <c r="O10" s="245" t="s">
        <v>18</v>
      </c>
    </row>
    <row r="11" spans="2:19" x14ac:dyDescent="0.3">
      <c r="B11" s="228" t="s">
        <v>15</v>
      </c>
      <c r="C11" s="289">
        <f t="shared" ca="1" si="0"/>
        <v>2</v>
      </c>
      <c r="D11" s="290" t="str">
        <f t="shared" ca="1" si="1"/>
        <v>Not Calculated</v>
      </c>
      <c r="E11" s="290" t="str">
        <f t="shared" ca="1" si="2"/>
        <v>Not Calculated</v>
      </c>
      <c r="F11" s="290" t="str">
        <f t="shared" ca="1" si="3"/>
        <v>Not Calculated</v>
      </c>
      <c r="G11" s="290" t="str">
        <f t="shared" ca="1" si="4"/>
        <v>Not Calculated</v>
      </c>
      <c r="H11" s="290" t="str">
        <f t="shared" ca="1" si="5"/>
        <v>Not Calculated</v>
      </c>
      <c r="I11" s="290" t="str">
        <f t="shared" ca="1" si="6"/>
        <v>Not Calculated</v>
      </c>
      <c r="J11" s="290">
        <f t="shared" ca="1" si="7"/>
        <v>0.83333333333333337</v>
      </c>
      <c r="K11" s="290" t="str">
        <f t="shared" ca="1" si="8"/>
        <v>Not Calculated</v>
      </c>
      <c r="L11" s="290" t="str">
        <f t="shared" ca="1" si="9"/>
        <v>Not Calculated</v>
      </c>
      <c r="M11" s="290" t="str">
        <f t="shared" ca="1" si="10"/>
        <v>Not Calculated</v>
      </c>
      <c r="O11" s="245" t="s">
        <v>15</v>
      </c>
    </row>
    <row r="12" spans="2:19" x14ac:dyDescent="0.3">
      <c r="B12" s="228" t="s">
        <v>3</v>
      </c>
      <c r="C12" s="289">
        <f t="shared" ca="1" si="0"/>
        <v>4</v>
      </c>
      <c r="D12" s="290" t="str">
        <f t="shared" ca="1" si="1"/>
        <v>Not Calculated</v>
      </c>
      <c r="E12" s="290" t="str">
        <f t="shared" ca="1" si="2"/>
        <v>Not Calculated</v>
      </c>
      <c r="F12" s="290" t="str">
        <f t="shared" ca="1" si="3"/>
        <v>Not Calculated</v>
      </c>
      <c r="G12" s="290" t="str">
        <f t="shared" ca="1" si="4"/>
        <v>Not Calculated</v>
      </c>
      <c r="H12" s="290" t="str">
        <f t="shared" ca="1" si="5"/>
        <v>Not Calculated</v>
      </c>
      <c r="I12" s="290" t="str">
        <f t="shared" ca="1" si="6"/>
        <v>Not Calculated</v>
      </c>
      <c r="J12" s="290">
        <f t="shared" ca="1" si="7"/>
        <v>1.6666666666666667</v>
      </c>
      <c r="K12" s="290" t="str">
        <f t="shared" ca="1" si="8"/>
        <v>Not Calculated</v>
      </c>
      <c r="L12" s="290" t="str">
        <f t="shared" ca="1" si="9"/>
        <v>Not Calculated</v>
      </c>
      <c r="M12" s="290" t="str">
        <f t="shared" ca="1" si="10"/>
        <v>Not Calculated</v>
      </c>
      <c r="O12" s="245" t="s">
        <v>3</v>
      </c>
    </row>
    <row r="13" spans="2:19" x14ac:dyDescent="0.3">
      <c r="B13" s="228" t="s">
        <v>697</v>
      </c>
      <c r="C13" s="289">
        <f t="shared" ca="1" si="0"/>
        <v>2</v>
      </c>
      <c r="D13" s="290" t="str">
        <f t="shared" ca="1" si="1"/>
        <v>Not Calculated</v>
      </c>
      <c r="E13" s="290" t="str">
        <f t="shared" ca="1" si="2"/>
        <v>Not Calculated</v>
      </c>
      <c r="F13" s="290" t="str">
        <f t="shared" ca="1" si="3"/>
        <v>Not Calculated</v>
      </c>
      <c r="G13" s="290" t="str">
        <f t="shared" ca="1" si="4"/>
        <v>Not Calculated</v>
      </c>
      <c r="H13" s="290" t="str">
        <f t="shared" ca="1" si="5"/>
        <v>Not Calculated</v>
      </c>
      <c r="I13" s="290" t="str">
        <f t="shared" ca="1" si="6"/>
        <v>Not Calculated</v>
      </c>
      <c r="J13" s="290">
        <f t="shared" ca="1" si="7"/>
        <v>1.7222222222222223</v>
      </c>
      <c r="K13" s="290" t="str">
        <f t="shared" ca="1" si="8"/>
        <v>Not Calculated</v>
      </c>
      <c r="L13" s="290" t="str">
        <f t="shared" ca="1" si="9"/>
        <v>Not Calculated</v>
      </c>
      <c r="M13" s="290" t="str">
        <f t="shared" ca="1" si="10"/>
        <v>Not Calculated</v>
      </c>
      <c r="O13" s="245" t="s">
        <v>19</v>
      </c>
    </row>
    <row r="14" spans="2:19" x14ac:dyDescent="0.3">
      <c r="B14" s="228" t="s">
        <v>402</v>
      </c>
      <c r="C14" s="289">
        <f t="shared" ca="1" si="0"/>
        <v>1</v>
      </c>
      <c r="D14" s="290" t="str">
        <f t="shared" ca="1" si="1"/>
        <v>Not Calculated</v>
      </c>
      <c r="E14" s="290" t="str">
        <f t="shared" ca="1" si="2"/>
        <v>Not Calculated</v>
      </c>
      <c r="F14" s="290" t="str">
        <f t="shared" ca="1" si="3"/>
        <v>Not Calculated</v>
      </c>
      <c r="G14" s="290" t="str">
        <f t="shared" ca="1" si="4"/>
        <v>Not Calculated</v>
      </c>
      <c r="H14" s="290" t="str">
        <f t="shared" ca="1" si="5"/>
        <v>Not Calculated</v>
      </c>
      <c r="I14" s="290" t="str">
        <f t="shared" ca="1" si="6"/>
        <v>Not Calculated</v>
      </c>
      <c r="J14" s="290">
        <f t="shared" ca="1" si="7"/>
        <v>0.33333333333333331</v>
      </c>
      <c r="K14" s="290" t="str">
        <f t="shared" ca="1" si="8"/>
        <v>Not Calculated</v>
      </c>
      <c r="L14" s="290" t="str">
        <f t="shared" ca="1" si="9"/>
        <v>Not Calculated</v>
      </c>
      <c r="M14" s="290" t="str">
        <f t="shared" ca="1" si="10"/>
        <v>Not Calculated</v>
      </c>
      <c r="O14" s="245" t="s">
        <v>402</v>
      </c>
    </row>
    <row r="15" spans="2:19" x14ac:dyDescent="0.3">
      <c r="B15" s="228" t="s">
        <v>10</v>
      </c>
      <c r="C15" s="289">
        <f t="shared" ca="1" si="0"/>
        <v>3</v>
      </c>
      <c r="D15" s="290" t="str">
        <f t="shared" ca="1" si="1"/>
        <v>Not Calculated</v>
      </c>
      <c r="E15" s="290" t="str">
        <f t="shared" ca="1" si="2"/>
        <v>Not Calculated</v>
      </c>
      <c r="F15" s="290" t="str">
        <f t="shared" ca="1" si="3"/>
        <v>Not Calculated</v>
      </c>
      <c r="G15" s="290" t="str">
        <f t="shared" ca="1" si="4"/>
        <v>Not Calculated</v>
      </c>
      <c r="H15" s="290" t="str">
        <f t="shared" ca="1" si="5"/>
        <v>Not Calculated</v>
      </c>
      <c r="I15" s="290" t="str">
        <f t="shared" ca="1" si="6"/>
        <v>Not Calculated</v>
      </c>
      <c r="J15" s="290">
        <f t="shared" ca="1" si="7"/>
        <v>0.83333333333333337</v>
      </c>
      <c r="K15" s="290" t="str">
        <f t="shared" ca="1" si="8"/>
        <v>Not Calculated</v>
      </c>
      <c r="L15" s="290" t="str">
        <f t="shared" ca="1" si="9"/>
        <v>Not Calculated</v>
      </c>
      <c r="M15" s="290" t="str">
        <f t="shared" ca="1" si="10"/>
        <v>Not Calculated</v>
      </c>
      <c r="O15" s="245" t="s">
        <v>10</v>
      </c>
    </row>
    <row r="16" spans="2:19" x14ac:dyDescent="0.3">
      <c r="B16" s="228" t="s">
        <v>11</v>
      </c>
      <c r="C16" s="289">
        <f t="shared" ca="1" si="0"/>
        <v>3</v>
      </c>
      <c r="D16" s="290" t="str">
        <f t="shared" ca="1" si="1"/>
        <v>Not Calculated</v>
      </c>
      <c r="E16" s="290" t="str">
        <f t="shared" ca="1" si="2"/>
        <v>Not Calculated</v>
      </c>
      <c r="F16" s="290" t="str">
        <f t="shared" ca="1" si="3"/>
        <v>Not Calculated</v>
      </c>
      <c r="G16" s="290" t="str">
        <f t="shared" ca="1" si="4"/>
        <v>Not Calculated</v>
      </c>
      <c r="H16" s="290" t="str">
        <f t="shared" ca="1" si="5"/>
        <v>Not Calculated</v>
      </c>
      <c r="I16" s="290" t="str">
        <f t="shared" ca="1" si="6"/>
        <v>Not Calculated</v>
      </c>
      <c r="J16" s="290">
        <f t="shared" ca="1" si="7"/>
        <v>0.33333333333333331</v>
      </c>
      <c r="K16" s="290" t="str">
        <f t="shared" ca="1" si="8"/>
        <v>Not Calculated</v>
      </c>
      <c r="L16" s="290" t="str">
        <f t="shared" ca="1" si="9"/>
        <v>Not Calculated</v>
      </c>
      <c r="M16" s="290" t="str">
        <f t="shared" ca="1" si="10"/>
        <v>Not Calculated</v>
      </c>
      <c r="O16" s="245" t="s">
        <v>11</v>
      </c>
    </row>
    <row r="17" spans="2:16" x14ac:dyDescent="0.3">
      <c r="B17" s="228" t="s">
        <v>12</v>
      </c>
      <c r="C17" s="289">
        <f t="shared" ca="1" si="0"/>
        <v>4</v>
      </c>
      <c r="D17" s="290" t="str">
        <f t="shared" ca="1" si="1"/>
        <v>Not Calculated</v>
      </c>
      <c r="E17" s="290" t="str">
        <f t="shared" ca="1" si="2"/>
        <v>Not Calculated</v>
      </c>
      <c r="F17" s="290" t="str">
        <f t="shared" ca="1" si="3"/>
        <v>Not Calculated</v>
      </c>
      <c r="G17" s="290" t="str">
        <f t="shared" ca="1" si="4"/>
        <v>Not Calculated</v>
      </c>
      <c r="H17" s="290" t="str">
        <f t="shared" ca="1" si="5"/>
        <v>Not Calculated</v>
      </c>
      <c r="I17" s="290" t="str">
        <f t="shared" ca="1" si="6"/>
        <v>Not Calculated</v>
      </c>
      <c r="J17" s="290">
        <f t="shared" ca="1" si="7"/>
        <v>1.6666666666666667</v>
      </c>
      <c r="K17" s="290" t="str">
        <f t="shared" ca="1" si="8"/>
        <v>Not Calculated</v>
      </c>
      <c r="L17" s="290" t="str">
        <f t="shared" ca="1" si="9"/>
        <v>Not Calculated</v>
      </c>
      <c r="M17" s="290" t="str">
        <f t="shared" ca="1" si="10"/>
        <v>Not Calculated</v>
      </c>
      <c r="O17" s="245" t="s">
        <v>12</v>
      </c>
    </row>
    <row r="18" spans="2:16" x14ac:dyDescent="0.3">
      <c r="B18" s="228" t="s">
        <v>4</v>
      </c>
      <c r="C18" s="289">
        <f t="shared" ca="1" si="0"/>
        <v>4</v>
      </c>
      <c r="D18" s="290" t="str">
        <f t="shared" ca="1" si="1"/>
        <v>Not Calculated</v>
      </c>
      <c r="E18" s="290" t="str">
        <f t="shared" ca="1" si="2"/>
        <v>Not Calculated</v>
      </c>
      <c r="F18" s="290" t="str">
        <f t="shared" ca="1" si="3"/>
        <v>Not Calculated</v>
      </c>
      <c r="G18" s="290" t="str">
        <f t="shared" ca="1" si="4"/>
        <v>Not Calculated</v>
      </c>
      <c r="H18" s="290" t="str">
        <f t="shared" ca="1" si="5"/>
        <v>Not Calculated</v>
      </c>
      <c r="I18" s="290" t="str">
        <f t="shared" ca="1" si="6"/>
        <v>Not Calculated</v>
      </c>
      <c r="J18" s="290">
        <f t="shared" ca="1" si="7"/>
        <v>1.6666666666666667</v>
      </c>
      <c r="K18" s="290" t="str">
        <f t="shared" ca="1" si="8"/>
        <v>Not Calculated</v>
      </c>
      <c r="L18" s="290" t="str">
        <f t="shared" ca="1" si="9"/>
        <v>Not Calculated</v>
      </c>
      <c r="M18" s="290" t="str">
        <f t="shared" ca="1" si="10"/>
        <v>Not Calculated</v>
      </c>
      <c r="O18" s="245" t="s">
        <v>4</v>
      </c>
    </row>
    <row r="19" spans="2:16" x14ac:dyDescent="0.3">
      <c r="B19" s="228" t="s">
        <v>698</v>
      </c>
      <c r="C19" s="289">
        <f t="shared" ca="1" si="0"/>
        <v>2</v>
      </c>
      <c r="D19" s="290" t="str">
        <f t="shared" ca="1" si="1"/>
        <v>Not Calculated</v>
      </c>
      <c r="E19" s="290" t="str">
        <f t="shared" ca="1" si="2"/>
        <v>Not Calculated</v>
      </c>
      <c r="F19" s="290" t="str">
        <f t="shared" ca="1" si="3"/>
        <v>Not Calculated</v>
      </c>
      <c r="G19" s="290" t="str">
        <f t="shared" ca="1" si="4"/>
        <v>Not Calculated</v>
      </c>
      <c r="H19" s="290" t="str">
        <f t="shared" ca="1" si="5"/>
        <v>Not Calculated</v>
      </c>
      <c r="I19" s="290" t="str">
        <f t="shared" ca="1" si="6"/>
        <v>Not Calculated</v>
      </c>
      <c r="J19" s="290">
        <f t="shared" ca="1" si="7"/>
        <v>1.6666666666666667</v>
      </c>
      <c r="K19" s="290" t="str">
        <f t="shared" ca="1" si="8"/>
        <v>Not Calculated</v>
      </c>
      <c r="L19" s="290" t="str">
        <f t="shared" ca="1" si="9"/>
        <v>Not Calculated</v>
      </c>
      <c r="M19" s="290" t="str">
        <f t="shared" ca="1" si="10"/>
        <v>Not Calculated</v>
      </c>
      <c r="O19" s="245" t="s">
        <v>21</v>
      </c>
    </row>
    <row r="20" spans="2:16" x14ac:dyDescent="0.3">
      <c r="B20" s="228" t="s">
        <v>699</v>
      </c>
      <c r="C20" s="289">
        <f t="shared" ca="1" si="0"/>
        <v>4</v>
      </c>
      <c r="D20" s="290" t="str">
        <f t="shared" ca="1" si="1"/>
        <v>Not Calculated</v>
      </c>
      <c r="E20" s="290" t="str">
        <f t="shared" ca="1" si="2"/>
        <v>Not Calculated</v>
      </c>
      <c r="F20" s="290" t="str">
        <f t="shared" ca="1" si="3"/>
        <v>Not Calculated</v>
      </c>
      <c r="G20" s="290" t="str">
        <f t="shared" ca="1" si="4"/>
        <v>Not Calculated</v>
      </c>
      <c r="H20" s="290" t="str">
        <f t="shared" ca="1" si="5"/>
        <v>Not Calculated</v>
      </c>
      <c r="I20" s="290" t="str">
        <f t="shared" ca="1" si="6"/>
        <v>Not Calculated</v>
      </c>
      <c r="J20" s="290">
        <f t="shared" ca="1" si="7"/>
        <v>0.83333333333333337</v>
      </c>
      <c r="K20" s="290" t="str">
        <f t="shared" ca="1" si="8"/>
        <v>Not Calculated</v>
      </c>
      <c r="L20" s="290" t="str">
        <f t="shared" ca="1" si="9"/>
        <v>Not Calculated</v>
      </c>
      <c r="M20" s="290" t="str">
        <f t="shared" ca="1" si="10"/>
        <v>Not Calculated</v>
      </c>
      <c r="O20" s="245" t="s">
        <v>8</v>
      </c>
    </row>
    <row r="21" spans="2:16" x14ac:dyDescent="0.3">
      <c r="B21" s="228" t="s">
        <v>700</v>
      </c>
      <c r="C21" s="289">
        <f t="shared" ca="1" si="0"/>
        <v>1</v>
      </c>
      <c r="D21" s="290" t="str">
        <f t="shared" ca="1" si="1"/>
        <v>Not Calculated</v>
      </c>
      <c r="E21" s="290" t="str">
        <f t="shared" ca="1" si="2"/>
        <v>Not Calculated</v>
      </c>
      <c r="F21" s="290" t="str">
        <f t="shared" ca="1" si="3"/>
        <v>Not Calculated</v>
      </c>
      <c r="G21" s="290" t="str">
        <f t="shared" ca="1" si="4"/>
        <v>Not Calculated</v>
      </c>
      <c r="H21" s="290" t="str">
        <f t="shared" ca="1" si="5"/>
        <v>Not Calculated</v>
      </c>
      <c r="I21" s="290" t="str">
        <f t="shared" ca="1" si="6"/>
        <v>Not Calculated</v>
      </c>
      <c r="J21" s="290">
        <f t="shared" ca="1" si="7"/>
        <v>1.6666666666666667</v>
      </c>
      <c r="K21" s="290" t="str">
        <f t="shared" ca="1" si="8"/>
        <v>Not Calculated</v>
      </c>
      <c r="L21" s="290" t="str">
        <f t="shared" ca="1" si="9"/>
        <v>Not Calculated</v>
      </c>
      <c r="M21" s="290" t="str">
        <f t="shared" ca="1" si="10"/>
        <v>Not Calculated</v>
      </c>
      <c r="O21" s="245" t="s">
        <v>14</v>
      </c>
    </row>
    <row r="22" spans="2:16" x14ac:dyDescent="0.3">
      <c r="B22" s="228" t="s">
        <v>9</v>
      </c>
      <c r="C22" s="289">
        <f t="shared" ca="1" si="0"/>
        <v>3</v>
      </c>
      <c r="D22" s="290" t="str">
        <f t="shared" ca="1" si="1"/>
        <v>Not Calculated</v>
      </c>
      <c r="E22" s="290" t="str">
        <f t="shared" ca="1" si="2"/>
        <v>Not Calculated</v>
      </c>
      <c r="F22" s="290" t="str">
        <f t="shared" ca="1" si="3"/>
        <v>Not Calculated</v>
      </c>
      <c r="G22" s="290" t="str">
        <f t="shared" ca="1" si="4"/>
        <v>Not Calculated</v>
      </c>
      <c r="H22" s="290" t="str">
        <f t="shared" ca="1" si="5"/>
        <v>Not Calculated</v>
      </c>
      <c r="I22" s="290" t="str">
        <f t="shared" ca="1" si="6"/>
        <v>Not Calculated</v>
      </c>
      <c r="J22" s="290">
        <f t="shared" ca="1" si="7"/>
        <v>0.94444444444444442</v>
      </c>
      <c r="K22" s="290" t="str">
        <f t="shared" ca="1" si="8"/>
        <v>Not Calculated</v>
      </c>
      <c r="L22" s="290" t="str">
        <f t="shared" ca="1" si="9"/>
        <v>Not Calculated</v>
      </c>
      <c r="M22" s="290" t="str">
        <f t="shared" ca="1" si="10"/>
        <v>Not Calculated</v>
      </c>
      <c r="O22" s="245" t="s">
        <v>9</v>
      </c>
    </row>
    <row r="23" spans="2:16" x14ac:dyDescent="0.3">
      <c r="B23" s="228" t="s">
        <v>701</v>
      </c>
      <c r="C23" s="289">
        <f t="shared" ca="1" si="0"/>
        <v>1</v>
      </c>
      <c r="D23" s="290" t="str">
        <f t="shared" ca="1" si="1"/>
        <v>Not Calculated</v>
      </c>
      <c r="E23" s="290" t="str">
        <f t="shared" ca="1" si="2"/>
        <v>Not Calculated</v>
      </c>
      <c r="F23" s="290" t="str">
        <f t="shared" ca="1" si="3"/>
        <v>Not Calculated</v>
      </c>
      <c r="G23" s="290" t="str">
        <f t="shared" ca="1" si="4"/>
        <v>Not Calculated</v>
      </c>
      <c r="H23" s="290" t="str">
        <f t="shared" ca="1" si="5"/>
        <v>Not Calculated</v>
      </c>
      <c r="I23" s="290" t="str">
        <f t="shared" ca="1" si="6"/>
        <v>Not Calculated</v>
      </c>
      <c r="J23" s="290">
        <f t="shared" ca="1" si="7"/>
        <v>1.8333333333333333</v>
      </c>
      <c r="K23" s="290" t="str">
        <f t="shared" ca="1" si="8"/>
        <v>Not Calculated</v>
      </c>
      <c r="L23" s="290" t="str">
        <f t="shared" ca="1" si="9"/>
        <v>Not Calculated</v>
      </c>
      <c r="M23" s="290" t="str">
        <f t="shared" ca="1" si="10"/>
        <v>Not Calculated</v>
      </c>
      <c r="O23" s="245" t="s">
        <v>20</v>
      </c>
    </row>
    <row r="24" spans="2:16" x14ac:dyDescent="0.3">
      <c r="B24" s="228" t="s">
        <v>702</v>
      </c>
      <c r="C24" s="289">
        <f t="shared" ca="1" si="0"/>
        <v>3</v>
      </c>
      <c r="D24" s="290" t="str">
        <f t="shared" ca="1" si="1"/>
        <v>Not Calculated</v>
      </c>
      <c r="E24" s="290" t="str">
        <f t="shared" ca="1" si="2"/>
        <v>Not Calculated</v>
      </c>
      <c r="F24" s="290" t="str">
        <f t="shared" ca="1" si="3"/>
        <v>Not Calculated</v>
      </c>
      <c r="G24" s="290" t="str">
        <f t="shared" ca="1" si="4"/>
        <v>Not Calculated</v>
      </c>
      <c r="H24" s="290" t="str">
        <f t="shared" ca="1" si="5"/>
        <v>Not Calculated</v>
      </c>
      <c r="I24" s="290" t="str">
        <f t="shared" ca="1" si="6"/>
        <v>Not Calculated</v>
      </c>
      <c r="J24" s="290">
        <f t="shared" ca="1" si="7"/>
        <v>1.2777777777777777</v>
      </c>
      <c r="K24" s="290" t="str">
        <f t="shared" ca="1" si="8"/>
        <v>Not Calculated</v>
      </c>
      <c r="L24" s="290" t="str">
        <f t="shared" ca="1" si="9"/>
        <v>Not Calculated</v>
      </c>
      <c r="M24" s="290" t="str">
        <f t="shared" ca="1" si="10"/>
        <v>Not Calculated</v>
      </c>
      <c r="O24" s="245" t="s">
        <v>6</v>
      </c>
    </row>
    <row r="25" spans="2:16" x14ac:dyDescent="0.3">
      <c r="B25" s="228" t="s">
        <v>7</v>
      </c>
      <c r="C25" s="289">
        <f t="shared" ca="1" si="0"/>
        <v>2</v>
      </c>
      <c r="D25" s="290" t="str">
        <f t="shared" ca="1" si="1"/>
        <v>Not Calculated</v>
      </c>
      <c r="E25" s="290" t="str">
        <f t="shared" ca="1" si="2"/>
        <v>Not Calculated</v>
      </c>
      <c r="F25" s="290" t="str">
        <f t="shared" ca="1" si="3"/>
        <v>Not Calculated</v>
      </c>
      <c r="G25" s="290" t="str">
        <f t="shared" ca="1" si="4"/>
        <v>Not Calculated</v>
      </c>
      <c r="H25" s="290" t="str">
        <f t="shared" ca="1" si="5"/>
        <v>Not Calculated</v>
      </c>
      <c r="I25" s="290" t="str">
        <f t="shared" ca="1" si="6"/>
        <v>Not Calculated</v>
      </c>
      <c r="J25" s="290">
        <f t="shared" ca="1" si="7"/>
        <v>1.4444444444444444</v>
      </c>
      <c r="K25" s="290" t="str">
        <f t="shared" ca="1" si="8"/>
        <v>Not Calculated</v>
      </c>
      <c r="L25" s="290" t="str">
        <f t="shared" ca="1" si="9"/>
        <v>Not Calculated</v>
      </c>
      <c r="M25" s="290" t="str">
        <f t="shared" ca="1" si="10"/>
        <v>Not Calculated</v>
      </c>
      <c r="O25" s="245" t="s">
        <v>7</v>
      </c>
    </row>
    <row r="26" spans="2:16" x14ac:dyDescent="0.3">
      <c r="B26" s="228" t="s">
        <v>703</v>
      </c>
      <c r="C26" s="289">
        <f t="shared" ca="1" si="0"/>
        <v>3</v>
      </c>
      <c r="D26" s="290" t="str">
        <f t="shared" ca="1" si="1"/>
        <v>Not Calculated</v>
      </c>
      <c r="E26" s="290" t="str">
        <f t="shared" ca="1" si="2"/>
        <v>Not Calculated</v>
      </c>
      <c r="F26" s="290" t="str">
        <f t="shared" ca="1" si="3"/>
        <v>Not Calculated</v>
      </c>
      <c r="G26" s="290" t="str">
        <f t="shared" ca="1" si="4"/>
        <v>Not Calculated</v>
      </c>
      <c r="H26" s="290" t="str">
        <f t="shared" ca="1" si="5"/>
        <v>Not Calculated</v>
      </c>
      <c r="I26" s="290" t="str">
        <f t="shared" ca="1" si="6"/>
        <v>Not Calculated</v>
      </c>
      <c r="J26" s="290">
        <f t="shared" ca="1" si="7"/>
        <v>1.1111111111111112</v>
      </c>
      <c r="K26" s="290" t="str">
        <f t="shared" ca="1" si="8"/>
        <v>Not Calculated</v>
      </c>
      <c r="L26" s="290" t="str">
        <f t="shared" ca="1" si="9"/>
        <v>Not Calculated</v>
      </c>
      <c r="M26" s="290" t="str">
        <f t="shared" ca="1" si="10"/>
        <v>Not Calculated</v>
      </c>
      <c r="O26" s="245" t="s">
        <v>13</v>
      </c>
    </row>
    <row r="27" spans="2:16" x14ac:dyDescent="0.3">
      <c r="B27" s="228" t="s">
        <v>5</v>
      </c>
      <c r="C27" s="289">
        <f t="shared" ca="1" si="0"/>
        <v>4</v>
      </c>
      <c r="D27" s="290" t="str">
        <f t="shared" ca="1" si="1"/>
        <v>Not Calculated</v>
      </c>
      <c r="E27" s="290" t="str">
        <f t="shared" ca="1" si="2"/>
        <v>Not Calculated</v>
      </c>
      <c r="F27" s="290" t="str">
        <f t="shared" ca="1" si="3"/>
        <v>Not Calculated</v>
      </c>
      <c r="G27" s="290" t="str">
        <f t="shared" ca="1" si="4"/>
        <v>Not Calculated</v>
      </c>
      <c r="H27" s="290" t="str">
        <f t="shared" ca="1" si="5"/>
        <v>Not Calculated</v>
      </c>
      <c r="I27" s="290" t="str">
        <f t="shared" ca="1" si="6"/>
        <v>Not Calculated</v>
      </c>
      <c r="J27" s="290">
        <f t="shared" ca="1" si="7"/>
        <v>0.83333333333333337</v>
      </c>
      <c r="K27" s="290" t="str">
        <f t="shared" ca="1" si="8"/>
        <v>Not Calculated</v>
      </c>
      <c r="L27" s="290" t="str">
        <f t="shared" ca="1" si="9"/>
        <v>Not Calculated</v>
      </c>
      <c r="M27" s="290" t="str">
        <f t="shared" ca="1" si="10"/>
        <v>Not Calculated</v>
      </c>
      <c r="O27" s="245" t="s">
        <v>5</v>
      </c>
    </row>
    <row r="28" spans="2:16" x14ac:dyDescent="0.3">
      <c r="N28" s="32"/>
      <c r="O28" s="32"/>
      <c r="P28" s="32"/>
    </row>
    <row r="29" spans="2:16" x14ac:dyDescent="0.3">
      <c r="N29" s="32"/>
      <c r="O29" s="32"/>
      <c r="P29" s="32"/>
    </row>
    <row r="30" spans="2:16" x14ac:dyDescent="0.3">
      <c r="N30" s="32"/>
      <c r="O30" s="32"/>
      <c r="P30" s="32"/>
    </row>
    <row r="33" spans="2:15" ht="45" customHeight="1" x14ac:dyDescent="0.3">
      <c r="B33" s="434" t="s">
        <v>407</v>
      </c>
      <c r="C33" s="431" t="s">
        <v>414</v>
      </c>
      <c r="D33" s="432"/>
      <c r="E33" s="433"/>
      <c r="F33" s="435" t="s">
        <v>413</v>
      </c>
      <c r="G33" s="436"/>
      <c r="H33" s="437"/>
      <c r="I33" s="435" t="s">
        <v>412</v>
      </c>
      <c r="J33" s="436"/>
      <c r="K33" s="437"/>
    </row>
    <row r="34" spans="2:15" x14ac:dyDescent="0.3">
      <c r="B34" s="434"/>
      <c r="C34" s="117" t="s">
        <v>1124</v>
      </c>
      <c r="D34" s="117" t="s">
        <v>1125</v>
      </c>
      <c r="E34" s="117" t="s">
        <v>409</v>
      </c>
      <c r="F34" s="118" t="s">
        <v>1124</v>
      </c>
      <c r="G34" s="118" t="s">
        <v>1125</v>
      </c>
      <c r="H34" s="118" t="s">
        <v>409</v>
      </c>
      <c r="I34" s="118" t="s">
        <v>1124</v>
      </c>
      <c r="J34" s="118" t="s">
        <v>1125</v>
      </c>
      <c r="K34" s="118" t="s">
        <v>409</v>
      </c>
    </row>
    <row r="35" spans="2:15" x14ac:dyDescent="0.3">
      <c r="B35" s="228" t="s">
        <v>16</v>
      </c>
      <c r="C35" s="290" t="str">
        <f ca="1">INDIRECT("'"&amp;$O35&amp;"'!$J$894")</f>
        <v>Not Calculated</v>
      </c>
      <c r="D35" s="290" t="str">
        <f ca="1">INDIRECT("'"&amp;$O35&amp;"'!$J$936")</f>
        <v>Not Calculated</v>
      </c>
      <c r="E35" s="290" t="str">
        <f ca="1">INDIRECT("'"&amp;$O35&amp;"'!$J$942")</f>
        <v>Not Calculated</v>
      </c>
      <c r="F35" s="290" t="str">
        <f ca="1">INDIRECT("'"&amp;$O35&amp;"'!$J$952")</f>
        <v>Not Calculated</v>
      </c>
      <c r="G35" s="290" t="str">
        <f ca="1">INDIRECT("'"&amp;$O35&amp;"'!$J$955")</f>
        <v>Not Calculated</v>
      </c>
      <c r="H35" s="290" t="str">
        <f ca="1">INDIRECT("'"&amp;$O35&amp;"'!$J$949")</f>
        <v>Not Calculated</v>
      </c>
      <c r="I35" s="289" t="str">
        <f ca="1">IF(F35="Not Calculated","Not Calculated",RANK(F35,$F$35:$F$54,0))</f>
        <v>Not Calculated</v>
      </c>
      <c r="J35" s="289" t="str">
        <f ca="1">IF(G35="Not Calculated","Not Calculated",RANK(G35,$G$35:$G$54,0))</f>
        <v>Not Calculated</v>
      </c>
      <c r="K35" s="289" t="str">
        <f ca="1">IF(H35="Not Calculated","Not Calculated",RANK(H35,$H$35:$H$54,0))</f>
        <v>Not Calculated</v>
      </c>
      <c r="O35" s="245" t="s">
        <v>16</v>
      </c>
    </row>
    <row r="36" spans="2:15" x14ac:dyDescent="0.3">
      <c r="B36" s="228" t="s">
        <v>695</v>
      </c>
      <c r="C36" s="290" t="str">
        <f t="shared" ref="C36:C54" ca="1" si="11">INDIRECT("'"&amp;$O36&amp;"'!$J$894")</f>
        <v>Not Calculated</v>
      </c>
      <c r="D36" s="290" t="str">
        <f t="shared" ref="D36:D54" ca="1" si="12">INDIRECT("'"&amp;$O36&amp;"'!$J$936")</f>
        <v>Not Calculated</v>
      </c>
      <c r="E36" s="290" t="str">
        <f t="shared" ref="E36:E54" ca="1" si="13">INDIRECT("'"&amp;$O36&amp;"'!$J$942")</f>
        <v>Not Calculated</v>
      </c>
      <c r="F36" s="290" t="str">
        <f t="shared" ref="F36:F54" ca="1" si="14">INDIRECT("'"&amp;$O36&amp;"'!$J$952")</f>
        <v>Not Calculated</v>
      </c>
      <c r="G36" s="290" t="str">
        <f t="shared" ref="G36:G54" ca="1" si="15">INDIRECT("'"&amp;$O36&amp;"'!$J$955")</f>
        <v>Not Calculated</v>
      </c>
      <c r="H36" s="290" t="str">
        <f t="shared" ref="H36:H54" ca="1" si="16">INDIRECT("'"&amp;$O36&amp;"'!$J$949")</f>
        <v>Not Calculated</v>
      </c>
      <c r="I36" s="289" t="str">
        <f t="shared" ref="I36:I54" ca="1" si="17">IF(F36="Not Calculated","Not Calculated",RANK(F36,$F$35:$F$54,0))</f>
        <v>Not Calculated</v>
      </c>
      <c r="J36" s="289" t="str">
        <f t="shared" ref="J36:J54" ca="1" si="18">IF(G36="Not Calculated","Not Calculated",RANK(G36,$G$35:$G$54,0))</f>
        <v>Not Calculated</v>
      </c>
      <c r="K36" s="289" t="str">
        <f t="shared" ref="K36:K54" ca="1" si="19">IF(H36="Not Calculated","Not Calculated",RANK(H36,$H$35:$H$54,0))</f>
        <v>Not Calculated</v>
      </c>
      <c r="O36" s="245" t="s">
        <v>17</v>
      </c>
    </row>
    <row r="37" spans="2:15" x14ac:dyDescent="0.3">
      <c r="B37" s="228" t="s">
        <v>696</v>
      </c>
      <c r="C37" s="290" t="str">
        <f t="shared" ca="1" si="11"/>
        <v>Not Calculated</v>
      </c>
      <c r="D37" s="290" t="str">
        <f t="shared" ca="1" si="12"/>
        <v>Not Calculated</v>
      </c>
      <c r="E37" s="290" t="str">
        <f t="shared" ca="1" si="13"/>
        <v>Not Calculated</v>
      </c>
      <c r="F37" s="290" t="str">
        <f t="shared" ca="1" si="14"/>
        <v>Not Calculated</v>
      </c>
      <c r="G37" s="290" t="str">
        <f t="shared" ca="1" si="15"/>
        <v>Not Calculated</v>
      </c>
      <c r="H37" s="290" t="str">
        <f t="shared" ca="1" si="16"/>
        <v>Not Calculated</v>
      </c>
      <c r="I37" s="289" t="str">
        <f t="shared" ca="1" si="17"/>
        <v>Not Calculated</v>
      </c>
      <c r="J37" s="289" t="str">
        <f t="shared" ca="1" si="18"/>
        <v>Not Calculated</v>
      </c>
      <c r="K37" s="289" t="str">
        <f t="shared" ca="1" si="19"/>
        <v>Not Calculated</v>
      </c>
      <c r="O37" s="245" t="s">
        <v>18</v>
      </c>
    </row>
    <row r="38" spans="2:15" x14ac:dyDescent="0.3">
      <c r="B38" s="228" t="s">
        <v>15</v>
      </c>
      <c r="C38" s="290" t="str">
        <f t="shared" ca="1" si="11"/>
        <v>Not Calculated</v>
      </c>
      <c r="D38" s="290" t="str">
        <f t="shared" ca="1" si="12"/>
        <v>Not Calculated</v>
      </c>
      <c r="E38" s="290" t="str">
        <f t="shared" ca="1" si="13"/>
        <v>Not Calculated</v>
      </c>
      <c r="F38" s="290" t="str">
        <f t="shared" ca="1" si="14"/>
        <v>Not Calculated</v>
      </c>
      <c r="G38" s="290" t="str">
        <f t="shared" ca="1" si="15"/>
        <v>Not Calculated</v>
      </c>
      <c r="H38" s="290" t="str">
        <f t="shared" ca="1" si="16"/>
        <v>Not Calculated</v>
      </c>
      <c r="I38" s="289" t="str">
        <f t="shared" ca="1" si="17"/>
        <v>Not Calculated</v>
      </c>
      <c r="J38" s="289" t="str">
        <f t="shared" ca="1" si="18"/>
        <v>Not Calculated</v>
      </c>
      <c r="K38" s="289" t="str">
        <f t="shared" ca="1" si="19"/>
        <v>Not Calculated</v>
      </c>
      <c r="O38" s="245" t="s">
        <v>15</v>
      </c>
    </row>
    <row r="39" spans="2:15" x14ac:dyDescent="0.3">
      <c r="B39" s="228" t="s">
        <v>3</v>
      </c>
      <c r="C39" s="290" t="str">
        <f t="shared" ca="1" si="11"/>
        <v>Not Calculated</v>
      </c>
      <c r="D39" s="290" t="str">
        <f t="shared" ca="1" si="12"/>
        <v>Not Calculated</v>
      </c>
      <c r="E39" s="290" t="str">
        <f t="shared" ca="1" si="13"/>
        <v>Not Calculated</v>
      </c>
      <c r="F39" s="290" t="str">
        <f t="shared" ca="1" si="14"/>
        <v>Not Calculated</v>
      </c>
      <c r="G39" s="290" t="str">
        <f t="shared" ca="1" si="15"/>
        <v>Not Calculated</v>
      </c>
      <c r="H39" s="290" t="str">
        <f t="shared" ca="1" si="16"/>
        <v>Not Calculated</v>
      </c>
      <c r="I39" s="289" t="str">
        <f t="shared" ca="1" si="17"/>
        <v>Not Calculated</v>
      </c>
      <c r="J39" s="289" t="str">
        <f t="shared" ca="1" si="18"/>
        <v>Not Calculated</v>
      </c>
      <c r="K39" s="289" t="str">
        <f t="shared" ca="1" si="19"/>
        <v>Not Calculated</v>
      </c>
      <c r="O39" s="245" t="s">
        <v>3</v>
      </c>
    </row>
    <row r="40" spans="2:15" x14ac:dyDescent="0.3">
      <c r="B40" s="228" t="s">
        <v>697</v>
      </c>
      <c r="C40" s="290" t="str">
        <f t="shared" ca="1" si="11"/>
        <v>Not Calculated</v>
      </c>
      <c r="D40" s="290" t="str">
        <f t="shared" ca="1" si="12"/>
        <v>Not Calculated</v>
      </c>
      <c r="E40" s="290" t="str">
        <f t="shared" ca="1" si="13"/>
        <v>Not Calculated</v>
      </c>
      <c r="F40" s="290" t="str">
        <f t="shared" ca="1" si="14"/>
        <v>Not Calculated</v>
      </c>
      <c r="G40" s="290" t="str">
        <f t="shared" ca="1" si="15"/>
        <v>Not Calculated</v>
      </c>
      <c r="H40" s="290" t="str">
        <f t="shared" ca="1" si="16"/>
        <v>Not Calculated</v>
      </c>
      <c r="I40" s="289" t="str">
        <f t="shared" ca="1" si="17"/>
        <v>Not Calculated</v>
      </c>
      <c r="J40" s="289" t="str">
        <f t="shared" ca="1" si="18"/>
        <v>Not Calculated</v>
      </c>
      <c r="K40" s="289" t="str">
        <f t="shared" ca="1" si="19"/>
        <v>Not Calculated</v>
      </c>
      <c r="O40" s="245" t="s">
        <v>19</v>
      </c>
    </row>
    <row r="41" spans="2:15" x14ac:dyDescent="0.3">
      <c r="B41" s="228" t="s">
        <v>402</v>
      </c>
      <c r="C41" s="290" t="str">
        <f t="shared" ca="1" si="11"/>
        <v>Not Calculated</v>
      </c>
      <c r="D41" s="290" t="str">
        <f t="shared" ca="1" si="12"/>
        <v>Not Calculated</v>
      </c>
      <c r="E41" s="290" t="str">
        <f t="shared" ca="1" si="13"/>
        <v>Not Calculated</v>
      </c>
      <c r="F41" s="290" t="str">
        <f t="shared" ca="1" si="14"/>
        <v>Not Calculated</v>
      </c>
      <c r="G41" s="290" t="str">
        <f t="shared" ca="1" si="15"/>
        <v>Not Calculated</v>
      </c>
      <c r="H41" s="290" t="str">
        <f t="shared" ca="1" si="16"/>
        <v>Not Calculated</v>
      </c>
      <c r="I41" s="289" t="str">
        <f t="shared" ca="1" si="17"/>
        <v>Not Calculated</v>
      </c>
      <c r="J41" s="289" t="str">
        <f t="shared" ca="1" si="18"/>
        <v>Not Calculated</v>
      </c>
      <c r="K41" s="289" t="str">
        <f t="shared" ca="1" si="19"/>
        <v>Not Calculated</v>
      </c>
      <c r="O41" s="245" t="s">
        <v>402</v>
      </c>
    </row>
    <row r="42" spans="2:15" x14ac:dyDescent="0.3">
      <c r="B42" s="228" t="s">
        <v>10</v>
      </c>
      <c r="C42" s="290" t="str">
        <f t="shared" ca="1" si="11"/>
        <v>Not Calculated</v>
      </c>
      <c r="D42" s="290" t="str">
        <f t="shared" ca="1" si="12"/>
        <v>Not Calculated</v>
      </c>
      <c r="E42" s="290" t="str">
        <f t="shared" ca="1" si="13"/>
        <v>Not Calculated</v>
      </c>
      <c r="F42" s="290" t="str">
        <f t="shared" ca="1" si="14"/>
        <v>Not Calculated</v>
      </c>
      <c r="G42" s="290" t="str">
        <f t="shared" ca="1" si="15"/>
        <v>Not Calculated</v>
      </c>
      <c r="H42" s="290" t="str">
        <f t="shared" ca="1" si="16"/>
        <v>Not Calculated</v>
      </c>
      <c r="I42" s="289" t="str">
        <f t="shared" ca="1" si="17"/>
        <v>Not Calculated</v>
      </c>
      <c r="J42" s="289" t="str">
        <f t="shared" ca="1" si="18"/>
        <v>Not Calculated</v>
      </c>
      <c r="K42" s="289" t="str">
        <f t="shared" ca="1" si="19"/>
        <v>Not Calculated</v>
      </c>
      <c r="O42" s="245" t="s">
        <v>10</v>
      </c>
    </row>
    <row r="43" spans="2:15" x14ac:dyDescent="0.3">
      <c r="B43" s="228" t="s">
        <v>11</v>
      </c>
      <c r="C43" s="290" t="str">
        <f t="shared" ca="1" si="11"/>
        <v>Not Calculated</v>
      </c>
      <c r="D43" s="290" t="str">
        <f t="shared" ca="1" si="12"/>
        <v>Not Calculated</v>
      </c>
      <c r="E43" s="290" t="str">
        <f t="shared" ca="1" si="13"/>
        <v>Not Calculated</v>
      </c>
      <c r="F43" s="290" t="str">
        <f t="shared" ca="1" si="14"/>
        <v>Not Calculated</v>
      </c>
      <c r="G43" s="290" t="str">
        <f t="shared" ca="1" si="15"/>
        <v>Not Calculated</v>
      </c>
      <c r="H43" s="290" t="str">
        <f t="shared" ca="1" si="16"/>
        <v>Not Calculated</v>
      </c>
      <c r="I43" s="289" t="str">
        <f t="shared" ca="1" si="17"/>
        <v>Not Calculated</v>
      </c>
      <c r="J43" s="289" t="str">
        <f t="shared" ca="1" si="18"/>
        <v>Not Calculated</v>
      </c>
      <c r="K43" s="289" t="str">
        <f t="shared" ca="1" si="19"/>
        <v>Not Calculated</v>
      </c>
      <c r="O43" s="245" t="s">
        <v>11</v>
      </c>
    </row>
    <row r="44" spans="2:15" x14ac:dyDescent="0.3">
      <c r="B44" s="228" t="s">
        <v>12</v>
      </c>
      <c r="C44" s="290" t="str">
        <f t="shared" ca="1" si="11"/>
        <v>Not Calculated</v>
      </c>
      <c r="D44" s="290" t="str">
        <f t="shared" ca="1" si="12"/>
        <v>Not Calculated</v>
      </c>
      <c r="E44" s="290" t="str">
        <f t="shared" ca="1" si="13"/>
        <v>Not Calculated</v>
      </c>
      <c r="F44" s="290" t="str">
        <f t="shared" ca="1" si="14"/>
        <v>Not Calculated</v>
      </c>
      <c r="G44" s="290" t="str">
        <f t="shared" ca="1" si="15"/>
        <v>Not Calculated</v>
      </c>
      <c r="H44" s="290" t="str">
        <f t="shared" ca="1" si="16"/>
        <v>Not Calculated</v>
      </c>
      <c r="I44" s="289" t="str">
        <f t="shared" ca="1" si="17"/>
        <v>Not Calculated</v>
      </c>
      <c r="J44" s="289" t="str">
        <f t="shared" ca="1" si="18"/>
        <v>Not Calculated</v>
      </c>
      <c r="K44" s="289" t="str">
        <f t="shared" ca="1" si="19"/>
        <v>Not Calculated</v>
      </c>
      <c r="O44" s="245" t="s">
        <v>12</v>
      </c>
    </row>
    <row r="45" spans="2:15" x14ac:dyDescent="0.3">
      <c r="B45" s="228" t="s">
        <v>4</v>
      </c>
      <c r="C45" s="290" t="str">
        <f t="shared" ca="1" si="11"/>
        <v>Not Calculated</v>
      </c>
      <c r="D45" s="290" t="str">
        <f t="shared" ca="1" si="12"/>
        <v>Not Calculated</v>
      </c>
      <c r="E45" s="290" t="str">
        <f t="shared" ca="1" si="13"/>
        <v>Not Calculated</v>
      </c>
      <c r="F45" s="290" t="str">
        <f t="shared" ca="1" si="14"/>
        <v>Not Calculated</v>
      </c>
      <c r="G45" s="290" t="str">
        <f t="shared" ca="1" si="15"/>
        <v>Not Calculated</v>
      </c>
      <c r="H45" s="290" t="str">
        <f t="shared" ca="1" si="16"/>
        <v>Not Calculated</v>
      </c>
      <c r="I45" s="289" t="str">
        <f t="shared" ca="1" si="17"/>
        <v>Not Calculated</v>
      </c>
      <c r="J45" s="289" t="str">
        <f t="shared" ca="1" si="18"/>
        <v>Not Calculated</v>
      </c>
      <c r="K45" s="289" t="str">
        <f t="shared" ca="1" si="19"/>
        <v>Not Calculated</v>
      </c>
      <c r="O45" s="245" t="s">
        <v>4</v>
      </c>
    </row>
    <row r="46" spans="2:15" x14ac:dyDescent="0.3">
      <c r="B46" s="228" t="s">
        <v>698</v>
      </c>
      <c r="C46" s="290" t="str">
        <f t="shared" ca="1" si="11"/>
        <v>Not Calculated</v>
      </c>
      <c r="D46" s="290" t="str">
        <f t="shared" ca="1" si="12"/>
        <v>Not Calculated</v>
      </c>
      <c r="E46" s="290" t="str">
        <f t="shared" ca="1" si="13"/>
        <v>Not Calculated</v>
      </c>
      <c r="F46" s="290" t="str">
        <f t="shared" ca="1" si="14"/>
        <v>Not Calculated</v>
      </c>
      <c r="G46" s="290" t="str">
        <f t="shared" ca="1" si="15"/>
        <v>Not Calculated</v>
      </c>
      <c r="H46" s="290" t="str">
        <f t="shared" ca="1" si="16"/>
        <v>Not Calculated</v>
      </c>
      <c r="I46" s="289" t="str">
        <f t="shared" ca="1" si="17"/>
        <v>Not Calculated</v>
      </c>
      <c r="J46" s="289" t="str">
        <f t="shared" ca="1" si="18"/>
        <v>Not Calculated</v>
      </c>
      <c r="K46" s="289" t="str">
        <f t="shared" ca="1" si="19"/>
        <v>Not Calculated</v>
      </c>
      <c r="O46" s="245" t="s">
        <v>21</v>
      </c>
    </row>
    <row r="47" spans="2:15" x14ac:dyDescent="0.3">
      <c r="B47" s="228" t="s">
        <v>699</v>
      </c>
      <c r="C47" s="290" t="str">
        <f t="shared" ca="1" si="11"/>
        <v>Not Calculated</v>
      </c>
      <c r="D47" s="290" t="str">
        <f t="shared" ca="1" si="12"/>
        <v>Not Calculated</v>
      </c>
      <c r="E47" s="290" t="str">
        <f t="shared" ca="1" si="13"/>
        <v>Not Calculated</v>
      </c>
      <c r="F47" s="290" t="str">
        <f t="shared" ca="1" si="14"/>
        <v>Not Calculated</v>
      </c>
      <c r="G47" s="290" t="str">
        <f t="shared" ca="1" si="15"/>
        <v>Not Calculated</v>
      </c>
      <c r="H47" s="290" t="str">
        <f t="shared" ca="1" si="16"/>
        <v>Not Calculated</v>
      </c>
      <c r="I47" s="289" t="str">
        <f t="shared" ca="1" si="17"/>
        <v>Not Calculated</v>
      </c>
      <c r="J47" s="289" t="str">
        <f t="shared" ca="1" si="18"/>
        <v>Not Calculated</v>
      </c>
      <c r="K47" s="289" t="str">
        <f t="shared" ca="1" si="19"/>
        <v>Not Calculated</v>
      </c>
      <c r="O47" s="245" t="s">
        <v>8</v>
      </c>
    </row>
    <row r="48" spans="2:15" x14ac:dyDescent="0.3">
      <c r="B48" s="228" t="s">
        <v>700</v>
      </c>
      <c r="C48" s="290" t="str">
        <f t="shared" ca="1" si="11"/>
        <v>Not Calculated</v>
      </c>
      <c r="D48" s="290" t="str">
        <f t="shared" ca="1" si="12"/>
        <v>Not Calculated</v>
      </c>
      <c r="E48" s="290" t="str">
        <f t="shared" ca="1" si="13"/>
        <v>Not Calculated</v>
      </c>
      <c r="F48" s="290" t="str">
        <f t="shared" ca="1" si="14"/>
        <v>Not Calculated</v>
      </c>
      <c r="G48" s="290" t="str">
        <f t="shared" ca="1" si="15"/>
        <v>Not Calculated</v>
      </c>
      <c r="H48" s="290" t="str">
        <f t="shared" ca="1" si="16"/>
        <v>Not Calculated</v>
      </c>
      <c r="I48" s="289" t="str">
        <f t="shared" ca="1" si="17"/>
        <v>Not Calculated</v>
      </c>
      <c r="J48" s="289" t="str">
        <f t="shared" ca="1" si="18"/>
        <v>Not Calculated</v>
      </c>
      <c r="K48" s="289" t="str">
        <f t="shared" ca="1" si="19"/>
        <v>Not Calculated</v>
      </c>
      <c r="O48" s="245" t="s">
        <v>14</v>
      </c>
    </row>
    <row r="49" spans="2:15" x14ac:dyDescent="0.3">
      <c r="B49" s="228" t="s">
        <v>9</v>
      </c>
      <c r="C49" s="290" t="str">
        <f t="shared" ca="1" si="11"/>
        <v>Not Calculated</v>
      </c>
      <c r="D49" s="290" t="str">
        <f t="shared" ca="1" si="12"/>
        <v>Not Calculated</v>
      </c>
      <c r="E49" s="290" t="str">
        <f t="shared" ca="1" si="13"/>
        <v>Not Calculated</v>
      </c>
      <c r="F49" s="290" t="str">
        <f t="shared" ca="1" si="14"/>
        <v>Not Calculated</v>
      </c>
      <c r="G49" s="290" t="str">
        <f t="shared" ca="1" si="15"/>
        <v>Not Calculated</v>
      </c>
      <c r="H49" s="290" t="str">
        <f t="shared" ca="1" si="16"/>
        <v>Not Calculated</v>
      </c>
      <c r="I49" s="289" t="str">
        <f t="shared" ca="1" si="17"/>
        <v>Not Calculated</v>
      </c>
      <c r="J49" s="289" t="str">
        <f t="shared" ca="1" si="18"/>
        <v>Not Calculated</v>
      </c>
      <c r="K49" s="289" t="str">
        <f t="shared" ca="1" si="19"/>
        <v>Not Calculated</v>
      </c>
      <c r="O49" s="245" t="s">
        <v>9</v>
      </c>
    </row>
    <row r="50" spans="2:15" x14ac:dyDescent="0.3">
      <c r="B50" s="228" t="s">
        <v>701</v>
      </c>
      <c r="C50" s="290" t="str">
        <f t="shared" ca="1" si="11"/>
        <v>Not Calculated</v>
      </c>
      <c r="D50" s="290" t="str">
        <f t="shared" ca="1" si="12"/>
        <v>Not Calculated</v>
      </c>
      <c r="E50" s="290" t="str">
        <f t="shared" ca="1" si="13"/>
        <v>Not Calculated</v>
      </c>
      <c r="F50" s="290" t="str">
        <f t="shared" ca="1" si="14"/>
        <v>Not Calculated</v>
      </c>
      <c r="G50" s="290" t="str">
        <f t="shared" ca="1" si="15"/>
        <v>Not Calculated</v>
      </c>
      <c r="H50" s="290" t="str">
        <f t="shared" ca="1" si="16"/>
        <v>Not Calculated</v>
      </c>
      <c r="I50" s="289" t="str">
        <f t="shared" ca="1" si="17"/>
        <v>Not Calculated</v>
      </c>
      <c r="J50" s="289" t="str">
        <f t="shared" ca="1" si="18"/>
        <v>Not Calculated</v>
      </c>
      <c r="K50" s="289" t="str">
        <f t="shared" ca="1" si="19"/>
        <v>Not Calculated</v>
      </c>
      <c r="O50" s="245" t="s">
        <v>20</v>
      </c>
    </row>
    <row r="51" spans="2:15" x14ac:dyDescent="0.3">
      <c r="B51" s="228" t="s">
        <v>702</v>
      </c>
      <c r="C51" s="290" t="str">
        <f t="shared" ca="1" si="11"/>
        <v>Not Calculated</v>
      </c>
      <c r="D51" s="290" t="str">
        <f t="shared" ca="1" si="12"/>
        <v>Not Calculated</v>
      </c>
      <c r="E51" s="290" t="str">
        <f t="shared" ca="1" si="13"/>
        <v>Not Calculated</v>
      </c>
      <c r="F51" s="290" t="str">
        <f t="shared" ca="1" si="14"/>
        <v>Not Calculated</v>
      </c>
      <c r="G51" s="290" t="str">
        <f t="shared" ca="1" si="15"/>
        <v>Not Calculated</v>
      </c>
      <c r="H51" s="290" t="str">
        <f t="shared" ca="1" si="16"/>
        <v>Not Calculated</v>
      </c>
      <c r="I51" s="289" t="str">
        <f t="shared" ca="1" si="17"/>
        <v>Not Calculated</v>
      </c>
      <c r="J51" s="289" t="str">
        <f t="shared" ca="1" si="18"/>
        <v>Not Calculated</v>
      </c>
      <c r="K51" s="289" t="str">
        <f t="shared" ca="1" si="19"/>
        <v>Not Calculated</v>
      </c>
      <c r="O51" s="245" t="s">
        <v>6</v>
      </c>
    </row>
    <row r="52" spans="2:15" x14ac:dyDescent="0.3">
      <c r="B52" s="228" t="s">
        <v>7</v>
      </c>
      <c r="C52" s="290" t="str">
        <f t="shared" ca="1" si="11"/>
        <v>Not Calculated</v>
      </c>
      <c r="D52" s="290" t="str">
        <f t="shared" ca="1" si="12"/>
        <v>Not Calculated</v>
      </c>
      <c r="E52" s="290" t="str">
        <f t="shared" ca="1" si="13"/>
        <v>Not Calculated</v>
      </c>
      <c r="F52" s="290" t="str">
        <f t="shared" ca="1" si="14"/>
        <v>Not Calculated</v>
      </c>
      <c r="G52" s="290" t="str">
        <f t="shared" ca="1" si="15"/>
        <v>Not Calculated</v>
      </c>
      <c r="H52" s="290" t="str">
        <f t="shared" ca="1" si="16"/>
        <v>Not Calculated</v>
      </c>
      <c r="I52" s="289" t="str">
        <f t="shared" ca="1" si="17"/>
        <v>Not Calculated</v>
      </c>
      <c r="J52" s="289" t="str">
        <f t="shared" ca="1" si="18"/>
        <v>Not Calculated</v>
      </c>
      <c r="K52" s="289" t="str">
        <f t="shared" ca="1" si="19"/>
        <v>Not Calculated</v>
      </c>
      <c r="O52" s="245" t="s">
        <v>7</v>
      </c>
    </row>
    <row r="53" spans="2:15" x14ac:dyDescent="0.3">
      <c r="B53" s="228" t="s">
        <v>703</v>
      </c>
      <c r="C53" s="290" t="str">
        <f t="shared" ca="1" si="11"/>
        <v>Not Calculated</v>
      </c>
      <c r="D53" s="290" t="str">
        <f t="shared" ca="1" si="12"/>
        <v>Not Calculated</v>
      </c>
      <c r="E53" s="290" t="str">
        <f t="shared" ca="1" si="13"/>
        <v>Not Calculated</v>
      </c>
      <c r="F53" s="290" t="str">
        <f t="shared" ca="1" si="14"/>
        <v>Not Calculated</v>
      </c>
      <c r="G53" s="290" t="str">
        <f t="shared" ca="1" si="15"/>
        <v>Not Calculated</v>
      </c>
      <c r="H53" s="290" t="str">
        <f t="shared" ca="1" si="16"/>
        <v>Not Calculated</v>
      </c>
      <c r="I53" s="289" t="str">
        <f t="shared" ca="1" si="17"/>
        <v>Not Calculated</v>
      </c>
      <c r="J53" s="289" t="str">
        <f t="shared" ca="1" si="18"/>
        <v>Not Calculated</v>
      </c>
      <c r="K53" s="289" t="str">
        <f t="shared" ca="1" si="19"/>
        <v>Not Calculated</v>
      </c>
      <c r="O53" s="245" t="s">
        <v>13</v>
      </c>
    </row>
    <row r="54" spans="2:15" x14ac:dyDescent="0.3">
      <c r="B54" s="228" t="s">
        <v>5</v>
      </c>
      <c r="C54" s="290" t="str">
        <f t="shared" ca="1" si="11"/>
        <v>Not Calculated</v>
      </c>
      <c r="D54" s="290" t="str">
        <f t="shared" ca="1" si="12"/>
        <v>Not Calculated</v>
      </c>
      <c r="E54" s="290" t="str">
        <f t="shared" ca="1" si="13"/>
        <v>Not Calculated</v>
      </c>
      <c r="F54" s="290" t="str">
        <f t="shared" ca="1" si="14"/>
        <v>Not Calculated</v>
      </c>
      <c r="G54" s="290" t="str">
        <f t="shared" ca="1" si="15"/>
        <v>Not Calculated</v>
      </c>
      <c r="H54" s="290" t="str">
        <f t="shared" ca="1" si="16"/>
        <v>Not Calculated</v>
      </c>
      <c r="I54" s="289" t="str">
        <f t="shared" ca="1" si="17"/>
        <v>Not Calculated</v>
      </c>
      <c r="J54" s="289" t="str">
        <f t="shared" ca="1" si="18"/>
        <v>Not Calculated</v>
      </c>
      <c r="K54" s="289" t="str">
        <f t="shared" ca="1" si="19"/>
        <v>Not Calculated</v>
      </c>
      <c r="O54" s="245" t="s">
        <v>5</v>
      </c>
    </row>
  </sheetData>
  <mergeCells count="10">
    <mergeCell ref="C33:E33"/>
    <mergeCell ref="B33:B34"/>
    <mergeCell ref="F33:H33"/>
    <mergeCell ref="I33:K33"/>
    <mergeCell ref="B6:B7"/>
    <mergeCell ref="D6:F6"/>
    <mergeCell ref="G6:I6"/>
    <mergeCell ref="K6:M6"/>
    <mergeCell ref="C6:C7"/>
    <mergeCell ref="J6:J7"/>
  </mergeCells>
  <conditionalFormatting sqref="C8:C27">
    <cfRule type="cellIs" dxfId="45" priority="45" operator="equal">
      <formula>"Not Calculated"</formula>
    </cfRule>
    <cfRule type="cellIs" dxfId="44" priority="58" operator="equal">
      <formula>2</formula>
    </cfRule>
    <cfRule type="cellIs" dxfId="43" priority="59" operator="greaterThanOrEqual">
      <formula>3</formula>
    </cfRule>
    <cfRule type="cellIs" dxfId="42" priority="60" operator="lessThanOrEqual">
      <formula>1</formula>
    </cfRule>
  </conditionalFormatting>
  <conditionalFormatting sqref="D8:F27">
    <cfRule type="cellIs" dxfId="41" priority="44" operator="equal">
      <formula>"Not Calculated"</formula>
    </cfRule>
    <cfRule type="cellIs" dxfId="40" priority="55" operator="lessThanOrEqual">
      <formula>1</formula>
    </cfRule>
    <cfRule type="cellIs" dxfId="39" priority="56" operator="lessThanOrEqual">
      <formula>2</formula>
    </cfRule>
    <cfRule type="cellIs" dxfId="38" priority="57" operator="greaterThan">
      <formula>2</formula>
    </cfRule>
  </conditionalFormatting>
  <conditionalFormatting sqref="J8:J27">
    <cfRule type="cellIs" dxfId="37" priority="42" operator="equal">
      <formula>"Not Calculated"</formula>
    </cfRule>
    <cfRule type="cellIs" dxfId="36" priority="49" operator="lessThanOrEqual">
      <formula>2</formula>
    </cfRule>
    <cfRule type="cellIs" dxfId="35" priority="50" operator="lessThanOrEqual">
      <formula>2.5</formula>
    </cfRule>
    <cfRule type="cellIs" dxfId="34" priority="51" operator="greaterThan">
      <formula>2.5</formula>
    </cfRule>
  </conditionalFormatting>
  <conditionalFormatting sqref="K8:M27">
    <cfRule type="cellIs" dxfId="33" priority="41" operator="equal">
      <formula>"Not Calculated"</formula>
    </cfRule>
    <cfRule type="cellIs" dxfId="32" priority="46" operator="lessThanOrEqual">
      <formula>15.6</formula>
    </cfRule>
    <cfRule type="cellIs" dxfId="31" priority="47" operator="lessThanOrEqual">
      <formula>31.25</formula>
    </cfRule>
    <cfRule type="cellIs" dxfId="30" priority="48" operator="greaterThan">
      <formula>31.25</formula>
    </cfRule>
  </conditionalFormatting>
  <conditionalFormatting sqref="C35:E54">
    <cfRule type="cellIs" dxfId="29" priority="9" operator="equal">
      <formula>"Not Calculated"</formula>
    </cfRule>
    <cfRule type="cellIs" dxfId="28" priority="38" operator="greaterThan">
      <formula>3</formula>
    </cfRule>
    <cfRule type="cellIs" dxfId="27" priority="39" operator="lessThanOrEqual">
      <formula>3</formula>
    </cfRule>
    <cfRule type="cellIs" dxfId="26" priority="40" operator="lessThanOrEqual">
      <formula>2</formula>
    </cfRule>
  </conditionalFormatting>
  <conditionalFormatting sqref="F35:H54">
    <cfRule type="cellIs" dxfId="25" priority="34" operator="greaterThan">
      <formula>15.6</formula>
    </cfRule>
    <cfRule type="cellIs" dxfId="24" priority="35" operator="lessThanOrEqual">
      <formula>7.8</formula>
    </cfRule>
    <cfRule type="cellIs" dxfId="23" priority="36" operator="lessThanOrEqual">
      <formula>10.4</formula>
    </cfRule>
    <cfRule type="cellIs" dxfId="22" priority="37" operator="lessThanOrEqual">
      <formula>15.6</formula>
    </cfRule>
  </conditionalFormatting>
  <conditionalFormatting sqref="I35:I54">
    <cfRule type="expression" dxfId="21" priority="30">
      <formula>$F35&lt;=7.8</formula>
    </cfRule>
    <cfRule type="expression" dxfId="20" priority="31">
      <formula>AND($F35&lt;=10.4,$F35&gt;7.8)=TRUE</formula>
    </cfRule>
    <cfRule type="expression" dxfId="19" priority="32">
      <formula>AND($F35&lt;=15.6,$F35&gt;10.4)=TRUE</formula>
    </cfRule>
    <cfRule type="expression" dxfId="18" priority="33">
      <formula>$F35&gt;15.6</formula>
    </cfRule>
  </conditionalFormatting>
  <conditionalFormatting sqref="J35:J54">
    <cfRule type="expression" dxfId="17" priority="26">
      <formula>$G35&lt;=7.8</formula>
    </cfRule>
    <cfRule type="expression" dxfId="16" priority="27">
      <formula>AND($G35&lt;=10.4,$G35&gt;7.8)=TRUE</formula>
    </cfRule>
    <cfRule type="expression" dxfId="15" priority="28">
      <formula>AND($G35&lt;=15.6,$G35&gt;10.4)=TRUE</formula>
    </cfRule>
    <cfRule type="expression" dxfId="14" priority="29">
      <formula>$G35&gt;15.6</formula>
    </cfRule>
  </conditionalFormatting>
  <conditionalFormatting sqref="J35:J54">
    <cfRule type="expression" dxfId="13" priority="25">
      <formula>$G35="Not Calculated"</formula>
    </cfRule>
  </conditionalFormatting>
  <conditionalFormatting sqref="K35:K54">
    <cfRule type="expression" dxfId="12" priority="20">
      <formula>$H35&lt;=7.8</formula>
    </cfRule>
    <cfRule type="expression" dxfId="11" priority="21">
      <formula>AND($H35&lt;=10.4,$H35&gt;7.8)=TRUE</formula>
    </cfRule>
    <cfRule type="expression" dxfId="10" priority="22">
      <formula>AND($H35&lt;=15.6,$H35&gt;10.4)=TRUE</formula>
    </cfRule>
    <cfRule type="expression" dxfId="9" priority="23">
      <formula>$H35&gt;15.6</formula>
    </cfRule>
  </conditionalFormatting>
  <conditionalFormatting sqref="K35:K54">
    <cfRule type="expression" dxfId="8" priority="19">
      <formula>$H35="Not Calculated"</formula>
    </cfRule>
  </conditionalFormatting>
  <conditionalFormatting sqref="G35:G54">
    <cfRule type="cellIs" dxfId="7" priority="13" operator="equal">
      <formula>"Not Calculated"</formula>
    </cfRule>
  </conditionalFormatting>
  <conditionalFormatting sqref="H35:H54">
    <cfRule type="cellIs" dxfId="6" priority="12" operator="equal">
      <formula>"Not Calculated"</formula>
    </cfRule>
  </conditionalFormatting>
  <conditionalFormatting sqref="F35:F54">
    <cfRule type="cellIs" dxfId="5" priority="11" operator="equal">
      <formula>"Not Calculated"</formula>
    </cfRule>
  </conditionalFormatting>
  <conditionalFormatting sqref="I35:I54">
    <cfRule type="cellIs" dxfId="4" priority="10" operator="equal">
      <formula>"Not Calculated"</formula>
    </cfRule>
  </conditionalFormatting>
  <conditionalFormatting sqref="G8:I27">
    <cfRule type="cellIs" dxfId="3" priority="1" operator="equal">
      <formula>"Not Calculated"</formula>
    </cfRule>
    <cfRule type="cellIs" dxfId="2" priority="2" operator="lessThanOrEqual">
      <formula>12.5</formula>
    </cfRule>
    <cfRule type="cellIs" dxfId="1" priority="3" operator="lessThanOrEqual">
      <formula>25</formula>
    </cfRule>
    <cfRule type="cellIs" dxfId="0" priority="4" operator="greaterThan">
      <formula>25</formula>
    </cfRule>
  </conditionalFormatting>
  <hyperlinks>
    <hyperlink ref="B8" location="'Active Shooter'!A1" display="Active Shooter" xr:uid="{00000000-0004-0000-2100-000000000000}"/>
    <hyperlink ref="B9" location="'Biological Terrorism'!A1" display="Biological Terrorism" xr:uid="{00000000-0004-0000-2100-000001000000}"/>
    <hyperlink ref="B10" location="'Chemical Terrorism'!A1" display="Chemical Terrorism" xr:uid="{00000000-0004-0000-2100-000002000000}"/>
    <hyperlink ref="B11" location="'Civil Disturbance'!A1" display="Civil Disturbance" xr:uid="{00000000-0004-0000-2100-000003000000}"/>
    <hyperlink ref="B12" location="'Coastal Storm'!A1" display="Coastal Storm" xr:uid="{00000000-0004-0000-2100-000004000000}"/>
    <hyperlink ref="B13" location="'Conventional Explosive'!A1" display="Conventional Explosive" xr:uid="{00000000-0004-0000-2100-000005000000}"/>
    <hyperlink ref="B15" location="Drought!A1" display="Drought" xr:uid="{00000000-0004-0000-2100-000006000000}"/>
    <hyperlink ref="B16" location="Earthquake!A1" display="Earthquake" xr:uid="{00000000-0004-0000-2100-000007000000}"/>
    <hyperlink ref="B17" location="Fire!A1" display="Fire" xr:uid="{00000000-0004-0000-2100-000008000000}"/>
    <hyperlink ref="B18" location="Flood!A1" display="Flood" xr:uid="{00000000-0004-0000-2100-000009000000}"/>
    <hyperlink ref="B19" location="'Hazardous Materials Release'!A1" display="Hazardous Materials Release" xr:uid="{00000000-0004-0000-2100-00000A000000}"/>
    <hyperlink ref="B20" location="'Localized Infectious Disease'!A1" display="Localized Infectious Disease" xr:uid="{00000000-0004-0000-2100-00000B000000}"/>
    <hyperlink ref="B21" location="'Nuclear Facility Accident'!A1" display="Nuclear Facility Accident" xr:uid="{00000000-0004-0000-2100-00000C000000}"/>
    <hyperlink ref="B22" location="Pandemic!A1" display="Pandemic" xr:uid="{00000000-0004-0000-2100-00000D000000}"/>
    <hyperlink ref="B23" location="'Radiation Dispersal Device'!A1" display="Radiation Dispersal Device" xr:uid="{00000000-0004-0000-2100-00000E000000}"/>
    <hyperlink ref="B24" location="'Temperature Extremes'!A1" display="Temperature Extremes" xr:uid="{00000000-0004-0000-2100-00000F000000}"/>
    <hyperlink ref="B25" location="Tornado!A1" display="Tornado" xr:uid="{00000000-0004-0000-2100-000010000000}"/>
    <hyperlink ref="B26" location="'Utility Interruption'!A1" display="Utility Interruption" xr:uid="{00000000-0004-0000-2100-000011000000}"/>
    <hyperlink ref="B27" location="'Winter Storm'!A1" display="Winter Storm" xr:uid="{00000000-0004-0000-2100-000012000000}"/>
    <hyperlink ref="B14" location="'Cyber Terrorism'!A1" display="Cyber Terrorism" xr:uid="{00000000-0004-0000-2100-000013000000}"/>
    <hyperlink ref="B35" location="'Active Shooter'!A1" display="Active Shooter" xr:uid="{00000000-0004-0000-2100-000014000000}"/>
    <hyperlink ref="B36" location="'Biological Terrorism'!A1" display="Biological Terrorism" xr:uid="{00000000-0004-0000-2100-000015000000}"/>
    <hyperlink ref="B37" location="'Chemical Terrorism'!A1" display="Chemical Terrorism" xr:uid="{00000000-0004-0000-2100-000016000000}"/>
    <hyperlink ref="B38" location="'Civil Disturbance'!A1" display="Civil Disturbance" xr:uid="{00000000-0004-0000-2100-000017000000}"/>
    <hyperlink ref="B39" location="'Coastal Storm'!A1" display="Coastal Storm" xr:uid="{00000000-0004-0000-2100-000018000000}"/>
    <hyperlink ref="B40" location="'Conventional Explosive'!A1" display="Conventional Explosive" xr:uid="{00000000-0004-0000-2100-000019000000}"/>
    <hyperlink ref="B42" location="Drought!A1" display="Drought" xr:uid="{00000000-0004-0000-2100-00001A000000}"/>
    <hyperlink ref="B43" location="Earthquake!A1" display="Earthquake" xr:uid="{00000000-0004-0000-2100-00001B000000}"/>
    <hyperlink ref="B44" location="Fire!A1" display="Fire" xr:uid="{00000000-0004-0000-2100-00001C000000}"/>
    <hyperlink ref="B45" location="Flood!A1" display="Flood" xr:uid="{00000000-0004-0000-2100-00001D000000}"/>
    <hyperlink ref="B46" location="'Hazardous Materials Release'!A1" display="Hazardous Materials Release" xr:uid="{00000000-0004-0000-2100-00001E000000}"/>
    <hyperlink ref="B47" location="'Localized Infectious Disease'!A1" display="Localized Infectious Disease" xr:uid="{00000000-0004-0000-2100-00001F000000}"/>
    <hyperlink ref="B48" location="'Nuclear Facility Accident'!A1" display="Nuclear Facility Accident" xr:uid="{00000000-0004-0000-2100-000020000000}"/>
    <hyperlink ref="B49" location="Pandemic!A1" display="Pandemic" xr:uid="{00000000-0004-0000-2100-000021000000}"/>
    <hyperlink ref="B50" location="'Radiation Dispersal Device'!A1" display="Radiation Dispersal Device" xr:uid="{00000000-0004-0000-2100-000022000000}"/>
    <hyperlink ref="B51" location="'Temperature Extremes'!A1" display="Temperature Extremes" xr:uid="{00000000-0004-0000-2100-000023000000}"/>
    <hyperlink ref="B52" location="Tornado!A1" display="Tornado" xr:uid="{00000000-0004-0000-2100-000024000000}"/>
    <hyperlink ref="B53" location="'Utility Interruption'!A1" display="Utility Interruption" xr:uid="{00000000-0004-0000-2100-000025000000}"/>
    <hyperlink ref="B54" location="'Winter Storm'!A1" display="Winter Storm" xr:uid="{00000000-0004-0000-2100-000026000000}"/>
    <hyperlink ref="B41" location="'Cyber Terrorism'!A1" display="Cyber Terrorism" xr:uid="{00000000-0004-0000-2100-000027000000}"/>
  </hyperlinks>
  <pageMargins left="0.7" right="0.7" top="0.75" bottom="0.75" header="0.3" footer="0.3"/>
  <pageSetup scale="59" orientation="landscape"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6"/>
  <dimension ref="G1:N3"/>
  <sheetViews>
    <sheetView showGridLines="0" showRowColHeaders="0" topLeftCell="A10" zoomScale="85" zoomScaleNormal="85" workbookViewId="0"/>
  </sheetViews>
  <sheetFormatPr defaultColWidth="9.109375" defaultRowHeight="14.4" x14ac:dyDescent="0.3"/>
  <cols>
    <col min="1" max="16384" width="9.109375" style="12"/>
  </cols>
  <sheetData>
    <row r="1" spans="7:14" x14ac:dyDescent="0.3">
      <c r="H1" s="30"/>
      <c r="I1" s="30"/>
    </row>
    <row r="2" spans="7:14" ht="30" x14ac:dyDescent="0.3">
      <c r="G2" s="318" t="s">
        <v>1204</v>
      </c>
      <c r="H2" s="30"/>
      <c r="I2" s="30"/>
    </row>
    <row r="3" spans="7:14" ht="22.8" x14ac:dyDescent="0.4">
      <c r="G3" s="31" t="s">
        <v>1058</v>
      </c>
      <c r="H3" s="30"/>
      <c r="I3" s="30"/>
      <c r="M3" s="32"/>
      <c r="N3" s="32"/>
    </row>
  </sheetData>
  <pageMargins left="0.7" right="0.7" top="0.75" bottom="0.75" header="0.3" footer="0.3"/>
  <pageSetup scale="70" orientation="portrait" r:id="rId1"/>
  <rowBreaks count="2" manualBreakCount="2">
    <brk id="63" max="16383" man="1"/>
    <brk id="121" max="16383"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9"/>
  <dimension ref="G1:N3"/>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row>
    <row r="3" spans="7:14" ht="22.8" x14ac:dyDescent="0.4">
      <c r="G3" s="31" t="s">
        <v>406</v>
      </c>
      <c r="H3" s="30"/>
      <c r="I3" s="30"/>
      <c r="M3" s="32"/>
      <c r="N3" s="32"/>
    </row>
  </sheetData>
  <pageMargins left="0.7" right="0.7" top="0.75" bottom="0.75" header="0.3" footer="0.3"/>
  <pageSetup scale="72" orientation="portrait" r:id="rId1"/>
  <rowBreaks count="1" manualBreakCount="1">
    <brk id="63" max="16383" man="1"/>
  </row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0"/>
  <dimension ref="G1:N3"/>
  <sheetViews>
    <sheetView showGridLines="0" showRowColHeaders="0" zoomScale="85" zoomScaleNormal="85" workbookViewId="0"/>
  </sheetViews>
  <sheetFormatPr defaultColWidth="9.109375" defaultRowHeight="14.4" x14ac:dyDescent="0.3"/>
  <cols>
    <col min="1" max="1" width="3.88671875" style="12" customWidth="1"/>
    <col min="2" max="16384" width="9.109375" style="12"/>
  </cols>
  <sheetData>
    <row r="1" spans="7:14" x14ac:dyDescent="0.3">
      <c r="H1" s="30"/>
      <c r="I1" s="30"/>
    </row>
    <row r="2" spans="7:14" ht="30" x14ac:dyDescent="0.3">
      <c r="G2" s="318" t="s">
        <v>1204</v>
      </c>
      <c r="H2" s="30"/>
      <c r="I2" s="30"/>
    </row>
    <row r="3" spans="7:14" ht="22.8" x14ac:dyDescent="0.4">
      <c r="G3" s="31" t="s">
        <v>417</v>
      </c>
      <c r="H3" s="30"/>
      <c r="I3" s="30"/>
      <c r="M3" s="32"/>
      <c r="N3" s="32"/>
    </row>
  </sheetData>
  <pageMargins left="0.7" right="0.7" top="0.75" bottom="0.75" header="0.3" footer="0.3"/>
  <pageSetup scale="73"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G1:N3"/>
  <sheetViews>
    <sheetView showGridLines="0" showRowColHeaders="0" zoomScale="85" zoomScaleNormal="85" workbookViewId="0">
      <selection activeCell="G2" sqref="G2"/>
    </sheetView>
  </sheetViews>
  <sheetFormatPr defaultColWidth="9.109375" defaultRowHeight="14.4" x14ac:dyDescent="0.3"/>
  <cols>
    <col min="1" max="1" width="3.88671875" style="12" customWidth="1"/>
    <col min="2" max="16384" width="9.109375" style="12"/>
  </cols>
  <sheetData>
    <row r="1" spans="7:14" x14ac:dyDescent="0.3">
      <c r="H1" s="30"/>
      <c r="I1" s="30"/>
    </row>
    <row r="2" spans="7:14" ht="30" x14ac:dyDescent="0.3">
      <c r="G2" s="318" t="s">
        <v>1204</v>
      </c>
      <c r="H2" s="30"/>
      <c r="I2" s="30"/>
    </row>
    <row r="3" spans="7:14" ht="22.8" x14ac:dyDescent="0.4">
      <c r="G3" s="31" t="s">
        <v>251</v>
      </c>
      <c r="H3" s="30"/>
      <c r="I3" s="30"/>
      <c r="M3" s="32"/>
      <c r="N3" s="32"/>
    </row>
  </sheetData>
  <pageMargins left="0.7" right="0.7" top="0.75" bottom="0.75" header="0.3" footer="0.3"/>
  <pageSetup scale="73"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D1:L46"/>
  <sheetViews>
    <sheetView showGridLines="0" showRowColHeaders="0" zoomScale="85" zoomScaleNormal="85" workbookViewId="0"/>
  </sheetViews>
  <sheetFormatPr defaultColWidth="9.109375" defaultRowHeight="14.4" x14ac:dyDescent="0.3"/>
  <cols>
    <col min="1" max="16384" width="9.109375" style="12"/>
  </cols>
  <sheetData>
    <row r="1" spans="4:12" x14ac:dyDescent="0.3">
      <c r="I1" s="16"/>
      <c r="J1" s="16"/>
    </row>
    <row r="2" spans="4:12" ht="32.4" x14ac:dyDescent="0.3">
      <c r="H2" s="17" t="s">
        <v>25</v>
      </c>
      <c r="I2" s="16"/>
    </row>
    <row r="3" spans="4:12" ht="16.5" customHeight="1" thickBot="1" x14ac:dyDescent="0.35">
      <c r="G3" s="17"/>
      <c r="H3" s="16"/>
      <c r="I3" s="16"/>
    </row>
    <row r="4" spans="4:12" ht="16.5" customHeight="1" x14ac:dyDescent="0.3">
      <c r="D4" s="18"/>
      <c r="E4" s="19"/>
      <c r="F4" s="19"/>
      <c r="G4" s="19"/>
      <c r="H4" s="19"/>
      <c r="I4" s="19"/>
      <c r="J4" s="20"/>
      <c r="K4" s="20"/>
      <c r="L4" s="21"/>
    </row>
    <row r="5" spans="4:12" ht="16.5" customHeight="1" x14ac:dyDescent="0.3">
      <c r="D5" s="22"/>
      <c r="E5"/>
      <c r="F5"/>
      <c r="G5"/>
      <c r="H5" s="119" t="s">
        <v>403</v>
      </c>
      <c r="I5"/>
      <c r="J5" s="24"/>
      <c r="K5" s="24"/>
      <c r="L5" s="25"/>
    </row>
    <row r="6" spans="4:12" ht="16.5" customHeight="1" x14ac:dyDescent="0.3">
      <c r="D6" s="22"/>
      <c r="E6"/>
      <c r="F6"/>
      <c r="G6"/>
      <c r="H6"/>
      <c r="I6"/>
      <c r="J6"/>
      <c r="K6"/>
      <c r="L6" s="25"/>
    </row>
    <row r="7" spans="4:12" ht="16.5" customHeight="1" x14ac:dyDescent="0.3">
      <c r="D7" s="22"/>
      <c r="E7"/>
      <c r="F7"/>
      <c r="G7"/>
      <c r="H7"/>
      <c r="I7"/>
      <c r="J7"/>
      <c r="K7"/>
      <c r="L7" s="25"/>
    </row>
    <row r="8" spans="4:12" ht="16.5" customHeight="1" x14ac:dyDescent="0.3">
      <c r="D8" s="22"/>
      <c r="E8"/>
      <c r="F8"/>
      <c r="G8" s="24"/>
      <c r="H8" s="24"/>
      <c r="I8" s="24"/>
      <c r="J8"/>
      <c r="K8"/>
      <c r="L8" s="25"/>
    </row>
    <row r="9" spans="4:12" ht="16.5" customHeight="1" x14ac:dyDescent="0.3">
      <c r="D9" s="22"/>
      <c r="E9"/>
      <c r="F9"/>
      <c r="G9"/>
      <c r="H9"/>
      <c r="I9"/>
      <c r="J9"/>
      <c r="K9"/>
      <c r="L9" s="25"/>
    </row>
    <row r="10" spans="4:12" ht="16.5" customHeight="1" x14ac:dyDescent="0.3">
      <c r="D10" s="22"/>
      <c r="E10"/>
      <c r="F10"/>
      <c r="G10" s="24"/>
      <c r="H10" s="24"/>
      <c r="I10" s="24"/>
      <c r="J10"/>
      <c r="K10"/>
      <c r="L10" s="25"/>
    </row>
    <row r="11" spans="4:12" ht="16.5" customHeight="1" x14ac:dyDescent="0.3">
      <c r="D11" s="22"/>
      <c r="E11"/>
      <c r="F11"/>
      <c r="G11"/>
      <c r="H11"/>
      <c r="I11"/>
      <c r="J11"/>
      <c r="K11"/>
      <c r="L11" s="25"/>
    </row>
    <row r="12" spans="4:12" ht="16.5" customHeight="1" x14ac:dyDescent="0.3">
      <c r="D12" s="22"/>
      <c r="E12"/>
      <c r="F12"/>
      <c r="G12" s="24"/>
      <c r="H12" s="24"/>
      <c r="I12" s="24"/>
      <c r="J12"/>
      <c r="K12"/>
      <c r="L12" s="25"/>
    </row>
    <row r="13" spans="4:12" ht="16.5" customHeight="1" x14ac:dyDescent="0.3">
      <c r="D13" s="22"/>
      <c r="E13"/>
      <c r="F13"/>
      <c r="G13"/>
      <c r="H13"/>
      <c r="I13"/>
      <c r="J13"/>
      <c r="K13"/>
      <c r="L13" s="25"/>
    </row>
    <row r="14" spans="4:12" ht="16.5" customHeight="1" x14ac:dyDescent="0.3">
      <c r="D14" s="22"/>
      <c r="E14"/>
      <c r="F14"/>
      <c r="G14" s="24"/>
      <c r="H14" s="24"/>
      <c r="I14" s="24"/>
      <c r="J14"/>
      <c r="K14"/>
      <c r="L14" s="25"/>
    </row>
    <row r="15" spans="4:12" ht="16.5" customHeight="1" x14ac:dyDescent="0.3">
      <c r="D15" s="22"/>
      <c r="E15"/>
      <c r="F15"/>
      <c r="G15"/>
      <c r="H15"/>
      <c r="I15"/>
      <c r="J15"/>
      <c r="K15"/>
      <c r="L15" s="25"/>
    </row>
    <row r="16" spans="4:12" ht="16.5" customHeight="1" x14ac:dyDescent="0.3">
      <c r="D16" s="22"/>
      <c r="E16"/>
      <c r="F16"/>
      <c r="G16" s="24"/>
      <c r="H16" s="24"/>
      <c r="I16" s="24"/>
      <c r="J16"/>
      <c r="K16"/>
      <c r="L16" s="25"/>
    </row>
    <row r="17" spans="4:12" ht="16.5" customHeight="1" x14ac:dyDescent="0.3">
      <c r="D17" s="22"/>
      <c r="E17"/>
      <c r="F17"/>
      <c r="G17"/>
      <c r="H17"/>
      <c r="I17"/>
      <c r="J17"/>
      <c r="K17"/>
      <c r="L17" s="25"/>
    </row>
    <row r="18" spans="4:12" ht="16.5" customHeight="1" x14ac:dyDescent="0.3">
      <c r="D18" s="22"/>
      <c r="E18"/>
      <c r="F18"/>
      <c r="G18" s="24"/>
      <c r="H18" s="24"/>
      <c r="I18" s="24"/>
      <c r="J18"/>
      <c r="K18"/>
      <c r="L18" s="25"/>
    </row>
    <row r="19" spans="4:12" ht="16.5" customHeight="1" x14ac:dyDescent="0.3">
      <c r="D19" s="22"/>
      <c r="E19"/>
      <c r="F19"/>
      <c r="G19"/>
      <c r="H19"/>
      <c r="I19"/>
      <c r="J19"/>
      <c r="K19"/>
      <c r="L19" s="25"/>
    </row>
    <row r="20" spans="4:12" ht="16.5" customHeight="1" x14ac:dyDescent="0.3">
      <c r="D20" s="22"/>
      <c r="E20"/>
      <c r="F20"/>
      <c r="G20" s="24"/>
      <c r="H20" s="24"/>
      <c r="I20" s="24"/>
      <c r="J20"/>
      <c r="K20"/>
      <c r="L20" s="25"/>
    </row>
    <row r="21" spans="4:12" ht="16.5" customHeight="1" x14ac:dyDescent="0.3">
      <c r="D21" s="22"/>
      <c r="E21"/>
      <c r="F21"/>
      <c r="G21"/>
      <c r="H21"/>
      <c r="I21"/>
      <c r="J21"/>
      <c r="K21"/>
      <c r="L21" s="25"/>
    </row>
    <row r="22" spans="4:12" ht="16.5" customHeight="1" x14ac:dyDescent="0.3">
      <c r="D22" s="22"/>
      <c r="E22"/>
      <c r="F22"/>
      <c r="G22" s="24"/>
      <c r="H22" s="24"/>
      <c r="I22" s="24"/>
      <c r="J22"/>
      <c r="K22"/>
      <c r="L22" s="25"/>
    </row>
    <row r="23" spans="4:12" ht="16.5" customHeight="1" x14ac:dyDescent="0.3">
      <c r="D23" s="22"/>
      <c r="E23"/>
      <c r="F23"/>
      <c r="G23"/>
      <c r="H23"/>
      <c r="I23"/>
      <c r="J23"/>
      <c r="K23"/>
      <c r="L23" s="25"/>
    </row>
    <row r="24" spans="4:12" ht="16.5" customHeight="1" x14ac:dyDescent="0.3">
      <c r="D24" s="22"/>
      <c r="E24"/>
      <c r="F24"/>
      <c r="G24" s="24"/>
      <c r="H24" s="24"/>
      <c r="I24" s="24"/>
      <c r="J24"/>
      <c r="K24"/>
      <c r="L24" s="25"/>
    </row>
    <row r="25" spans="4:12" ht="16.5" customHeight="1" x14ac:dyDescent="0.3">
      <c r="D25" s="22"/>
      <c r="E25"/>
      <c r="F25"/>
      <c r="G25"/>
      <c r="H25"/>
      <c r="I25"/>
      <c r="J25"/>
      <c r="K25"/>
      <c r="L25" s="25"/>
    </row>
    <row r="26" spans="4:12" ht="16.5" customHeight="1" x14ac:dyDescent="0.3">
      <c r="D26" s="22"/>
      <c r="E26"/>
      <c r="F26"/>
      <c r="G26" s="24"/>
      <c r="H26" s="24"/>
      <c r="I26" s="24"/>
      <c r="J26"/>
      <c r="K26"/>
      <c r="L26" s="25"/>
    </row>
    <row r="27" spans="4:12" ht="16.5" customHeight="1" x14ac:dyDescent="0.3">
      <c r="D27" s="22"/>
      <c r="E27"/>
      <c r="F27"/>
      <c r="G27"/>
      <c r="H27"/>
      <c r="I27"/>
      <c r="J27"/>
      <c r="K27"/>
      <c r="L27" s="25"/>
    </row>
    <row r="28" spans="4:12" ht="16.5" customHeight="1" x14ac:dyDescent="0.3">
      <c r="D28" s="22"/>
      <c r="E28"/>
      <c r="F28"/>
      <c r="G28" s="24"/>
      <c r="H28" s="24"/>
      <c r="I28" s="24"/>
      <c r="J28"/>
      <c r="K28"/>
      <c r="L28" s="25"/>
    </row>
    <row r="29" spans="4:12" ht="16.5" customHeight="1" x14ac:dyDescent="0.3">
      <c r="D29" s="22"/>
      <c r="E29"/>
      <c r="F29"/>
      <c r="G29"/>
      <c r="H29"/>
      <c r="I29"/>
      <c r="J29"/>
      <c r="K29"/>
      <c r="L29" s="25"/>
    </row>
    <row r="30" spans="4:12" ht="16.5" customHeight="1" x14ac:dyDescent="0.3">
      <c r="D30" s="22"/>
      <c r="E30"/>
      <c r="F30"/>
      <c r="G30" s="24"/>
      <c r="H30" s="24"/>
      <c r="I30" s="24"/>
      <c r="J30"/>
      <c r="K30"/>
      <c r="L30" s="25"/>
    </row>
    <row r="31" spans="4:12" ht="16.5" customHeight="1" x14ac:dyDescent="0.3">
      <c r="D31" s="22"/>
      <c r="E31"/>
      <c r="F31"/>
      <c r="G31"/>
      <c r="H31"/>
      <c r="I31"/>
      <c r="J31"/>
      <c r="K31"/>
      <c r="L31" s="25"/>
    </row>
    <row r="32" spans="4:12" ht="16.5" customHeight="1" x14ac:dyDescent="0.3">
      <c r="D32" s="22"/>
      <c r="E32"/>
      <c r="F32"/>
      <c r="G32" s="24"/>
      <c r="H32" s="24"/>
      <c r="I32" s="24"/>
      <c r="J32"/>
      <c r="K32"/>
      <c r="L32" s="25"/>
    </row>
    <row r="33" spans="4:12" ht="16.5" customHeight="1" x14ac:dyDescent="0.3">
      <c r="D33" s="22"/>
      <c r="E33"/>
      <c r="F33"/>
      <c r="G33"/>
      <c r="H33"/>
      <c r="I33"/>
      <c r="J33"/>
      <c r="K33"/>
      <c r="L33" s="25"/>
    </row>
    <row r="34" spans="4:12" ht="16.5" customHeight="1" x14ac:dyDescent="0.3">
      <c r="D34" s="22"/>
      <c r="E34"/>
      <c r="F34"/>
      <c r="G34" s="24"/>
      <c r="H34" s="24"/>
      <c r="I34" s="24"/>
      <c r="J34"/>
      <c r="K34"/>
      <c r="L34" s="25"/>
    </row>
    <row r="35" spans="4:12" ht="16.5" customHeight="1" x14ac:dyDescent="0.3">
      <c r="D35" s="22"/>
      <c r="E35"/>
      <c r="F35"/>
      <c r="G35"/>
      <c r="H35"/>
      <c r="I35"/>
      <c r="J35"/>
      <c r="K35"/>
      <c r="L35" s="25"/>
    </row>
    <row r="36" spans="4:12" ht="16.5" customHeight="1" x14ac:dyDescent="0.3">
      <c r="D36" s="22"/>
      <c r="E36"/>
      <c r="F36"/>
      <c r="G36" s="24"/>
      <c r="H36" s="24"/>
      <c r="I36" s="24"/>
      <c r="J36"/>
      <c r="K36"/>
      <c r="L36" s="25"/>
    </row>
    <row r="37" spans="4:12" ht="16.5" customHeight="1" x14ac:dyDescent="0.3">
      <c r="D37" s="22"/>
      <c r="E37"/>
      <c r="F37"/>
      <c r="G37"/>
      <c r="H37"/>
      <c r="I37"/>
      <c r="J37"/>
      <c r="K37"/>
      <c r="L37" s="25"/>
    </row>
    <row r="38" spans="4:12" ht="16.5" customHeight="1" x14ac:dyDescent="0.3">
      <c r="D38" s="22"/>
      <c r="E38"/>
      <c r="F38"/>
      <c r="G38" s="24"/>
      <c r="H38" s="24"/>
      <c r="I38" s="24"/>
      <c r="J38"/>
      <c r="K38"/>
      <c r="L38" s="25"/>
    </row>
    <row r="39" spans="4:12" ht="16.5" customHeight="1" x14ac:dyDescent="0.3">
      <c r="D39" s="22"/>
      <c r="E39"/>
      <c r="F39"/>
      <c r="G39"/>
      <c r="H39"/>
      <c r="I39"/>
      <c r="J39"/>
      <c r="K39"/>
      <c r="L39" s="25"/>
    </row>
    <row r="40" spans="4:12" ht="16.5" customHeight="1" x14ac:dyDescent="0.3">
      <c r="D40" s="22"/>
      <c r="E40"/>
      <c r="F40"/>
      <c r="G40" s="24"/>
      <c r="H40" s="24"/>
      <c r="I40" s="24"/>
      <c r="J40"/>
      <c r="K40"/>
      <c r="L40" s="25"/>
    </row>
    <row r="41" spans="4:12" ht="16.5" customHeight="1" x14ac:dyDescent="0.3">
      <c r="D41" s="22"/>
      <c r="E41"/>
      <c r="F41"/>
      <c r="G41"/>
      <c r="H41"/>
      <c r="I41"/>
      <c r="J41"/>
      <c r="K41"/>
      <c r="L41" s="25"/>
    </row>
    <row r="42" spans="4:12" ht="16.5" customHeight="1" x14ac:dyDescent="0.3">
      <c r="D42" s="22"/>
      <c r="E42"/>
      <c r="F42"/>
      <c r="G42" s="24"/>
      <c r="H42" s="24"/>
      <c r="I42" s="24"/>
      <c r="J42"/>
      <c r="K42"/>
      <c r="L42" s="25"/>
    </row>
    <row r="43" spans="4:12" ht="16.5" customHeight="1" x14ac:dyDescent="0.3">
      <c r="D43" s="22"/>
      <c r="E43"/>
      <c r="F43"/>
      <c r="G43"/>
      <c r="H43"/>
      <c r="I43"/>
      <c r="J43"/>
      <c r="K43"/>
      <c r="L43" s="25"/>
    </row>
    <row r="44" spans="4:12" ht="16.5" customHeight="1" x14ac:dyDescent="0.3">
      <c r="D44" s="22"/>
      <c r="E44"/>
      <c r="F44"/>
      <c r="G44" s="24"/>
      <c r="H44" s="24"/>
      <c r="I44" s="24"/>
      <c r="J44"/>
      <c r="K44"/>
      <c r="L44" s="25"/>
    </row>
    <row r="45" spans="4:12" ht="16.5" customHeight="1" x14ac:dyDescent="0.3">
      <c r="D45" s="22"/>
      <c r="E45"/>
      <c r="F45"/>
      <c r="G45"/>
      <c r="H45"/>
      <c r="I45"/>
      <c r="J45"/>
      <c r="K45"/>
      <c r="L45" s="25"/>
    </row>
    <row r="46" spans="4:12" ht="15" thickBot="1" x14ac:dyDescent="0.35">
      <c r="D46" s="26"/>
      <c r="E46" s="27"/>
      <c r="F46" s="27"/>
      <c r="G46" s="28"/>
      <c r="H46" s="27"/>
      <c r="I46" s="27"/>
      <c r="J46" s="27"/>
      <c r="K46" s="27"/>
      <c r="L46" s="29"/>
    </row>
  </sheetData>
  <pageMargins left="0.7" right="0.7" top="0.75" bottom="0.75" header="0.3" footer="0.3"/>
  <pageSetup scale="65"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418</v>
      </c>
      <c r="H3" s="30"/>
      <c r="I3" s="30"/>
      <c r="M3" s="32"/>
      <c r="N3" s="32"/>
    </row>
    <row r="4" spans="7:14" ht="33.75" customHeight="1" x14ac:dyDescent="0.3">
      <c r="J4" s="52"/>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G1:I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9" x14ac:dyDescent="0.3">
      <c r="H1" s="30"/>
      <c r="I1" s="30"/>
    </row>
    <row r="2" spans="7:9" ht="30" x14ac:dyDescent="0.3">
      <c r="G2" s="318" t="s">
        <v>1204</v>
      </c>
      <c r="H2" s="30"/>
      <c r="I2" s="30"/>
    </row>
    <row r="3" spans="7:9" ht="22.8" x14ac:dyDescent="0.4">
      <c r="G3" s="31" t="s">
        <v>419</v>
      </c>
      <c r="H3" s="30"/>
      <c r="I3" s="30"/>
    </row>
    <row r="4" spans="7:9" ht="33.75" customHeight="1" x14ac:dyDescent="0.3"/>
  </sheetData>
  <pageMargins left="0.7" right="0.7" top="0.75" bottom="0.75" header="0.3" footer="0.3"/>
  <pageSetup scale="72" orientation="portrait" r:id="rId1"/>
  <rowBreaks count="1" manualBreakCount="1">
    <brk id="62" max="13"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420</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421</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422</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423</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424</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0"/>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425</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426</v>
      </c>
      <c r="H3" s="30"/>
      <c r="I3" s="30"/>
      <c r="M3" s="32"/>
      <c r="N3" s="32"/>
    </row>
    <row r="4" spans="7:14" ht="33.75" customHeight="1" x14ac:dyDescent="0.3">
      <c r="M4" s="349"/>
      <c r="N4" s="349"/>
    </row>
  </sheetData>
  <sheetProtection password="C7B0" sheet="1" objects="1" scenarios="1" selectLockedCells="1"/>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2"/>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427</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3"/>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428</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4"/>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429</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5"/>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430</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6"/>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431</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7"/>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432</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8"/>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433</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9"/>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434</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0"/>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435</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436</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G1:N4"/>
  <sheetViews>
    <sheetView showGridLines="0" showRowColHeaders="0" zoomScale="85" zoomScaleNormal="85" workbookViewId="0"/>
  </sheetViews>
  <sheetFormatPr defaultColWidth="9.109375" defaultRowHeight="14.4" x14ac:dyDescent="0.3"/>
  <cols>
    <col min="1" max="1" width="4.109375" style="12" customWidth="1"/>
    <col min="2" max="16384" width="9.109375" style="12"/>
  </cols>
  <sheetData>
    <row r="1" spans="7:14" x14ac:dyDescent="0.3">
      <c r="H1" s="30"/>
      <c r="I1" s="30"/>
    </row>
    <row r="2" spans="7:14" ht="30" x14ac:dyDescent="0.3">
      <c r="G2" s="318" t="s">
        <v>1204</v>
      </c>
      <c r="H2" s="30"/>
      <c r="I2" s="30"/>
      <c r="M2" s="349"/>
      <c r="N2" s="349"/>
    </row>
    <row r="3" spans="7:14" ht="22.8" x14ac:dyDescent="0.4">
      <c r="G3" s="31" t="s">
        <v>437</v>
      </c>
      <c r="H3" s="30"/>
      <c r="I3" s="30"/>
      <c r="M3" s="32"/>
      <c r="N3" s="32"/>
    </row>
    <row r="4" spans="7:14" ht="33.75" customHeight="1" x14ac:dyDescent="0.3">
      <c r="M4" s="349"/>
      <c r="N4" s="349"/>
    </row>
  </sheetData>
  <mergeCells count="2">
    <mergeCell ref="M2:N2"/>
    <mergeCell ref="M4:N4"/>
  </mergeCells>
  <pageMargins left="0.7" right="0.7" top="0.75" bottom="0.75" header="0.3" footer="0.3"/>
  <pageSetup scale="72" orientation="portrait" r:id="rId1"/>
  <rowBreaks count="1" manualBreakCount="1">
    <brk id="62" max="1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59</vt:i4>
      </vt:variant>
      <vt:variant>
        <vt:lpstr>Named Ranges</vt:lpstr>
      </vt:variant>
      <vt:variant>
        <vt:i4>35</vt:i4>
      </vt:variant>
    </vt:vector>
  </HeadingPairs>
  <TitlesOfParts>
    <vt:vector size="94" baseType="lpstr">
      <vt:lpstr>Main Menu</vt:lpstr>
      <vt:lpstr>ReadMe</vt:lpstr>
      <vt:lpstr>Overview</vt:lpstr>
      <vt:lpstr>Overview PH</vt:lpstr>
      <vt:lpstr>Overview HC</vt:lpstr>
      <vt:lpstr>Baseline Health</vt:lpstr>
      <vt:lpstr>Baseline At-Risk Pops</vt:lpstr>
      <vt:lpstr>Baseline PHP</vt:lpstr>
      <vt:lpstr>Baseline HP</vt:lpstr>
      <vt:lpstr>Community Characteristics</vt:lpstr>
      <vt:lpstr>Active Shooter</vt:lpstr>
      <vt:lpstr>Biological Terrorism</vt:lpstr>
      <vt:lpstr>Chemical Terrorism</vt:lpstr>
      <vt:lpstr>Civil Disturbance</vt:lpstr>
      <vt:lpstr>Coastal Storm</vt:lpstr>
      <vt:lpstr>Conventional Explosive</vt:lpstr>
      <vt:lpstr>Cyber Terrorism</vt:lpstr>
      <vt:lpstr>Drought</vt:lpstr>
      <vt:lpstr>Earthquake</vt:lpstr>
      <vt:lpstr>Fire</vt:lpstr>
      <vt:lpstr>Flood</vt:lpstr>
      <vt:lpstr>Hazardous Materials Release</vt:lpstr>
      <vt:lpstr>Localized Infectious Disease</vt:lpstr>
      <vt:lpstr>Nuclear Facility Accident</vt:lpstr>
      <vt:lpstr>Pandemic</vt:lpstr>
      <vt:lpstr>Radiation Dispersal Device</vt:lpstr>
      <vt:lpstr>Temperature Extremes</vt:lpstr>
      <vt:lpstr>Tornado</vt:lpstr>
      <vt:lpstr>Utility Interruption</vt:lpstr>
      <vt:lpstr>Winter Storm</vt:lpstr>
      <vt:lpstr>Summary of Impacts</vt:lpstr>
      <vt:lpstr>Severity</vt:lpstr>
      <vt:lpstr>Planning Priority Scores</vt:lpstr>
      <vt:lpstr>Summary of Scores</vt:lpstr>
      <vt:lpstr>PH vs. HC vs. Overall</vt:lpstr>
      <vt:lpstr>Probability vs. Severity</vt:lpstr>
      <vt:lpstr>Adjusted Risk vs. Preparedness</vt:lpstr>
      <vt:lpstr>At-Risk Populations</vt:lpstr>
      <vt:lpstr>Hazard Analyses Menu</vt:lpstr>
      <vt:lpstr>Active Shooter Analysis</vt:lpstr>
      <vt:lpstr>Biological Terrorism Analysis</vt:lpstr>
      <vt:lpstr>Chemical Terrorism Analysis</vt:lpstr>
      <vt:lpstr>Civil Disturbance Analysis</vt:lpstr>
      <vt:lpstr>Coastal Storm Analysis</vt:lpstr>
      <vt:lpstr>Conventional Explosive Analysis</vt:lpstr>
      <vt:lpstr>Cyber Terrorism Analysis</vt:lpstr>
      <vt:lpstr>Drought Analysis</vt:lpstr>
      <vt:lpstr>Earthquake Analysis</vt:lpstr>
      <vt:lpstr>Fire Analysis</vt:lpstr>
      <vt:lpstr>Flood Analysis</vt:lpstr>
      <vt:lpstr>HazMat Release Analysis</vt:lpstr>
      <vt:lpstr>Localized Inf Disease Analysis</vt:lpstr>
      <vt:lpstr>Nuc Facility Accident Analysis</vt:lpstr>
      <vt:lpstr>Pandemic Analysis</vt:lpstr>
      <vt:lpstr>RDD Analysis</vt:lpstr>
      <vt:lpstr>Temperature Extremes Analysis</vt:lpstr>
      <vt:lpstr>Tornado Analysis</vt:lpstr>
      <vt:lpstr>Utility Interruption Analysis</vt:lpstr>
      <vt:lpstr>Winter Storm Analysis</vt:lpstr>
      <vt:lpstr>'Coastal Storm'!_ENREF_56</vt:lpstr>
      <vt:lpstr>'Active Shooter'!Print_Area</vt:lpstr>
      <vt:lpstr>'Baseline At-Risk Pops'!Print_Area</vt:lpstr>
      <vt:lpstr>'Baseline Health'!Print_Area</vt:lpstr>
      <vt:lpstr>'Baseline HP'!Print_Area</vt:lpstr>
      <vt:lpstr>'Baseline PHP'!Print_Area</vt:lpstr>
      <vt:lpstr>'Biological Terrorism'!Print_Area</vt:lpstr>
      <vt:lpstr>'Chemical Terrorism'!Print_Area</vt:lpstr>
      <vt:lpstr>'Civil Disturbance'!Print_Area</vt:lpstr>
      <vt:lpstr>'Coastal Storm'!Print_Area</vt:lpstr>
      <vt:lpstr>'Community Characteristics'!Print_Area</vt:lpstr>
      <vt:lpstr>'Conventional Explosive'!Print_Area</vt:lpstr>
      <vt:lpstr>'Cyber Terrorism'!Print_Area</vt:lpstr>
      <vt:lpstr>Drought!Print_Area</vt:lpstr>
      <vt:lpstr>Earthquake!Print_Area</vt:lpstr>
      <vt:lpstr>Fire!Print_Area</vt:lpstr>
      <vt:lpstr>Flood!Print_Area</vt:lpstr>
      <vt:lpstr>'Hazardous Materials Release'!Print_Area</vt:lpstr>
      <vt:lpstr>'Localized Infectious Disease'!Print_Area</vt:lpstr>
      <vt:lpstr>'Main Menu'!Print_Area</vt:lpstr>
      <vt:lpstr>'Nuclear Facility Accident'!Print_Area</vt:lpstr>
      <vt:lpstr>Overview!Print_Area</vt:lpstr>
      <vt:lpstr>'Overview HC'!Print_Area</vt:lpstr>
      <vt:lpstr>'Overview PH'!Print_Area</vt:lpstr>
      <vt:lpstr>Pandemic!Print_Area</vt:lpstr>
      <vt:lpstr>'Planning Priority Scores'!Print_Area</vt:lpstr>
      <vt:lpstr>'Radiation Dispersal Device'!Print_Area</vt:lpstr>
      <vt:lpstr>Severity!Print_Area</vt:lpstr>
      <vt:lpstr>'Summary of Impacts'!Print_Area</vt:lpstr>
      <vt:lpstr>'Summary of Scores'!Print_Area</vt:lpstr>
      <vt:lpstr>'Temperature Extremes'!Print_Area</vt:lpstr>
      <vt:lpstr>Tornado!Print_Area</vt:lpstr>
      <vt:lpstr>'Utility Interruption'!Print_Area</vt:lpstr>
      <vt:lpstr>'Winter Storm'!Print_Area</vt:lpstr>
      <vt:lpstr>'Summary of Impacts'!Print_Titles</vt:lpstr>
    </vt:vector>
  </TitlesOfParts>
  <Company>Drexel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Peters</dc:creator>
  <cp:lastModifiedBy>Saraf, Sakshi</cp:lastModifiedBy>
  <cp:lastPrinted>2013-01-18T20:19:20Z</cp:lastPrinted>
  <dcterms:created xsi:type="dcterms:W3CDTF">2012-10-16T14:57:04Z</dcterms:created>
  <dcterms:modified xsi:type="dcterms:W3CDTF">2024-06-07T17:23:43Z</dcterms:modified>
</cp:coreProperties>
</file>