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109EEEEA-1E74-4AAC-ABF2-6585B8F29641}" xr6:coauthVersionLast="46" xr6:coauthVersionMax="46" xr10:uidLastSave="{00000000-0000-0000-0000-000000000000}"/>
  <bookViews>
    <workbookView xWindow="-120" yWindow="-120" windowWidth="20730" windowHeight="11160" firstSheet="2" activeTab="2" xr2:uid="{28C4D27A-130F-4456-827E-0F5B918E7DD5}"/>
  </bookViews>
  <sheets>
    <sheet name="P&amp;L Input" sheetId="2" r:id="rId1"/>
    <sheet name="Balance Sheet Input" sheetId="3" r:id="rId2"/>
    <sheet name="Revenue Modelling" sheetId="4" r:id="rId3"/>
    <sheet name="Other Items" sheetId="5" r:id="rId4"/>
    <sheet name="Schedules" sheetId="7" r:id="rId5"/>
    <sheet name="P&amp;L" sheetId="9" r:id="rId6"/>
    <sheet name="Balance Sheet" sheetId="11" r:id="rId7"/>
    <sheet name="Cashflow Statement" sheetId="12" r:id="rId8"/>
    <sheet name="WACC" sheetId="13" r:id="rId9"/>
    <sheet name="DCF" sheetId="14" r:id="rId10"/>
    <sheet name="Sheet2" sheetId="16" r:id="rId11"/>
  </sheets>
  <calcPr calcId="191028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4" l="1"/>
  <c r="G34" i="4"/>
  <c r="F34" i="4"/>
  <c r="F25" i="4"/>
  <c r="H27" i="4"/>
  <c r="G27" i="4"/>
  <c r="F27" i="4"/>
  <c r="F13" i="4"/>
  <c r="G13" i="4"/>
  <c r="H13" i="4"/>
  <c r="H20" i="4"/>
  <c r="G20" i="4"/>
  <c r="F20" i="4"/>
  <c r="F19" i="4" s="1"/>
  <c r="G10" i="4"/>
  <c r="F12" i="4"/>
  <c r="G12" i="4" s="1"/>
  <c r="H12" i="4" s="1"/>
  <c r="H10" i="4" s="1"/>
  <c r="F32" i="4"/>
  <c r="G32" i="4"/>
  <c r="H32" i="4"/>
  <c r="E3" i="4"/>
  <c r="E21" i="12"/>
  <c r="C5" i="4"/>
  <c r="C17" i="14"/>
  <c r="B13" i="13"/>
  <c r="D31" i="11"/>
  <c r="F14" i="9"/>
  <c r="F23" i="12"/>
  <c r="G23" i="12"/>
  <c r="H23" i="12"/>
  <c r="F22" i="12"/>
  <c r="G22" i="12"/>
  <c r="H22" i="12"/>
  <c r="F23" i="11"/>
  <c r="G23" i="11"/>
  <c r="H23" i="11"/>
  <c r="E23" i="11"/>
  <c r="E22" i="12"/>
  <c r="F10" i="11"/>
  <c r="G10" i="11"/>
  <c r="H10" i="11"/>
  <c r="E10" i="11"/>
  <c r="F18" i="12"/>
  <c r="G18" i="12"/>
  <c r="H18" i="12"/>
  <c r="H19" i="12" s="1"/>
  <c r="E18" i="12"/>
  <c r="E19" i="12" s="1"/>
  <c r="F9" i="11"/>
  <c r="G9" i="11"/>
  <c r="H9" i="11"/>
  <c r="E9" i="11"/>
  <c r="F19" i="12"/>
  <c r="G19" i="12"/>
  <c r="F10" i="4" l="1"/>
  <c r="G19" i="4"/>
  <c r="H19" i="4" s="1"/>
  <c r="F17" i="12"/>
  <c r="G17" i="12"/>
  <c r="H17" i="12"/>
  <c r="E17" i="12"/>
  <c r="F9" i="12"/>
  <c r="G9" i="12"/>
  <c r="H9" i="12"/>
  <c r="E9" i="12"/>
  <c r="F8" i="12"/>
  <c r="G8" i="12"/>
  <c r="H8" i="12"/>
  <c r="E8" i="12"/>
  <c r="E23" i="12"/>
  <c r="F6" i="12"/>
  <c r="G6" i="12"/>
  <c r="H6" i="12"/>
  <c r="E6" i="12"/>
  <c r="C35" i="11"/>
  <c r="C13" i="9"/>
  <c r="D13" i="9"/>
  <c r="B13" i="9"/>
  <c r="C20" i="9"/>
  <c r="C19" i="9"/>
  <c r="D19" i="9"/>
  <c r="B19" i="9"/>
  <c r="C17" i="9"/>
  <c r="D17" i="9"/>
  <c r="E17" i="9"/>
  <c r="F17" i="9"/>
  <c r="G17" i="9"/>
  <c r="H17" i="9"/>
  <c r="B17" i="9"/>
  <c r="C16" i="9"/>
  <c r="D16" i="9"/>
  <c r="E16" i="9"/>
  <c r="F16" i="9"/>
  <c r="G16" i="9"/>
  <c r="H16" i="9"/>
  <c r="B16" i="9"/>
  <c r="C14" i="9"/>
  <c r="D14" i="9"/>
  <c r="E14" i="9"/>
  <c r="G14" i="9"/>
  <c r="H14" i="9"/>
  <c r="B14" i="9"/>
  <c r="D4" i="5"/>
  <c r="E4" i="5"/>
  <c r="D7" i="9" s="1"/>
  <c r="D8" i="9" s="1"/>
  <c r="D15" i="9" s="1"/>
  <c r="D18" i="9" s="1"/>
  <c r="D21" i="9" s="1"/>
  <c r="C4" i="5"/>
  <c r="C20" i="5" s="1"/>
  <c r="C7" i="9"/>
  <c r="C8" i="9" s="1"/>
  <c r="C15" i="9" s="1"/>
  <c r="C18" i="9" s="1"/>
  <c r="C21" i="9" s="1"/>
  <c r="C12" i="9"/>
  <c r="D12" i="9"/>
  <c r="B12" i="9"/>
  <c r="C11" i="9"/>
  <c r="D11" i="9"/>
  <c r="B11" i="9"/>
  <c r="C10" i="9"/>
  <c r="D10" i="9"/>
  <c r="B10" i="9"/>
  <c r="C6" i="9"/>
  <c r="D6" i="9"/>
  <c r="C4" i="9"/>
  <c r="D4" i="9"/>
  <c r="E4" i="9"/>
  <c r="C5" i="9"/>
  <c r="D5" i="9"/>
  <c r="B5" i="9"/>
  <c r="B4" i="9"/>
  <c r="B6" i="9" s="1"/>
  <c r="F27" i="7"/>
  <c r="G27" i="7"/>
  <c r="H27" i="7"/>
  <c r="E27" i="7"/>
  <c r="F28" i="7"/>
  <c r="G28" i="7"/>
  <c r="H28" i="7"/>
  <c r="E28" i="7"/>
  <c r="F25" i="7"/>
  <c r="G23" i="7" s="1"/>
  <c r="G25" i="7" s="1"/>
  <c r="H23" i="7" s="1"/>
  <c r="H25" i="7" s="1"/>
  <c r="E25" i="7"/>
  <c r="F23" i="7"/>
  <c r="E23" i="7"/>
  <c r="F17" i="7"/>
  <c r="E17" i="7"/>
  <c r="E16" i="7"/>
  <c r="F19" i="7"/>
  <c r="G19" i="7"/>
  <c r="H19" i="7"/>
  <c r="E19" i="7"/>
  <c r="F15" i="7"/>
  <c r="G15" i="7"/>
  <c r="H15" i="7"/>
  <c r="E15" i="7"/>
  <c r="F14" i="7"/>
  <c r="F16" i="7" s="1"/>
  <c r="G14" i="7"/>
  <c r="G16" i="7" s="1"/>
  <c r="F7" i="7"/>
  <c r="E7" i="7"/>
  <c r="F4" i="7" s="1"/>
  <c r="F6" i="7" s="1"/>
  <c r="G4" i="7"/>
  <c r="E6" i="7"/>
  <c r="F5" i="7"/>
  <c r="G5" i="7"/>
  <c r="H5" i="7"/>
  <c r="E5" i="7"/>
  <c r="G9" i="7"/>
  <c r="H9" i="7" s="1"/>
  <c r="F9" i="7"/>
  <c r="G26" i="5"/>
  <c r="H26" i="5"/>
  <c r="I26" i="5"/>
  <c r="F26" i="5"/>
  <c r="D26" i="5"/>
  <c r="E26" i="5"/>
  <c r="C26" i="5"/>
  <c r="D25" i="5"/>
  <c r="E25" i="5"/>
  <c r="C25" i="5"/>
  <c r="G23" i="5"/>
  <c r="H23" i="5"/>
  <c r="I23" i="5"/>
  <c r="F23" i="5"/>
  <c r="D23" i="5"/>
  <c r="E23" i="5"/>
  <c r="C23" i="5"/>
  <c r="D22" i="5"/>
  <c r="E22" i="5"/>
  <c r="C22" i="5"/>
  <c r="I20" i="5"/>
  <c r="D20" i="5"/>
  <c r="E20" i="5"/>
  <c r="F20" i="5" s="1"/>
  <c r="D19" i="5"/>
  <c r="E19" i="5"/>
  <c r="C19" i="5"/>
  <c r="G17" i="5"/>
  <c r="H17" i="5"/>
  <c r="I17" i="5"/>
  <c r="F17" i="5"/>
  <c r="D17" i="5"/>
  <c r="E17" i="5"/>
  <c r="C17" i="5"/>
  <c r="D16" i="5"/>
  <c r="E16" i="5"/>
  <c r="C16" i="5"/>
  <c r="G14" i="5"/>
  <c r="H14" i="5"/>
  <c r="I14" i="5"/>
  <c r="F14" i="5"/>
  <c r="D14" i="5"/>
  <c r="E14" i="5"/>
  <c r="C14" i="5"/>
  <c r="D13" i="5"/>
  <c r="E13" i="5"/>
  <c r="C13" i="5"/>
  <c r="G11" i="5"/>
  <c r="H11" i="5"/>
  <c r="I11" i="5"/>
  <c r="F11" i="5"/>
  <c r="D11" i="5"/>
  <c r="E11" i="5"/>
  <c r="C11" i="5"/>
  <c r="D10" i="5"/>
  <c r="E10" i="5"/>
  <c r="C10" i="5"/>
  <c r="G8" i="5"/>
  <c r="H8" i="5"/>
  <c r="I8" i="5"/>
  <c r="F8" i="5"/>
  <c r="D8" i="5"/>
  <c r="E8" i="5"/>
  <c r="C8" i="5"/>
  <c r="D7" i="5"/>
  <c r="E7" i="5"/>
  <c r="C7" i="5"/>
  <c r="D5" i="5"/>
  <c r="E5" i="5"/>
  <c r="B3" i="4"/>
  <c r="F5" i="4"/>
  <c r="G5" i="4"/>
  <c r="H5" i="4"/>
  <c r="E5" i="4"/>
  <c r="E4" i="4" s="1"/>
  <c r="E32" i="4"/>
  <c r="E31" i="4" s="1"/>
  <c r="E33" i="4"/>
  <c r="F33" i="4" s="1"/>
  <c r="F31" i="4" s="1"/>
  <c r="E34" i="4"/>
  <c r="G25" i="4"/>
  <c r="H25" i="4"/>
  <c r="E25" i="4"/>
  <c r="E24" i="4" s="1"/>
  <c r="E26" i="4"/>
  <c r="F26" i="4" s="1"/>
  <c r="E27" i="4"/>
  <c r="F18" i="4"/>
  <c r="G18" i="4"/>
  <c r="H18" i="4"/>
  <c r="E18" i="4"/>
  <c r="E17" i="4" s="1"/>
  <c r="E19" i="4"/>
  <c r="E20" i="4"/>
  <c r="E10" i="4"/>
  <c r="F11" i="4"/>
  <c r="G11" i="4"/>
  <c r="H11" i="4"/>
  <c r="E11" i="4"/>
  <c r="C13" i="4"/>
  <c r="E12" i="4"/>
  <c r="E13" i="4"/>
  <c r="B9" i="13"/>
  <c r="C31" i="11"/>
  <c r="B31" i="11"/>
  <c r="D21" i="11"/>
  <c r="D25" i="11"/>
  <c r="D32" i="11" s="1"/>
  <c r="C21" i="11"/>
  <c r="C25" i="11"/>
  <c r="B21" i="11"/>
  <c r="B25" i="11"/>
  <c r="B32" i="11"/>
  <c r="B7" i="11"/>
  <c r="B8" i="11"/>
  <c r="B12" i="11" s="1"/>
  <c r="B35" i="11" s="1"/>
  <c r="C8" i="11"/>
  <c r="C12" i="11"/>
  <c r="D8" i="11"/>
  <c r="D12" i="11"/>
  <c r="C27" i="7"/>
  <c r="C28" i="7" s="1"/>
  <c r="C25" i="7"/>
  <c r="C24" i="7" s="1"/>
  <c r="D27" i="7"/>
  <c r="B27" i="7"/>
  <c r="D23" i="7"/>
  <c r="D24" i="7" s="1"/>
  <c r="D25" i="7"/>
  <c r="B25" i="7"/>
  <c r="C23" i="7"/>
  <c r="B17" i="7"/>
  <c r="C14" i="7" s="1"/>
  <c r="C17" i="7"/>
  <c r="D14" i="7" s="1"/>
  <c r="D17" i="7"/>
  <c r="E14" i="7" s="1"/>
  <c r="D7" i="7"/>
  <c r="D5" i="7" s="1"/>
  <c r="C7" i="7"/>
  <c r="C5" i="7" s="1"/>
  <c r="B7" i="7"/>
  <c r="C4" i="7" s="1"/>
  <c r="D28" i="7"/>
  <c r="B28" i="7"/>
  <c r="C32" i="11"/>
  <c r="D4" i="7"/>
  <c r="D9" i="7" s="1"/>
  <c r="D3" i="4"/>
  <c r="C3" i="4"/>
  <c r="D5" i="4"/>
  <c r="D32" i="4"/>
  <c r="D33" i="4"/>
  <c r="C32" i="4"/>
  <c r="C33" i="4"/>
  <c r="B32" i="4"/>
  <c r="B33" i="4"/>
  <c r="D25" i="4"/>
  <c r="D26" i="4"/>
  <c r="C25" i="4"/>
  <c r="C26" i="4"/>
  <c r="B25" i="4"/>
  <c r="B26" i="4"/>
  <c r="D18" i="4"/>
  <c r="D19" i="4"/>
  <c r="C18" i="4"/>
  <c r="C19" i="4"/>
  <c r="B18" i="4"/>
  <c r="B19" i="4"/>
  <c r="C11" i="4"/>
  <c r="C6" i="4"/>
  <c r="B6" i="4"/>
  <c r="D6" i="4"/>
  <c r="C20" i="4"/>
  <c r="C34" i="4"/>
  <c r="D34" i="4"/>
  <c r="C27" i="4"/>
  <c r="D27" i="4"/>
  <c r="D20" i="4"/>
  <c r="C12" i="4"/>
  <c r="D11" i="4"/>
  <c r="D12" i="4"/>
  <c r="B11" i="4"/>
  <c r="B12" i="4"/>
  <c r="D31" i="3"/>
  <c r="C31" i="3"/>
  <c r="B31" i="3"/>
  <c r="D21" i="3"/>
  <c r="D25" i="3"/>
  <c r="C21" i="3"/>
  <c r="C25" i="3"/>
  <c r="B21" i="3"/>
  <c r="B25" i="3"/>
  <c r="D8" i="3"/>
  <c r="D12" i="3"/>
  <c r="C8" i="3"/>
  <c r="C12" i="3"/>
  <c r="B7" i="3"/>
  <c r="D13" i="4"/>
  <c r="B8" i="3"/>
  <c r="B12" i="3"/>
  <c r="B32" i="3"/>
  <c r="C32" i="3"/>
  <c r="D32" i="3"/>
  <c r="E6" i="4" l="1"/>
  <c r="F4" i="4"/>
  <c r="E5" i="9"/>
  <c r="E6" i="9" s="1"/>
  <c r="D35" i="11"/>
  <c r="D20" i="9"/>
  <c r="H20" i="5"/>
  <c r="G20" i="5"/>
  <c r="B7" i="9"/>
  <c r="B8" i="9" s="1"/>
  <c r="B15" i="9" s="1"/>
  <c r="B18" i="9" s="1"/>
  <c r="C5" i="5"/>
  <c r="G17" i="7"/>
  <c r="H14" i="7" s="1"/>
  <c r="G6" i="7"/>
  <c r="G7" i="7" s="1"/>
  <c r="H4" i="7" s="1"/>
  <c r="C9" i="7"/>
  <c r="E9" i="7" s="1"/>
  <c r="D19" i="7"/>
  <c r="D15" i="7"/>
  <c r="C15" i="7"/>
  <c r="C19" i="7" s="1"/>
  <c r="E4" i="7"/>
  <c r="G33" i="4"/>
  <c r="G26" i="4"/>
  <c r="F24" i="4"/>
  <c r="F17" i="4"/>
  <c r="F3" i="4" l="1"/>
  <c r="F6" i="4" s="1"/>
  <c r="F4" i="9"/>
  <c r="G4" i="4"/>
  <c r="F5" i="9"/>
  <c r="F4" i="5"/>
  <c r="F13" i="5"/>
  <c r="E12" i="9" s="1"/>
  <c r="F22" i="5"/>
  <c r="F16" i="5"/>
  <c r="F10" i="5"/>
  <c r="E11" i="9" s="1"/>
  <c r="F25" i="5"/>
  <c r="F7" i="5"/>
  <c r="E10" i="9" s="1"/>
  <c r="G20" i="9"/>
  <c r="H20" i="9"/>
  <c r="F20" i="9"/>
  <c r="E20" i="9"/>
  <c r="B21" i="9"/>
  <c r="B20" i="9"/>
  <c r="G5" i="5"/>
  <c r="F5" i="5"/>
  <c r="H5" i="5"/>
  <c r="I5" i="5"/>
  <c r="H16" i="7"/>
  <c r="H17" i="7"/>
  <c r="H6" i="7"/>
  <c r="H7" i="7"/>
  <c r="H33" i="4"/>
  <c r="H31" i="4" s="1"/>
  <c r="G31" i="4"/>
  <c r="H26" i="4"/>
  <c r="H24" i="4" s="1"/>
  <c r="G24" i="4"/>
  <c r="H17" i="4"/>
  <c r="G17" i="4"/>
  <c r="G3" i="4" l="1"/>
  <c r="G4" i="9" s="1"/>
  <c r="H3" i="4"/>
  <c r="H4" i="9" s="1"/>
  <c r="F6" i="9"/>
  <c r="G4" i="5"/>
  <c r="F7" i="9" s="1"/>
  <c r="G25" i="5"/>
  <c r="G13" i="5"/>
  <c r="F12" i="9" s="1"/>
  <c r="G7" i="5"/>
  <c r="F10" i="9" s="1"/>
  <c r="G22" i="5"/>
  <c r="G16" i="5"/>
  <c r="G10" i="5"/>
  <c r="F11" i="9" s="1"/>
  <c r="E18" i="11"/>
  <c r="E14" i="12"/>
  <c r="E7" i="11"/>
  <c r="E15" i="12"/>
  <c r="E19" i="11"/>
  <c r="E12" i="12"/>
  <c r="H4" i="4"/>
  <c r="G5" i="9"/>
  <c r="F19" i="5"/>
  <c r="E7" i="9"/>
  <c r="E8" i="9" s="1"/>
  <c r="G6" i="4" l="1"/>
  <c r="G6" i="9"/>
  <c r="F8" i="9"/>
  <c r="G19" i="5"/>
  <c r="F11" i="12" s="1"/>
  <c r="H6" i="4"/>
  <c r="H5" i="9"/>
  <c r="H6" i="9" s="1"/>
  <c r="F15" i="12"/>
  <c r="F7" i="11"/>
  <c r="F19" i="11"/>
  <c r="F12" i="12"/>
  <c r="H4" i="5"/>
  <c r="H22" i="5"/>
  <c r="H25" i="5"/>
  <c r="H13" i="5"/>
  <c r="G12" i="9" s="1"/>
  <c r="H7" i="5"/>
  <c r="G10" i="9" s="1"/>
  <c r="H16" i="5"/>
  <c r="H10" i="5"/>
  <c r="G11" i="9" s="1"/>
  <c r="F14" i="12"/>
  <c r="F18" i="11"/>
  <c r="F13" i="9"/>
  <c r="F15" i="9" s="1"/>
  <c r="E13" i="9"/>
  <c r="E15" i="9" s="1"/>
  <c r="E11" i="12"/>
  <c r="E16" i="12" s="1"/>
  <c r="E17" i="11"/>
  <c r="E21" i="11" s="1"/>
  <c r="E25" i="11" s="1"/>
  <c r="F17" i="11" l="1"/>
  <c r="F21" i="11"/>
  <c r="F25" i="11" s="1"/>
  <c r="G7" i="11"/>
  <c r="G15" i="12"/>
  <c r="G7" i="9"/>
  <c r="G8" i="9" s="1"/>
  <c r="G13" i="9" s="1"/>
  <c r="G15" i="9" s="1"/>
  <c r="G4" i="12" s="1"/>
  <c r="H19" i="5"/>
  <c r="G18" i="11"/>
  <c r="G14" i="12"/>
  <c r="F4" i="12"/>
  <c r="F5" i="12" s="1"/>
  <c r="F7" i="12" s="1"/>
  <c r="F10" i="12" s="1"/>
  <c r="F18" i="9"/>
  <c r="F19" i="9" s="1"/>
  <c r="F16" i="12"/>
  <c r="G12" i="12"/>
  <c r="G19" i="11"/>
  <c r="I4" i="5"/>
  <c r="I22" i="5"/>
  <c r="I16" i="5"/>
  <c r="I10" i="5"/>
  <c r="H11" i="9" s="1"/>
  <c r="I7" i="5"/>
  <c r="H10" i="9" s="1"/>
  <c r="I25" i="5"/>
  <c r="I13" i="5"/>
  <c r="H12" i="9" s="1"/>
  <c r="E18" i="9"/>
  <c r="E4" i="12"/>
  <c r="F21" i="9" l="1"/>
  <c r="G18" i="9"/>
  <c r="G19" i="9" s="1"/>
  <c r="G17" i="11"/>
  <c r="G21" i="11" s="1"/>
  <c r="G25" i="11" s="1"/>
  <c r="G11" i="12"/>
  <c r="G16" i="12" s="1"/>
  <c r="H14" i="12"/>
  <c r="H18" i="11"/>
  <c r="F21" i="12"/>
  <c r="D4" i="14" s="1"/>
  <c r="F24" i="12"/>
  <c r="H7" i="11"/>
  <c r="H15" i="12"/>
  <c r="H19" i="11"/>
  <c r="H12" i="12"/>
  <c r="I19" i="5"/>
  <c r="H7" i="9"/>
  <c r="H8" i="9" s="1"/>
  <c r="H13" i="9" s="1"/>
  <c r="H15" i="9" s="1"/>
  <c r="G5" i="12"/>
  <c r="G7" i="12" s="1"/>
  <c r="G10" i="12" s="1"/>
  <c r="E5" i="12"/>
  <c r="E7" i="12" s="1"/>
  <c r="E10" i="12" s="1"/>
  <c r="E19" i="9"/>
  <c r="G21" i="9" l="1"/>
  <c r="G21" i="12"/>
  <c r="E4" i="14" s="1"/>
  <c r="F25" i="12"/>
  <c r="E25" i="12"/>
  <c r="E6" i="11" s="1"/>
  <c r="E8" i="11" s="1"/>
  <c r="E12" i="11" s="1"/>
  <c r="C4" i="14"/>
  <c r="G24" i="12"/>
  <c r="H17" i="11"/>
  <c r="H21" i="11" s="1"/>
  <c r="H25" i="11" s="1"/>
  <c r="H11" i="12"/>
  <c r="H16" i="12" s="1"/>
  <c r="H18" i="9"/>
  <c r="H4" i="12"/>
  <c r="H5" i="12" s="1"/>
  <c r="H7" i="12" s="1"/>
  <c r="H10" i="12" s="1"/>
  <c r="E24" i="12"/>
  <c r="E21" i="9"/>
  <c r="E30" i="11" s="1"/>
  <c r="G25" i="12" l="1"/>
  <c r="F6" i="11"/>
  <c r="F8" i="11" s="1"/>
  <c r="F12" i="11" s="1"/>
  <c r="H19" i="9"/>
  <c r="H24" i="12" s="1"/>
  <c r="H21" i="12"/>
  <c r="E31" i="11"/>
  <c r="E32" i="11" s="1"/>
  <c r="E35" i="11" s="1"/>
  <c r="F30" i="11"/>
  <c r="F31" i="11" s="1"/>
  <c r="F32" i="11" s="1"/>
  <c r="G6" i="11" l="1"/>
  <c r="G8" i="11" s="1"/>
  <c r="G12" i="11" s="1"/>
  <c r="H25" i="12"/>
  <c r="F4" i="14"/>
  <c r="H21" i="9"/>
  <c r="G30" i="11"/>
  <c r="F35" i="11"/>
  <c r="H6" i="11" l="1"/>
  <c r="H8" i="11" s="1"/>
  <c r="H12" i="11" s="1"/>
  <c r="G31" i="11"/>
  <c r="H30" i="11"/>
  <c r="H31" i="11" s="1"/>
  <c r="C18" i="14" l="1"/>
  <c r="B12" i="13"/>
  <c r="H32" i="11"/>
  <c r="H35" i="11" s="1"/>
  <c r="G32" i="11"/>
  <c r="G35" i="11" s="1"/>
  <c r="B15" i="13" l="1"/>
  <c r="B16" i="13"/>
  <c r="B18" i="13" l="1"/>
  <c r="C5" i="14" l="1"/>
  <c r="C8" i="14" s="1"/>
  <c r="F5" i="14"/>
  <c r="F8" i="14" s="1"/>
  <c r="D5" i="14"/>
  <c r="D8" i="14" s="1"/>
  <c r="E5" i="14"/>
  <c r="E8" i="14" s="1"/>
  <c r="C12" i="14"/>
  <c r="C13" i="14" l="1"/>
  <c r="C10" i="14"/>
  <c r="C16" i="14" l="1"/>
  <c r="C19" i="14" s="1"/>
</calcChain>
</file>

<file path=xl/sharedStrings.xml><?xml version="1.0" encoding="utf-8"?>
<sst xmlns="http://schemas.openxmlformats.org/spreadsheetml/2006/main" count="297" uniqueCount="146">
  <si>
    <t>P&amp;L Statement</t>
  </si>
  <si>
    <t>(in thousands)</t>
  </si>
  <si>
    <t>2018
Act</t>
  </si>
  <si>
    <t>2019
Act</t>
  </si>
  <si>
    <t>2020
Act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</si>
  <si>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</si>
  <si>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</si>
  <si>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</si>
  <si>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</si>
  <si>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</si>
  <si>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</si>
  <si>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</si>
  <si>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     Interest</t>
  </si>
  <si>
    <t xml:space="preserve">     Interest and other income (expense)</t>
  </si>
  <si>
    <t>Income before income taxes</t>
  </si>
  <si>
    <t>Provision for income taxes</t>
  </si>
  <si>
    <t>Net income</t>
  </si>
  <si>
    <t xml:space="preserve">Balance Sheet </t>
  </si>
  <si>
    <t>Assets</t>
  </si>
  <si>
    <t>Current assets:</t>
  </si>
  <si>
    <t xml:space="preserve">     Cash and cash equivalents</t>
  </si>
  <si>
    <t xml:space="preserve">     Other current assets</t>
  </si>
  <si>
    <t>Total current assets</t>
  </si>
  <si>
    <t xml:space="preserve">     Content assets, net</t>
  </si>
  <si>
    <t xml:space="preserve">     Property and equipment, net</t>
  </si>
  <si>
    <t xml:space="preserve">     Other non-current assets</t>
  </si>
  <si>
    <t>Total assets</t>
  </si>
  <si>
    <t>Liabilities and Stockholders' Equity</t>
  </si>
  <si>
    <t>Current liabilities:</t>
  </si>
  <si>
    <t xml:space="preserve">     Current content liabilities</t>
  </si>
  <si>
    <t xml:space="preserve">     Accounts payable</t>
  </si>
  <si>
    <t xml:space="preserve">     Accrued expenses and other liabilities</t>
  </si>
  <si>
    <t xml:space="preserve">     Deferred revenue</t>
  </si>
  <si>
    <t xml:space="preserve">     Short-term debt</t>
  </si>
  <si>
    <t>Total current liabilities</t>
  </si>
  <si>
    <t>Non-current content liabilities</t>
  </si>
  <si>
    <t xml:space="preserve">     Long-term debt</t>
  </si>
  <si>
    <t xml:space="preserve">     Other non-current liabilities</t>
  </si>
  <si>
    <t>Total liabilities</t>
  </si>
  <si>
    <t>Stockholders' equity:</t>
  </si>
  <si>
    <t xml:space="preserve">     Common stock</t>
  </si>
  <si>
    <t xml:space="preserve">     Treasury stock</t>
  </si>
  <si>
    <t xml:space="preserve">     Accumulated other comprehensive income (loss)</t>
  </si>
  <si>
    <t xml:space="preserve">     Retained earnings</t>
  </si>
  <si>
    <t>Total stockholders' equity</t>
  </si>
  <si>
    <t>Total liabilities and stockholders' equity</t>
  </si>
  <si>
    <t>Revenue Sources</t>
  </si>
  <si>
    <t>Streaming revenues</t>
  </si>
  <si>
    <t>DVD Revenues</t>
  </si>
  <si>
    <t>Growth %</t>
  </si>
  <si>
    <t>Total Revenues</t>
  </si>
  <si>
    <t>Unites States and Canada ( in thousands)</t>
  </si>
  <si>
    <t>Average yearly revenue per membership</t>
  </si>
  <si>
    <t>Average Paid membership</t>
  </si>
  <si>
    <t>Europe, Middle East, and Africa (EMEA) (in thousands)</t>
  </si>
  <si>
    <t>Latin America (LATAM) (in thousands)</t>
  </si>
  <si>
    <t>Asia-Pacific (in thousands)</t>
  </si>
  <si>
    <t>Average Monthly Revenues</t>
  </si>
  <si>
    <t>Other Items</t>
  </si>
  <si>
    <t>Cost of Goods Sold</t>
  </si>
  <si>
    <t>as a % revenues</t>
  </si>
  <si>
    <t>Technology and Development</t>
  </si>
  <si>
    <t>General and Administrative</t>
  </si>
  <si>
    <t>Cashflow</t>
  </si>
  <si>
    <t>Schedules</t>
  </si>
  <si>
    <t>Other Current assets</t>
  </si>
  <si>
    <t xml:space="preserve">Accounts Payable </t>
  </si>
  <si>
    <t>Accrued Expenses and other Liabilities</t>
  </si>
  <si>
    <t>Deferred Revenue</t>
  </si>
  <si>
    <t>PP&amp;E</t>
  </si>
  <si>
    <t>Beginning Balance</t>
  </si>
  <si>
    <t>add: Capex</t>
  </si>
  <si>
    <t>less: Depreciation</t>
  </si>
  <si>
    <t>Closing Balance</t>
  </si>
  <si>
    <t xml:space="preserve">Useful life </t>
  </si>
  <si>
    <t>Content Assets</t>
  </si>
  <si>
    <t>less: Amortisation of Content Assets</t>
  </si>
  <si>
    <t>add: Addition to Content Assets</t>
  </si>
  <si>
    <t>Useful life</t>
  </si>
  <si>
    <t>Debt Schedule</t>
  </si>
  <si>
    <t>Beginning Balance of Debt</t>
  </si>
  <si>
    <t>add/less: Debt Taken /(debt repaid)</t>
  </si>
  <si>
    <t>Interest Expense</t>
  </si>
  <si>
    <t>P&amp;L Forcasting</t>
  </si>
  <si>
    <t>Operating Expenses</t>
  </si>
  <si>
    <t>Gross Margin</t>
  </si>
  <si>
    <t>EBITDA</t>
  </si>
  <si>
    <t xml:space="preserve">EBIT </t>
  </si>
  <si>
    <t>EBT</t>
  </si>
  <si>
    <t>Taxes</t>
  </si>
  <si>
    <t>tax rate %</t>
  </si>
  <si>
    <t>Net Income</t>
  </si>
  <si>
    <t>Cash Flow</t>
  </si>
  <si>
    <t>EBIT</t>
  </si>
  <si>
    <t>Operating Taxes</t>
  </si>
  <si>
    <t>Tax Rate %</t>
  </si>
  <si>
    <t>NOPAT</t>
  </si>
  <si>
    <t>add Amortization</t>
  </si>
  <si>
    <t>add Depreciation</t>
  </si>
  <si>
    <t>Gross Cash Flow</t>
  </si>
  <si>
    <t>Account Payables</t>
  </si>
  <si>
    <t>Current content liabilites</t>
  </si>
  <si>
    <t>Accrued expenses and other liabilities</t>
  </si>
  <si>
    <t>Other current assets</t>
  </si>
  <si>
    <t>Investments in Working Capital</t>
  </si>
  <si>
    <t>Capex:</t>
  </si>
  <si>
    <t>Extraordinary Items</t>
  </si>
  <si>
    <t>UFCF</t>
  </si>
  <si>
    <t>Debt taken (Repaid)</t>
  </si>
  <si>
    <t>Diff b/w Operating Taxes &amp; Actual Taxes</t>
  </si>
  <si>
    <t>Net Cash Flow</t>
  </si>
  <si>
    <t>Opening Cash</t>
  </si>
  <si>
    <t xml:space="preserve">Check </t>
  </si>
  <si>
    <t xml:space="preserve">Closing Cash </t>
  </si>
  <si>
    <t>WACC</t>
  </si>
  <si>
    <t>Risk free Rate</t>
  </si>
  <si>
    <t>Market Risk Premium</t>
  </si>
  <si>
    <t>Beta</t>
  </si>
  <si>
    <t>Amount</t>
  </si>
  <si>
    <t xml:space="preserve">Cost of Equity </t>
  </si>
  <si>
    <t>RiskfreeRate*beta + Market Risk Premium</t>
  </si>
  <si>
    <t>Cost Debt</t>
  </si>
  <si>
    <t>Equity</t>
  </si>
  <si>
    <t>Debt</t>
  </si>
  <si>
    <t>Equity/(Equity+Debt)</t>
  </si>
  <si>
    <t>Debt/(Equity+Debt)</t>
  </si>
  <si>
    <t>DCF Analysis</t>
  </si>
  <si>
    <t xml:space="preserve">Discounting Factor </t>
  </si>
  <si>
    <t>No of Years</t>
  </si>
  <si>
    <t>PV of UFCF</t>
  </si>
  <si>
    <t>Sum of PV</t>
  </si>
  <si>
    <t>Terminal Value</t>
  </si>
  <si>
    <t>PV of Terminal value</t>
  </si>
  <si>
    <t>Enterprise Value</t>
  </si>
  <si>
    <t>Cash</t>
  </si>
  <si>
    <t>Equity Value</t>
  </si>
  <si>
    <t>Row Labels</t>
  </si>
  <si>
    <t>(blank)</t>
  </si>
  <si>
    <t>Grand Total</t>
  </si>
  <si>
    <t>Count of PP&amp;E</t>
  </si>
  <si>
    <t>2021 forcasted</t>
  </si>
  <si>
    <t>2022 forcasted</t>
  </si>
  <si>
    <t>2023 forcasted</t>
  </si>
  <si>
    <t>2024 forcasted</t>
  </si>
  <si>
    <t>Days Payable(DPO)</t>
  </si>
  <si>
    <t>WACC= (COST OF EQUITY*[Eq./Eq.+Debt])+(COST OF DEBT*[DEBT/Eq.+DEBT])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</si>
</sst>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* #,###\ ;&quot;$&quot;* \(#,###\);&quot;$&quot;* \-\ "/>
    <numFmt numFmtId="167" formatCode="&quot;$&quot;#,##0.00"/>
    <numFmt numFmtId="168" formatCode="0.0%"/>
    <numFmt numFmtId="169" formatCode="#,##0.0"/>
    <numFmt numFmtId="170" formatCode="_(* #,##0.0_);_(* \(#,##0.0\);_(* &quot;-&quot;?_);@_l"/>
    <numFmt numFmtId="171" formatCode="_(* #,##0.0_);_(* \(#,##0.0\);_(* &quot;-&quot;?_);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2"/>
      <color rgb="FF002060"/>
      <name val="Arial"/>
      <family val="2"/>
      <charset val="204"/>
    </font>
    <font>
      <sz val="10"/>
      <name val="Arial"/>
      <family val="2"/>
    </font>
    <font>
      <b/>
      <sz val="9"/>
      <name val="Arial"/>
      <family val="2"/>
      <charset val="204"/>
    </font>
    <font>
      <sz val="10"/>
      <color indexed="8"/>
      <name val="Arial"/>
      <family val="2"/>
    </font>
    <font>
      <sz val="10"/>
      <name val="Arial"/>
      <family val="2"/>
      <charset val="204"/>
    </font>
    <font>
      <sz val="10"/>
      <name val="Helv"/>
    </font>
    <font>
      <b/>
      <sz val="10"/>
      <name val="Arial"/>
      <family val="2"/>
    </font>
    <font>
      <i/>
      <sz val="10"/>
      <name val="Arial"/>
      <family val="2"/>
    </font>
    <font>
      <b/>
      <sz val="8"/>
      <color indexed="8"/>
      <name val="Times New Roman"/>
      <family val="2"/>
    </font>
    <font>
      <sz val="10"/>
      <color indexed="8"/>
      <name val="Times New Roman"/>
      <family val="2"/>
    </font>
    <font>
      <sz val="10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8" tint="-0.499984740745262"/>
      <name val="Times New Roman"/>
      <family val="1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top"/>
    </xf>
    <xf numFmtId="43" fontId="7" fillId="0" borderId="0">
      <alignment vertical="top"/>
    </xf>
    <xf numFmtId="0" fontId="8" fillId="0" borderId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2" applyFont="1">
      <alignment vertical="top"/>
    </xf>
    <xf numFmtId="0" fontId="4" fillId="0" borderId="0" xfId="2" applyFont="1">
      <alignment vertical="top"/>
    </xf>
    <xf numFmtId="0" fontId="5" fillId="0" borderId="1" xfId="2" applyFont="1" applyBorder="1" applyAlignment="1"/>
    <xf numFmtId="0" fontId="5" fillId="0" borderId="1" xfId="2" applyFont="1" applyBorder="1" applyAlignment="1">
      <alignment horizontal="right" vertical="top" wrapText="1"/>
    </xf>
    <xf numFmtId="0" fontId="2" fillId="0" borderId="0" xfId="2">
      <alignment vertical="top"/>
    </xf>
    <xf numFmtId="0" fontId="4" fillId="0" borderId="0" xfId="2" applyFont="1" applyAlignment="1">
      <alignment vertical="top" wrapText="1"/>
    </xf>
    <xf numFmtId="0" fontId="6" fillId="0" borderId="0" xfId="2" applyFont="1" applyAlignment="1">
      <alignment vertical="top" wrapText="1"/>
    </xf>
    <xf numFmtId="164" fontId="7" fillId="0" borderId="0" xfId="3" applyNumberFormat="1">
      <alignment vertical="top"/>
    </xf>
    <xf numFmtId="0" fontId="6" fillId="0" borderId="0" xfId="2" applyFont="1" applyAlignment="1">
      <alignment horizontal="left" vertical="top" indent="2"/>
    </xf>
    <xf numFmtId="0" fontId="6" fillId="0" borderId="0" xfId="2" applyFont="1" applyAlignment="1">
      <alignment horizontal="left" vertical="top"/>
    </xf>
    <xf numFmtId="0" fontId="6" fillId="0" borderId="0" xfId="2" applyFont="1">
      <alignment vertical="top"/>
    </xf>
    <xf numFmtId="0" fontId="6" fillId="0" borderId="0" xfId="2" applyFont="1" applyAlignment="1">
      <alignment horizontal="left" vertical="top" wrapText="1"/>
    </xf>
    <xf numFmtId="0" fontId="9" fillId="0" borderId="0" xfId="4" applyFont="1"/>
    <xf numFmtId="0" fontId="4" fillId="0" borderId="0" xfId="4" applyFont="1"/>
    <xf numFmtId="0" fontId="9" fillId="0" borderId="0" xfId="5" applyFont="1"/>
    <xf numFmtId="3" fontId="4" fillId="0" borderId="0" xfId="4" applyNumberFormat="1" applyFont="1"/>
    <xf numFmtId="165" fontId="6" fillId="0" borderId="0" xfId="6" applyNumberFormat="1" applyFont="1" applyFill="1" applyBorder="1" applyProtection="1"/>
    <xf numFmtId="164" fontId="6" fillId="0" borderId="1" xfId="7" applyNumberFormat="1" applyFont="1" applyFill="1" applyBorder="1"/>
    <xf numFmtId="164" fontId="6" fillId="0" borderId="2" xfId="7" applyNumberFormat="1" applyFont="1" applyFill="1" applyBorder="1"/>
    <xf numFmtId="164" fontId="6" fillId="0" borderId="0" xfId="7" applyNumberFormat="1" applyFont="1" applyFill="1" applyBorder="1"/>
    <xf numFmtId="164" fontId="4" fillId="0" borderId="0" xfId="2" applyNumberFormat="1" applyFont="1">
      <alignment vertical="top"/>
    </xf>
    <xf numFmtId="165" fontId="6" fillId="0" borderId="0" xfId="6" applyNumberFormat="1" applyFont="1" applyFill="1" applyBorder="1"/>
    <xf numFmtId="166" fontId="6" fillId="0" borderId="0" xfId="7" applyNumberFormat="1" applyFont="1" applyFill="1" applyBorder="1"/>
    <xf numFmtId="165" fontId="4" fillId="0" borderId="0" xfId="4" applyNumberFormat="1" applyFont="1"/>
    <xf numFmtId="3" fontId="4" fillId="0" borderId="0" xfId="2" applyNumberFormat="1" applyFont="1">
      <alignment vertical="top"/>
    </xf>
    <xf numFmtId="3" fontId="2" fillId="0" borderId="0" xfId="2" applyNumberFormat="1">
      <alignment vertical="top"/>
    </xf>
    <xf numFmtId="0" fontId="4" fillId="0" borderId="0" xfId="4" applyFont="1" applyAlignment="1">
      <alignment horizontal="left" wrapText="1"/>
    </xf>
    <xf numFmtId="164" fontId="6" fillId="0" borderId="4" xfId="7" applyNumberFormat="1" applyFont="1" applyFill="1" applyBorder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1" xfId="0" applyFont="1" applyBorder="1"/>
    <xf numFmtId="0" fontId="5" fillId="0" borderId="1" xfId="0" applyFont="1" applyBorder="1" applyAlignment="1">
      <alignment horizontal="right" vertical="top" wrapText="1"/>
    </xf>
    <xf numFmtId="43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10" fillId="0" borderId="0" xfId="0" applyFont="1" applyAlignment="1">
      <alignment vertical="top"/>
    </xf>
    <xf numFmtId="9" fontId="1" fillId="0" borderId="0" xfId="1" applyAlignment="1">
      <alignment vertical="top"/>
    </xf>
    <xf numFmtId="0" fontId="9" fillId="0" borderId="0" xfId="0" applyFont="1" applyAlignment="1">
      <alignment vertical="top"/>
    </xf>
    <xf numFmtId="167" fontId="0" fillId="0" borderId="0" xfId="0" applyNumberFormat="1" applyAlignment="1">
      <alignment vertical="top"/>
    </xf>
    <xf numFmtId="0" fontId="9" fillId="2" borderId="0" xfId="0" applyFont="1" applyFill="1" applyAlignment="1">
      <alignment vertical="top"/>
    </xf>
    <xf numFmtId="167" fontId="0" fillId="2" borderId="0" xfId="0" applyNumberFormat="1" applyFill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 wrapText="1"/>
    </xf>
    <xf numFmtId="167" fontId="0" fillId="3" borderId="0" xfId="0" applyNumberFormat="1" applyFill="1" applyAlignment="1">
      <alignment vertical="top"/>
    </xf>
    <xf numFmtId="10" fontId="1" fillId="3" borderId="0" xfId="1" applyNumberFormat="1" applyFill="1" applyAlignment="1">
      <alignment vertical="top"/>
    </xf>
    <xf numFmtId="168" fontId="1" fillId="3" borderId="0" xfId="1" applyNumberFormat="1" applyFill="1" applyAlignment="1">
      <alignment vertical="top"/>
    </xf>
    <xf numFmtId="0" fontId="14" fillId="0" borderId="0" xfId="0" applyFont="1"/>
    <xf numFmtId="164" fontId="0" fillId="0" borderId="0" xfId="8" applyNumberFormat="1" applyFont="1"/>
    <xf numFmtId="3" fontId="0" fillId="0" borderId="0" xfId="0" applyNumberFormat="1"/>
    <xf numFmtId="164" fontId="4" fillId="0" borderId="0" xfId="2" applyNumberFormat="1" applyFont="1" applyAlignment="1">
      <alignment horizontal="left" vertical="top"/>
    </xf>
    <xf numFmtId="169" fontId="0" fillId="0" borderId="0" xfId="0" applyNumberFormat="1"/>
    <xf numFmtId="43" fontId="0" fillId="0" borderId="0" xfId="8" applyFont="1"/>
    <xf numFmtId="168" fontId="0" fillId="0" borderId="0" xfId="1" applyNumberFormat="1" applyFont="1"/>
    <xf numFmtId="0" fontId="17" fillId="0" borderId="0" xfId="0" applyFont="1"/>
    <xf numFmtId="0" fontId="0" fillId="0" borderId="1" xfId="0" applyBorder="1" applyAlignment="1">
      <alignment vertical="top"/>
    </xf>
    <xf numFmtId="0" fontId="0" fillId="0" borderId="1" xfId="0" applyBorder="1"/>
    <xf numFmtId="3" fontId="16" fillId="0" borderId="0" xfId="0" applyNumberFormat="1" applyFont="1"/>
    <xf numFmtId="0" fontId="6" fillId="0" borderId="1" xfId="2" applyFont="1" applyBorder="1" applyAlignment="1">
      <alignment horizontal="left" vertical="top" indent="2"/>
    </xf>
    <xf numFmtId="0" fontId="6" fillId="0" borderId="1" xfId="2" applyFont="1" applyBorder="1">
      <alignment vertical="top"/>
    </xf>
    <xf numFmtId="0" fontId="14" fillId="0" borderId="1" xfId="0" applyFont="1" applyBorder="1"/>
    <xf numFmtId="0" fontId="15" fillId="4" borderId="4" xfId="0" applyFont="1" applyFill="1" applyBorder="1"/>
    <xf numFmtId="0" fontId="10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170" fontId="18" fillId="0" borderId="0" xfId="0" applyNumberFormat="1" applyFont="1"/>
    <xf numFmtId="171" fontId="19" fillId="0" borderId="0" xfId="0" applyNumberFormat="1" applyFont="1"/>
    <xf numFmtId="9" fontId="0" fillId="0" borderId="0" xfId="0" applyNumberFormat="1"/>
    <xf numFmtId="0" fontId="20" fillId="4" borderId="0" xfId="0" applyFont="1" applyFill="1" applyAlignment="1">
      <alignment vertical="top"/>
    </xf>
    <xf numFmtId="10" fontId="0" fillId="0" borderId="0" xfId="0" applyNumberFormat="1"/>
    <xf numFmtId="0" fontId="15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8" applyNumberFormat="1" applyFont="1" applyAlignment="1">
      <alignment vertical="top"/>
    </xf>
    <xf numFmtId="164" fontId="9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44" fontId="0" fillId="0" borderId="0" xfId="9" applyFont="1" applyAlignment="1">
      <alignment vertical="top"/>
    </xf>
    <xf numFmtId="2" fontId="6" fillId="0" borderId="3" xfId="6" applyNumberFormat="1" applyFont="1" applyFill="1" applyBorder="1"/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8" applyNumberFormat="1" applyFont="1" applyBorder="1"/>
    <xf numFmtId="9" fontId="0" fillId="0" borderId="0" xfId="1" applyFont="1" applyBorder="1"/>
    <xf numFmtId="9" fontId="0" fillId="3" borderId="0" xfId="0" applyNumberFormat="1" applyFill="1"/>
    <xf numFmtId="164" fontId="0" fillId="0" borderId="0" xfId="0" applyNumberFormat="1"/>
    <xf numFmtId="43" fontId="0" fillId="0" borderId="0" xfId="0" applyNumberFormat="1"/>
    <xf numFmtId="9" fontId="0" fillId="0" borderId="0" xfId="1" applyFont="1"/>
    <xf numFmtId="43" fontId="0" fillId="3" borderId="0" xfId="0" applyNumberFormat="1" applyFill="1"/>
    <xf numFmtId="0" fontId="5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3" fontId="0" fillId="3" borderId="0" xfId="0" applyNumberFormat="1" applyFill="1"/>
    <xf numFmtId="169" fontId="0" fillId="3" borderId="0" xfId="0" applyNumberFormat="1" applyFill="1"/>
    <xf numFmtId="168" fontId="0" fillId="3" borderId="0" xfId="0" applyNumberFormat="1" applyFill="1"/>
    <xf numFmtId="0" fontId="23" fillId="0" borderId="0" xfId="0" applyFont="1" applyAlignment="1">
      <alignment horizontal="left" vertical="center"/>
    </xf>
    <xf numFmtId="164" fontId="24" fillId="0" borderId="0" xfId="8" applyNumberFormat="1" applyFont="1"/>
    <xf numFmtId="164" fontId="25" fillId="5" borderId="0" xfId="8" applyNumberFormat="1" applyFont="1" applyFill="1"/>
    <xf numFmtId="164" fontId="25" fillId="5" borderId="0" xfId="8" applyNumberFormat="1" applyFont="1" applyFill="1" applyAlignment="1">
      <alignment horizontal="center"/>
    </xf>
    <xf numFmtId="164" fontId="0" fillId="0" borderId="2" xfId="8" applyNumberFormat="1" applyFont="1" applyBorder="1"/>
    <xf numFmtId="164" fontId="0" fillId="6" borderId="2" xfId="8" applyNumberFormat="1" applyFont="1" applyFill="1" applyBorder="1"/>
    <xf numFmtId="164" fontId="21" fillId="4" borderId="2" xfId="8" applyNumberFormat="1" applyFont="1" applyFill="1" applyBorder="1"/>
    <xf numFmtId="0" fontId="0" fillId="0" borderId="0" xfId="0" applyAlignment="1">
      <alignment horizontal="left" indent="2"/>
    </xf>
    <xf numFmtId="0" fontId="17" fillId="6" borderId="2" xfId="0" applyFont="1" applyFill="1" applyBorder="1"/>
    <xf numFmtId="0" fontId="0" fillId="7" borderId="0" xfId="0" applyFill="1"/>
    <xf numFmtId="0" fontId="21" fillId="7" borderId="0" xfId="0" applyFont="1" applyFill="1"/>
    <xf numFmtId="164" fontId="0" fillId="0" borderId="2" xfId="0" applyNumberFormat="1" applyBorder="1"/>
    <xf numFmtId="171" fontId="26" fillId="8" borderId="3" xfId="0" applyNumberFormat="1" applyFont="1" applyFill="1" applyBorder="1"/>
    <xf numFmtId="164" fontId="21" fillId="4" borderId="0" xfId="0" applyNumberFormat="1" applyFont="1" applyFill="1"/>
    <xf numFmtId="164" fontId="21" fillId="8" borderId="3" xfId="0" applyNumberFormat="1" applyFont="1" applyFill="1" applyBorder="1"/>
    <xf numFmtId="164" fontId="4" fillId="0" borderId="0" xfId="8" applyNumberFormat="1" applyFont="1"/>
    <xf numFmtId="164" fontId="6" fillId="0" borderId="0" xfId="8" applyNumberFormat="1" applyFont="1" applyFill="1" applyBorder="1" applyProtection="1"/>
    <xf numFmtId="164" fontId="6" fillId="0" borderId="1" xfId="8" applyNumberFormat="1" applyFont="1" applyFill="1" applyBorder="1"/>
    <xf numFmtId="164" fontId="6" fillId="0" borderId="2" xfId="8" applyNumberFormat="1" applyFont="1" applyFill="1" applyBorder="1"/>
    <xf numFmtId="164" fontId="6" fillId="0" borderId="0" xfId="8" applyNumberFormat="1" applyFont="1" applyFill="1" applyBorder="1"/>
    <xf numFmtId="164" fontId="6" fillId="0" borderId="3" xfId="8" applyNumberFormat="1" applyFont="1" applyFill="1" applyBorder="1"/>
    <xf numFmtId="164" fontId="0" fillId="0" borderId="3" xfId="8" applyNumberFormat="1" applyFont="1" applyBorder="1"/>
    <xf numFmtId="164" fontId="4" fillId="0" borderId="0" xfId="8" applyNumberFormat="1" applyFont="1" applyAlignment="1">
      <alignment horizontal="left" wrapText="1"/>
    </xf>
    <xf numFmtId="164" fontId="6" fillId="0" borderId="4" xfId="8" applyNumberFormat="1" applyFont="1" applyFill="1" applyBorder="1"/>
    <xf numFmtId="4" fontId="0" fillId="0" borderId="0" xfId="0" applyNumberFormat="1"/>
    <xf numFmtId="43" fontId="24" fillId="0" borderId="0" xfId="8" applyFont="1"/>
    <xf numFmtId="43" fontId="0" fillId="0" borderId="0" xfId="8" applyFont="1" applyBorder="1"/>
    <xf numFmtId="43" fontId="0" fillId="0" borderId="2" xfId="8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9" borderId="0" xfId="0" applyFill="1"/>
    <xf numFmtId="10" fontId="0" fillId="9" borderId="0" xfId="1" applyNumberFormat="1" applyFont="1" applyFill="1"/>
    <xf numFmtId="43" fontId="21" fillId="4" borderId="0" xfId="0" applyNumberFormat="1" applyFont="1" applyFill="1"/>
    <xf numFmtId="0" fontId="9" fillId="2" borderId="0" xfId="0" applyFont="1" applyFill="1" applyAlignment="1">
      <alignment horizontal="center" vertical="top"/>
    </xf>
    <xf numFmtId="43" fontId="0" fillId="0" borderId="0" xfId="8" applyNumberFormat="1" applyFont="1" applyAlignment="1">
      <alignment vertical="top"/>
    </xf>
    <xf numFmtId="9" fontId="1" fillId="3" borderId="0" xfId="1" applyNumberFormat="1" applyFill="1" applyAlignment="1">
      <alignment vertical="top"/>
    </xf>
  </cellXfs>
  <cellStyles count="10">
    <cellStyle name="Comma" xfId="8" builtinId="3"/>
    <cellStyle name="Comma 2" xfId="3" xr:uid="{B09E9F16-CE96-4740-9F89-337CCE9B9A18}"/>
    <cellStyle name="Comma 2 2" xfId="7" xr:uid="{2C6585CE-CE45-4812-AC5B-41FC4284383D}"/>
    <cellStyle name="Currency" xfId="9" builtinId="4"/>
    <cellStyle name="Currency 2" xfId="6" xr:uid="{F1D392C2-F59F-4274-A707-C9E78A476783}"/>
    <cellStyle name="Normal" xfId="0" builtinId="0"/>
    <cellStyle name="Normal 2" xfId="2" xr:uid="{F4A99D94-FC56-4919-8056-34DD211EAD98}"/>
    <cellStyle name="Normal 3" xfId="5" xr:uid="{A3B74C53-95BF-4274-AAE6-C34887BFE3F5}"/>
    <cellStyle name="Normal_BalanceSheets" xfId="4" xr:uid="{FFACE32C-33C4-4B80-B814-45D253FF733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1847850</xdr:colOff>
      <xdr:row>30</xdr:row>
      <xdr:rowOff>76200</xdr:rowOff>
    </xdr:from>
    <xdr:to>
      <xdr:col>7</xdr:col>
      <xdr:colOff>933450</xdr:colOff>
      <xdr:row>50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CA8163-7351-4252-BBF4-631990BFC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6019800"/>
          <a:ext cx="7210425" cy="3819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</xdr:colOff>
      <xdr:row>13</xdr:row>
      <xdr:rowOff>133350</xdr:rowOff>
    </xdr:from>
    <xdr:to>
      <xdr:col>11</xdr:col>
      <xdr:colOff>476469</xdr:colOff>
      <xdr:row>23</xdr:row>
      <xdr:rowOff>114394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4BE69-71C2-41BD-B61C-3918EFE1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2527300"/>
          <a:ext cx="4261069" cy="18225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6</xdr:row>
      <xdr:rowOff>29221</xdr:rowOff>
    </xdr:from>
    <xdr:to>
      <xdr:col>14</xdr:col>
      <xdr:colOff>596900</xdr:colOff>
      <xdr:row>14</xdr:row>
      <xdr:rowOff>158506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EB5145-9C54-47C6-A939-E0B8E374C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6450" y="1286521"/>
          <a:ext cx="2368550" cy="165328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2.492884606479" createdVersion="6" refreshedVersion="6" minRefreshableVersion="3" recordCount="28" xr:uid="{38666DD3-8FDD-4B10-8FF4-CB88AB4B9D95}">
  <cacheSource type="worksheet">
    <worksheetSource ref="A1:A1048576" sheet="Schedules"/>
  </cacheSource>
  <cacheFields count="1">
    <cacheField name="PP&amp;E" numFmtId="0">
      <sharedItems containsBlank="1" count="15">
        <m/>
        <s v="(in thousands)"/>
        <s v="Beginning Balance"/>
        <s v="add: Capex"/>
        <s v="less: Depreciation"/>
        <s v="Closing Balance"/>
        <s v="Useful life "/>
        <s v="Content Assets"/>
        <s v="add: Addition to Content Assets"/>
        <s v="less: Amortisation of Content Assets"/>
        <s v="Useful life"/>
        <s v="Debt Schedule"/>
        <s v="Beginning Balance of Debt"/>
        <s v="add/less: Debt Taken /(debt repaid)"/>
        <s v="Interest Expen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1"/>
  </r>
  <r>
    <x v="2"/>
  </r>
  <r>
    <x v="3"/>
  </r>
  <r>
    <x v="4"/>
  </r>
  <r>
    <x v="5"/>
  </r>
  <r>
    <x v="0"/>
  </r>
  <r>
    <x v="6"/>
  </r>
  <r>
    <x v="0"/>
  </r>
  <r>
    <x v="0"/>
  </r>
  <r>
    <x v="7"/>
  </r>
  <r>
    <x v="1"/>
  </r>
  <r>
    <x v="2"/>
  </r>
  <r>
    <x v="8"/>
  </r>
  <r>
    <x v="9"/>
  </r>
  <r>
    <x v="5"/>
  </r>
  <r>
    <x v="0"/>
  </r>
  <r>
    <x v="10"/>
  </r>
  <r>
    <x v="0"/>
  </r>
  <r>
    <x v="0"/>
  </r>
  <r>
    <x v="11"/>
  </r>
  <r>
    <x v="12"/>
  </r>
  <r>
    <x v="13"/>
  </r>
  <r>
    <x v="5"/>
  </r>
  <r>
    <x v="0"/>
  </r>
  <r>
    <x v="14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03076-FA75-4DAB-8B43-54BD3A24792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1">
    <pivotField axis="axisRow" dataField="1" showAll="0">
      <items count="16">
        <item x="1"/>
        <item x="13"/>
        <item x="8"/>
        <item x="3"/>
        <item x="2"/>
        <item x="12"/>
        <item x="5"/>
        <item x="7"/>
        <item x="11"/>
        <item x="14"/>
        <item x="9"/>
        <item x="4"/>
        <item x="10"/>
        <item x="6"/>
        <item x="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P&amp;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19C0-8546-4D77-BCC4-2A49E4CD2A94}">
  <dimension ref="A1:G19"/>
  <sheetViews>
    <sheetView zoomScale="90" zoomScaleNormal="90" workbookViewId="0">
      <selection activeCell="C18" sqref="C18"/>
    </sheetView>
  </sheetViews>
  <sheetFormatPr defaultColWidth="9.140625" defaultRowHeight="12.75" customHeight="1" x14ac:dyDescent="0.25"/>
  <cols>
    <col min="1" max="1" width="35" style="2" bestFit="1" customWidth="1"/>
    <col min="2" max="4" width="14" style="2" bestFit="1" customWidth="1"/>
    <col min="5" max="6" width="10.28515625" style="2" bestFit="1" customWidth="1"/>
    <col min="7" max="16384" width="9.140625" style="2"/>
  </cols>
  <sheetData>
    <row r="1" spans="1:7" ht="15.75" x14ac:dyDescent="0.25">
      <c r="A1" s="1" t="s">
        <v>0</v>
      </c>
    </row>
    <row r="2" spans="1:7" ht="24" x14ac:dyDescent="0.2">
      <c r="A2" s="3" t="s">
        <v>1</v>
      </c>
      <c r="B2" s="4" t="s">
        <v>2</v>
      </c>
      <c r="C2" s="4" t="s">
        <v>3</v>
      </c>
      <c r="D2" s="4" t="s">
        <v>4</v>
      </c>
      <c r="F2" s="5"/>
      <c r="G2" s="6"/>
    </row>
    <row r="3" spans="1:7" ht="12.75" customHeight="1" x14ac:dyDescent="0.25">
      <c r="A3" s="7" t="s">
        <v>5</v>
      </c>
      <c r="B3" s="8">
        <v>15794341</v>
      </c>
      <c r="C3" s="8">
        <v>20156447</v>
      </c>
      <c r="D3" s="8">
        <v>24996056</v>
      </c>
      <c r="F3" s="5"/>
      <c r="G3" s="6"/>
    </row>
    <row r="4" spans="1:7" ht="12.75" customHeight="1" x14ac:dyDescent="0.25">
      <c r="A4" s="9" t="s">
        <v>6</v>
      </c>
      <c r="B4" s="8">
        <v>9967538</v>
      </c>
      <c r="C4" s="8">
        <v>12440213</v>
      </c>
      <c r="D4" s="8">
        <v>15276319</v>
      </c>
      <c r="F4" s="5"/>
      <c r="G4" s="6"/>
    </row>
    <row r="5" spans="1:7" ht="12.75" customHeight="1" x14ac:dyDescent="0.25">
      <c r="A5" s="9" t="s">
        <v>7</v>
      </c>
      <c r="B5" s="8">
        <v>2369469</v>
      </c>
      <c r="C5" s="8">
        <v>2652462</v>
      </c>
      <c r="D5" s="8">
        <v>2228362</v>
      </c>
      <c r="F5" s="5"/>
      <c r="G5" s="6"/>
    </row>
    <row r="6" spans="1:7" ht="12.75" customHeight="1" x14ac:dyDescent="0.25">
      <c r="A6" s="9" t="s">
        <v>8</v>
      </c>
      <c r="B6" s="8">
        <v>1221814</v>
      </c>
      <c r="C6" s="8">
        <v>1545149</v>
      </c>
      <c r="D6" s="8">
        <v>1829600</v>
      </c>
      <c r="F6" s="5"/>
      <c r="G6" s="6"/>
    </row>
    <row r="7" spans="1:7" ht="12.75" customHeight="1" x14ac:dyDescent="0.25">
      <c r="A7" s="9" t="s">
        <v>9</v>
      </c>
      <c r="B7" s="8">
        <v>630294</v>
      </c>
      <c r="C7" s="8">
        <v>914369</v>
      </c>
      <c r="D7" s="8">
        <v>1076486</v>
      </c>
      <c r="F7" s="5"/>
      <c r="G7" s="6"/>
    </row>
    <row r="8" spans="1:7" ht="12.75" customHeight="1" x14ac:dyDescent="0.25">
      <c r="A8" s="10" t="s">
        <v>10</v>
      </c>
      <c r="B8" s="8">
        <v>1605226</v>
      </c>
      <c r="C8" s="8">
        <v>2604254</v>
      </c>
      <c r="D8" s="8">
        <v>4585289</v>
      </c>
      <c r="F8" s="5"/>
      <c r="G8" s="6"/>
    </row>
    <row r="9" spans="1:7" ht="12.75" customHeight="1" x14ac:dyDescent="0.25">
      <c r="A9" s="7" t="s">
        <v>11</v>
      </c>
      <c r="B9" s="8"/>
      <c r="C9" s="8"/>
      <c r="D9" s="8"/>
      <c r="F9" s="5"/>
      <c r="G9" s="6"/>
    </row>
    <row r="10" spans="1:7" ht="12.75" customHeight="1" x14ac:dyDescent="0.25">
      <c r="A10" s="11" t="s">
        <v>12</v>
      </c>
      <c r="B10" s="8">
        <v>-420493</v>
      </c>
      <c r="C10" s="8">
        <v>-626023</v>
      </c>
      <c r="D10" s="8">
        <v>-767499</v>
      </c>
      <c r="F10" s="5"/>
      <c r="G10" s="11"/>
    </row>
    <row r="11" spans="1:7" ht="12.75" customHeight="1" x14ac:dyDescent="0.25">
      <c r="A11" s="11" t="s">
        <v>13</v>
      </c>
      <c r="B11" s="8">
        <v>41725</v>
      </c>
      <c r="C11" s="8">
        <v>84000</v>
      </c>
      <c r="D11" s="8">
        <v>-618441</v>
      </c>
      <c r="F11" s="5"/>
      <c r="G11" s="6"/>
    </row>
    <row r="12" spans="1:7" ht="12.75" customHeight="1" x14ac:dyDescent="0.25">
      <c r="A12" s="12" t="s">
        <v>14</v>
      </c>
      <c r="B12" s="8">
        <v>1226458</v>
      </c>
      <c r="C12" s="8">
        <v>2062231</v>
      </c>
      <c r="D12" s="8">
        <v>3199349</v>
      </c>
      <c r="F12" s="5"/>
      <c r="G12" s="6"/>
    </row>
    <row r="13" spans="1:7" ht="12.75" customHeight="1" x14ac:dyDescent="0.25">
      <c r="A13" s="12" t="s">
        <v>15</v>
      </c>
      <c r="B13" s="8">
        <v>-15216</v>
      </c>
      <c r="C13" s="8">
        <v>-195315</v>
      </c>
      <c r="D13" s="8">
        <v>-437954</v>
      </c>
      <c r="F13" s="5"/>
      <c r="G13" s="6"/>
    </row>
    <row r="14" spans="1:7" ht="12.75" customHeight="1" x14ac:dyDescent="0.25">
      <c r="A14" s="12" t="s">
        <v>16</v>
      </c>
      <c r="B14" s="8">
        <v>1211242</v>
      </c>
      <c r="C14" s="8">
        <v>1866916</v>
      </c>
      <c r="D14" s="8">
        <v>2761395</v>
      </c>
      <c r="F14" s="5"/>
      <c r="G14" s="6"/>
    </row>
    <row r="15" spans="1:7" ht="12.75" customHeight="1" x14ac:dyDescent="0.25">
      <c r="A15" s="7"/>
      <c r="B15" s="7"/>
      <c r="C15" s="7"/>
      <c r="D15" s="7"/>
      <c r="E15" s="5"/>
      <c r="F15" s="5"/>
      <c r="G15" s="6"/>
    </row>
    <row r="16" spans="1:7" ht="12.75" customHeight="1" x14ac:dyDescent="0.25">
      <c r="A16" s="7"/>
      <c r="B16" s="7"/>
      <c r="C16" s="7"/>
      <c r="D16" s="7"/>
      <c r="E16" s="7"/>
      <c r="F16" s="5"/>
      <c r="G16" s="7"/>
    </row>
    <row r="17" spans="1:7" ht="12.75" customHeight="1" x14ac:dyDescent="0.25">
      <c r="A17" s="7"/>
      <c r="B17" s="7"/>
      <c r="C17" s="7"/>
      <c r="D17" s="7"/>
      <c r="E17" s="7"/>
      <c r="F17" s="5"/>
      <c r="G17" s="7"/>
    </row>
    <row r="18" spans="1:7" ht="12.75" customHeight="1" x14ac:dyDescent="0.25">
      <c r="A18" s="7"/>
      <c r="B18" s="5"/>
      <c r="C18" s="5"/>
      <c r="D18" s="5"/>
      <c r="F18" s="5"/>
      <c r="G18" s="6"/>
    </row>
    <row r="19" spans="1:7" ht="12.75" customHeight="1" x14ac:dyDescent="0.25">
      <c r="A19" s="7"/>
      <c r="B19" s="5"/>
      <c r="C19" s="5"/>
      <c r="D19" s="5"/>
      <c r="F19" s="5"/>
      <c r="G19" s="6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7F41-B3FC-4CBF-9861-4D3A4E737DB3}">
  <dimension ref="A1:F19"/>
  <sheetViews>
    <sheetView workbookViewId="0">
      <selection activeCell="C20" sqref="C20"/>
    </sheetView>
  </sheetViews>
  <sheetFormatPr defaultRowHeight="15" x14ac:dyDescent="0.25"/>
  <cols>
    <col min="1" max="1" width="25.140625" customWidth="1"/>
    <col min="2" max="2" width="0.140625" customWidth="1"/>
    <col min="3" max="3" width="18.28515625" customWidth="1"/>
    <col min="4" max="4" width="16.5703125" customWidth="1"/>
    <col min="5" max="5" width="13.85546875" customWidth="1"/>
    <col min="6" max="6" width="15.85546875" customWidth="1"/>
  </cols>
  <sheetData>
    <row r="1" spans="1:6" x14ac:dyDescent="0.25">
      <c r="A1" t="s">
        <v>126</v>
      </c>
    </row>
    <row r="3" spans="1:6" ht="24" x14ac:dyDescent="0.25">
      <c r="A3" s="3" t="s">
        <v>1</v>
      </c>
      <c r="B3" s="56"/>
      <c r="C3" s="32" t="s">
        <v>140</v>
      </c>
      <c r="D3" s="32" t="s">
        <v>141</v>
      </c>
      <c r="E3" s="32" t="s">
        <v>142</v>
      </c>
      <c r="F3" s="32" t="s">
        <v>143</v>
      </c>
    </row>
    <row r="4" spans="1:6" x14ac:dyDescent="0.25">
      <c r="A4" t="s">
        <v>107</v>
      </c>
      <c r="C4" s="52">
        <f>'Cashflow Statement'!E21</f>
        <v>2041907.6297163609</v>
      </c>
      <c r="D4" s="52">
        <f>'Cashflow Statement'!F21</f>
        <v>3126151.5679386444</v>
      </c>
      <c r="E4" s="52">
        <f>'Cashflow Statement'!G21</f>
        <v>3918570.1766434256</v>
      </c>
      <c r="F4" s="52">
        <f>'Cashflow Statement'!H21</f>
        <v>4660959.21349792</v>
      </c>
    </row>
    <row r="5" spans="1:6" x14ac:dyDescent="0.25">
      <c r="A5" t="s">
        <v>127</v>
      </c>
      <c r="C5">
        <f>1/(1+WACC!$B$18)^C6</f>
        <v>0.93971053204653454</v>
      </c>
      <c r="D5">
        <f>1/(1+WACC!$B$18)^D6</f>
        <v>0.88305588403918089</v>
      </c>
      <c r="E5">
        <f>1/(1+WACC!$B$18)^E6</f>
        <v>0.82981691461728169</v>
      </c>
      <c r="F5">
        <f>1/(1+WACC!$B$18)^F6</f>
        <v>0.77978769433621942</v>
      </c>
    </row>
    <row r="6" spans="1:6" x14ac:dyDescent="0.25">
      <c r="A6" t="s">
        <v>128</v>
      </c>
      <c r="C6">
        <v>1</v>
      </c>
      <c r="D6">
        <v>2</v>
      </c>
      <c r="E6">
        <v>3</v>
      </c>
      <c r="F6">
        <v>4</v>
      </c>
    </row>
    <row r="8" spans="1:6" x14ac:dyDescent="0.25">
      <c r="A8" t="s">
        <v>129</v>
      </c>
      <c r="C8" s="85">
        <f>C4*C5</f>
        <v>1918802.1051106397</v>
      </c>
      <c r="D8" s="85">
        <f t="shared" ref="D8:F8" si="0">D4*D5</f>
        <v>2760566.536466531</v>
      </c>
      <c r="E8" s="85">
        <f t="shared" si="0"/>
        <v>3251695.8136935439</v>
      </c>
      <c r="F8" s="85">
        <f t="shared" si="0"/>
        <v>3634558.6384887015</v>
      </c>
    </row>
    <row r="10" spans="1:6" x14ac:dyDescent="0.25">
      <c r="A10" t="s">
        <v>130</v>
      </c>
      <c r="C10" s="85">
        <f>SUM(C8:F8)</f>
        <v>11565623.093759418</v>
      </c>
    </row>
    <row r="12" spans="1:6" x14ac:dyDescent="0.25">
      <c r="A12" t="s">
        <v>131</v>
      </c>
      <c r="C12" s="85">
        <f>(F4*(1+WACC!B3))/(WACC!B18-WACC!B3)</f>
        <v>99853518.385133415</v>
      </c>
    </row>
    <row r="13" spans="1:6" x14ac:dyDescent="0.25">
      <c r="A13" t="s">
        <v>132</v>
      </c>
      <c r="C13" s="85">
        <f>C12*F5</f>
        <v>77864544.872902483</v>
      </c>
    </row>
    <row r="15" spans="1:6" x14ac:dyDescent="0.25">
      <c r="B15" s="67"/>
      <c r="C15" s="67"/>
      <c r="D15" s="67"/>
      <c r="E15" s="67"/>
    </row>
    <row r="16" spans="1:6" x14ac:dyDescent="0.25">
      <c r="A16" s="70" t="s">
        <v>133</v>
      </c>
      <c r="C16" s="126">
        <f>C13+C10</f>
        <v>89430167.9666619</v>
      </c>
    </row>
    <row r="17" spans="1:3" x14ac:dyDescent="0.25">
      <c r="A17" t="s">
        <v>123</v>
      </c>
      <c r="C17" s="48">
        <f>'Balance Sheet'!H23</f>
        <v>14209095</v>
      </c>
    </row>
    <row r="18" spans="1:3" x14ac:dyDescent="0.25">
      <c r="A18" t="s">
        <v>134</v>
      </c>
      <c r="C18" s="48">
        <f>'Balance Sheet'!H6</f>
        <v>18047392.405990317</v>
      </c>
    </row>
    <row r="19" spans="1:3" x14ac:dyDescent="0.25">
      <c r="A19" s="70" t="s">
        <v>135</v>
      </c>
      <c r="C19" s="126">
        <f>C16+C18-C17</f>
        <v>93268465.372652218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6B89-F839-4E23-B85B-B025BF393209}">
  <dimension ref="A3:B19"/>
  <sheetViews>
    <sheetView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5" x14ac:dyDescent="0.25"/>
  <cols>
    <col min="1" max="1" width="33.85546875" bestFit="1" customWidth="1"/>
    <col min="2" max="2" width="19.5703125" customWidth="1"/>
    <col min="3" max="3" width="33.28515625" bestFit="1" customWidth="1"/>
    <col min="4" max="4" width="29.7109375" bestFit="1" customWidth="1"/>
    <col min="5" max="5" width="10.7109375" bestFit="1" customWidth="1"/>
    <col min="6" max="6" width="17.42578125" bestFit="1" customWidth="1"/>
    <col min="7" max="7" width="24.5703125" bestFit="1" customWidth="1"/>
    <col min="8" max="8" width="14.85546875" bestFit="1" customWidth="1"/>
    <col min="9" max="9" width="14.42578125" bestFit="1" customWidth="1"/>
    <col min="10" max="10" width="14" bestFit="1" customWidth="1"/>
    <col min="11" max="11" width="16" bestFit="1" customWidth="1"/>
    <col min="12" max="12" width="33.85546875" bestFit="1" customWidth="1"/>
    <col min="13" max="13" width="17" bestFit="1" customWidth="1"/>
    <col min="14" max="14" width="10.28515625" bestFit="1" customWidth="1"/>
    <col min="15" max="15" width="10.7109375" bestFit="1" customWidth="1"/>
    <col min="16" max="16" width="7.28515625" bestFit="1" customWidth="1"/>
    <col min="17" max="17" width="11.28515625" bestFit="1" customWidth="1"/>
  </cols>
  <sheetData>
    <row r="3" spans="1:2" x14ac:dyDescent="0.25">
      <c r="A3" s="71" t="s">
        <v>136</v>
      </c>
      <c r="B3" t="s">
        <v>139</v>
      </c>
    </row>
    <row r="4" spans="1:2" x14ac:dyDescent="0.25">
      <c r="A4" s="72" t="s">
        <v>1</v>
      </c>
      <c r="B4">
        <v>2</v>
      </c>
    </row>
    <row r="5" spans="1:2" x14ac:dyDescent="0.25">
      <c r="A5" s="72" t="s">
        <v>81</v>
      </c>
      <c r="B5">
        <v>1</v>
      </c>
    </row>
    <row r="6" spans="1:2" x14ac:dyDescent="0.25">
      <c r="A6" s="72" t="s">
        <v>77</v>
      </c>
      <c r="B6">
        <v>1</v>
      </c>
    </row>
    <row r="7" spans="1:2" x14ac:dyDescent="0.25">
      <c r="A7" s="72" t="s">
        <v>71</v>
      </c>
      <c r="B7">
        <v>1</v>
      </c>
    </row>
    <row r="8" spans="1:2" x14ac:dyDescent="0.25">
      <c r="A8" s="72" t="s">
        <v>70</v>
      </c>
      <c r="B8">
        <v>2</v>
      </c>
    </row>
    <row r="9" spans="1:2" x14ac:dyDescent="0.25">
      <c r="A9" s="72" t="s">
        <v>80</v>
      </c>
      <c r="B9">
        <v>1</v>
      </c>
    </row>
    <row r="10" spans="1:2" x14ac:dyDescent="0.25">
      <c r="A10" s="72" t="s">
        <v>73</v>
      </c>
      <c r="B10">
        <v>3</v>
      </c>
    </row>
    <row r="11" spans="1:2" x14ac:dyDescent="0.25">
      <c r="A11" s="72" t="s">
        <v>75</v>
      </c>
      <c r="B11">
        <v>1</v>
      </c>
    </row>
    <row r="12" spans="1:2" x14ac:dyDescent="0.25">
      <c r="A12" s="72" t="s">
        <v>79</v>
      </c>
      <c r="B12">
        <v>1</v>
      </c>
    </row>
    <row r="13" spans="1:2" x14ac:dyDescent="0.25">
      <c r="A13" s="72" t="s">
        <v>82</v>
      </c>
      <c r="B13">
        <v>1</v>
      </c>
    </row>
    <row r="14" spans="1:2" x14ac:dyDescent="0.25">
      <c r="A14" s="72" t="s">
        <v>76</v>
      </c>
      <c r="B14">
        <v>1</v>
      </c>
    </row>
    <row r="15" spans="1:2" x14ac:dyDescent="0.25">
      <c r="A15" s="72" t="s">
        <v>72</v>
      </c>
      <c r="B15">
        <v>1</v>
      </c>
    </row>
    <row r="16" spans="1:2" x14ac:dyDescent="0.25">
      <c r="A16" s="72" t="s">
        <v>78</v>
      </c>
      <c r="B16">
        <v>1</v>
      </c>
    </row>
    <row r="17" spans="1:2" x14ac:dyDescent="0.25">
      <c r="A17" s="72" t="s">
        <v>74</v>
      </c>
      <c r="B17">
        <v>1</v>
      </c>
    </row>
    <row r="18" spans="1:2" x14ac:dyDescent="0.25">
      <c r="A18" s="72" t="s">
        <v>137</v>
      </c>
    </row>
    <row r="19" spans="1:2" x14ac:dyDescent="0.25">
      <c r="A19" s="72" t="s">
        <v>138</v>
      </c>
      <c r="B19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96F3-1C89-421C-9DA6-7556E51A6001}">
  <dimension ref="A1:K33"/>
  <sheetViews>
    <sheetView topLeftCell="A4" zoomScale="90" zoomScaleNormal="90" workbookViewId="0">
      <selection activeCell="A34" sqref="A34"/>
    </sheetView>
  </sheetViews>
  <sheetFormatPr defaultColWidth="9.140625" defaultRowHeight="12.75" x14ac:dyDescent="0.25"/>
  <cols>
    <col min="1" max="1" width="45.140625" style="5" bestFit="1" customWidth="1"/>
    <col min="2" max="4" width="12.7109375" style="5" bestFit="1" customWidth="1"/>
    <col min="5" max="5" width="9.140625" style="5"/>
    <col min="6" max="7" width="11.28515625" style="5" bestFit="1" customWidth="1"/>
    <col min="8" max="8" width="12" style="5" bestFit="1" customWidth="1"/>
    <col min="9" max="10" width="10.28515625" style="5" bestFit="1" customWidth="1"/>
    <col min="11" max="16384" width="9.140625" style="5"/>
  </cols>
  <sheetData>
    <row r="1" spans="1:11" ht="15.75" x14ac:dyDescent="0.25">
      <c r="A1" s="1" t="s">
        <v>17</v>
      </c>
    </row>
    <row r="3" spans="1:11" ht="24" x14ac:dyDescent="0.2">
      <c r="A3" s="3" t="s">
        <v>1</v>
      </c>
      <c r="B3" s="4" t="s">
        <v>2</v>
      </c>
      <c r="C3" s="4" t="s">
        <v>3</v>
      </c>
      <c r="D3" s="4" t="s">
        <v>4</v>
      </c>
    </row>
    <row r="4" spans="1:11" x14ac:dyDescent="0.2">
      <c r="A4" s="13" t="s">
        <v>18</v>
      </c>
      <c r="B4" s="2"/>
      <c r="C4" s="2"/>
      <c r="D4" s="2"/>
      <c r="E4" s="14"/>
      <c r="F4" s="14"/>
      <c r="G4" s="2"/>
      <c r="H4" s="2"/>
      <c r="I4" s="2"/>
      <c r="J4" s="2"/>
      <c r="K4" s="2"/>
    </row>
    <row r="5" spans="1:11" x14ac:dyDescent="0.2">
      <c r="A5" s="14" t="s">
        <v>19</v>
      </c>
      <c r="B5" s="14"/>
      <c r="C5" s="15"/>
      <c r="D5" s="15"/>
      <c r="E5" s="14"/>
      <c r="F5" s="14"/>
      <c r="G5" s="2"/>
      <c r="H5" s="2"/>
      <c r="I5" s="2"/>
      <c r="J5" s="2"/>
      <c r="K5" s="2"/>
    </row>
    <row r="6" spans="1:11" x14ac:dyDescent="0.2">
      <c r="A6" s="14" t="s">
        <v>20</v>
      </c>
      <c r="B6" s="16">
        <v>3794483</v>
      </c>
      <c r="C6" s="17">
        <v>5018437</v>
      </c>
      <c r="D6" s="17">
        <v>8205550</v>
      </c>
      <c r="E6" s="14"/>
      <c r="F6" s="14" t="s">
        <v>63</v>
      </c>
      <c r="G6" s="2"/>
      <c r="H6" s="2"/>
      <c r="I6" s="2"/>
      <c r="J6" s="2"/>
      <c r="K6" s="2"/>
    </row>
    <row r="7" spans="1:11" x14ac:dyDescent="0.2">
      <c r="A7" s="14" t="s">
        <v>21</v>
      </c>
      <c r="B7" s="16">
        <f>748466+5151186</f>
        <v>5899652</v>
      </c>
      <c r="C7" s="18">
        <v>1160067</v>
      </c>
      <c r="D7" s="18">
        <v>1556030</v>
      </c>
      <c r="E7" s="14"/>
      <c r="F7" s="14" t="s">
        <v>58</v>
      </c>
      <c r="G7" s="2"/>
      <c r="H7" s="2"/>
      <c r="I7" s="2"/>
      <c r="J7" s="2"/>
      <c r="K7" s="2"/>
    </row>
    <row r="8" spans="1:11" x14ac:dyDescent="0.2">
      <c r="A8" s="14" t="s">
        <v>22</v>
      </c>
      <c r="B8" s="19">
        <f>SUM(B6:B7)</f>
        <v>9694135</v>
      </c>
      <c r="C8" s="20">
        <f>SUM(C6:C7)</f>
        <v>6178504</v>
      </c>
      <c r="D8" s="20">
        <f>SUM(D6:D7)</f>
        <v>9761580</v>
      </c>
      <c r="E8" s="14"/>
      <c r="F8" s="2"/>
      <c r="G8" s="2"/>
      <c r="H8" s="2"/>
      <c r="I8" s="2"/>
      <c r="J8" s="2"/>
      <c r="K8" s="2"/>
    </row>
    <row r="9" spans="1:11" x14ac:dyDescent="0.2">
      <c r="A9" s="14" t="s">
        <v>23</v>
      </c>
      <c r="B9" s="16">
        <v>14951141</v>
      </c>
      <c r="C9" s="20">
        <v>24504567</v>
      </c>
      <c r="D9" s="20">
        <v>25383950</v>
      </c>
      <c r="E9" s="14"/>
      <c r="F9" s="14" t="s">
        <v>64</v>
      </c>
      <c r="G9" s="2"/>
      <c r="H9" s="2"/>
      <c r="I9" s="2"/>
      <c r="J9" s="2"/>
      <c r="K9" s="2"/>
    </row>
    <row r="10" spans="1:11" x14ac:dyDescent="0.2">
      <c r="A10" s="14" t="s">
        <v>24</v>
      </c>
      <c r="B10" s="16">
        <v>418281</v>
      </c>
      <c r="C10" s="20">
        <v>565221</v>
      </c>
      <c r="D10" s="20">
        <v>960183</v>
      </c>
      <c r="E10" s="14"/>
      <c r="F10" s="50" t="s">
        <v>64</v>
      </c>
      <c r="G10" s="21"/>
      <c r="H10" s="21"/>
      <c r="I10" s="2"/>
      <c r="J10" s="2"/>
      <c r="K10" s="2"/>
    </row>
    <row r="11" spans="1:11" x14ac:dyDescent="0.2">
      <c r="A11" s="14" t="s">
        <v>25</v>
      </c>
      <c r="B11" s="16">
        <v>910843</v>
      </c>
      <c r="C11" s="20">
        <v>2727420</v>
      </c>
      <c r="D11" s="20">
        <v>3174646</v>
      </c>
      <c r="E11" s="14"/>
      <c r="F11" s="21"/>
      <c r="G11" s="21"/>
      <c r="H11" s="21"/>
      <c r="I11" s="2"/>
      <c r="J11" s="2"/>
      <c r="K11" s="2"/>
    </row>
    <row r="12" spans="1:11" ht="13.5" thickBot="1" x14ac:dyDescent="0.25">
      <c r="A12" s="13" t="s">
        <v>26</v>
      </c>
      <c r="B12" s="77">
        <f>SUM(B8:B11)</f>
        <v>25974400</v>
      </c>
      <c r="C12" s="77">
        <f>SUM(C8:C11)</f>
        <v>33975712</v>
      </c>
      <c r="D12" s="77">
        <f>SUM(D8:D11)</f>
        <v>39280359</v>
      </c>
      <c r="E12" s="13"/>
      <c r="F12" s="21"/>
      <c r="G12" s="21"/>
      <c r="H12" s="21"/>
      <c r="I12" s="2"/>
      <c r="J12" s="2"/>
      <c r="K12" s="2"/>
    </row>
    <row r="13" spans="1:11" x14ac:dyDescent="0.2">
      <c r="A13" s="13"/>
      <c r="B13" s="22"/>
      <c r="C13" s="22"/>
      <c r="D13" s="22"/>
      <c r="E13" s="13"/>
      <c r="F13" s="2"/>
      <c r="G13" s="2"/>
      <c r="H13" s="2"/>
      <c r="I13" s="2"/>
      <c r="J13" s="2"/>
      <c r="K13" s="2"/>
    </row>
    <row r="14" spans="1:11" x14ac:dyDescent="0.2">
      <c r="A14" s="13" t="s">
        <v>27</v>
      </c>
      <c r="B14" s="14"/>
      <c r="C14" s="23"/>
      <c r="D14" s="23"/>
      <c r="E14" s="14"/>
      <c r="F14" s="14"/>
      <c r="G14" s="2"/>
      <c r="H14" s="2"/>
      <c r="I14" s="2"/>
      <c r="J14" s="2"/>
      <c r="K14" s="2"/>
    </row>
    <row r="15" spans="1:11" x14ac:dyDescent="0.2">
      <c r="A15" s="14" t="s">
        <v>28</v>
      </c>
      <c r="B15" s="14"/>
      <c r="C15" s="20"/>
      <c r="D15" s="20"/>
      <c r="E15" s="14"/>
      <c r="F15" s="14"/>
      <c r="G15" s="2"/>
      <c r="H15" s="2"/>
      <c r="I15" s="2"/>
      <c r="J15" s="2"/>
      <c r="K15" s="2"/>
    </row>
    <row r="16" spans="1:11" x14ac:dyDescent="0.2">
      <c r="A16" s="14" t="s">
        <v>29</v>
      </c>
      <c r="B16" s="16">
        <v>4681562</v>
      </c>
      <c r="C16" s="17">
        <v>4413561</v>
      </c>
      <c r="D16" s="17">
        <v>4429536</v>
      </c>
      <c r="E16" s="14"/>
      <c r="F16" s="24"/>
      <c r="G16" s="2"/>
      <c r="H16" s="25"/>
      <c r="I16" s="26"/>
      <c r="K16" s="2"/>
    </row>
    <row r="17" spans="1:11" x14ac:dyDescent="0.2">
      <c r="A17" s="14" t="s">
        <v>30</v>
      </c>
      <c r="B17" s="16">
        <v>562985</v>
      </c>
      <c r="C17" s="20">
        <v>674347</v>
      </c>
      <c r="D17" s="20">
        <v>656183</v>
      </c>
      <c r="E17" s="14"/>
      <c r="F17" s="14" t="s">
        <v>58</v>
      </c>
      <c r="G17" s="2"/>
      <c r="H17" s="25"/>
      <c r="I17" s="26"/>
      <c r="K17" s="2"/>
    </row>
    <row r="18" spans="1:11" x14ac:dyDescent="0.2">
      <c r="A18" s="14" t="s">
        <v>31</v>
      </c>
      <c r="B18" s="16">
        <v>481874</v>
      </c>
      <c r="C18" s="20">
        <v>843043</v>
      </c>
      <c r="D18" s="20">
        <v>1102196</v>
      </c>
      <c r="E18" s="14"/>
      <c r="F18" s="14"/>
      <c r="G18" s="2"/>
      <c r="H18" s="2"/>
      <c r="I18" s="2"/>
      <c r="J18" s="2"/>
      <c r="K18" s="2"/>
    </row>
    <row r="19" spans="1:11" x14ac:dyDescent="0.2">
      <c r="A19" s="14" t="s">
        <v>32</v>
      </c>
      <c r="B19" s="16">
        <v>760899</v>
      </c>
      <c r="C19" s="20">
        <v>924745</v>
      </c>
      <c r="D19" s="20">
        <v>1117992</v>
      </c>
      <c r="E19" s="14"/>
      <c r="F19" s="14"/>
      <c r="G19" s="2"/>
      <c r="H19" s="2"/>
      <c r="I19" s="2"/>
      <c r="J19" s="2"/>
      <c r="K19" s="2"/>
    </row>
    <row r="20" spans="1:11" x14ac:dyDescent="0.2">
      <c r="A20" s="14" t="s">
        <v>33</v>
      </c>
      <c r="B20" s="18">
        <v>0</v>
      </c>
      <c r="C20" s="18">
        <v>0</v>
      </c>
      <c r="D20" s="18">
        <v>499878</v>
      </c>
      <c r="E20" s="14"/>
      <c r="F20" s="14"/>
      <c r="G20" s="2"/>
      <c r="H20" s="2"/>
      <c r="I20" s="2"/>
      <c r="J20" s="2"/>
      <c r="K20" s="2"/>
    </row>
    <row r="21" spans="1:11" x14ac:dyDescent="0.2">
      <c r="A21" s="14" t="s">
        <v>34</v>
      </c>
      <c r="B21" s="19">
        <f>SUM(B16:B20)</f>
        <v>6487320</v>
      </c>
      <c r="C21" s="20">
        <f>SUM(C16:C20)</f>
        <v>6855696</v>
      </c>
      <c r="D21" s="20">
        <f>SUM(D16:D20)</f>
        <v>7805785</v>
      </c>
      <c r="E21" s="14"/>
      <c r="F21" s="2"/>
      <c r="G21" s="2"/>
      <c r="H21" s="2"/>
      <c r="I21" s="2"/>
      <c r="J21" s="2"/>
      <c r="K21" s="2"/>
    </row>
    <row r="22" spans="1:11" x14ac:dyDescent="0.2">
      <c r="A22" s="14" t="s">
        <v>35</v>
      </c>
      <c r="B22" s="16">
        <v>3759026</v>
      </c>
      <c r="C22" s="20">
        <v>3334323</v>
      </c>
      <c r="D22" s="20">
        <v>2618084</v>
      </c>
      <c r="E22" s="14"/>
      <c r="F22" s="14"/>
      <c r="G22" s="2"/>
      <c r="H22" s="2"/>
      <c r="I22" s="2"/>
      <c r="J22" s="2"/>
      <c r="K22" s="2"/>
    </row>
    <row r="23" spans="1:11" x14ac:dyDescent="0.2">
      <c r="A23" s="14" t="s">
        <v>36</v>
      </c>
      <c r="B23" s="16">
        <v>10360058</v>
      </c>
      <c r="C23" s="20">
        <v>14759260</v>
      </c>
      <c r="D23" s="20">
        <v>15809095</v>
      </c>
      <c r="E23" s="14"/>
      <c r="F23" s="14"/>
      <c r="G23" s="21"/>
      <c r="H23" s="2"/>
      <c r="I23" s="2"/>
      <c r="J23" s="2"/>
      <c r="K23" s="2"/>
    </row>
    <row r="24" spans="1:11" x14ac:dyDescent="0.2">
      <c r="A24" s="14" t="s">
        <v>37</v>
      </c>
      <c r="B24" s="16">
        <v>129231</v>
      </c>
      <c r="C24" s="18">
        <v>1444276</v>
      </c>
      <c r="D24" s="18">
        <v>1982155</v>
      </c>
      <c r="E24" s="14"/>
      <c r="F24" s="24"/>
      <c r="G24" s="24"/>
      <c r="H24" s="24"/>
      <c r="I24" s="2"/>
      <c r="J24" s="2"/>
      <c r="K24" s="2"/>
    </row>
    <row r="25" spans="1:11" x14ac:dyDescent="0.2">
      <c r="A25" s="13" t="s">
        <v>38</v>
      </c>
      <c r="B25" s="19">
        <f>SUM(B21:B24)</f>
        <v>20735635</v>
      </c>
      <c r="C25" s="20">
        <f>SUM(C21:C24)</f>
        <v>26393555</v>
      </c>
      <c r="D25" s="20">
        <f>SUM(D21:D24)</f>
        <v>28215119</v>
      </c>
      <c r="E25" s="14"/>
      <c r="F25" s="2"/>
      <c r="G25" s="2"/>
      <c r="H25" s="2"/>
      <c r="I25" s="2"/>
      <c r="J25" s="2"/>
      <c r="K25" s="2"/>
    </row>
    <row r="26" spans="1:11" x14ac:dyDescent="0.2">
      <c r="A26" s="14" t="s">
        <v>39</v>
      </c>
      <c r="B26" s="14"/>
      <c r="C26" s="20"/>
      <c r="D26" s="20"/>
      <c r="E26" s="14"/>
      <c r="F26" s="14"/>
      <c r="G26" s="2"/>
      <c r="H26" s="2"/>
      <c r="I26" s="2"/>
      <c r="J26" s="2"/>
      <c r="K26" s="2"/>
    </row>
    <row r="27" spans="1:11" x14ac:dyDescent="0.2">
      <c r="A27" s="14" t="s">
        <v>40</v>
      </c>
      <c r="B27" s="20">
        <v>2315988</v>
      </c>
      <c r="C27" s="20">
        <v>2793929</v>
      </c>
      <c r="D27" s="20">
        <v>3447698</v>
      </c>
      <c r="E27" s="27"/>
      <c r="F27" s="2"/>
      <c r="G27" s="2"/>
      <c r="H27" s="2"/>
      <c r="I27" s="2"/>
      <c r="J27" s="2"/>
      <c r="K27" s="2"/>
    </row>
    <row r="28" spans="1:11" x14ac:dyDescent="0.2">
      <c r="A28" s="14" t="s">
        <v>41</v>
      </c>
      <c r="B28" s="27"/>
      <c r="C28" s="20">
        <v>0</v>
      </c>
      <c r="D28" s="20">
        <v>0</v>
      </c>
      <c r="E28" s="27"/>
      <c r="F28" s="2"/>
      <c r="G28" s="2"/>
      <c r="H28" s="2"/>
      <c r="I28" s="2"/>
      <c r="J28" s="2"/>
      <c r="K28" s="2"/>
    </row>
    <row r="29" spans="1:11" x14ac:dyDescent="0.2">
      <c r="A29" s="14" t="s">
        <v>42</v>
      </c>
      <c r="B29" s="20">
        <v>-19582</v>
      </c>
      <c r="C29" s="20">
        <v>-23521</v>
      </c>
      <c r="D29" s="20">
        <v>44398</v>
      </c>
      <c r="E29" s="14"/>
      <c r="F29" s="2"/>
      <c r="G29" s="2"/>
      <c r="H29" s="2"/>
      <c r="I29" s="2"/>
      <c r="J29" s="2"/>
      <c r="K29" s="2"/>
    </row>
    <row r="30" spans="1:11" x14ac:dyDescent="0.2">
      <c r="A30" s="14" t="s">
        <v>43</v>
      </c>
      <c r="B30" s="16">
        <v>2942359</v>
      </c>
      <c r="C30" s="18">
        <v>4811749</v>
      </c>
      <c r="D30" s="18">
        <v>7573144</v>
      </c>
      <c r="E30" s="14"/>
      <c r="F30" s="2"/>
      <c r="G30" s="21"/>
      <c r="H30" s="21"/>
      <c r="I30" s="2"/>
      <c r="J30" s="2"/>
      <c r="K30" s="2"/>
    </row>
    <row r="31" spans="1:11" x14ac:dyDescent="0.2">
      <c r="A31" s="13" t="s">
        <v>44</v>
      </c>
      <c r="B31" s="28">
        <f>SUM(B27:B30)</f>
        <v>5238765</v>
      </c>
      <c r="C31" s="20">
        <f>SUM(C27:C30)</f>
        <v>7582157</v>
      </c>
      <c r="D31" s="20">
        <f>SUM(D27:D30)</f>
        <v>11065240</v>
      </c>
      <c r="E31" s="2"/>
      <c r="F31" s="2"/>
      <c r="G31" s="2"/>
      <c r="H31" s="2"/>
      <c r="I31" s="2"/>
      <c r="J31" s="2"/>
      <c r="K31" s="2"/>
    </row>
    <row r="32" spans="1:11" ht="13.5" thickBot="1" x14ac:dyDescent="0.25">
      <c r="A32" s="13" t="s">
        <v>45</v>
      </c>
      <c r="B32" s="77">
        <f>B25+B31</f>
        <v>25974400</v>
      </c>
      <c r="C32" s="77">
        <f>C25+C31</f>
        <v>33975712</v>
      </c>
      <c r="D32" s="77">
        <f>D25+D31</f>
        <v>39280359</v>
      </c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6A42-9AD1-4454-91BF-8935CEA9AF03}">
  <dimension ref="A1:K34"/>
  <sheetViews>
    <sheetView tabSelected="1" zoomScale="90" zoomScaleNormal="90" workbookViewId="0">
      <pane ySplit="2" topLeftCell="A3" activePane="bottomLeft" state="frozen"/>
      <selection activeCell="B1" sqref="B1"/>
      <selection pane="bottomLeft" activeCell="H35" sqref="H35"/>
    </sheetView>
  </sheetViews>
  <sheetFormatPr defaultRowHeight="15" x14ac:dyDescent="0.25"/>
  <cols>
    <col min="1" max="1" width="59.5703125" bestFit="1" customWidth="1"/>
    <col min="2" max="4" width="14.42578125" bestFit="1" customWidth="1"/>
    <col min="5" max="5" width="16.140625" customWidth="1"/>
    <col min="6" max="6" width="16.85546875" customWidth="1"/>
    <col min="7" max="7" width="17" customWidth="1"/>
    <col min="8" max="8" width="15.28515625" customWidth="1"/>
  </cols>
  <sheetData>
    <row r="1" spans="1:11" ht="15.75" x14ac:dyDescent="0.25">
      <c r="A1" s="29" t="s">
        <v>46</v>
      </c>
      <c r="B1" s="30"/>
      <c r="C1" s="30"/>
      <c r="D1" s="30"/>
      <c r="E1" s="30"/>
      <c r="F1" s="30"/>
      <c r="G1" s="30"/>
      <c r="H1" s="30"/>
    </row>
    <row r="2" spans="1:11" ht="24" x14ac:dyDescent="0.25">
      <c r="A2" s="31" t="s">
        <v>1</v>
      </c>
      <c r="B2" s="32" t="s">
        <v>2</v>
      </c>
      <c r="C2" s="32" t="s">
        <v>3</v>
      </c>
      <c r="D2" s="32" t="s">
        <v>4</v>
      </c>
      <c r="E2" s="32" t="s">
        <v>140</v>
      </c>
      <c r="F2" s="32" t="s">
        <v>141</v>
      </c>
      <c r="G2" s="32" t="s">
        <v>142</v>
      </c>
      <c r="H2" s="32" t="s">
        <v>143</v>
      </c>
    </row>
    <row r="3" spans="1:11" x14ac:dyDescent="0.25">
      <c r="A3" s="30" t="s">
        <v>47</v>
      </c>
      <c r="B3" s="75">
        <f>B10+B17+B24+B31</f>
        <v>15428752</v>
      </c>
      <c r="C3" s="75">
        <f t="shared" ref="C3:H3" si="0">C10+C17+C24+C31</f>
        <v>19859230</v>
      </c>
      <c r="D3" s="75">
        <f t="shared" si="0"/>
        <v>24756675</v>
      </c>
      <c r="E3" s="75">
        <f>E10+E17+E24+E31</f>
        <v>28450601.211875249</v>
      </c>
      <c r="F3" s="75">
        <f>F10+F17+F24+F31</f>
        <v>33461471.562312212</v>
      </c>
      <c r="G3" s="75">
        <f t="shared" ref="G3:H3" si="1">ROUND(G10+G17+G24+G31,2)</f>
        <v>38173270.289999999</v>
      </c>
      <c r="H3" s="75">
        <f t="shared" si="1"/>
        <v>42882607.810000002</v>
      </c>
    </row>
    <row r="4" spans="1:11" x14ac:dyDescent="0.25">
      <c r="A4" s="30" t="s">
        <v>48</v>
      </c>
      <c r="B4" s="34">
        <v>365589</v>
      </c>
      <c r="C4" s="34">
        <v>297217</v>
      </c>
      <c r="D4" s="34">
        <v>239381</v>
      </c>
      <c r="E4" s="34">
        <f>D4*(1+E5)</f>
        <v>193705.83812687785</v>
      </c>
      <c r="F4" s="34">
        <f t="shared" ref="F4:H4" si="2">E4*(1+F5)</f>
        <v>156745.73890340587</v>
      </c>
      <c r="G4" s="34">
        <f t="shared" si="2"/>
        <v>126837.82224613064</v>
      </c>
      <c r="H4" s="34">
        <f t="shared" si="2"/>
        <v>102636.49439335072</v>
      </c>
    </row>
    <row r="5" spans="1:11" x14ac:dyDescent="0.25">
      <c r="A5" s="35" t="s">
        <v>49</v>
      </c>
      <c r="B5" s="30"/>
      <c r="C5" s="36">
        <f>C4/B4-1</f>
        <v>-0.18701875603478224</v>
      </c>
      <c r="D5" s="36">
        <f>D4/C4-1</f>
        <v>-0.19459183021159621</v>
      </c>
      <c r="E5" s="36">
        <f>AVERAGE($C$5:$D$5)</f>
        <v>-0.19080529312318922</v>
      </c>
      <c r="F5" s="36">
        <f t="shared" ref="F5:H5" si="3">AVERAGE($C$5:$D$5)</f>
        <v>-0.19080529312318922</v>
      </c>
      <c r="G5" s="36">
        <f t="shared" si="3"/>
        <v>-0.19080529312318922</v>
      </c>
      <c r="H5" s="36">
        <f t="shared" si="3"/>
        <v>-0.19080529312318922</v>
      </c>
    </row>
    <row r="6" spans="1:11" x14ac:dyDescent="0.25">
      <c r="A6" s="37" t="s">
        <v>50</v>
      </c>
      <c r="B6" s="74">
        <f>B3+B4</f>
        <v>15794341</v>
      </c>
      <c r="C6" s="74">
        <f t="shared" ref="C6:H6" si="4">C3+C4</f>
        <v>20156447</v>
      </c>
      <c r="D6" s="74">
        <f t="shared" si="4"/>
        <v>24996056</v>
      </c>
      <c r="E6" s="74">
        <f>E3+E4</f>
        <v>28644307.050002128</v>
      </c>
      <c r="F6" s="74">
        <f t="shared" si="4"/>
        <v>33618217.301215619</v>
      </c>
      <c r="G6" s="74">
        <f t="shared" si="4"/>
        <v>38300108.112246133</v>
      </c>
      <c r="H6" s="74">
        <f t="shared" si="4"/>
        <v>42985244.304393351</v>
      </c>
    </row>
    <row r="7" spans="1:11" x14ac:dyDescent="0.25">
      <c r="A7" s="30"/>
      <c r="B7" s="30"/>
      <c r="C7" s="30"/>
      <c r="D7" s="30"/>
      <c r="E7" s="30"/>
      <c r="F7" s="30"/>
      <c r="G7" s="30"/>
      <c r="H7" s="30"/>
    </row>
    <row r="8" spans="1:11" x14ac:dyDescent="0.25">
      <c r="A8" s="30"/>
      <c r="B8" s="30"/>
      <c r="C8" s="30"/>
      <c r="D8" s="30"/>
      <c r="E8" s="30"/>
      <c r="F8" s="30"/>
      <c r="G8" s="30"/>
      <c r="H8" s="30"/>
    </row>
    <row r="9" spans="1:11" ht="15.75" x14ac:dyDescent="0.25">
      <c r="A9" s="29" t="s">
        <v>51</v>
      </c>
      <c r="B9" s="30"/>
      <c r="C9" s="30"/>
      <c r="D9" s="30"/>
      <c r="E9" s="30"/>
      <c r="F9" s="30"/>
      <c r="G9" s="30"/>
      <c r="H9" s="30"/>
      <c r="I9" s="127" t="s">
        <v>57</v>
      </c>
      <c r="J9" s="127"/>
      <c r="K9" s="127"/>
    </row>
    <row r="10" spans="1:11" x14ac:dyDescent="0.25">
      <c r="A10" s="30" t="s">
        <v>5</v>
      </c>
      <c r="B10" s="73">
        <v>8281532</v>
      </c>
      <c r="C10" s="73">
        <v>10051208</v>
      </c>
      <c r="D10" s="73">
        <v>11455396</v>
      </c>
      <c r="E10" s="128">
        <f>E11*E12</f>
        <v>11434119.486583754</v>
      </c>
      <c r="F10" s="128">
        <f t="shared" ref="F10:H10" si="5">F11*F12</f>
        <v>12309278.929338679</v>
      </c>
      <c r="G10" s="128">
        <f t="shared" si="5"/>
        <v>13251422.458725005</v>
      </c>
      <c r="H10" s="128">
        <f t="shared" si="5"/>
        <v>14265676.989499792</v>
      </c>
      <c r="I10" s="39">
        <v>2018</v>
      </c>
      <c r="J10" s="39">
        <v>2019</v>
      </c>
      <c r="K10" s="39">
        <v>2020</v>
      </c>
    </row>
    <row r="11" spans="1:11" x14ac:dyDescent="0.25">
      <c r="A11" s="30" t="s">
        <v>52</v>
      </c>
      <c r="B11" s="76">
        <f>I11*12</f>
        <v>133.92000000000002</v>
      </c>
      <c r="C11" s="76">
        <f>J11*12</f>
        <v>150.84</v>
      </c>
      <c r="D11" s="76">
        <f t="shared" ref="D11" si="6">K11*12</f>
        <v>159.84</v>
      </c>
      <c r="E11" s="44">
        <f>AVERAGE($B$11:$D$11)</f>
        <v>148.20000000000002</v>
      </c>
      <c r="F11" s="44">
        <f t="shared" ref="F11:H11" si="7">AVERAGE($B$11:$D$11)</f>
        <v>148.20000000000002</v>
      </c>
      <c r="G11" s="44">
        <f t="shared" si="7"/>
        <v>148.20000000000002</v>
      </c>
      <c r="H11" s="44">
        <f t="shared" si="7"/>
        <v>148.20000000000002</v>
      </c>
      <c r="I11" s="40">
        <v>11.16</v>
      </c>
      <c r="J11" s="40">
        <v>12.57</v>
      </c>
      <c r="K11" s="40">
        <v>13.32</v>
      </c>
    </row>
    <row r="12" spans="1:11" x14ac:dyDescent="0.25">
      <c r="A12" s="30" t="s">
        <v>53</v>
      </c>
      <c r="B12" s="73">
        <f>B10/B11</f>
        <v>61839.396654719225</v>
      </c>
      <c r="C12" s="73">
        <f t="shared" ref="C12:D12" si="8">C10/C11</f>
        <v>66634.897905064965</v>
      </c>
      <c r="D12" s="73">
        <f t="shared" si="8"/>
        <v>71667.892892892894</v>
      </c>
      <c r="E12" s="33">
        <f>D12*(1+E13)</f>
        <v>77153.302878432878</v>
      </c>
      <c r="F12" s="33">
        <f t="shared" ref="F12:H12" si="9">E12*(1+F13)</f>
        <v>83058.56227623939</v>
      </c>
      <c r="G12" s="33">
        <f t="shared" si="9"/>
        <v>89415.806064271281</v>
      </c>
      <c r="H12" s="33">
        <f t="shared" si="9"/>
        <v>96259.628809040427</v>
      </c>
      <c r="I12" s="30"/>
      <c r="J12" s="30"/>
      <c r="K12" s="30"/>
    </row>
    <row r="13" spans="1:11" x14ac:dyDescent="0.25">
      <c r="A13" s="35" t="s">
        <v>49</v>
      </c>
      <c r="B13" s="73"/>
      <c r="C13" s="36">
        <f>C12/B12-1</f>
        <v>7.7547672030525483E-2</v>
      </c>
      <c r="D13" s="36">
        <f>D12/C12-1</f>
        <v>7.5530917673175768E-2</v>
      </c>
      <c r="E13" s="129">
        <f>AVERAGE($C$13,$D$13)</f>
        <v>7.6539294851850626E-2</v>
      </c>
      <c r="F13" s="129">
        <f t="shared" ref="F13:H13" si="10">AVERAGE($C$13,$D$13)</f>
        <v>7.6539294851850626E-2</v>
      </c>
      <c r="G13" s="129">
        <f t="shared" si="10"/>
        <v>7.6539294851850626E-2</v>
      </c>
      <c r="H13" s="129">
        <f t="shared" si="10"/>
        <v>7.6539294851850626E-2</v>
      </c>
      <c r="I13" s="30"/>
      <c r="J13" s="30"/>
      <c r="K13" s="30"/>
    </row>
    <row r="14" spans="1:11" x14ac:dyDescent="0.25">
      <c r="A14" s="30"/>
      <c r="B14" s="30"/>
      <c r="C14" s="30"/>
      <c r="D14" s="30"/>
      <c r="E14" s="30"/>
      <c r="F14" s="30"/>
      <c r="G14" s="30"/>
      <c r="H14" s="30"/>
      <c r="I14" s="41"/>
      <c r="J14" s="41"/>
      <c r="K14" s="41"/>
    </row>
    <row r="15" spans="1:11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.75" x14ac:dyDescent="0.25">
      <c r="A16" s="29" t="s">
        <v>54</v>
      </c>
      <c r="B16" s="30"/>
      <c r="C16" s="30"/>
      <c r="D16" s="30"/>
      <c r="E16" s="30"/>
      <c r="F16" s="30"/>
      <c r="G16" s="30"/>
      <c r="H16" s="30"/>
      <c r="I16" s="127" t="s">
        <v>57</v>
      </c>
      <c r="J16" s="127"/>
      <c r="K16" s="127"/>
    </row>
    <row r="17" spans="1:11" x14ac:dyDescent="0.25">
      <c r="A17" s="30" t="s">
        <v>5</v>
      </c>
      <c r="B17" s="75">
        <v>3963707</v>
      </c>
      <c r="C17" s="75">
        <v>5543067</v>
      </c>
      <c r="D17" s="75">
        <v>7772252</v>
      </c>
      <c r="E17" s="33">
        <f>E18*E19</f>
        <v>9981422.5905182417</v>
      </c>
      <c r="F17" s="33">
        <f t="shared" ref="F17" si="11">F18*F19</f>
        <v>12088960.093988623</v>
      </c>
      <c r="G17" s="33">
        <f t="shared" ref="G17" si="12">G18*G19</f>
        <v>13432599.712150544</v>
      </c>
      <c r="H17" s="33">
        <f t="shared" ref="H17" si="13">H18*H19</f>
        <v>14656927.511689028</v>
      </c>
      <c r="I17" s="39">
        <v>2018</v>
      </c>
      <c r="J17" s="39">
        <v>2019</v>
      </c>
      <c r="K17" s="39">
        <v>2020</v>
      </c>
    </row>
    <row r="18" spans="1:11" x14ac:dyDescent="0.25">
      <c r="A18" s="30" t="s">
        <v>52</v>
      </c>
      <c r="B18" s="75">
        <f>I18*12</f>
        <v>125.39999999999999</v>
      </c>
      <c r="C18" s="75">
        <f>J18*12</f>
        <v>123.96000000000001</v>
      </c>
      <c r="D18" s="75">
        <f t="shared" ref="D18" si="14">K18*12</f>
        <v>128.64000000000001</v>
      </c>
      <c r="E18" s="44">
        <f>AVERAGE($B$18:$D$18)</f>
        <v>126</v>
      </c>
      <c r="F18" s="44">
        <f t="shared" ref="F18:H18" si="15">AVERAGE($B$18:$D$18)</f>
        <v>126</v>
      </c>
      <c r="G18" s="44">
        <f t="shared" si="15"/>
        <v>126</v>
      </c>
      <c r="H18" s="44">
        <f t="shared" si="15"/>
        <v>126</v>
      </c>
      <c r="I18" s="40">
        <v>10.45</v>
      </c>
      <c r="J18" s="40">
        <v>10.33</v>
      </c>
      <c r="K18" s="40">
        <v>10.72</v>
      </c>
    </row>
    <row r="19" spans="1:11" x14ac:dyDescent="0.25">
      <c r="A19" s="30" t="s">
        <v>53</v>
      </c>
      <c r="B19" s="75">
        <f>B17/B18</f>
        <v>31608.508771929828</v>
      </c>
      <c r="C19" s="75">
        <f t="shared" ref="C19:D19" si="16">C17/C18</f>
        <v>44716.577928363986</v>
      </c>
      <c r="D19" s="75">
        <f t="shared" si="16"/>
        <v>60418.62562189054</v>
      </c>
      <c r="E19" s="33">
        <f>D19*(1+E20)</f>
        <v>79217.639607287638</v>
      </c>
      <c r="F19" s="33">
        <f t="shared" ref="F19:H19" si="17">E19*(1+F20)</f>
        <v>95944.127730068445</v>
      </c>
      <c r="G19" s="33">
        <f t="shared" si="17"/>
        <v>106607.93422341702</v>
      </c>
      <c r="H19" s="33">
        <f t="shared" si="17"/>
        <v>116324.8215213415</v>
      </c>
      <c r="I19" s="30"/>
      <c r="J19" s="30"/>
      <c r="K19" s="30"/>
    </row>
    <row r="20" spans="1:11" x14ac:dyDescent="0.25">
      <c r="A20" s="35" t="s">
        <v>49</v>
      </c>
      <c r="B20" s="30"/>
      <c r="C20" s="36">
        <f>C19/B19-1</f>
        <v>0.41470065073347828</v>
      </c>
      <c r="D20" s="36">
        <f>D19/C19-1</f>
        <v>0.35114600492643366</v>
      </c>
      <c r="E20" s="45">
        <f>D20-4%</f>
        <v>0.31114600492643368</v>
      </c>
      <c r="F20" s="45">
        <f>E20-10%</f>
        <v>0.21114600492643368</v>
      </c>
      <c r="G20" s="45">
        <f>F20-10%</f>
        <v>0.11114600492643367</v>
      </c>
      <c r="H20" s="45">
        <f>G20-2%</f>
        <v>9.1146004926433669E-2</v>
      </c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0"/>
      <c r="F22" s="30"/>
      <c r="G22" s="30"/>
      <c r="H22" s="30"/>
      <c r="I22" s="42"/>
      <c r="J22" s="43"/>
      <c r="K22" s="43"/>
    </row>
    <row r="23" spans="1:11" ht="15.75" x14ac:dyDescent="0.25">
      <c r="A23" s="29" t="s">
        <v>55</v>
      </c>
      <c r="B23" s="30"/>
      <c r="C23" s="30"/>
      <c r="D23" s="30"/>
      <c r="E23" s="30"/>
      <c r="F23" s="30"/>
      <c r="G23" s="30"/>
      <c r="H23" s="30"/>
      <c r="I23" s="127" t="s">
        <v>57</v>
      </c>
      <c r="J23" s="127"/>
      <c r="K23" s="127"/>
    </row>
    <row r="24" spans="1:11" x14ac:dyDescent="0.25">
      <c r="A24" s="30" t="s">
        <v>5</v>
      </c>
      <c r="B24" s="34">
        <v>2237697</v>
      </c>
      <c r="C24" s="75">
        <v>2795434</v>
      </c>
      <c r="D24" s="75">
        <v>3156727</v>
      </c>
      <c r="E24" s="33">
        <f>E25*E26</f>
        <v>3842573.7972810525</v>
      </c>
      <c r="F24" s="33">
        <f t="shared" ref="F24" si="18">F25*F26</f>
        <v>4429558.4850562159</v>
      </c>
      <c r="G24" s="33">
        <f t="shared" ref="G24" si="19">G25*G26</f>
        <v>4995470.9397932496</v>
      </c>
      <c r="H24" s="33">
        <f t="shared" ref="H24" si="20">H25*H26</f>
        <v>5508796.582195675</v>
      </c>
      <c r="I24" s="39">
        <v>2018</v>
      </c>
      <c r="J24" s="39">
        <v>2019</v>
      </c>
      <c r="K24" s="39">
        <v>2020</v>
      </c>
    </row>
    <row r="25" spans="1:11" x14ac:dyDescent="0.25">
      <c r="A25" s="30" t="s">
        <v>52</v>
      </c>
      <c r="B25" s="38">
        <f>I25*12</f>
        <v>111.96000000000001</v>
      </c>
      <c r="C25" s="38">
        <f>J25*12</f>
        <v>110.88</v>
      </c>
      <c r="D25" s="38">
        <f t="shared" ref="D25" si="21">K25*12</f>
        <v>109.44</v>
      </c>
      <c r="E25" s="44">
        <f>AVERAGE($B$25:$D$25)</f>
        <v>110.75999999999999</v>
      </c>
      <c r="F25" s="44">
        <f>AVERAGE($B$25:$D$25)</f>
        <v>110.75999999999999</v>
      </c>
      <c r="G25" s="44">
        <f t="shared" ref="F25:H25" si="22">AVERAGE($B$25:$D$25)</f>
        <v>110.75999999999999</v>
      </c>
      <c r="H25" s="44">
        <f t="shared" si="22"/>
        <v>110.75999999999999</v>
      </c>
      <c r="I25" s="40">
        <v>9.33</v>
      </c>
      <c r="J25" s="40">
        <v>9.24</v>
      </c>
      <c r="K25" s="40">
        <v>9.1199999999999992</v>
      </c>
    </row>
    <row r="26" spans="1:11" x14ac:dyDescent="0.25">
      <c r="A26" s="30" t="s">
        <v>53</v>
      </c>
      <c r="B26" s="75">
        <f>B24/B25</f>
        <v>19986.575562700964</v>
      </c>
      <c r="C26" s="75">
        <f t="shared" ref="C26:D26" si="23">C24/C25</f>
        <v>25211.345598845601</v>
      </c>
      <c r="D26" s="75">
        <f t="shared" si="23"/>
        <v>28844.362207602338</v>
      </c>
      <c r="E26" s="33">
        <f>D26*(1+E27)</f>
        <v>34692.793402681949</v>
      </c>
      <c r="F26" s="33">
        <f t="shared" ref="F26" si="24">E26*(1+F27)</f>
        <v>39992.40235695392</v>
      </c>
      <c r="G26" s="33">
        <f t="shared" ref="G26" si="25">F26*(1+G27)</f>
        <v>45101.760019801826</v>
      </c>
      <c r="H26" s="33">
        <f t="shared" ref="H26" si="26">G26*(1+H27)</f>
        <v>49736.336061716102</v>
      </c>
      <c r="I26" s="30"/>
      <c r="J26" s="30"/>
      <c r="K26" s="30"/>
    </row>
    <row r="27" spans="1:11" x14ac:dyDescent="0.25">
      <c r="A27" s="35" t="s">
        <v>49</v>
      </c>
      <c r="B27" s="30"/>
      <c r="C27" s="36">
        <f>C26/B26-1</f>
        <v>0.26141396857874577</v>
      </c>
      <c r="D27" s="36">
        <f>D26/C26-1</f>
        <v>0.14410244762671809</v>
      </c>
      <c r="E27" s="46">
        <f>AVERAGE(C27:D27)</f>
        <v>0.20275820810273193</v>
      </c>
      <c r="F27" s="46">
        <f>E27-5%</f>
        <v>0.15275820810273194</v>
      </c>
      <c r="G27" s="46">
        <f>F27-2.5%</f>
        <v>0.12775820810273195</v>
      </c>
      <c r="H27" s="46">
        <f>G27-2.5%</f>
        <v>0.10275820810273195</v>
      </c>
      <c r="I27" s="30"/>
      <c r="J27" s="30"/>
      <c r="K27" s="30"/>
    </row>
    <row r="28" spans="1:1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5.75" x14ac:dyDescent="0.25">
      <c r="A30" s="29" t="s">
        <v>56</v>
      </c>
      <c r="B30" s="30"/>
      <c r="C30" s="30"/>
      <c r="D30" s="30"/>
      <c r="E30" s="30"/>
      <c r="F30" s="30"/>
      <c r="G30" s="30"/>
      <c r="H30" s="30"/>
      <c r="I30" s="127" t="s">
        <v>57</v>
      </c>
      <c r="J30" s="127"/>
      <c r="K30" s="127"/>
    </row>
    <row r="31" spans="1:11" x14ac:dyDescent="0.25">
      <c r="A31" s="30" t="s">
        <v>5</v>
      </c>
      <c r="B31" s="34">
        <v>945816</v>
      </c>
      <c r="C31" s="75">
        <v>1469521</v>
      </c>
      <c r="D31" s="75">
        <v>2372300</v>
      </c>
      <c r="E31" s="33">
        <f>E32*E33</f>
        <v>3192485.3374921991</v>
      </c>
      <c r="F31" s="33">
        <f>F32*F33</f>
        <v>4633674.0539286928</v>
      </c>
      <c r="G31" s="33">
        <f t="shared" ref="G31" si="27">G32*G33</f>
        <v>6493777.1744138356</v>
      </c>
      <c r="H31" s="33">
        <f t="shared" ref="H31" si="28">H32*H33</f>
        <v>8451206.7216355838</v>
      </c>
      <c r="I31" s="39">
        <v>2018</v>
      </c>
      <c r="J31" s="39">
        <v>2019</v>
      </c>
      <c r="K31" s="39">
        <v>2020</v>
      </c>
    </row>
    <row r="32" spans="1:11" x14ac:dyDescent="0.25">
      <c r="A32" s="30" t="s">
        <v>52</v>
      </c>
      <c r="B32" s="38">
        <f>I32*12</f>
        <v>133.92000000000002</v>
      </c>
      <c r="C32" s="38">
        <f>J32*12</f>
        <v>150.84</v>
      </c>
      <c r="D32" s="38">
        <f t="shared" ref="D32" si="29">K32*12</f>
        <v>159.84</v>
      </c>
      <c r="E32" s="44">
        <f>AVERAGE($B$32:$D$32)</f>
        <v>148.20000000000002</v>
      </c>
      <c r="F32" s="44">
        <f t="shared" ref="F32:H32" si="30">AVERAGE($B$32:$D$32)</f>
        <v>148.20000000000002</v>
      </c>
      <c r="G32" s="44">
        <f t="shared" si="30"/>
        <v>148.20000000000002</v>
      </c>
      <c r="H32" s="44">
        <f t="shared" si="30"/>
        <v>148.20000000000002</v>
      </c>
      <c r="I32" s="40">
        <v>11.16</v>
      </c>
      <c r="J32" s="40">
        <v>12.57</v>
      </c>
      <c r="K32" s="40">
        <v>13.32</v>
      </c>
    </row>
    <row r="33" spans="1:8" x14ac:dyDescent="0.25">
      <c r="A33" s="30" t="s">
        <v>53</v>
      </c>
      <c r="B33" s="75">
        <f>B31/B32</f>
        <v>7062.5448028673827</v>
      </c>
      <c r="C33" s="75">
        <f t="shared" ref="C33:D33" si="31">C31/C32</f>
        <v>9742.2500662954117</v>
      </c>
      <c r="D33" s="75">
        <f t="shared" si="31"/>
        <v>14841.716716716717</v>
      </c>
      <c r="E33" s="33">
        <f>D33*(1+E34)</f>
        <v>21541.736420325229</v>
      </c>
      <c r="F33" s="33">
        <f t="shared" ref="F33" si="32">E33*(1+F34)</f>
        <v>31266.356639194953</v>
      </c>
      <c r="G33" s="33">
        <f t="shared" ref="G33" si="33">F33*(1+G34)</f>
        <v>43817.659746382153</v>
      </c>
      <c r="H33" s="33">
        <f t="shared" ref="H33" si="34">G33*(1+H34)</f>
        <v>57025.686380806896</v>
      </c>
    </row>
    <row r="34" spans="1:8" x14ac:dyDescent="0.25">
      <c r="A34" s="35" t="s">
        <v>49</v>
      </c>
      <c r="B34" s="30"/>
      <c r="C34" s="36">
        <f>C33/B33-1</f>
        <v>0.37942488695293974</v>
      </c>
      <c r="D34" s="36">
        <f>D33/C33-1</f>
        <v>0.52343828332466824</v>
      </c>
      <c r="E34" s="45">
        <f>AVERAGE(C34:D34)</f>
        <v>0.45143158513880399</v>
      </c>
      <c r="F34" s="45">
        <f>E34</f>
        <v>0.45143158513880399</v>
      </c>
      <c r="G34" s="45">
        <f>F34-5%</f>
        <v>0.401431585138804</v>
      </c>
      <c r="H34" s="45">
        <f>G34-10%</f>
        <v>0.30143158513880397</v>
      </c>
    </row>
  </sheetData>
  <mergeCells count="4">
    <mergeCell ref="I9:K9"/>
    <mergeCell ref="I16:K16"/>
    <mergeCell ref="I23:K23"/>
    <mergeCell ref="I30:K30"/>
  </mergeCells>
  <phoneticPr fontId="22" type="noConversion"/>
  <pageMargins left="0.7" right="0.7" top="0.75" bottom="0.75" header="0.3" footer="0.3"/>
  <pageSetup orientation="portrait" r:id="rId1"/>
  <ignoredErrors>
    <ignoredError sqref="F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8106-0F2A-418D-BC5B-865B95188EF0}">
  <dimension ref="A1:I26"/>
  <sheetViews>
    <sheetView topLeftCell="A2" workbookViewId="0">
      <selection activeCell="F4" sqref="F4"/>
    </sheetView>
  </sheetViews>
  <sheetFormatPr defaultRowHeight="15" x14ac:dyDescent="0.25"/>
  <cols>
    <col min="1" max="1" width="33.28515625" bestFit="1" customWidth="1"/>
    <col min="3" max="4" width="17.42578125" customWidth="1"/>
    <col min="5" max="5" width="18.140625" customWidth="1"/>
    <col min="6" max="6" width="18.85546875" customWidth="1"/>
    <col min="7" max="7" width="19.42578125" customWidth="1"/>
    <col min="8" max="8" width="18.85546875" customWidth="1"/>
    <col min="9" max="9" width="18" customWidth="1"/>
  </cols>
  <sheetData>
    <row r="1" spans="1:9" ht="15.75" x14ac:dyDescent="0.25">
      <c r="A1" s="29" t="s">
        <v>58</v>
      </c>
    </row>
    <row r="2" spans="1:9" s="80" customFormat="1" ht="15.75" x14ac:dyDescent="0.25">
      <c r="A2" s="79"/>
    </row>
    <row r="3" spans="1:9" ht="24" x14ac:dyDescent="0.25">
      <c r="A3" s="31" t="s">
        <v>1</v>
      </c>
      <c r="C3" s="78" t="s">
        <v>2</v>
      </c>
      <c r="D3" s="78" t="s">
        <v>3</v>
      </c>
      <c r="E3" s="78" t="s">
        <v>4</v>
      </c>
      <c r="F3" s="78" t="s">
        <v>140</v>
      </c>
      <c r="G3" s="78" t="s">
        <v>141</v>
      </c>
      <c r="H3" s="78" t="s">
        <v>142</v>
      </c>
      <c r="I3" s="78" t="s">
        <v>143</v>
      </c>
    </row>
    <row r="4" spans="1:9" x14ac:dyDescent="0.25">
      <c r="A4" t="s">
        <v>59</v>
      </c>
      <c r="C4" s="81">
        <f>'P&amp;L Input'!B4-Schedules!B6</f>
        <v>9884381</v>
      </c>
      <c r="D4" s="81">
        <f>'P&amp;L Input'!C4-Schedules!C6</f>
        <v>12336634</v>
      </c>
      <c r="E4" s="81">
        <f>'P&amp;L Input'!D4-Schedules!D6</f>
        <v>15160609</v>
      </c>
      <c r="F4" s="81">
        <f>'Revenue Modelling'!E6*F5</f>
        <v>17610348.123559561</v>
      </c>
      <c r="G4" s="81">
        <f>'Revenue Modelling'!F6*G5</f>
        <v>20668278.305159282</v>
      </c>
      <c r="H4" s="81">
        <f>'Revenue Modelling'!G6*H5</f>
        <v>23546676.686897613</v>
      </c>
      <c r="I4" s="81">
        <f>'Revenue Modelling'!H6*I5</f>
        <v>26427070.309475914</v>
      </c>
    </row>
    <row r="5" spans="1:9" x14ac:dyDescent="0.25">
      <c r="A5" s="47" t="s">
        <v>60</v>
      </c>
      <c r="C5" s="82">
        <f>C4/'Revenue Modelling'!B6</f>
        <v>0.6258178799609303</v>
      </c>
      <c r="D5" s="82">
        <f>D4/'Revenue Modelling'!C6</f>
        <v>0.61204407701416819</v>
      </c>
      <c r="E5" s="82">
        <f>E4/'Revenue Modelling'!D6</f>
        <v>0.60652004460223641</v>
      </c>
      <c r="F5" s="83">
        <f>AVERAGE($C$5:$E$5)</f>
        <v>0.61479400052577826</v>
      </c>
      <c r="G5" s="83">
        <f t="shared" ref="G5:I5" si="0">AVERAGE($C$5:$E$5)</f>
        <v>0.61479400052577826</v>
      </c>
      <c r="H5" s="83">
        <f t="shared" si="0"/>
        <v>0.61479400052577826</v>
      </c>
      <c r="I5" s="83">
        <f t="shared" si="0"/>
        <v>0.61479400052577826</v>
      </c>
    </row>
    <row r="7" spans="1:9" x14ac:dyDescent="0.25">
      <c r="A7" t="s">
        <v>7</v>
      </c>
      <c r="C7" s="48">
        <f>'P&amp;L Input'!B5</f>
        <v>2369469</v>
      </c>
      <c r="D7" s="48">
        <f>'P&amp;L Input'!C5</f>
        <v>2652462</v>
      </c>
      <c r="E7" s="48">
        <f>'P&amp;L Input'!D5</f>
        <v>2228362</v>
      </c>
      <c r="F7" s="48">
        <f>'Revenue Modelling'!E6*'Other Items'!F8</f>
        <v>3540077.3062013234</v>
      </c>
      <c r="G7" s="48">
        <f>'Revenue Modelling'!F6*'Other Items'!G8</f>
        <v>4154790.2672328488</v>
      </c>
      <c r="H7" s="48">
        <f>'Revenue Modelling'!G6*'Other Items'!H8</f>
        <v>4733413.2858071588</v>
      </c>
      <c r="I7" s="48">
        <f>'Revenue Modelling'!H6*'Other Items'!I8</f>
        <v>5312437.3928079121</v>
      </c>
    </row>
    <row r="8" spans="1:9" x14ac:dyDescent="0.25">
      <c r="A8" s="47" t="s">
        <v>60</v>
      </c>
      <c r="C8" s="86">
        <f>C7/'Revenue Modelling'!B6</f>
        <v>0.15002012429641731</v>
      </c>
      <c r="D8" s="86">
        <f>D7/'Revenue Modelling'!C6</f>
        <v>0.13159372780331771</v>
      </c>
      <c r="E8" s="86">
        <f>E7/'Revenue Modelling'!D6</f>
        <v>8.9148544074313163E-2</v>
      </c>
      <c r="F8" s="83">
        <f>AVERAGE($C$8:$E$8)</f>
        <v>0.12358746539134939</v>
      </c>
      <c r="G8" s="83">
        <f t="shared" ref="G8:I8" si="1">AVERAGE($C$8:$E$8)</f>
        <v>0.12358746539134939</v>
      </c>
      <c r="H8" s="83">
        <f t="shared" si="1"/>
        <v>0.12358746539134939</v>
      </c>
      <c r="I8" s="83">
        <f t="shared" si="1"/>
        <v>0.12358746539134939</v>
      </c>
    </row>
    <row r="10" spans="1:9" x14ac:dyDescent="0.25">
      <c r="A10" t="s">
        <v>61</v>
      </c>
      <c r="C10" s="48">
        <f>'P&amp;L Input'!B6</f>
        <v>1221814</v>
      </c>
      <c r="D10" s="48">
        <f>'P&amp;L Input'!C6</f>
        <v>1545149</v>
      </c>
      <c r="E10" s="48">
        <f>'P&amp;L Input'!D6</f>
        <v>1829600</v>
      </c>
      <c r="F10" s="48">
        <f>'Revenue Modelling'!E6*'Other Items'!F11</f>
        <v>2169434.4552735938</v>
      </c>
      <c r="G10" s="48">
        <f>'Revenue Modelling'!F6*'Other Items'!G11</f>
        <v>2546143.5953336004</v>
      </c>
      <c r="H10" s="48">
        <f>'Revenue Modelling'!G6*'Other Items'!H11</f>
        <v>2900736.0532187936</v>
      </c>
      <c r="I10" s="48">
        <f>'Revenue Modelling'!H6*'Other Items'!I11</f>
        <v>3255574.3065984561</v>
      </c>
    </row>
    <row r="11" spans="1:9" x14ac:dyDescent="0.25">
      <c r="A11" s="47" t="s">
        <v>60</v>
      </c>
      <c r="C11" s="86">
        <f>C10/'Revenue Modelling'!B6</f>
        <v>7.7357706788779595E-2</v>
      </c>
      <c r="D11" s="86">
        <f>D10/'Revenue Modelling'!C6</f>
        <v>7.6657805812701013E-2</v>
      </c>
      <c r="E11" s="86">
        <f>E10/'Revenue Modelling'!D6</f>
        <v>7.3195547329546709E-2</v>
      </c>
      <c r="F11" s="83">
        <f>AVERAGE($C$11:$E$11)</f>
        <v>7.5737019977009101E-2</v>
      </c>
      <c r="G11" s="83">
        <f t="shared" ref="G11:I11" si="2">AVERAGE($C$11:$E$11)</f>
        <v>7.5737019977009101E-2</v>
      </c>
      <c r="H11" s="83">
        <f t="shared" si="2"/>
        <v>7.5737019977009101E-2</v>
      </c>
      <c r="I11" s="83">
        <f t="shared" si="2"/>
        <v>7.5737019977009101E-2</v>
      </c>
    </row>
    <row r="13" spans="1:9" x14ac:dyDescent="0.25">
      <c r="A13" t="s">
        <v>62</v>
      </c>
      <c r="C13" s="48">
        <f>'P&amp;L Input'!B7</f>
        <v>630294</v>
      </c>
      <c r="D13" s="48">
        <f>'P&amp;L Input'!C7</f>
        <v>914369</v>
      </c>
      <c r="E13" s="48">
        <f>'P&amp;L Input'!D7</f>
        <v>1076486</v>
      </c>
      <c r="F13" s="48">
        <f>'Revenue Modelling'!E6*'Other Items'!F14</f>
        <v>1225366.7194431941</v>
      </c>
      <c r="G13" s="48">
        <f>'Revenue Modelling'!F6*'Other Items'!G14</f>
        <v>1438144.2209793641</v>
      </c>
      <c r="H13" s="48">
        <f>'Revenue Modelling'!G6*'Other Items'!H14</f>
        <v>1638429.5053777266</v>
      </c>
      <c r="I13" s="48">
        <f>'Revenue Modelling'!H6*'Other Items'!I14</f>
        <v>1838853.6230180794</v>
      </c>
    </row>
    <row r="14" spans="1:9" x14ac:dyDescent="0.25">
      <c r="A14" s="47" t="s">
        <v>60</v>
      </c>
      <c r="C14" s="86">
        <f>C13/'Revenue Modelling'!B6</f>
        <v>3.9906318345285824E-2</v>
      </c>
      <c r="D14" s="86">
        <f>D13/'Revenue Modelling'!C6</f>
        <v>4.5363600043202057E-2</v>
      </c>
      <c r="E14" s="86">
        <f>E13/'Revenue Modelling'!D6</f>
        <v>4.3066234129096208E-2</v>
      </c>
      <c r="F14" s="83">
        <f>AVERAGE($C$14:$E$14)</f>
        <v>4.2778717505861368E-2</v>
      </c>
      <c r="G14" s="83">
        <f t="shared" ref="G14:I14" si="3">AVERAGE($C$14:$E$14)</f>
        <v>4.2778717505861368E-2</v>
      </c>
      <c r="H14" s="83">
        <f t="shared" si="3"/>
        <v>4.2778717505861368E-2</v>
      </c>
      <c r="I14" s="83">
        <f t="shared" si="3"/>
        <v>4.2778717505861368E-2</v>
      </c>
    </row>
    <row r="16" spans="1:9" x14ac:dyDescent="0.25">
      <c r="A16" t="s">
        <v>65</v>
      </c>
      <c r="C16" s="48">
        <f>'Balance Sheet Input'!B7</f>
        <v>5899652</v>
      </c>
      <c r="D16" s="48">
        <f>'Balance Sheet Input'!C7</f>
        <v>1160067</v>
      </c>
      <c r="E16" s="48">
        <f>'Balance Sheet Input'!D7</f>
        <v>1556030</v>
      </c>
      <c r="F16" s="48">
        <f>'Revenue Modelling'!E6*'Other Items'!F17</f>
        <v>1783137.351709198</v>
      </c>
      <c r="G16" s="48">
        <f>'Revenue Modelling'!F6*'Other Items'!G17</f>
        <v>2092768.3418220275</v>
      </c>
      <c r="H16" s="48">
        <f>'Revenue Modelling'!G6*'Other Items'!H17</f>
        <v>2384220.8237130828</v>
      </c>
      <c r="I16" s="48">
        <f>'Revenue Modelling'!H6*'Other Items'!I17</f>
        <v>2675875.3338912823</v>
      </c>
    </row>
    <row r="17" spans="1:9" x14ac:dyDescent="0.25">
      <c r="A17" s="47" t="s">
        <v>60</v>
      </c>
      <c r="C17" s="86">
        <f>C16/'Revenue Modelling'!B6</f>
        <v>0.3735294812236864</v>
      </c>
      <c r="D17" s="86">
        <f>D16/'Revenue Modelling'!C6</f>
        <v>5.7553149123950265E-2</v>
      </c>
      <c r="E17" s="86">
        <f>E16/'Revenue Modelling'!D6</f>
        <v>6.2251020721028949E-2</v>
      </c>
      <c r="F17" s="83">
        <f>$E$17</f>
        <v>6.2251020721028949E-2</v>
      </c>
      <c r="G17" s="83">
        <f t="shared" ref="G17:I17" si="4">$E$17</f>
        <v>6.2251020721028949E-2</v>
      </c>
      <c r="H17" s="83">
        <f t="shared" si="4"/>
        <v>6.2251020721028949E-2</v>
      </c>
      <c r="I17" s="83">
        <f t="shared" si="4"/>
        <v>6.2251020721028949E-2</v>
      </c>
    </row>
    <row r="19" spans="1:9" x14ac:dyDescent="0.25">
      <c r="A19" t="s">
        <v>66</v>
      </c>
      <c r="C19" s="49">
        <f>'Balance Sheet Input'!B17</f>
        <v>562985</v>
      </c>
      <c r="D19" s="49">
        <f>'Balance Sheet Input'!C17</f>
        <v>674347</v>
      </c>
      <c r="E19" s="49">
        <f>'Balance Sheet Input'!D17</f>
        <v>656183</v>
      </c>
      <c r="F19" s="48">
        <f>F20*F4/365</f>
        <v>762212.8545602411</v>
      </c>
      <c r="G19" s="48">
        <f t="shared" ref="G19:I19" si="5">G20*G4/365</f>
        <v>894566.49552233238</v>
      </c>
      <c r="H19" s="48">
        <f t="shared" si="5"/>
        <v>1019149.6231080516</v>
      </c>
      <c r="I19" s="48">
        <f t="shared" si="5"/>
        <v>1143819.1089080148</v>
      </c>
    </row>
    <row r="20" spans="1:9" x14ac:dyDescent="0.25">
      <c r="A20" t="s">
        <v>144</v>
      </c>
      <c r="C20" s="85">
        <f>C19/C4*365</f>
        <v>20.789316498423119</v>
      </c>
      <c r="D20" s="85">
        <f t="shared" ref="D20:E20" si="6">D19/D4*365</f>
        <v>19.951686578364892</v>
      </c>
      <c r="E20" s="85">
        <f t="shared" si="6"/>
        <v>15.797966625219342</v>
      </c>
      <c r="F20" s="87">
        <f>$E$20</f>
        <v>15.797966625219342</v>
      </c>
      <c r="G20" s="87">
        <f t="shared" ref="G20:I20" si="7">$E$20</f>
        <v>15.797966625219342</v>
      </c>
      <c r="H20" s="87">
        <f t="shared" si="7"/>
        <v>15.797966625219342</v>
      </c>
      <c r="I20" s="87">
        <f t="shared" si="7"/>
        <v>15.797966625219342</v>
      </c>
    </row>
    <row r="22" spans="1:9" x14ac:dyDescent="0.25">
      <c r="A22" t="s">
        <v>67</v>
      </c>
      <c r="C22" s="49">
        <f>'Balance Sheet Input'!B18</f>
        <v>481874</v>
      </c>
      <c r="D22" s="49">
        <f>'Balance Sheet Input'!C18</f>
        <v>843043</v>
      </c>
      <c r="E22" s="49">
        <f>'Balance Sheet Input'!D18</f>
        <v>1102196</v>
      </c>
      <c r="F22" s="48">
        <f>'Revenue Modelling'!E6*'Other Items'!F23</f>
        <v>1111676.5673939134</v>
      </c>
      <c r="G22" s="48">
        <f>'Revenue Modelling'!F6*'Other Items'!G23</f>
        <v>1304712.4633205351</v>
      </c>
      <c r="H22" s="48">
        <f>'Revenue Modelling'!G6*'Other Items'!H23</f>
        <v>1486415.1764158104</v>
      </c>
      <c r="I22" s="48">
        <f>'Revenue Modelling'!H6*'Other Items'!I23</f>
        <v>1668243.8417337525</v>
      </c>
    </row>
    <row r="23" spans="1:9" x14ac:dyDescent="0.25">
      <c r="A23" s="47" t="s">
        <v>60</v>
      </c>
      <c r="C23" s="86">
        <f>C22/'Revenue Modelling'!B6</f>
        <v>3.0509281773769478E-2</v>
      </c>
      <c r="D23" s="86">
        <f>D22/'Revenue Modelling'!C6</f>
        <v>4.182498036484307E-2</v>
      </c>
      <c r="E23" s="86">
        <f>E22/'Revenue Modelling'!D6</f>
        <v>4.4094796395079287E-2</v>
      </c>
      <c r="F23" s="83">
        <f>AVERAGE($C$23:$E$23)</f>
        <v>3.8809686177897283E-2</v>
      </c>
      <c r="G23" s="83">
        <f t="shared" ref="G23:I23" si="8">AVERAGE($C$23:$E$23)</f>
        <v>3.8809686177897283E-2</v>
      </c>
      <c r="H23" s="83">
        <f t="shared" si="8"/>
        <v>3.8809686177897283E-2</v>
      </c>
      <c r="I23" s="83">
        <f t="shared" si="8"/>
        <v>3.8809686177897283E-2</v>
      </c>
    </row>
    <row r="25" spans="1:9" x14ac:dyDescent="0.25">
      <c r="A25" t="s">
        <v>68</v>
      </c>
      <c r="C25" s="49">
        <f>'Balance Sheet Input'!B19</f>
        <v>760899</v>
      </c>
      <c r="D25" s="49">
        <f>'Balance Sheet Input'!C19</f>
        <v>924745</v>
      </c>
      <c r="E25" s="49">
        <f>'Balance Sheet Input'!D19</f>
        <v>1117992</v>
      </c>
      <c r="F25" s="48">
        <f>'Revenue Modelling'!E6*'Other Items'!F26</f>
        <v>1325090.692034519</v>
      </c>
      <c r="G25" s="48">
        <f>'Revenue Modelling'!F6*'Other Items'!G26</f>
        <v>1555184.6567931317</v>
      </c>
      <c r="H25" s="48">
        <f>'Revenue Modelling'!G6*'Other Items'!H26</f>
        <v>1771769.7507871587</v>
      </c>
      <c r="I25" s="48">
        <f>'Revenue Modelling'!H6*'Other Items'!I26</f>
        <v>1988504.9766835682</v>
      </c>
    </row>
    <row r="26" spans="1:9" x14ac:dyDescent="0.25">
      <c r="A26" s="47" t="s">
        <v>60</v>
      </c>
      <c r="C26" s="86">
        <f>C25/'Revenue Modelling'!B6</f>
        <v>4.8175419284666579E-2</v>
      </c>
      <c r="D26" s="86">
        <f>D25/'Revenue Modelling'!C6</f>
        <v>4.5878373306565391E-2</v>
      </c>
      <c r="E26" s="86">
        <f>E25/'Revenue Modelling'!D6</f>
        <v>4.472673608988554E-2</v>
      </c>
      <c r="F26" s="83">
        <f>AVERAGE($C$26:$E$26)</f>
        <v>4.6260176227039172E-2</v>
      </c>
      <c r="G26" s="83">
        <f t="shared" ref="G26:I26" si="9">AVERAGE($C$26:$E$26)</f>
        <v>4.6260176227039172E-2</v>
      </c>
      <c r="H26" s="83">
        <f t="shared" si="9"/>
        <v>4.6260176227039172E-2</v>
      </c>
      <c r="I26" s="83">
        <f t="shared" si="9"/>
        <v>4.6260176227039172E-2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95AF-1B93-478A-BF3F-8CDE5F785EA3}">
  <dimension ref="A1:I28"/>
  <sheetViews>
    <sheetView workbookViewId="0">
      <selection activeCell="F7" sqref="F7"/>
    </sheetView>
  </sheetViews>
  <sheetFormatPr defaultRowHeight="15" x14ac:dyDescent="0.25"/>
  <cols>
    <col min="1" max="1" width="31.140625" bestFit="1" customWidth="1"/>
    <col min="2" max="2" width="15" customWidth="1"/>
    <col min="3" max="3" width="15.5703125" customWidth="1"/>
    <col min="4" max="4" width="15.85546875" customWidth="1"/>
    <col min="5" max="5" width="15" customWidth="1"/>
    <col min="6" max="6" width="14.85546875" customWidth="1"/>
    <col min="7" max="7" width="14.42578125" customWidth="1"/>
    <col min="8" max="8" width="16.42578125" customWidth="1"/>
  </cols>
  <sheetData>
    <row r="1" spans="1:9" ht="19.5" customHeight="1" x14ac:dyDescent="0.25">
      <c r="A1" s="93" t="s">
        <v>69</v>
      </c>
    </row>
    <row r="3" spans="1:9" s="89" customFormat="1" ht="24" x14ac:dyDescent="0.25">
      <c r="A3" s="88" t="s">
        <v>1</v>
      </c>
      <c r="B3" s="32" t="s">
        <v>2</v>
      </c>
      <c r="C3" s="32" t="s">
        <v>3</v>
      </c>
      <c r="D3" s="32" t="s">
        <v>4</v>
      </c>
      <c r="E3" s="32" t="s">
        <v>140</v>
      </c>
      <c r="F3" s="32" t="s">
        <v>141</v>
      </c>
      <c r="G3" s="32" t="s">
        <v>142</v>
      </c>
      <c r="H3" s="32" t="s">
        <v>143</v>
      </c>
      <c r="I3" s="32"/>
    </row>
    <row r="4" spans="1:9" x14ac:dyDescent="0.25">
      <c r="A4" t="s">
        <v>70</v>
      </c>
      <c r="C4" s="49">
        <f>B7</f>
        <v>418281</v>
      </c>
      <c r="D4" s="49">
        <f>C7</f>
        <v>565221</v>
      </c>
      <c r="E4" s="49">
        <f>D7</f>
        <v>960183</v>
      </c>
      <c r="F4" s="49">
        <f t="shared" ref="F4:H4" si="0">E7</f>
        <v>1284140.1319325478</v>
      </c>
      <c r="G4" s="49">
        <f t="shared" si="0"/>
        <v>1580571.3401268851</v>
      </c>
      <c r="H4" s="49">
        <f t="shared" si="0"/>
        <v>1855677.8705373763</v>
      </c>
    </row>
    <row r="5" spans="1:9" x14ac:dyDescent="0.25">
      <c r="A5" t="s">
        <v>71</v>
      </c>
      <c r="C5" s="49">
        <f>C7+C6-C4</f>
        <v>250519</v>
      </c>
      <c r="D5" s="49">
        <f>D7+D6-D4</f>
        <v>510672</v>
      </c>
      <c r="E5" s="90">
        <f>$D$5</f>
        <v>510672</v>
      </c>
      <c r="F5" s="90">
        <f t="shared" ref="F5:H5" si="1">$D$5</f>
        <v>510672</v>
      </c>
      <c r="G5" s="90">
        <f t="shared" si="1"/>
        <v>510672</v>
      </c>
      <c r="H5" s="90">
        <f t="shared" si="1"/>
        <v>510672</v>
      </c>
    </row>
    <row r="6" spans="1:9" x14ac:dyDescent="0.25">
      <c r="A6" t="s">
        <v>72</v>
      </c>
      <c r="B6" s="57">
        <v>83157</v>
      </c>
      <c r="C6" s="57">
        <v>103579</v>
      </c>
      <c r="D6" s="57">
        <v>115710</v>
      </c>
      <c r="E6" s="94">
        <f>(E4+E5)/E9</f>
        <v>186714.86806745233</v>
      </c>
      <c r="F6" s="118">
        <f t="shared" ref="F6:H6" si="2">(F4+F5)/F9</f>
        <v>214240.79180566277</v>
      </c>
      <c r="G6" s="94">
        <f t="shared" si="2"/>
        <v>235565.4695895089</v>
      </c>
      <c r="H6" s="94">
        <f t="shared" si="2"/>
        <v>252342.11800147456</v>
      </c>
    </row>
    <row r="7" spans="1:9" x14ac:dyDescent="0.25">
      <c r="A7" t="s">
        <v>73</v>
      </c>
      <c r="B7" s="49">
        <f>'Balance Sheet Input'!B10</f>
        <v>418281</v>
      </c>
      <c r="C7" s="49">
        <f>'Balance Sheet Input'!C10</f>
        <v>565221</v>
      </c>
      <c r="D7" s="49">
        <f>'Balance Sheet Input'!D10</f>
        <v>960183</v>
      </c>
      <c r="E7" s="48">
        <f>E4+E5-E6</f>
        <v>1284140.1319325478</v>
      </c>
      <c r="F7" s="48">
        <f>F4+F5-F6</f>
        <v>1580571.3401268851</v>
      </c>
      <c r="G7" s="48">
        <f t="shared" ref="G7:H7" si="3">G4+G5-G6</f>
        <v>1855677.8705373763</v>
      </c>
      <c r="H7" s="48">
        <f t="shared" si="3"/>
        <v>2114007.7525359015</v>
      </c>
    </row>
    <row r="9" spans="1:9" x14ac:dyDescent="0.25">
      <c r="A9" s="47" t="s">
        <v>74</v>
      </c>
      <c r="C9" s="49">
        <f>(C4+C5)/C6</f>
        <v>6.4569072881568657</v>
      </c>
      <c r="D9" s="49">
        <f>(D4+D5)/D6</f>
        <v>9.298185117967332</v>
      </c>
      <c r="E9" s="91">
        <f>AVERAGE(C9:D9)</f>
        <v>7.8775462030620993</v>
      </c>
      <c r="F9" s="91">
        <f>E9+0.5</f>
        <v>8.3775462030620993</v>
      </c>
      <c r="G9" s="91">
        <f t="shared" ref="G9:H9" si="4">F9+0.5</f>
        <v>8.8775462030620993</v>
      </c>
      <c r="H9" s="91">
        <f t="shared" si="4"/>
        <v>9.3775462030620993</v>
      </c>
    </row>
    <row r="12" spans="1:9" x14ac:dyDescent="0.25">
      <c r="A12" t="s">
        <v>75</v>
      </c>
    </row>
    <row r="13" spans="1:9" ht="24" x14ac:dyDescent="0.25">
      <c r="A13" s="31" t="s">
        <v>1</v>
      </c>
      <c r="B13" s="32" t="s">
        <v>2</v>
      </c>
      <c r="C13" s="32" t="s">
        <v>3</v>
      </c>
      <c r="D13" s="32" t="s">
        <v>4</v>
      </c>
      <c r="E13" s="32" t="s">
        <v>140</v>
      </c>
      <c r="F13" s="32" t="s">
        <v>141</v>
      </c>
      <c r="G13" s="32" t="s">
        <v>142</v>
      </c>
      <c r="H13" s="32" t="s">
        <v>143</v>
      </c>
    </row>
    <row r="14" spans="1:9" x14ac:dyDescent="0.25">
      <c r="A14" t="s">
        <v>70</v>
      </c>
      <c r="C14" s="49">
        <f>B17</f>
        <v>14951141</v>
      </c>
      <c r="D14" s="49">
        <f t="shared" ref="D14" si="5">C17</f>
        <v>24504567</v>
      </c>
      <c r="E14" s="49">
        <f>D17</f>
        <v>25383950</v>
      </c>
      <c r="F14" s="49">
        <f t="shared" ref="F14:H14" si="6">E17</f>
        <v>26490394.690509938</v>
      </c>
      <c r="G14" s="49">
        <f t="shared" si="6"/>
        <v>27281059.995118186</v>
      </c>
      <c r="H14" s="49">
        <f t="shared" si="6"/>
        <v>27846069.370890178</v>
      </c>
    </row>
    <row r="15" spans="1:9" x14ac:dyDescent="0.25">
      <c r="A15" t="s">
        <v>77</v>
      </c>
      <c r="C15" s="49">
        <f>C17+C16-C14</f>
        <v>18769673</v>
      </c>
      <c r="D15" s="49">
        <f>D17+D16-D14</f>
        <v>11686295</v>
      </c>
      <c r="E15" s="90">
        <f>$D$15</f>
        <v>11686295</v>
      </c>
      <c r="F15" s="90">
        <f t="shared" ref="F15:H15" si="7">$D$15</f>
        <v>11686295</v>
      </c>
      <c r="G15" s="90">
        <f t="shared" si="7"/>
        <v>11686295</v>
      </c>
      <c r="H15" s="90">
        <f t="shared" si="7"/>
        <v>11686295</v>
      </c>
    </row>
    <row r="16" spans="1:9" x14ac:dyDescent="0.25">
      <c r="A16" t="s">
        <v>76</v>
      </c>
      <c r="C16" s="49">
        <v>9216247</v>
      </c>
      <c r="D16" s="49">
        <v>10806912</v>
      </c>
      <c r="E16" s="48">
        <f>(E14+E15)/E19</f>
        <v>10579850.30949006</v>
      </c>
      <c r="F16" s="48">
        <f t="shared" ref="F16:H16" si="8">(F14+F15)/F19</f>
        <v>10895629.69539175</v>
      </c>
      <c r="G16" s="48">
        <f t="shared" si="8"/>
        <v>11121285.624228006</v>
      </c>
      <c r="H16" s="48">
        <f t="shared" si="8"/>
        <v>11282539.33644723</v>
      </c>
    </row>
    <row r="17" spans="1:8" x14ac:dyDescent="0.25">
      <c r="A17" t="s">
        <v>73</v>
      </c>
      <c r="B17" s="49">
        <f>'Balance Sheet Input'!B9</f>
        <v>14951141</v>
      </c>
      <c r="C17" s="49">
        <f>'Balance Sheet Input'!C9</f>
        <v>24504567</v>
      </c>
      <c r="D17" s="49">
        <f>'Balance Sheet Input'!D9</f>
        <v>25383950</v>
      </c>
      <c r="E17" s="48">
        <f>E14+E15-E16</f>
        <v>26490394.690509938</v>
      </c>
      <c r="F17" s="48">
        <f t="shared" ref="F17:H17" si="9">F14+F15-F16</f>
        <v>27281059.995118186</v>
      </c>
      <c r="G17" s="48">
        <f t="shared" si="9"/>
        <v>27846069.370890178</v>
      </c>
      <c r="H17" s="48">
        <f t="shared" si="9"/>
        <v>28249825.034442946</v>
      </c>
    </row>
    <row r="19" spans="1:8" x14ac:dyDescent="0.25">
      <c r="A19" s="47" t="s">
        <v>78</v>
      </c>
      <c r="C19" s="51">
        <f>(C14+C15)/C16</f>
        <v>3.6588444298422123</v>
      </c>
      <c r="D19" s="51">
        <f>(D14+D15)/D16</f>
        <v>3.3488624687607338</v>
      </c>
      <c r="E19" s="91">
        <f>AVERAGE($C$19:$D$19)</f>
        <v>3.5038534493014728</v>
      </c>
      <c r="F19" s="91">
        <f t="shared" ref="F19:H19" si="10">AVERAGE($C$19:$D$19)</f>
        <v>3.5038534493014728</v>
      </c>
      <c r="G19" s="91">
        <f t="shared" si="10"/>
        <v>3.5038534493014728</v>
      </c>
      <c r="H19" s="91">
        <f t="shared" si="10"/>
        <v>3.5038534493014728</v>
      </c>
    </row>
    <row r="22" spans="1:8" x14ac:dyDescent="0.25">
      <c r="A22" t="s">
        <v>79</v>
      </c>
    </row>
    <row r="23" spans="1:8" x14ac:dyDescent="0.25">
      <c r="A23" t="s">
        <v>80</v>
      </c>
      <c r="C23" s="49">
        <f>B25</f>
        <v>10360058</v>
      </c>
      <c r="D23" s="49">
        <f>C25</f>
        <v>14759260</v>
      </c>
      <c r="E23" s="49">
        <f>D25</f>
        <v>15809095</v>
      </c>
      <c r="F23" s="49">
        <f t="shared" ref="F23:H23" si="11">E25</f>
        <v>15309095</v>
      </c>
      <c r="G23" s="49">
        <f t="shared" si="11"/>
        <v>14609095</v>
      </c>
      <c r="H23" s="49">
        <f t="shared" si="11"/>
        <v>14609095</v>
      </c>
    </row>
    <row r="24" spans="1:8" x14ac:dyDescent="0.25">
      <c r="A24" t="s">
        <v>81</v>
      </c>
      <c r="C24" s="49">
        <f>C25-C23</f>
        <v>4399202</v>
      </c>
      <c r="D24" s="49">
        <f>D25-D23</f>
        <v>1049835</v>
      </c>
      <c r="E24" s="95">
        <v>-500000</v>
      </c>
      <c r="F24" s="95">
        <v>-700000</v>
      </c>
      <c r="G24" s="96">
        <v>0</v>
      </c>
      <c r="H24" s="95">
        <v>-400000</v>
      </c>
    </row>
    <row r="25" spans="1:8" x14ac:dyDescent="0.25">
      <c r="A25" t="s">
        <v>73</v>
      </c>
      <c r="B25" s="49">
        <f>'Balance Sheet Input'!B23</f>
        <v>10360058</v>
      </c>
      <c r="C25" s="49">
        <f>'Balance Sheet Input'!C23</f>
        <v>14759260</v>
      </c>
      <c r="D25" s="49">
        <f>'Balance Sheet Input'!D23</f>
        <v>15809095</v>
      </c>
      <c r="E25" s="84">
        <f>E23+E24</f>
        <v>15309095</v>
      </c>
      <c r="F25" s="84">
        <f t="shared" ref="F25:H25" si="12">F23+F24</f>
        <v>14609095</v>
      </c>
      <c r="G25" s="84">
        <f t="shared" si="12"/>
        <v>14609095</v>
      </c>
      <c r="H25" s="84">
        <f t="shared" si="12"/>
        <v>14209095</v>
      </c>
    </row>
    <row r="27" spans="1:8" x14ac:dyDescent="0.25">
      <c r="A27" t="s">
        <v>82</v>
      </c>
      <c r="B27" s="48">
        <f>'P&amp;L Input'!B10</f>
        <v>-420493</v>
      </c>
      <c r="C27" s="48">
        <f>'P&amp;L Input'!C10</f>
        <v>-626023</v>
      </c>
      <c r="D27" s="48">
        <f>'P&amp;L Input'!D10</f>
        <v>-767499</v>
      </c>
      <c r="E27" s="84">
        <f>E25*E28</f>
        <v>-696284.80809230579</v>
      </c>
      <c r="F27" s="84">
        <f t="shared" ref="F27:H27" si="13">F25*F28</f>
        <v>-664447.56587357156</v>
      </c>
      <c r="G27" s="84">
        <f t="shared" si="13"/>
        <v>-664447.56587357156</v>
      </c>
      <c r="H27" s="84">
        <f t="shared" si="13"/>
        <v>-646254.85603429482</v>
      </c>
    </row>
    <row r="28" spans="1:8" x14ac:dyDescent="0.25">
      <c r="B28" s="53">
        <f>B27/B25</f>
        <v>-4.0587900183570398E-2</v>
      </c>
      <c r="C28" s="53">
        <f t="shared" ref="C28:D28" si="14">C27/C25</f>
        <v>-4.2415608912641962E-2</v>
      </c>
      <c r="D28" s="53">
        <f t="shared" si="14"/>
        <v>-4.8547940283741729E-2</v>
      </c>
      <c r="E28" s="92">
        <f>AVERAGE($C$28:$D$28)</f>
        <v>-4.5481774598191846E-2</v>
      </c>
      <c r="F28" s="92">
        <f t="shared" ref="F28:H28" si="15">AVERAGE($C$28:$D$28)</f>
        <v>-4.5481774598191846E-2</v>
      </c>
      <c r="G28" s="92">
        <f t="shared" si="15"/>
        <v>-4.5481774598191846E-2</v>
      </c>
      <c r="H28" s="92">
        <f t="shared" si="15"/>
        <v>-4.5481774598191846E-2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65FD-11BC-41CD-9294-FD0061627A02}">
  <dimension ref="A1:I21"/>
  <sheetViews>
    <sheetView workbookViewId="0">
      <pane ySplit="3" topLeftCell="A4" activePane="bottomLeft" state="frozen"/>
      <selection activeCell="A3" sqref="A3"/>
      <selection pane="bottomLeft" activeCell="F7" sqref="F7"/>
    </sheetView>
  </sheetViews>
  <sheetFormatPr defaultRowHeight="15" x14ac:dyDescent="0.25"/>
  <cols>
    <col min="1" max="1" width="32.85546875" bestFit="1" customWidth="1"/>
    <col min="2" max="3" width="18.140625" customWidth="1"/>
    <col min="4" max="4" width="21.28515625" customWidth="1"/>
    <col min="5" max="5" width="18" customWidth="1"/>
    <col min="6" max="6" width="19.7109375" customWidth="1"/>
    <col min="7" max="7" width="19.140625" customWidth="1"/>
    <col min="8" max="8" width="18.85546875" customWidth="1"/>
  </cols>
  <sheetData>
    <row r="1" spans="1:9" x14ac:dyDescent="0.25">
      <c r="A1" t="s">
        <v>83</v>
      </c>
    </row>
    <row r="3" spans="1:9" ht="24" x14ac:dyDescent="0.25">
      <c r="B3" s="32" t="s">
        <v>2</v>
      </c>
      <c r="C3" s="32" t="s">
        <v>3</v>
      </c>
      <c r="D3" s="32" t="s">
        <v>4</v>
      </c>
      <c r="E3" s="32" t="s">
        <v>140</v>
      </c>
      <c r="F3" s="32" t="s">
        <v>141</v>
      </c>
      <c r="G3" s="32" t="s">
        <v>142</v>
      </c>
      <c r="H3" s="32" t="s">
        <v>143</v>
      </c>
    </row>
    <row r="4" spans="1:9" x14ac:dyDescent="0.25">
      <c r="A4" s="30" t="s">
        <v>47</v>
      </c>
      <c r="B4" s="48">
        <f>'Revenue Modelling'!B3</f>
        <v>15428752</v>
      </c>
      <c r="C4" s="48">
        <f>'Revenue Modelling'!C3</f>
        <v>19859230</v>
      </c>
      <c r="D4" s="48">
        <f>'Revenue Modelling'!D3</f>
        <v>24756675</v>
      </c>
      <c r="E4" s="48">
        <f>'Revenue Modelling'!E3</f>
        <v>28450601.211875249</v>
      </c>
      <c r="F4" s="48">
        <f>'Revenue Modelling'!F3</f>
        <v>33461471.562312212</v>
      </c>
      <c r="G4" s="48">
        <f>'Revenue Modelling'!G3</f>
        <v>38173270.289999999</v>
      </c>
      <c r="H4" s="48">
        <f>'Revenue Modelling'!H3</f>
        <v>42882607.810000002</v>
      </c>
    </row>
    <row r="5" spans="1:9" x14ac:dyDescent="0.25">
      <c r="A5" s="55" t="s">
        <v>48</v>
      </c>
      <c r="B5" s="49">
        <f>'Revenue Modelling'!B4</f>
        <v>365589</v>
      </c>
      <c r="C5" s="49">
        <f>'Revenue Modelling'!C4</f>
        <v>297217</v>
      </c>
      <c r="D5" s="49">
        <f>'Revenue Modelling'!D4</f>
        <v>239381</v>
      </c>
      <c r="E5" s="49">
        <f>'Revenue Modelling'!E4</f>
        <v>193705.83812687785</v>
      </c>
      <c r="F5" s="49">
        <f>'Revenue Modelling'!F4</f>
        <v>156745.73890340587</v>
      </c>
      <c r="G5" s="49">
        <f>'Revenue Modelling'!G4</f>
        <v>126837.82224613064</v>
      </c>
      <c r="H5" s="49">
        <f>'Revenue Modelling'!H4</f>
        <v>102636.49439335072</v>
      </c>
    </row>
    <row r="6" spans="1:9" x14ac:dyDescent="0.25">
      <c r="A6" s="54" t="s">
        <v>50</v>
      </c>
      <c r="B6" s="97">
        <f>SUM(B4:B5)</f>
        <v>15794341</v>
      </c>
      <c r="C6" s="97">
        <f t="shared" ref="C6:H6" si="0">SUM(C4:C5)</f>
        <v>20156447</v>
      </c>
      <c r="D6" s="97">
        <f t="shared" si="0"/>
        <v>24996056</v>
      </c>
      <c r="E6" s="97">
        <f t="shared" si="0"/>
        <v>28644307.050002128</v>
      </c>
      <c r="F6" s="97">
        <f>SUM(F4:F5)</f>
        <v>33618217.301215619</v>
      </c>
      <c r="G6" s="97">
        <f t="shared" si="0"/>
        <v>38300108.112246133</v>
      </c>
      <c r="H6" s="97">
        <f t="shared" si="0"/>
        <v>42985244.304393351</v>
      </c>
    </row>
    <row r="7" spans="1:9" x14ac:dyDescent="0.25">
      <c r="A7" s="56" t="s">
        <v>59</v>
      </c>
      <c r="B7" s="81">
        <f>'Other Items'!C4</f>
        <v>9884381</v>
      </c>
      <c r="C7" s="81">
        <f>'Other Items'!D4</f>
        <v>12336634</v>
      </c>
      <c r="D7" s="81">
        <f>'Other Items'!E4</f>
        <v>15160609</v>
      </c>
      <c r="E7" s="81">
        <f>'Other Items'!F4</f>
        <v>17610348.123559561</v>
      </c>
      <c r="F7" s="81">
        <f>'Other Items'!G4</f>
        <v>20668278.305159282</v>
      </c>
      <c r="G7" s="81">
        <f>'Other Items'!H4</f>
        <v>23546676.686897613</v>
      </c>
      <c r="H7" s="81">
        <f>'Other Items'!I4</f>
        <v>26427070.309475914</v>
      </c>
    </row>
    <row r="8" spans="1:9" x14ac:dyDescent="0.25">
      <c r="A8" s="54" t="s">
        <v>85</v>
      </c>
      <c r="B8" s="97">
        <f>B6-B7</f>
        <v>5909960</v>
      </c>
      <c r="C8" s="97">
        <f t="shared" ref="C8:H8" si="1">C6-C7</f>
        <v>7819813</v>
      </c>
      <c r="D8" s="97">
        <f t="shared" si="1"/>
        <v>9835447</v>
      </c>
      <c r="E8" s="97">
        <f t="shared" si="1"/>
        <v>11033958.926442567</v>
      </c>
      <c r="F8" s="120">
        <f>F6-F7</f>
        <v>12949938.996056337</v>
      </c>
      <c r="G8" s="97">
        <f t="shared" si="1"/>
        <v>14753431.42534852</v>
      </c>
      <c r="H8" s="97">
        <f t="shared" si="1"/>
        <v>16558173.994917437</v>
      </c>
    </row>
    <row r="9" spans="1:9" x14ac:dyDescent="0.25">
      <c r="A9" t="s">
        <v>84</v>
      </c>
      <c r="B9" s="81"/>
      <c r="C9" s="81"/>
      <c r="D9" s="81"/>
      <c r="E9" s="81"/>
      <c r="F9" s="81"/>
      <c r="G9" s="81"/>
      <c r="H9" s="81"/>
    </row>
    <row r="10" spans="1:9" x14ac:dyDescent="0.25">
      <c r="A10" s="9" t="s">
        <v>7</v>
      </c>
      <c r="B10" s="81">
        <f>'Other Items'!C7</f>
        <v>2369469</v>
      </c>
      <c r="C10" s="81">
        <f>'Other Items'!D7</f>
        <v>2652462</v>
      </c>
      <c r="D10" s="81">
        <f>'Other Items'!E7</f>
        <v>2228362</v>
      </c>
      <c r="E10" s="81">
        <f>'Other Items'!F7</f>
        <v>3540077.3062013234</v>
      </c>
      <c r="F10" s="81">
        <f>'Other Items'!G7</f>
        <v>4154790.2672328488</v>
      </c>
      <c r="G10" s="81">
        <f>'Other Items'!H7</f>
        <v>4733413.2858071588</v>
      </c>
      <c r="H10" s="81">
        <f>'Other Items'!I7</f>
        <v>5312437.3928079121</v>
      </c>
    </row>
    <row r="11" spans="1:9" x14ac:dyDescent="0.25">
      <c r="A11" s="9" t="s">
        <v>8</v>
      </c>
      <c r="B11" s="81">
        <f>'Other Items'!C10</f>
        <v>1221814</v>
      </c>
      <c r="C11" s="81">
        <f>'Other Items'!D10</f>
        <v>1545149</v>
      </c>
      <c r="D11" s="81">
        <f>'Other Items'!E10</f>
        <v>1829600</v>
      </c>
      <c r="E11" s="81">
        <f>'Other Items'!F10</f>
        <v>2169434.4552735938</v>
      </c>
      <c r="F11" s="81">
        <f>'Other Items'!G10</f>
        <v>2546143.5953336004</v>
      </c>
      <c r="G11" s="81">
        <f>'Other Items'!H10</f>
        <v>2900736.0532187936</v>
      </c>
      <c r="H11" s="81">
        <f>'Other Items'!I10</f>
        <v>3255574.3065984561</v>
      </c>
    </row>
    <row r="12" spans="1:9" x14ac:dyDescent="0.25">
      <c r="A12" s="100" t="s">
        <v>62</v>
      </c>
      <c r="B12" s="81">
        <f>'Other Items'!C13</f>
        <v>630294</v>
      </c>
      <c r="C12" s="81">
        <f>'Other Items'!D13</f>
        <v>914369</v>
      </c>
      <c r="D12" s="81">
        <f>'Other Items'!E13</f>
        <v>1076486</v>
      </c>
      <c r="E12" s="81">
        <f>'Other Items'!F13</f>
        <v>1225366.7194431941</v>
      </c>
      <c r="F12" s="81">
        <f>'Other Items'!G13</f>
        <v>1438144.2209793641</v>
      </c>
      <c r="G12" s="81">
        <f>'Other Items'!H13</f>
        <v>1638429.5053777266</v>
      </c>
      <c r="H12" s="81">
        <f>'Other Items'!I13</f>
        <v>1838853.6230180794</v>
      </c>
    </row>
    <row r="13" spans="1:9" x14ac:dyDescent="0.25">
      <c r="A13" s="101" t="s">
        <v>86</v>
      </c>
      <c r="B13" s="98">
        <f>B8-SUM(B10:B12)</f>
        <v>1688383</v>
      </c>
      <c r="C13" s="98">
        <f t="shared" ref="C13:H13" si="2">C8-SUM(C10:C12)</f>
        <v>2707833</v>
      </c>
      <c r="D13" s="98">
        <f t="shared" si="2"/>
        <v>4700999</v>
      </c>
      <c r="E13" s="98">
        <f t="shared" si="2"/>
        <v>4099080.445524456</v>
      </c>
      <c r="F13" s="98">
        <f>F8-SUM(F10:F12)</f>
        <v>4810860.9125105236</v>
      </c>
      <c r="G13" s="98">
        <f t="shared" si="2"/>
        <v>5480852.5809448417</v>
      </c>
      <c r="H13" s="98">
        <f t="shared" si="2"/>
        <v>6151308.6724929884</v>
      </c>
    </row>
    <row r="14" spans="1:9" x14ac:dyDescent="0.25">
      <c r="A14" s="58" t="s">
        <v>72</v>
      </c>
      <c r="B14" s="81">
        <f>Schedules!B6</f>
        <v>83157</v>
      </c>
      <c r="C14" s="81">
        <f>Schedules!C6</f>
        <v>103579</v>
      </c>
      <c r="D14" s="81">
        <f>Schedules!D6</f>
        <v>115710</v>
      </c>
      <c r="E14" s="81">
        <f>Schedules!E6</f>
        <v>186714.86806745233</v>
      </c>
      <c r="F14" s="119">
        <f>Schedules!F6</f>
        <v>214240.79180566277</v>
      </c>
      <c r="G14" s="81">
        <f>Schedules!G6</f>
        <v>235565.4695895089</v>
      </c>
      <c r="H14" s="81">
        <f>Schedules!H6</f>
        <v>252342.11800147456</v>
      </c>
    </row>
    <row r="15" spans="1:9" x14ac:dyDescent="0.25">
      <c r="A15" s="54" t="s">
        <v>87</v>
      </c>
      <c r="B15" s="97">
        <f>B13-B14</f>
        <v>1605226</v>
      </c>
      <c r="C15" s="97">
        <f t="shared" ref="C15:H15" si="3">C13-C14</f>
        <v>2604254</v>
      </c>
      <c r="D15" s="97">
        <f t="shared" si="3"/>
        <v>4585289</v>
      </c>
      <c r="E15" s="97">
        <f t="shared" si="3"/>
        <v>3912365.5774570038</v>
      </c>
      <c r="F15" s="97">
        <f>F13-F14</f>
        <v>4596620.1207048604</v>
      </c>
      <c r="G15" s="97">
        <f t="shared" si="3"/>
        <v>5245287.1113553327</v>
      </c>
      <c r="H15" s="97">
        <f t="shared" si="3"/>
        <v>5898966.5544915134</v>
      </c>
    </row>
    <row r="16" spans="1:9" x14ac:dyDescent="0.25">
      <c r="A16" s="11" t="s">
        <v>12</v>
      </c>
      <c r="B16" s="81">
        <f>Schedules!B27</f>
        <v>-420493</v>
      </c>
      <c r="C16" s="81">
        <f>Schedules!C27</f>
        <v>-626023</v>
      </c>
      <c r="D16" s="81">
        <f>Schedules!D27</f>
        <v>-767499</v>
      </c>
      <c r="E16" s="81">
        <f>Schedules!E27</f>
        <v>-696284.80809230579</v>
      </c>
      <c r="F16" s="81">
        <f>Schedules!F27</f>
        <v>-664447.56587357156</v>
      </c>
      <c r="G16" s="81">
        <f>Schedules!G27</f>
        <v>-664447.56587357156</v>
      </c>
      <c r="H16" s="81">
        <f>Schedules!H27</f>
        <v>-646254.85603429482</v>
      </c>
      <c r="I16" s="81"/>
    </row>
    <row r="17" spans="1:8" x14ac:dyDescent="0.25">
      <c r="A17" s="59" t="s">
        <v>13</v>
      </c>
      <c r="B17" s="81">
        <f>'P&amp;L Input'!B11</f>
        <v>41725</v>
      </c>
      <c r="C17" s="81">
        <f>'P&amp;L Input'!C11</f>
        <v>84000</v>
      </c>
      <c r="D17" s="81">
        <f>'P&amp;L Input'!D11</f>
        <v>-618441</v>
      </c>
      <c r="E17" s="81">
        <f>'P&amp;L Input'!E11</f>
        <v>0</v>
      </c>
      <c r="F17" s="81">
        <f>'P&amp;L Input'!F11</f>
        <v>0</v>
      </c>
      <c r="G17" s="81">
        <f>'P&amp;L Input'!G11</f>
        <v>0</v>
      </c>
      <c r="H17" s="81">
        <f>'P&amp;L Input'!H11</f>
        <v>0</v>
      </c>
    </row>
    <row r="18" spans="1:8" x14ac:dyDescent="0.25">
      <c r="A18" s="54" t="s">
        <v>88</v>
      </c>
      <c r="B18" s="97">
        <f>B15+B16+B17</f>
        <v>1226458</v>
      </c>
      <c r="C18" s="97">
        <f t="shared" ref="C18:H18" si="4">C15+C16+C17</f>
        <v>2062231</v>
      </c>
      <c r="D18" s="97">
        <f t="shared" si="4"/>
        <v>3199349</v>
      </c>
      <c r="E18" s="97">
        <f t="shared" si="4"/>
        <v>3216080.7693646979</v>
      </c>
      <c r="F18" s="97">
        <f t="shared" si="4"/>
        <v>3932172.5548312888</v>
      </c>
      <c r="G18" s="97">
        <f t="shared" si="4"/>
        <v>4580839.545481761</v>
      </c>
      <c r="H18" s="97">
        <f t="shared" si="4"/>
        <v>5252711.6984572187</v>
      </c>
    </row>
    <row r="19" spans="1:8" x14ac:dyDescent="0.25">
      <c r="A19" t="s">
        <v>89</v>
      </c>
      <c r="B19" s="81">
        <f>'P&amp;L Input'!B13</f>
        <v>-15216</v>
      </c>
      <c r="C19" s="81">
        <f>'P&amp;L Input'!C13</f>
        <v>-195315</v>
      </c>
      <c r="D19" s="81">
        <f>'P&amp;L Input'!D13</f>
        <v>-437954</v>
      </c>
      <c r="E19" s="81">
        <f>E18*E20</f>
        <v>-440244.38636308414</v>
      </c>
      <c r="F19" s="81">
        <f t="shared" ref="F19:H19" si="5">F18*F20</f>
        <v>-538269.09758159611</v>
      </c>
      <c r="G19" s="81">
        <f t="shared" si="5"/>
        <v>-627064.13157861773</v>
      </c>
      <c r="H19" s="81">
        <f t="shared" si="5"/>
        <v>-719035.68481779657</v>
      </c>
    </row>
    <row r="20" spans="1:8" x14ac:dyDescent="0.25">
      <c r="A20" s="60" t="s">
        <v>90</v>
      </c>
      <c r="B20" s="82">
        <f>B19/B18</f>
        <v>-1.2406458272521358E-2</v>
      </c>
      <c r="C20" s="82">
        <f>C19/C18</f>
        <v>-9.471053436787634E-2</v>
      </c>
      <c r="D20" s="82">
        <f t="shared" ref="D20" si="6">D19/D18</f>
        <v>-0.13688847324877654</v>
      </c>
      <c r="E20" s="82">
        <f>$D$20</f>
        <v>-0.13688847324877654</v>
      </c>
      <c r="F20" s="82">
        <f t="shared" ref="F20:H20" si="7">$D$20</f>
        <v>-0.13688847324877654</v>
      </c>
      <c r="G20" s="82">
        <f t="shared" si="7"/>
        <v>-0.13688847324877654</v>
      </c>
      <c r="H20" s="82">
        <f t="shared" si="7"/>
        <v>-0.13688847324877654</v>
      </c>
    </row>
    <row r="21" spans="1:8" x14ac:dyDescent="0.25">
      <c r="A21" s="61" t="s">
        <v>91</v>
      </c>
      <c r="B21" s="99">
        <f>B18+B19</f>
        <v>1211242</v>
      </c>
      <c r="C21" s="99">
        <f t="shared" ref="C21:H21" si="8">C18+C19</f>
        <v>1866916</v>
      </c>
      <c r="D21" s="99">
        <f t="shared" si="8"/>
        <v>2761395</v>
      </c>
      <c r="E21" s="99">
        <f t="shared" si="8"/>
        <v>2775836.3830016139</v>
      </c>
      <c r="F21" s="99">
        <f t="shared" si="8"/>
        <v>3393903.4572496926</v>
      </c>
      <c r="G21" s="99">
        <f t="shared" si="8"/>
        <v>3953775.4139031433</v>
      </c>
      <c r="H21" s="99">
        <f t="shared" si="8"/>
        <v>4533676.0136394221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D2A6-9A43-41A4-B5EA-A61FAA345F3E}">
  <dimension ref="A1:H35"/>
  <sheetViews>
    <sheetView workbookViewId="0">
      <pane ySplit="3" topLeftCell="A4" activePane="bottomLeft" state="frozen"/>
      <selection pane="bottomLeft" activeCell="H12" sqref="H12"/>
    </sheetView>
  </sheetViews>
  <sheetFormatPr defaultRowHeight="15" x14ac:dyDescent="0.25"/>
  <cols>
    <col min="1" max="1" width="42.7109375" bestFit="1" customWidth="1"/>
    <col min="2" max="2" width="14" bestFit="1" customWidth="1"/>
    <col min="3" max="3" width="13.42578125" customWidth="1"/>
    <col min="4" max="4" width="14.42578125" customWidth="1"/>
    <col min="5" max="5" width="15" customWidth="1"/>
    <col min="6" max="6" width="14" customWidth="1"/>
    <col min="7" max="7" width="14.85546875" customWidth="1"/>
    <col min="8" max="8" width="15.5703125" customWidth="1"/>
  </cols>
  <sheetData>
    <row r="1" spans="1:8" ht="15.75" x14ac:dyDescent="0.25">
      <c r="A1" s="1" t="s">
        <v>17</v>
      </c>
      <c r="B1" s="5"/>
      <c r="C1" s="5"/>
      <c r="D1" s="5"/>
    </row>
    <row r="2" spans="1:8" x14ac:dyDescent="0.25">
      <c r="A2" s="5"/>
      <c r="B2" s="5"/>
      <c r="C2" s="5"/>
      <c r="D2" s="5"/>
    </row>
    <row r="3" spans="1:8" ht="24" x14ac:dyDescent="0.25">
      <c r="A3" s="3" t="s">
        <v>1</v>
      </c>
      <c r="B3" s="4" t="s">
        <v>2</v>
      </c>
      <c r="C3" s="4" t="s">
        <v>3</v>
      </c>
      <c r="D3" s="4" t="s">
        <v>4</v>
      </c>
      <c r="E3" s="32" t="s">
        <v>140</v>
      </c>
      <c r="F3" s="32" t="s">
        <v>141</v>
      </c>
      <c r="G3" s="32" t="s">
        <v>142</v>
      </c>
      <c r="H3" s="32" t="s">
        <v>143</v>
      </c>
    </row>
    <row r="4" spans="1:8" x14ac:dyDescent="0.25">
      <c r="A4" s="13" t="s">
        <v>18</v>
      </c>
      <c r="B4" s="2"/>
      <c r="C4" s="2"/>
      <c r="D4" s="2"/>
    </row>
    <row r="5" spans="1:8" x14ac:dyDescent="0.25">
      <c r="A5" s="14" t="s">
        <v>19</v>
      </c>
      <c r="B5" s="14"/>
      <c r="C5" s="15"/>
      <c r="D5" s="15"/>
    </row>
    <row r="6" spans="1:8" x14ac:dyDescent="0.25">
      <c r="A6" s="14" t="s">
        <v>20</v>
      </c>
      <c r="B6" s="108">
        <v>3794483</v>
      </c>
      <c r="C6" s="109">
        <v>5018437</v>
      </c>
      <c r="D6" s="109">
        <v>8205550</v>
      </c>
      <c r="E6" s="109">
        <f>D6+'Cashflow Statement'!E25</f>
        <v>9146486.1859501284</v>
      </c>
      <c r="F6" s="109">
        <f>E6+'Cashflow Statement'!F25</f>
        <v>10999145.384338396</v>
      </c>
      <c r="G6" s="109">
        <f>F6+'Cashflow Statement'!G25</f>
        <v>14344223.207954548</v>
      </c>
      <c r="H6" s="109">
        <f>G6+'Cashflow Statement'!H25</f>
        <v>18047392.405990317</v>
      </c>
    </row>
    <row r="7" spans="1:8" x14ac:dyDescent="0.25">
      <c r="A7" s="14" t="s">
        <v>21</v>
      </c>
      <c r="B7" s="108">
        <f>748466+5151186</f>
        <v>5899652</v>
      </c>
      <c r="C7" s="110">
        <v>1160067</v>
      </c>
      <c r="D7" s="110">
        <v>1556030</v>
      </c>
      <c r="E7" s="110">
        <f>'Other Items'!F16</f>
        <v>1783137.351709198</v>
      </c>
      <c r="F7" s="110">
        <f>'Other Items'!G16</f>
        <v>2092768.3418220275</v>
      </c>
      <c r="G7" s="110">
        <f>'Other Items'!H16</f>
        <v>2384220.8237130828</v>
      </c>
      <c r="H7" s="110">
        <f>'Other Items'!I16</f>
        <v>2675875.3338912823</v>
      </c>
    </row>
    <row r="8" spans="1:8" x14ac:dyDescent="0.25">
      <c r="A8" s="14" t="s">
        <v>22</v>
      </c>
      <c r="B8" s="111">
        <f>SUM(B6:B7)</f>
        <v>9694135</v>
      </c>
      <c r="C8" s="112">
        <f>SUM(C6:C7)</f>
        <v>6178504</v>
      </c>
      <c r="D8" s="112">
        <f>SUM(D6:D7)</f>
        <v>9761580</v>
      </c>
      <c r="E8" s="112">
        <f t="shared" ref="E8:H8" si="0">SUM(E6:E7)</f>
        <v>10929623.537659327</v>
      </c>
      <c r="F8" s="112">
        <f t="shared" si="0"/>
        <v>13091913.726160424</v>
      </c>
      <c r="G8" s="112">
        <f t="shared" si="0"/>
        <v>16728444.031667631</v>
      </c>
      <c r="H8" s="112">
        <f t="shared" si="0"/>
        <v>20723267.739881601</v>
      </c>
    </row>
    <row r="9" spans="1:8" x14ac:dyDescent="0.25">
      <c r="A9" s="14" t="s">
        <v>23</v>
      </c>
      <c r="B9" s="108">
        <v>14951141</v>
      </c>
      <c r="C9" s="112">
        <v>24504567</v>
      </c>
      <c r="D9" s="112">
        <v>25383950</v>
      </c>
      <c r="E9" s="112">
        <f>Schedules!E17</f>
        <v>26490394.690509938</v>
      </c>
      <c r="F9" s="112">
        <f>Schedules!F17</f>
        <v>27281059.995118186</v>
      </c>
      <c r="G9" s="112">
        <f>Schedules!G17</f>
        <v>27846069.370890178</v>
      </c>
      <c r="H9" s="112">
        <f>Schedules!H17</f>
        <v>28249825.034442946</v>
      </c>
    </row>
    <row r="10" spans="1:8" x14ac:dyDescent="0.25">
      <c r="A10" s="14" t="s">
        <v>24</v>
      </c>
      <c r="B10" s="108">
        <v>418281</v>
      </c>
      <c r="C10" s="112">
        <v>565221</v>
      </c>
      <c r="D10" s="112">
        <v>960183</v>
      </c>
      <c r="E10" s="112">
        <f>Schedules!E7</f>
        <v>1284140.1319325478</v>
      </c>
      <c r="F10" s="112">
        <f>Schedules!F7</f>
        <v>1580571.3401268851</v>
      </c>
      <c r="G10" s="112">
        <f>Schedules!G7</f>
        <v>1855677.8705373763</v>
      </c>
      <c r="H10" s="112">
        <f>Schedules!H7</f>
        <v>2114007.7525359015</v>
      </c>
    </row>
    <row r="11" spans="1:8" x14ac:dyDescent="0.25">
      <c r="A11" s="14" t="s">
        <v>25</v>
      </c>
      <c r="B11" s="108">
        <v>910843</v>
      </c>
      <c r="C11" s="112">
        <v>2727420</v>
      </c>
      <c r="D11" s="112">
        <v>3174646</v>
      </c>
      <c r="E11" s="112">
        <v>3174646</v>
      </c>
      <c r="F11" s="112">
        <v>3174646</v>
      </c>
      <c r="G11" s="112">
        <v>3174646</v>
      </c>
      <c r="H11" s="112">
        <v>3174647</v>
      </c>
    </row>
    <row r="12" spans="1:8" ht="15.75" thickBot="1" x14ac:dyDescent="0.3">
      <c r="A12" s="13" t="s">
        <v>26</v>
      </c>
      <c r="B12" s="113">
        <f>SUM(B8:B11)</f>
        <v>25974400</v>
      </c>
      <c r="C12" s="113">
        <f>SUM(C8:C11)</f>
        <v>33975712</v>
      </c>
      <c r="D12" s="113">
        <f>SUM(D8:D11)</f>
        <v>39280359</v>
      </c>
      <c r="E12" s="114">
        <f>ROUND(SUM(E8:E11),0)</f>
        <v>41878804</v>
      </c>
      <c r="F12" s="114">
        <f>ROUND(SUM(F8:F11),0)</f>
        <v>45128191</v>
      </c>
      <c r="G12" s="114">
        <f>ROUND(SUM(G8:G11),0)</f>
        <v>49604837</v>
      </c>
      <c r="H12" s="114">
        <f>ROUND(SUM(H8:H11),0)</f>
        <v>54261748</v>
      </c>
    </row>
    <row r="13" spans="1:8" x14ac:dyDescent="0.25">
      <c r="A13" s="13"/>
      <c r="B13" s="112"/>
      <c r="C13" s="112"/>
      <c r="D13" s="112"/>
      <c r="E13" s="48"/>
      <c r="F13" s="48"/>
      <c r="G13" s="48"/>
      <c r="H13" s="48"/>
    </row>
    <row r="14" spans="1:8" x14ac:dyDescent="0.25">
      <c r="A14" s="13" t="s">
        <v>27</v>
      </c>
      <c r="B14" s="108"/>
      <c r="C14" s="112"/>
      <c r="D14" s="112"/>
      <c r="E14" s="48"/>
      <c r="F14" s="48"/>
      <c r="G14" s="48"/>
      <c r="H14" s="48"/>
    </row>
    <row r="15" spans="1:8" x14ac:dyDescent="0.25">
      <c r="A15" s="14" t="s">
        <v>28</v>
      </c>
      <c r="B15" s="108"/>
      <c r="C15" s="112"/>
      <c r="D15" s="112"/>
      <c r="E15" s="48"/>
      <c r="F15" s="48"/>
      <c r="G15" s="48"/>
      <c r="H15" s="48"/>
    </row>
    <row r="16" spans="1:8" x14ac:dyDescent="0.25">
      <c r="A16" s="14" t="s">
        <v>29</v>
      </c>
      <c r="B16" s="108">
        <v>4681562</v>
      </c>
      <c r="C16" s="109">
        <v>4413561</v>
      </c>
      <c r="D16" s="109">
        <v>4429536</v>
      </c>
      <c r="E16" s="109">
        <v>4429536</v>
      </c>
      <c r="F16" s="109">
        <v>4429536</v>
      </c>
      <c r="G16" s="109">
        <v>4429536</v>
      </c>
      <c r="H16" s="109">
        <v>4429536</v>
      </c>
    </row>
    <row r="17" spans="1:8" x14ac:dyDescent="0.25">
      <c r="A17" s="14" t="s">
        <v>30</v>
      </c>
      <c r="B17" s="108">
        <v>562985</v>
      </c>
      <c r="C17" s="112">
        <v>674347</v>
      </c>
      <c r="D17" s="112">
        <v>656183</v>
      </c>
      <c r="E17" s="112">
        <f>'Other Items'!F19</f>
        <v>762212.8545602411</v>
      </c>
      <c r="F17" s="112">
        <f>'Other Items'!G19</f>
        <v>894566.49552233238</v>
      </c>
      <c r="G17" s="112">
        <f>'Other Items'!H19</f>
        <v>1019149.6231080516</v>
      </c>
      <c r="H17" s="112">
        <f>'Other Items'!I19</f>
        <v>1143819.1089080148</v>
      </c>
    </row>
    <row r="18" spans="1:8" x14ac:dyDescent="0.25">
      <c r="A18" s="14" t="s">
        <v>31</v>
      </c>
      <c r="B18" s="108">
        <v>481874</v>
      </c>
      <c r="C18" s="112">
        <v>843043</v>
      </c>
      <c r="D18" s="112">
        <v>1102196</v>
      </c>
      <c r="E18" s="112">
        <f>'Other Items'!F22</f>
        <v>1111676.5673939134</v>
      </c>
      <c r="F18" s="112">
        <f>'Other Items'!G22</f>
        <v>1304712.4633205351</v>
      </c>
      <c r="G18" s="112">
        <f>'Other Items'!H22</f>
        <v>1486415.1764158104</v>
      </c>
      <c r="H18" s="112">
        <f>'Other Items'!I22</f>
        <v>1668243.8417337525</v>
      </c>
    </row>
    <row r="19" spans="1:8" x14ac:dyDescent="0.25">
      <c r="A19" s="14" t="s">
        <v>32</v>
      </c>
      <c r="B19" s="108">
        <v>760899</v>
      </c>
      <c r="C19" s="112">
        <v>924745</v>
      </c>
      <c r="D19" s="112">
        <v>1117992</v>
      </c>
      <c r="E19" s="112">
        <f>'Other Items'!F25</f>
        <v>1325090.692034519</v>
      </c>
      <c r="F19" s="112">
        <f>'Other Items'!G25</f>
        <v>1555184.6567931317</v>
      </c>
      <c r="G19" s="112">
        <f>'Other Items'!H25</f>
        <v>1771769.7507871587</v>
      </c>
      <c r="H19" s="112">
        <f>'Other Items'!I25</f>
        <v>1988504.9766835682</v>
      </c>
    </row>
    <row r="20" spans="1:8" x14ac:dyDescent="0.25">
      <c r="A20" s="14" t="s">
        <v>33</v>
      </c>
      <c r="B20" s="110">
        <v>0</v>
      </c>
      <c r="C20" s="110">
        <v>0</v>
      </c>
      <c r="D20" s="110">
        <v>499878</v>
      </c>
      <c r="E20" s="110">
        <v>499878</v>
      </c>
      <c r="F20" s="110">
        <v>499878</v>
      </c>
      <c r="G20" s="110">
        <v>499878</v>
      </c>
      <c r="H20" s="110">
        <v>499878</v>
      </c>
    </row>
    <row r="21" spans="1:8" x14ac:dyDescent="0.25">
      <c r="A21" s="14" t="s">
        <v>34</v>
      </c>
      <c r="B21" s="111">
        <f>SUM(B16:B20)</f>
        <v>6487320</v>
      </c>
      <c r="C21" s="112">
        <f>SUM(C16:C20)</f>
        <v>6855696</v>
      </c>
      <c r="D21" s="112">
        <f>SUM(D16:D20)</f>
        <v>7805785</v>
      </c>
      <c r="E21" s="97">
        <f t="shared" ref="E21:H21" si="1">SUM(E16:E20)</f>
        <v>8128394.1139886742</v>
      </c>
      <c r="F21" s="97">
        <f>SUM(F16:F20)</f>
        <v>8683877.6156359985</v>
      </c>
      <c r="G21" s="97">
        <f t="shared" si="1"/>
        <v>9206748.5503110215</v>
      </c>
      <c r="H21" s="97">
        <f t="shared" si="1"/>
        <v>9729981.9273253344</v>
      </c>
    </row>
    <row r="22" spans="1:8" x14ac:dyDescent="0.25">
      <c r="A22" s="14" t="s">
        <v>35</v>
      </c>
      <c r="B22" s="108">
        <v>3759026</v>
      </c>
      <c r="C22" s="112">
        <v>3334323</v>
      </c>
      <c r="D22" s="112">
        <v>2618084</v>
      </c>
      <c r="E22" s="112">
        <v>2618084</v>
      </c>
      <c r="F22" s="112">
        <v>2618084</v>
      </c>
      <c r="G22" s="112">
        <v>2618084</v>
      </c>
      <c r="H22" s="112">
        <v>2618084</v>
      </c>
    </row>
    <row r="23" spans="1:8" x14ac:dyDescent="0.25">
      <c r="A23" s="14" t="s">
        <v>36</v>
      </c>
      <c r="B23" s="108">
        <v>10360058</v>
      </c>
      <c r="C23" s="112">
        <v>14759260</v>
      </c>
      <c r="D23" s="112">
        <v>15809095</v>
      </c>
      <c r="E23" s="112">
        <f>Schedules!E25</f>
        <v>15309095</v>
      </c>
      <c r="F23" s="112">
        <f>Schedules!F25</f>
        <v>14609095</v>
      </c>
      <c r="G23" s="112">
        <f>Schedules!G25</f>
        <v>14609095</v>
      </c>
      <c r="H23" s="112">
        <f>Schedules!H25</f>
        <v>14209095</v>
      </c>
    </row>
    <row r="24" spans="1:8" x14ac:dyDescent="0.25">
      <c r="A24" s="14" t="s">
        <v>37</v>
      </c>
      <c r="B24" s="108">
        <v>129231</v>
      </c>
      <c r="C24" s="110">
        <v>1444276</v>
      </c>
      <c r="D24" s="110">
        <v>1982155</v>
      </c>
      <c r="E24" s="110">
        <v>1982155</v>
      </c>
      <c r="F24" s="110">
        <v>1982155</v>
      </c>
      <c r="G24" s="110">
        <v>1982155</v>
      </c>
      <c r="H24" s="110">
        <v>1982155</v>
      </c>
    </row>
    <row r="25" spans="1:8" x14ac:dyDescent="0.25">
      <c r="A25" s="13" t="s">
        <v>38</v>
      </c>
      <c r="B25" s="111">
        <f>SUM(B21:B24)</f>
        <v>20735635</v>
      </c>
      <c r="C25" s="112">
        <f>SUM(C21:C24)</f>
        <v>26393555</v>
      </c>
      <c r="D25" s="112">
        <f>SUM(D21:D24)</f>
        <v>28215119</v>
      </c>
      <c r="E25" s="97">
        <f t="shared" ref="E25:H25" si="2">SUM(E21:E24)</f>
        <v>28037728.113988675</v>
      </c>
      <c r="F25" s="97">
        <f>SUM(F21:F24)</f>
        <v>27893211.615635999</v>
      </c>
      <c r="G25" s="97">
        <f t="shared" si="2"/>
        <v>28416082.550311022</v>
      </c>
      <c r="H25" s="97">
        <f t="shared" si="2"/>
        <v>28539315.927325334</v>
      </c>
    </row>
    <row r="26" spans="1:8" x14ac:dyDescent="0.25">
      <c r="A26" s="14" t="s">
        <v>39</v>
      </c>
      <c r="B26" s="108"/>
      <c r="C26" s="112"/>
      <c r="D26" s="112"/>
      <c r="E26" s="48"/>
      <c r="F26" s="48"/>
      <c r="G26" s="48"/>
      <c r="H26" s="48"/>
    </row>
    <row r="27" spans="1:8" x14ac:dyDescent="0.25">
      <c r="A27" s="14" t="s">
        <v>40</v>
      </c>
      <c r="B27" s="112">
        <v>2315988</v>
      </c>
      <c r="C27" s="112">
        <v>2793929</v>
      </c>
      <c r="D27" s="112">
        <v>3447698</v>
      </c>
      <c r="E27" s="112">
        <v>3447698</v>
      </c>
      <c r="F27" s="112">
        <v>3447698</v>
      </c>
      <c r="G27" s="112">
        <v>3447698</v>
      </c>
      <c r="H27" s="112">
        <v>3447698</v>
      </c>
    </row>
    <row r="28" spans="1:8" x14ac:dyDescent="0.25">
      <c r="A28" s="14" t="s">
        <v>41</v>
      </c>
      <c r="B28" s="115"/>
      <c r="C28" s="112">
        <v>0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</row>
    <row r="29" spans="1:8" x14ac:dyDescent="0.25">
      <c r="A29" s="14" t="s">
        <v>42</v>
      </c>
      <c r="B29" s="112">
        <v>-19582</v>
      </c>
      <c r="C29" s="112">
        <v>-23521</v>
      </c>
      <c r="D29" s="112">
        <v>44398</v>
      </c>
      <c r="E29" s="112">
        <v>44398</v>
      </c>
      <c r="F29" s="112">
        <v>44398</v>
      </c>
      <c r="G29" s="112">
        <v>44398</v>
      </c>
      <c r="H29" s="112">
        <v>44398</v>
      </c>
    </row>
    <row r="30" spans="1:8" x14ac:dyDescent="0.25">
      <c r="A30" s="14" t="s">
        <v>43</v>
      </c>
      <c r="B30" s="108">
        <v>2942359</v>
      </c>
      <c r="C30" s="110">
        <v>4811749</v>
      </c>
      <c r="D30" s="110">
        <v>7573144</v>
      </c>
      <c r="E30" s="110">
        <f>D30+'P&amp;L'!E21</f>
        <v>10348980.383001614</v>
      </c>
      <c r="F30" s="110">
        <f>E30+'P&amp;L'!F21</f>
        <v>13742883.840251308</v>
      </c>
      <c r="G30" s="110">
        <f>F30+'P&amp;L'!G21</f>
        <v>17696659.254154451</v>
      </c>
      <c r="H30" s="110">
        <f>G30+'P&amp;L'!H21</f>
        <v>22230335.267793871</v>
      </c>
    </row>
    <row r="31" spans="1:8" x14ac:dyDescent="0.25">
      <c r="A31" s="13" t="s">
        <v>44</v>
      </c>
      <c r="B31" s="116">
        <f>SUM(B27:B30)</f>
        <v>5238765</v>
      </c>
      <c r="C31" s="112">
        <f>SUM(C27:C30)</f>
        <v>7582157</v>
      </c>
      <c r="D31" s="112">
        <f>SUM(D27:D30)</f>
        <v>11065240</v>
      </c>
      <c r="E31" s="112">
        <f t="shared" ref="E31:H31" si="3">SUM(E27:E30)</f>
        <v>13841076.383001614</v>
      </c>
      <c r="F31" s="112">
        <f>SUM(F27:F30)</f>
        <v>17234979.840251308</v>
      </c>
      <c r="G31" s="112">
        <f t="shared" si="3"/>
        <v>21188755.254154451</v>
      </c>
      <c r="H31" s="112">
        <f t="shared" si="3"/>
        <v>25722431.267793871</v>
      </c>
    </row>
    <row r="32" spans="1:8" ht="15.75" thickBot="1" x14ac:dyDescent="0.3">
      <c r="A32" s="13" t="s">
        <v>45</v>
      </c>
      <c r="B32" s="113">
        <f>B25+B31</f>
        <v>25974400</v>
      </c>
      <c r="C32" s="113">
        <f>C25+C31</f>
        <v>33975712</v>
      </c>
      <c r="D32" s="113">
        <f>D25+D31</f>
        <v>39280359</v>
      </c>
      <c r="E32" s="114">
        <f>ROUND(E25+E31,0)</f>
        <v>41878804</v>
      </c>
      <c r="F32" s="114">
        <f>ROUND(F25+F31,0)</f>
        <v>45128191</v>
      </c>
      <c r="G32" s="114">
        <f>ROUND(G25+G31,0)</f>
        <v>49604838</v>
      </c>
      <c r="H32" s="114">
        <f>ROUND(H25+H31,0)</f>
        <v>54261747</v>
      </c>
    </row>
    <row r="35" spans="1:8" x14ac:dyDescent="0.25">
      <c r="A35" t="s">
        <v>112</v>
      </c>
      <c r="B35" t="b">
        <f>B32=B12</f>
        <v>1</v>
      </c>
      <c r="C35" t="b">
        <f t="shared" ref="C35:D35" si="4">C32=C12</f>
        <v>1</v>
      </c>
      <c r="D35" t="b">
        <f t="shared" si="4"/>
        <v>1</v>
      </c>
      <c r="E35" t="b">
        <f>E32=E12</f>
        <v>1</v>
      </c>
      <c r="F35" t="b">
        <f t="shared" ref="F35:H35" si="5">F32=F12</f>
        <v>1</v>
      </c>
      <c r="G35" t="b">
        <f t="shared" si="5"/>
        <v>0</v>
      </c>
      <c r="H35" t="b">
        <f t="shared" si="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AE5B-69A1-4609-B587-7437C78B3FAD}">
  <dimension ref="A1:H31"/>
  <sheetViews>
    <sheetView topLeftCell="A5" workbookViewId="0">
      <selection activeCell="E21" sqref="E21"/>
    </sheetView>
  </sheetViews>
  <sheetFormatPr defaultRowHeight="15" x14ac:dyDescent="0.25"/>
  <cols>
    <col min="1" max="1" width="33.28515625" style="30" bestFit="1" customWidth="1"/>
    <col min="2" max="2" width="12.7109375" customWidth="1"/>
    <col min="3" max="3" width="13.42578125" customWidth="1"/>
    <col min="4" max="4" width="12.85546875" customWidth="1"/>
    <col min="5" max="5" width="13.5703125" customWidth="1"/>
    <col min="6" max="6" width="13.7109375" customWidth="1"/>
    <col min="7" max="7" width="14.28515625" customWidth="1"/>
    <col min="8" max="8" width="13.7109375" customWidth="1"/>
  </cols>
  <sheetData>
    <row r="1" spans="1:8" ht="15.75" x14ac:dyDescent="0.25">
      <c r="A1" s="29" t="s">
        <v>92</v>
      </c>
    </row>
    <row r="3" spans="1:8" ht="24" x14ac:dyDescent="0.25">
      <c r="A3" s="31" t="s">
        <v>1</v>
      </c>
      <c r="B3" s="4" t="s">
        <v>2</v>
      </c>
      <c r="C3" s="4" t="s">
        <v>3</v>
      </c>
      <c r="D3" s="4" t="s">
        <v>4</v>
      </c>
      <c r="E3" s="32" t="s">
        <v>140</v>
      </c>
      <c r="F3" s="32" t="s">
        <v>141</v>
      </c>
      <c r="G3" s="32" t="s">
        <v>142</v>
      </c>
      <c r="H3" s="32" t="s">
        <v>143</v>
      </c>
    </row>
    <row r="4" spans="1:8" x14ac:dyDescent="0.25">
      <c r="A4" s="30" t="s">
        <v>93</v>
      </c>
      <c r="B4" s="102"/>
      <c r="C4" s="102"/>
      <c r="D4" s="102"/>
      <c r="E4" s="48">
        <f>'P&amp;L'!E15</f>
        <v>3912365.5774570038</v>
      </c>
      <c r="F4" s="48">
        <f>ROUND('P&amp;L'!F15,0)</f>
        <v>4596620</v>
      </c>
      <c r="G4" s="48">
        <f>'P&amp;L'!G15</f>
        <v>5245287.1113553327</v>
      </c>
      <c r="H4" s="48">
        <f>'P&amp;L'!H15</f>
        <v>5898966.5544915134</v>
      </c>
    </row>
    <row r="5" spans="1:8" x14ac:dyDescent="0.25">
      <c r="A5" s="30" t="s">
        <v>94</v>
      </c>
      <c r="B5" s="102"/>
      <c r="C5" s="102"/>
      <c r="D5" s="102"/>
      <c r="E5" s="48">
        <f>E4*E6</f>
        <v>-535557.75068915728</v>
      </c>
      <c r="F5" s="48">
        <f t="shared" ref="F5:H5" si="0">F4*F6</f>
        <v>-629224.29390479124</v>
      </c>
      <c r="G5" s="48">
        <f t="shared" si="0"/>
        <v>-718019.34442491678</v>
      </c>
      <c r="H5" s="48">
        <f t="shared" si="0"/>
        <v>-807500.52538993908</v>
      </c>
    </row>
    <row r="6" spans="1:8" x14ac:dyDescent="0.25">
      <c r="A6" s="62" t="s">
        <v>95</v>
      </c>
      <c r="B6" s="102"/>
      <c r="C6" s="102"/>
      <c r="D6" s="102"/>
      <c r="E6" s="67">
        <f>'P&amp;L'!E20</f>
        <v>-0.13688847324877654</v>
      </c>
      <c r="F6" s="67">
        <f>'P&amp;L'!F20</f>
        <v>-0.13688847324877654</v>
      </c>
      <c r="G6" s="67">
        <f>'P&amp;L'!G20</f>
        <v>-0.13688847324877654</v>
      </c>
      <c r="H6" s="67">
        <f>'P&amp;L'!H20</f>
        <v>-0.13688847324877654</v>
      </c>
    </row>
    <row r="7" spans="1:8" x14ac:dyDescent="0.25">
      <c r="A7" s="37" t="s">
        <v>96</v>
      </c>
      <c r="B7" s="102"/>
      <c r="C7" s="102"/>
      <c r="D7" s="102"/>
      <c r="E7" s="104">
        <f>SUM(E4:E6)</f>
        <v>3376807.6898793732</v>
      </c>
      <c r="F7" s="104">
        <f>SUM(F4:F6)</f>
        <v>3967395.5692067356</v>
      </c>
      <c r="G7" s="104">
        <f t="shared" ref="G7:H7" si="1">SUM(G4:G6)</f>
        <v>4527267.6300419429</v>
      </c>
      <c r="H7" s="104">
        <f t="shared" si="1"/>
        <v>5091465.8922131015</v>
      </c>
    </row>
    <row r="8" spans="1:8" x14ac:dyDescent="0.25">
      <c r="A8" s="30" t="s">
        <v>97</v>
      </c>
      <c r="B8" s="102"/>
      <c r="C8" s="102"/>
      <c r="D8" s="102"/>
      <c r="E8" s="48">
        <f>Schedules!E16</f>
        <v>10579850.30949006</v>
      </c>
      <c r="F8" s="48">
        <f>Schedules!F16</f>
        <v>10895629.69539175</v>
      </c>
      <c r="G8" s="48">
        <f>Schedules!G16</f>
        <v>11121285.624228006</v>
      </c>
      <c r="H8" s="48">
        <f>Schedules!H16</f>
        <v>11282539.33644723</v>
      </c>
    </row>
    <row r="9" spans="1:8" x14ac:dyDescent="0.25">
      <c r="A9" s="55" t="s">
        <v>98</v>
      </c>
      <c r="B9" s="102"/>
      <c r="C9" s="102"/>
      <c r="D9" s="102"/>
      <c r="E9" s="48">
        <f>'P&amp;L'!E14</f>
        <v>186714.86806745233</v>
      </c>
      <c r="F9" s="48">
        <f>'P&amp;L'!F14</f>
        <v>214240.79180566277</v>
      </c>
      <c r="G9" s="48">
        <f>'P&amp;L'!G14</f>
        <v>235565.4695895089</v>
      </c>
      <c r="H9" s="48">
        <f>'P&amp;L'!H14</f>
        <v>252342.11800147456</v>
      </c>
    </row>
    <row r="10" spans="1:8" x14ac:dyDescent="0.25">
      <c r="A10" s="37" t="s">
        <v>99</v>
      </c>
      <c r="B10" s="102"/>
      <c r="C10" s="102"/>
      <c r="D10" s="102"/>
      <c r="E10" s="104">
        <f>SUM(E7:E9)</f>
        <v>14143372.867436886</v>
      </c>
      <c r="F10" s="104">
        <f>SUM(F7:F9)</f>
        <v>15077266.056404147</v>
      </c>
      <c r="G10" s="104">
        <f t="shared" ref="G10:H10" si="2">SUM(G7:G9)</f>
        <v>15884118.723859459</v>
      </c>
      <c r="H10" s="104">
        <f t="shared" si="2"/>
        <v>16626347.346661804</v>
      </c>
    </row>
    <row r="11" spans="1:8" x14ac:dyDescent="0.25">
      <c r="A11" s="30" t="s">
        <v>100</v>
      </c>
      <c r="B11" s="102"/>
      <c r="C11" s="102"/>
      <c r="D11" s="102"/>
      <c r="E11" s="48">
        <f>'Other Items'!F19-'Other Items'!E19</f>
        <v>106029.8545602411</v>
      </c>
      <c r="F11" s="48">
        <f>'Other Items'!G19-'Other Items'!F19</f>
        <v>132353.64096209127</v>
      </c>
      <c r="G11" s="48">
        <f>'Other Items'!H19-'Other Items'!G19</f>
        <v>124583.12758571922</v>
      </c>
      <c r="H11" s="48">
        <f>'Other Items'!I19-'Other Items'!H19</f>
        <v>124669.48579996324</v>
      </c>
    </row>
    <row r="12" spans="1:8" x14ac:dyDescent="0.25">
      <c r="A12" s="30" t="s">
        <v>68</v>
      </c>
      <c r="B12" s="102"/>
      <c r="C12" s="102"/>
      <c r="D12" s="102"/>
      <c r="E12" s="117">
        <f>'Other Items'!F25-'Other Items'!E25</f>
        <v>207098.69203451904</v>
      </c>
      <c r="F12" s="117">
        <f>'Other Items'!G25-'Other Items'!F25</f>
        <v>230093.96475861268</v>
      </c>
      <c r="G12" s="117">
        <f>'Other Items'!H25-'Other Items'!G25</f>
        <v>216585.093994027</v>
      </c>
      <c r="H12" s="117">
        <f>'Other Items'!I25-'Other Items'!H25</f>
        <v>216735.22589640948</v>
      </c>
    </row>
    <row r="13" spans="1:8" x14ac:dyDescent="0.25">
      <c r="A13" s="30" t="s">
        <v>101</v>
      </c>
      <c r="B13" s="102"/>
      <c r="C13" s="102"/>
      <c r="D13" s="102"/>
    </row>
    <row r="14" spans="1:8" x14ac:dyDescent="0.25">
      <c r="A14" s="14" t="s">
        <v>102</v>
      </c>
      <c r="B14" s="102"/>
      <c r="C14" s="102"/>
      <c r="D14" s="102"/>
      <c r="E14" s="117">
        <f>'Other Items'!F22-'Other Items'!E22</f>
        <v>9480.5673939133994</v>
      </c>
      <c r="F14" s="117">
        <f>'Other Items'!G22-'Other Items'!F22</f>
        <v>193035.89592662174</v>
      </c>
      <c r="G14" s="117">
        <f>'Other Items'!H22-'Other Items'!G22</f>
        <v>181702.71309527522</v>
      </c>
      <c r="H14" s="117">
        <f>'Other Items'!I22-'Other Items'!H22</f>
        <v>181828.66531794216</v>
      </c>
    </row>
    <row r="15" spans="1:8" x14ac:dyDescent="0.25">
      <c r="A15" s="55" t="s">
        <v>103</v>
      </c>
      <c r="B15" s="102"/>
      <c r="C15" s="102"/>
      <c r="D15" s="102"/>
      <c r="E15" s="52">
        <f>-('Other Items'!F16-'Other Items'!E16)</f>
        <v>-227107.35170919797</v>
      </c>
      <c r="F15" s="52">
        <f>-('Other Items'!G16-'Other Items'!F16)</f>
        <v>-309630.99011282949</v>
      </c>
      <c r="G15" s="52">
        <f>-('Other Items'!H16-'Other Items'!G16)</f>
        <v>-291452.48189105536</v>
      </c>
      <c r="H15" s="52">
        <f>-('Other Items'!I16-'Other Items'!H16)</f>
        <v>-291654.5101781995</v>
      </c>
    </row>
    <row r="16" spans="1:8" x14ac:dyDescent="0.25">
      <c r="A16" s="37" t="s">
        <v>104</v>
      </c>
      <c r="B16" s="102"/>
      <c r="C16" s="102"/>
      <c r="D16" s="102"/>
      <c r="E16" s="104">
        <f>SUM(E11:E15)</f>
        <v>95501.762279475573</v>
      </c>
      <c r="F16" s="104">
        <f t="shared" ref="F16:H16" si="3">SUM(F11:F15)</f>
        <v>245852.51153449621</v>
      </c>
      <c r="G16" s="104">
        <f t="shared" si="3"/>
        <v>231418.45278396609</v>
      </c>
      <c r="H16" s="104">
        <f t="shared" si="3"/>
        <v>231578.86683611537</v>
      </c>
    </row>
    <row r="17" spans="1:8" x14ac:dyDescent="0.25">
      <c r="A17" s="30" t="s">
        <v>75</v>
      </c>
      <c r="B17" s="102"/>
      <c r="C17" s="102"/>
      <c r="D17" s="102"/>
      <c r="E17" s="49">
        <f>Schedules!E15</f>
        <v>11686295</v>
      </c>
      <c r="F17" s="49">
        <f>Schedules!F15</f>
        <v>11686295</v>
      </c>
      <c r="G17" s="49">
        <f>Schedules!G15</f>
        <v>11686295</v>
      </c>
      <c r="H17" s="49">
        <f>Schedules!H15</f>
        <v>11686295</v>
      </c>
    </row>
    <row r="18" spans="1:8" x14ac:dyDescent="0.25">
      <c r="A18" s="55" t="s">
        <v>69</v>
      </c>
      <c r="B18" s="102"/>
      <c r="C18" s="102"/>
      <c r="D18" s="102"/>
      <c r="E18" s="49">
        <f>Schedules!E5</f>
        <v>510672</v>
      </c>
      <c r="F18" s="49">
        <f>Schedules!F5</f>
        <v>510672</v>
      </c>
      <c r="G18" s="49">
        <f>Schedules!G5</f>
        <v>510672</v>
      </c>
      <c r="H18" s="49">
        <f>Schedules!H5</f>
        <v>510672</v>
      </c>
    </row>
    <row r="19" spans="1:8" x14ac:dyDescent="0.25">
      <c r="A19" s="37" t="s">
        <v>105</v>
      </c>
      <c r="B19" s="102"/>
      <c r="C19" s="102"/>
      <c r="D19" s="102"/>
      <c r="E19" s="97">
        <f>-SUM(E17:E18)</f>
        <v>-12196967</v>
      </c>
      <c r="F19" s="97">
        <f t="shared" ref="F19:H19" si="4">-SUM(F17:F18)</f>
        <v>-12196967</v>
      </c>
      <c r="G19" s="97">
        <f t="shared" si="4"/>
        <v>-12196967</v>
      </c>
      <c r="H19" s="97">
        <f t="shared" si="4"/>
        <v>-12196967</v>
      </c>
    </row>
    <row r="20" spans="1:8" x14ac:dyDescent="0.25">
      <c r="A20" s="63" t="s">
        <v>106</v>
      </c>
      <c r="B20" s="102"/>
      <c r="C20" s="102"/>
      <c r="D20" s="102"/>
      <c r="F20" s="48"/>
      <c r="G20" s="48"/>
      <c r="H20" s="48"/>
    </row>
    <row r="21" spans="1:8" x14ac:dyDescent="0.25">
      <c r="A21" s="68" t="s">
        <v>107</v>
      </c>
      <c r="B21" s="103"/>
      <c r="C21" s="103"/>
      <c r="D21" s="103"/>
      <c r="E21" s="106">
        <f>E19+E16+E10</f>
        <v>2041907.6297163609</v>
      </c>
      <c r="F21" s="106">
        <f>F19+F16+F10</f>
        <v>3126151.5679386444</v>
      </c>
      <c r="G21" s="106">
        <f t="shared" ref="G21:H21" si="5">G19+G16+G10</f>
        <v>3918570.1766434256</v>
      </c>
      <c r="H21" s="106">
        <f t="shared" si="5"/>
        <v>4660959.21349792</v>
      </c>
    </row>
    <row r="22" spans="1:8" x14ac:dyDescent="0.25">
      <c r="A22" s="64" t="s">
        <v>108</v>
      </c>
      <c r="B22" s="102"/>
      <c r="C22" s="102"/>
      <c r="D22" s="102"/>
      <c r="E22" s="48">
        <f>Schedules!E24</f>
        <v>-500000</v>
      </c>
      <c r="F22" s="48">
        <f>Schedules!F24</f>
        <v>-700000</v>
      </c>
      <c r="G22" s="48">
        <f>Schedules!G24</f>
        <v>0</v>
      </c>
      <c r="H22" s="48">
        <f>Schedules!H24</f>
        <v>-400000</v>
      </c>
    </row>
    <row r="23" spans="1:8" x14ac:dyDescent="0.25">
      <c r="A23" s="65" t="s">
        <v>82</v>
      </c>
      <c r="B23" s="102"/>
      <c r="C23" s="102"/>
      <c r="D23" s="102"/>
      <c r="E23" s="52">
        <f>Schedules!E27</f>
        <v>-696284.80809230579</v>
      </c>
      <c r="F23" s="52">
        <f>Schedules!F27</f>
        <v>-664447.56587357156</v>
      </c>
      <c r="G23" s="52">
        <f>Schedules!G27</f>
        <v>-664447.56587357156</v>
      </c>
      <c r="H23" s="52">
        <f>Schedules!H27</f>
        <v>-646254.85603429482</v>
      </c>
    </row>
    <row r="24" spans="1:8" x14ac:dyDescent="0.25">
      <c r="A24" s="65" t="s">
        <v>109</v>
      </c>
      <c r="B24" s="102"/>
      <c r="C24" s="102"/>
      <c r="D24" s="102"/>
      <c r="E24" s="85">
        <f>'P&amp;L'!E19-'Cashflow Statement'!E5</f>
        <v>95313.364326073148</v>
      </c>
      <c r="F24" s="85">
        <f>'P&amp;L'!F19-'Cashflow Statement'!F5</f>
        <v>90955.196323195123</v>
      </c>
      <c r="G24" s="85">
        <f>'P&amp;L'!G19-'Cashflow Statement'!G5</f>
        <v>90955.212846299051</v>
      </c>
      <c r="H24" s="85">
        <f>'P&amp;L'!H19-'Cashflow Statement'!H5</f>
        <v>88464.840572142508</v>
      </c>
    </row>
    <row r="25" spans="1:8" ht="15.75" thickBot="1" x14ac:dyDescent="0.3">
      <c r="A25" s="105" t="s">
        <v>110</v>
      </c>
      <c r="B25" s="103"/>
      <c r="C25" s="103"/>
      <c r="D25" s="103"/>
      <c r="E25" s="107">
        <f>SUM(E21:E24)</f>
        <v>940936.18595012836</v>
      </c>
      <c r="F25" s="107">
        <f>SUM(F21:F24)</f>
        <v>1852659.1983882678</v>
      </c>
      <c r="G25" s="107">
        <f t="shared" ref="G25:H25" si="6">SUM(G21:G24)</f>
        <v>3345077.8236161531</v>
      </c>
      <c r="H25" s="107">
        <f t="shared" si="6"/>
        <v>3703169.1980357678</v>
      </c>
    </row>
    <row r="26" spans="1:8" x14ac:dyDescent="0.25">
      <c r="A26" s="66"/>
      <c r="B26" s="102"/>
      <c r="C26" s="102"/>
      <c r="D26" s="102"/>
    </row>
    <row r="27" spans="1:8" x14ac:dyDescent="0.25">
      <c r="A27" s="65"/>
      <c r="B27" s="102"/>
      <c r="C27" s="102"/>
      <c r="D27" s="102"/>
    </row>
    <row r="28" spans="1:8" x14ac:dyDescent="0.25">
      <c r="A28" s="30" t="s">
        <v>111</v>
      </c>
      <c r="B28" s="102"/>
      <c r="C28" s="102"/>
      <c r="D28" s="102"/>
    </row>
    <row r="29" spans="1:8" x14ac:dyDescent="0.25">
      <c r="A29" s="30" t="s">
        <v>113</v>
      </c>
      <c r="B29" s="102"/>
      <c r="C29" s="102"/>
      <c r="D29" s="102"/>
    </row>
    <row r="30" spans="1:8" x14ac:dyDescent="0.25">
      <c r="A30" s="65"/>
      <c r="B30" s="102"/>
      <c r="C30" s="102"/>
      <c r="D30" s="102"/>
    </row>
    <row r="31" spans="1:8" x14ac:dyDescent="0.25">
      <c r="A31" s="6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4B7A-C292-4060-BCE7-D5B09D3CE1EB}">
  <dimension ref="A1:G18"/>
  <sheetViews>
    <sheetView workbookViewId="0">
      <selection activeCell="F14" sqref="F14"/>
    </sheetView>
  </sheetViews>
  <sheetFormatPr defaultRowHeight="15" x14ac:dyDescent="0.25"/>
  <cols>
    <col min="1" max="1" width="20.140625" customWidth="1"/>
    <col min="2" max="2" width="14.28515625" bestFit="1" customWidth="1"/>
    <col min="7" max="7" width="11.140625" customWidth="1"/>
  </cols>
  <sheetData>
    <row r="1" spans="1:7" x14ac:dyDescent="0.25">
      <c r="A1" t="s">
        <v>114</v>
      </c>
    </row>
    <row r="3" spans="1:7" x14ac:dyDescent="0.25">
      <c r="A3" t="s">
        <v>115</v>
      </c>
      <c r="B3" s="69">
        <v>1.67E-2</v>
      </c>
    </row>
    <row r="4" spans="1:7" x14ac:dyDescent="0.25">
      <c r="A4" t="s">
        <v>116</v>
      </c>
      <c r="B4" s="69">
        <v>5.5E-2</v>
      </c>
    </row>
    <row r="5" spans="1:7" x14ac:dyDescent="0.25">
      <c r="A5" t="s">
        <v>117</v>
      </c>
      <c r="B5">
        <v>1.0580000000000001</v>
      </c>
    </row>
    <row r="7" spans="1:7" x14ac:dyDescent="0.25">
      <c r="A7" s="3" t="s">
        <v>1</v>
      </c>
      <c r="B7" t="s">
        <v>118</v>
      </c>
    </row>
    <row r="8" spans="1:7" ht="15.75" thickBot="1" x14ac:dyDescent="0.3"/>
    <row r="9" spans="1:7" ht="15.75" thickBot="1" x14ac:dyDescent="0.3">
      <c r="A9" t="s">
        <v>119</v>
      </c>
      <c r="B9" s="69">
        <f>B3*B5+B4</f>
        <v>7.26686E-2</v>
      </c>
      <c r="D9" s="121" t="s">
        <v>120</v>
      </c>
      <c r="E9" s="122"/>
      <c r="F9" s="122"/>
      <c r="G9" s="123"/>
    </row>
    <row r="10" spans="1:7" x14ac:dyDescent="0.25">
      <c r="A10" t="s">
        <v>121</v>
      </c>
      <c r="B10" s="69">
        <v>4.8750000000000002E-2</v>
      </c>
    </row>
    <row r="12" spans="1:7" x14ac:dyDescent="0.25">
      <c r="A12" t="s">
        <v>122</v>
      </c>
      <c r="B12" s="52">
        <f>'Balance Sheet'!H31</f>
        <v>25722431.267793871</v>
      </c>
    </row>
    <row r="13" spans="1:7" x14ac:dyDescent="0.25">
      <c r="A13" t="s">
        <v>123</v>
      </c>
      <c r="B13" s="52">
        <f>'Balance Sheet'!H23</f>
        <v>14209095</v>
      </c>
      <c r="F13" t="s">
        <v>145</v>
      </c>
    </row>
    <row r="15" spans="1:7" x14ac:dyDescent="0.25">
      <c r="A15" t="s">
        <v>124</v>
      </c>
      <c r="B15" s="86">
        <f>B12/(B12+B13)</f>
        <v>0.64416348865031692</v>
      </c>
    </row>
    <row r="16" spans="1:7" x14ac:dyDescent="0.25">
      <c r="A16" t="s">
        <v>125</v>
      </c>
      <c r="B16" s="86">
        <f>B13/(B12+B13)</f>
        <v>0.35583651134968303</v>
      </c>
    </row>
    <row r="18" spans="1:2" x14ac:dyDescent="0.25">
      <c r="A18" s="124" t="s">
        <v>114</v>
      </c>
      <c r="B18" s="125">
        <f>(B9*B15)+(B10*B16)</f>
        <v>6.4157488819631472E-2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P&amp;L Input</vt:lpstr>
      <vt:lpstr>Balance Sheet Input</vt:lpstr>
      <vt:lpstr>Revenue Modelling</vt:lpstr>
      <vt:lpstr>Other Items</vt:lpstr>
      <vt:lpstr>Schedules</vt:lpstr>
      <vt:lpstr>P&amp;L</vt:lpstr>
      <vt:lpstr>Balance Sheet</vt:lpstr>
      <vt:lpstr>Cashflow Statement</vt:lpstr>
      <vt:lpstr>WACC</vt:lpstr>
      <vt:lpstr>DCF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Chauhan</dc:creator>
  <cp:lastModifiedBy>DELL</cp:lastModifiedBy>
  <dcterms:created xsi:type="dcterms:W3CDTF">2021-11-01T12:20:11Z</dcterms:created>
  <dcterms:modified xsi:type="dcterms:W3CDTF">2024-06-24T11:52:37Z</dcterms:modified>
</cp:coreProperties>
</file>