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B2E6FDE1-B2B9-4700-B1EA-38E00372D808}" xr6:coauthVersionLast="46" xr6:coauthVersionMax="46" xr10:uidLastSave="{00000000-0000-0000-0000-000000000000}"/>
  <bookViews>
    <workbookView xWindow="-120" yWindow="-120" windowWidth="20730" windowHeight="11160" firstSheet="2" activeTab="6" xr2:uid="{24BBD54D-8719-44BA-B31D-1D9885D7D830}"/>
  </bookViews>
  <sheets>
    <sheet name="Index" sheetId="1" r:id="rId1"/>
    <sheet name="P&amp;L Source" sheetId="6" r:id="rId2"/>
    <sheet name="BS source" sheetId="3" r:id="rId3"/>
    <sheet name="P&amp;L assumptions" sheetId="5" r:id="rId4"/>
    <sheet name="BS assumptions" sheetId="7" r:id="rId5"/>
    <sheet name="P&amp;L " sheetId="8" r:id="rId6"/>
    <sheet name="BS" sheetId="9" r:id="rId7"/>
    <sheet name="Cash Flow" sheetId="10" r:id="rId8"/>
    <sheet name="DCF Valuation " sheetId="11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9" l="1"/>
  <c r="G14" i="9"/>
  <c r="D18" i="10"/>
  <c r="D23" i="10" s="1"/>
  <c r="D29" i="10" s="1"/>
  <c r="D7" i="10" l="1"/>
  <c r="D10" i="10" s="1"/>
  <c r="G15" i="8"/>
  <c r="G17" i="7"/>
  <c r="D20" i="11"/>
  <c r="C19" i="8"/>
  <c r="G4" i="8"/>
  <c r="C4" i="8"/>
  <c r="C5" i="9"/>
  <c r="G4" i="9"/>
  <c r="F9" i="5"/>
  <c r="C46" i="5"/>
  <c r="C10" i="5"/>
  <c r="D19" i="11"/>
  <c r="D17" i="11"/>
  <c r="D16" i="11"/>
  <c r="H10" i="11"/>
  <c r="I10" i="11"/>
  <c r="J10" i="11"/>
  <c r="K10" i="11"/>
  <c r="K11" i="11" s="1"/>
  <c r="G10" i="11"/>
  <c r="I8" i="11"/>
  <c r="J8" i="11"/>
  <c r="J11" i="11" s="1"/>
  <c r="K8" i="11"/>
  <c r="G6" i="10"/>
  <c r="E6" i="10"/>
  <c r="K27" i="10"/>
  <c r="J27" i="10"/>
  <c r="K25" i="10"/>
  <c r="J25" i="10"/>
  <c r="K21" i="10"/>
  <c r="J21" i="10"/>
  <c r="K19" i="10"/>
  <c r="J19" i="10"/>
  <c r="K18" i="10"/>
  <c r="J18" i="10"/>
  <c r="K16" i="10"/>
  <c r="J16" i="10"/>
  <c r="K14" i="10"/>
  <c r="J14" i="10"/>
  <c r="K13" i="10"/>
  <c r="J13" i="10"/>
  <c r="J15" i="10" s="1"/>
  <c r="K12" i="10"/>
  <c r="K15" i="10" s="1"/>
  <c r="J12" i="10"/>
  <c r="K9" i="10"/>
  <c r="J9" i="10"/>
  <c r="K6" i="10"/>
  <c r="K5" i="10" s="1"/>
  <c r="K26" i="10" s="1"/>
  <c r="J6" i="10"/>
  <c r="J5" i="10"/>
  <c r="J7" i="10" s="1"/>
  <c r="J10" i="10" s="1"/>
  <c r="J23" i="10" s="1"/>
  <c r="K4" i="10"/>
  <c r="J4" i="10"/>
  <c r="I27" i="10"/>
  <c r="I25" i="10"/>
  <c r="I21" i="10"/>
  <c r="I19" i="10"/>
  <c r="I18" i="10"/>
  <c r="I16" i="10"/>
  <c r="I14" i="10"/>
  <c r="I13" i="10"/>
  <c r="I12" i="10"/>
  <c r="I15" i="10" s="1"/>
  <c r="I9" i="10"/>
  <c r="I6" i="10"/>
  <c r="I5" i="10" s="1"/>
  <c r="I4" i="10"/>
  <c r="H27" i="10"/>
  <c r="H25" i="10"/>
  <c r="H21" i="10"/>
  <c r="H19" i="10"/>
  <c r="H9" i="10"/>
  <c r="H6" i="10"/>
  <c r="H5" i="10" s="1"/>
  <c r="H4" i="10"/>
  <c r="G31" i="10"/>
  <c r="G27" i="10"/>
  <c r="G19" i="10"/>
  <c r="G25" i="10"/>
  <c r="G21" i="10"/>
  <c r="G9" i="10"/>
  <c r="D15" i="10"/>
  <c r="D34" i="10"/>
  <c r="D31" i="10"/>
  <c r="D28" i="10"/>
  <c r="D27" i="10"/>
  <c r="D25" i="10"/>
  <c r="D21" i="10"/>
  <c r="D19" i="10"/>
  <c r="D16" i="10"/>
  <c r="E34" i="10"/>
  <c r="E31" i="10"/>
  <c r="E28" i="10"/>
  <c r="E27" i="10"/>
  <c r="E25" i="10"/>
  <c r="E21" i="10"/>
  <c r="E19" i="10"/>
  <c r="E18" i="10"/>
  <c r="E16" i="10"/>
  <c r="E14" i="10"/>
  <c r="E13" i="10"/>
  <c r="E12" i="10"/>
  <c r="E15" i="10" s="1"/>
  <c r="E9" i="10"/>
  <c r="E5" i="10"/>
  <c r="E4" i="10"/>
  <c r="D14" i="10"/>
  <c r="D13" i="10"/>
  <c r="D12" i="10"/>
  <c r="D9" i="10"/>
  <c r="D6" i="10"/>
  <c r="D4" i="10"/>
  <c r="H19" i="9"/>
  <c r="I19" i="9"/>
  <c r="J19" i="9"/>
  <c r="K19" i="9"/>
  <c r="G19" i="9"/>
  <c r="H6" i="9"/>
  <c r="I6" i="9"/>
  <c r="J6" i="9"/>
  <c r="K6" i="9"/>
  <c r="G6" i="9"/>
  <c r="H4" i="9"/>
  <c r="I4" i="9"/>
  <c r="J4" i="9"/>
  <c r="K4" i="9"/>
  <c r="D19" i="9"/>
  <c r="E19" i="9"/>
  <c r="C19" i="9"/>
  <c r="D21" i="9"/>
  <c r="E21" i="9"/>
  <c r="F21" i="9"/>
  <c r="C21" i="9"/>
  <c r="D12" i="9"/>
  <c r="E12" i="9"/>
  <c r="C12" i="9"/>
  <c r="D6" i="9"/>
  <c r="E6" i="9"/>
  <c r="C6" i="9"/>
  <c r="D4" i="9"/>
  <c r="E4" i="9"/>
  <c r="C4" i="9"/>
  <c r="E17" i="9"/>
  <c r="D17" i="9"/>
  <c r="C17" i="9"/>
  <c r="E16" i="9"/>
  <c r="E23" i="9" s="1"/>
  <c r="D16" i="9"/>
  <c r="C16" i="9"/>
  <c r="E10" i="9"/>
  <c r="D10" i="9"/>
  <c r="C10" i="9"/>
  <c r="E9" i="9"/>
  <c r="D9" i="9"/>
  <c r="C9" i="9"/>
  <c r="E8" i="9"/>
  <c r="D8" i="9"/>
  <c r="C8" i="9"/>
  <c r="D5" i="9"/>
  <c r="E5" i="9"/>
  <c r="E4" i="8"/>
  <c r="E5" i="8"/>
  <c r="D5" i="8"/>
  <c r="C5" i="8"/>
  <c r="E22" i="8"/>
  <c r="D22" i="8"/>
  <c r="C22" i="8"/>
  <c r="E18" i="8"/>
  <c r="D18" i="8"/>
  <c r="C18" i="8"/>
  <c r="E17" i="8"/>
  <c r="D17" i="8"/>
  <c r="C17" i="8"/>
  <c r="E14" i="8"/>
  <c r="D14" i="8"/>
  <c r="C14" i="8"/>
  <c r="E11" i="8"/>
  <c r="D11" i="8"/>
  <c r="C11" i="8"/>
  <c r="E8" i="8"/>
  <c r="D8" i="8"/>
  <c r="C8" i="8"/>
  <c r="D4" i="8"/>
  <c r="H21" i="7"/>
  <c r="I21" i="7"/>
  <c r="J21" i="7"/>
  <c r="K21" i="7"/>
  <c r="G21" i="7"/>
  <c r="H18" i="7"/>
  <c r="I18" i="7"/>
  <c r="J18" i="7"/>
  <c r="K18" i="7"/>
  <c r="G18" i="7"/>
  <c r="K15" i="7"/>
  <c r="H15" i="7"/>
  <c r="I15" i="7"/>
  <c r="J15" i="7"/>
  <c r="G15" i="7"/>
  <c r="G52" i="5"/>
  <c r="H21" i="8" s="1"/>
  <c r="H52" i="5"/>
  <c r="I21" i="8" s="1"/>
  <c r="I52" i="5"/>
  <c r="J21" i="8" s="1"/>
  <c r="J52" i="5"/>
  <c r="K21" i="8" s="1"/>
  <c r="F52" i="5"/>
  <c r="G21" i="8" s="1"/>
  <c r="F34" i="5"/>
  <c r="D34" i="5"/>
  <c r="B34" i="5"/>
  <c r="G46" i="5"/>
  <c r="H46" i="5"/>
  <c r="I46" i="5"/>
  <c r="J46" i="5"/>
  <c r="F46" i="5"/>
  <c r="G40" i="5"/>
  <c r="H40" i="5"/>
  <c r="I40" i="5"/>
  <c r="J40" i="5"/>
  <c r="F40" i="5"/>
  <c r="F39" i="5" s="1"/>
  <c r="G39" i="5" s="1"/>
  <c r="H17" i="8" s="1"/>
  <c r="G34" i="5"/>
  <c r="H34" i="5"/>
  <c r="I34" i="5"/>
  <c r="J34" i="5"/>
  <c r="G28" i="5"/>
  <c r="H28" i="5"/>
  <c r="I28" i="5"/>
  <c r="J28" i="5"/>
  <c r="F28" i="5"/>
  <c r="G22" i="5"/>
  <c r="H22" i="5"/>
  <c r="I22" i="5"/>
  <c r="J22" i="5"/>
  <c r="F22" i="5"/>
  <c r="G16" i="5"/>
  <c r="H16" i="5"/>
  <c r="I16" i="5"/>
  <c r="J16" i="5"/>
  <c r="F16" i="5"/>
  <c r="F15" i="5" s="1"/>
  <c r="G15" i="5" s="1"/>
  <c r="H5" i="8" s="1"/>
  <c r="J10" i="5"/>
  <c r="I10" i="5"/>
  <c r="H10" i="5"/>
  <c r="G10" i="5"/>
  <c r="F10" i="5"/>
  <c r="C51" i="5"/>
  <c r="C52" i="5" s="1"/>
  <c r="E6" i="6"/>
  <c r="E14" i="6"/>
  <c r="E18" i="6"/>
  <c r="E23" i="6"/>
  <c r="D51" i="5"/>
  <c r="D52" i="5" s="1"/>
  <c r="F6" i="6"/>
  <c r="F14" i="6"/>
  <c r="F18" i="6"/>
  <c r="F23" i="6"/>
  <c r="B51" i="5"/>
  <c r="B52" i="5" s="1"/>
  <c r="D6" i="6"/>
  <c r="D14" i="6"/>
  <c r="D18" i="6"/>
  <c r="D23" i="6"/>
  <c r="B6" i="1"/>
  <c r="B7" i="1"/>
  <c r="B8" i="1"/>
  <c r="B9" i="1"/>
  <c r="B10" i="1"/>
  <c r="B11" i="1"/>
  <c r="B12" i="1"/>
  <c r="I11" i="11"/>
  <c r="D20" i="7"/>
  <c r="C9" i="5"/>
  <c r="C28" i="5" s="1"/>
  <c r="E20" i="7"/>
  <c r="D9" i="5"/>
  <c r="E21" i="7" s="1"/>
  <c r="C20" i="7"/>
  <c r="C21" i="7" s="1"/>
  <c r="B9" i="5"/>
  <c r="D17" i="7"/>
  <c r="E17" i="7"/>
  <c r="E18" i="7" s="1"/>
  <c r="C17" i="7"/>
  <c r="C18" i="7" s="1"/>
  <c r="D14" i="7"/>
  <c r="D15" i="7"/>
  <c r="E14" i="7"/>
  <c r="C14" i="7"/>
  <c r="C15" i="7" s="1"/>
  <c r="D11" i="7"/>
  <c r="D12" i="7" s="1"/>
  <c r="C21" i="5"/>
  <c r="E11" i="7"/>
  <c r="E12" i="7" s="1"/>
  <c r="D21" i="5"/>
  <c r="C11" i="7"/>
  <c r="C12" i="7" s="1"/>
  <c r="B21" i="5"/>
  <c r="D8" i="7"/>
  <c r="D9" i="7"/>
  <c r="E8" i="7"/>
  <c r="E9" i="7"/>
  <c r="C8" i="7"/>
  <c r="C9" i="7"/>
  <c r="D5" i="7"/>
  <c r="D6" i="7"/>
  <c r="E5" i="7"/>
  <c r="E6" i="7"/>
  <c r="C5" i="7"/>
  <c r="C6" i="7"/>
  <c r="K17" i="3"/>
  <c r="K8" i="3"/>
  <c r="K19" i="3"/>
  <c r="J17" i="3"/>
  <c r="J8" i="3"/>
  <c r="J19" i="3"/>
  <c r="L17" i="3"/>
  <c r="L8" i="3"/>
  <c r="L19" i="3"/>
  <c r="F15" i="3"/>
  <c r="F8" i="3"/>
  <c r="F19" i="3"/>
  <c r="E15" i="3"/>
  <c r="E8" i="3"/>
  <c r="E19" i="3"/>
  <c r="D15" i="3"/>
  <c r="D8" i="3"/>
  <c r="D19" i="3"/>
  <c r="D23" i="9"/>
  <c r="C23" i="9"/>
  <c r="G21" i="11"/>
  <c r="C45" i="5"/>
  <c r="D45" i="5"/>
  <c r="D46" i="5" s="1"/>
  <c r="B45" i="5"/>
  <c r="C39" i="5"/>
  <c r="D39" i="5"/>
  <c r="B39" i="5"/>
  <c r="C33" i="5"/>
  <c r="C34" i="5"/>
  <c r="D33" i="5"/>
  <c r="B33" i="5"/>
  <c r="C27" i="5"/>
  <c r="D27" i="5"/>
  <c r="B27" i="5"/>
  <c r="C15" i="5"/>
  <c r="D15" i="5"/>
  <c r="B15" i="5"/>
  <c r="E27" i="6"/>
  <c r="D27" i="6"/>
  <c r="F27" i="6"/>
  <c r="C22" i="5"/>
  <c r="D10" i="5"/>
  <c r="D28" i="5"/>
  <c r="B46" i="5"/>
  <c r="B28" i="5"/>
  <c r="B22" i="5"/>
  <c r="K7" i="10" l="1"/>
  <c r="K10" i="10" s="1"/>
  <c r="K23" i="10" s="1"/>
  <c r="J26" i="10"/>
  <c r="I26" i="10"/>
  <c r="I7" i="10"/>
  <c r="I10" i="10" s="1"/>
  <c r="I23" i="10" s="1"/>
  <c r="H26" i="10"/>
  <c r="H7" i="10"/>
  <c r="H10" i="10" s="1"/>
  <c r="E26" i="10"/>
  <c r="E7" i="10"/>
  <c r="E10" i="10" s="1"/>
  <c r="E23" i="10" s="1"/>
  <c r="E29" i="10" s="1"/>
  <c r="E32" i="10" s="1"/>
  <c r="D5" i="10"/>
  <c r="D26" i="10" s="1"/>
  <c r="D32" i="10"/>
  <c r="E14" i="9"/>
  <c r="E25" i="9" s="1"/>
  <c r="C14" i="9"/>
  <c r="C25" i="9" s="1"/>
  <c r="D14" i="9"/>
  <c r="D25" i="9" s="1"/>
  <c r="G5" i="8"/>
  <c r="G17" i="8"/>
  <c r="E6" i="8"/>
  <c r="E9" i="8" s="1"/>
  <c r="E12" i="8" s="1"/>
  <c r="E15" i="8" s="1"/>
  <c r="E19" i="8" s="1"/>
  <c r="C6" i="8"/>
  <c r="C9" i="8" s="1"/>
  <c r="C12" i="8" s="1"/>
  <c r="C15" i="8" s="1"/>
  <c r="D6" i="8"/>
  <c r="D9" i="8" s="1"/>
  <c r="D12" i="8" s="1"/>
  <c r="D15" i="8" s="1"/>
  <c r="D19" i="8" s="1"/>
  <c r="D24" i="8" s="1"/>
  <c r="H39" i="5"/>
  <c r="H15" i="5"/>
  <c r="E15" i="7"/>
  <c r="D22" i="5"/>
  <c r="D18" i="7"/>
  <c r="D21" i="7"/>
  <c r="C24" i="8" l="1"/>
  <c r="E8" i="11"/>
  <c r="I15" i="5"/>
  <c r="I5" i="8"/>
  <c r="I39" i="5"/>
  <c r="I17" i="8"/>
  <c r="G6" i="8"/>
  <c r="G20" i="7"/>
  <c r="G17" i="9" s="1"/>
  <c r="G14" i="7"/>
  <c r="G5" i="9" s="1"/>
  <c r="G5" i="7"/>
  <c r="G9" i="9" s="1"/>
  <c r="G10" i="9"/>
  <c r="E24" i="8"/>
  <c r="E21" i="8"/>
  <c r="D21" i="8"/>
  <c r="G9" i="5"/>
  <c r="F21" i="5"/>
  <c r="F33" i="5"/>
  <c r="G14" i="8" s="1"/>
  <c r="F27" i="5"/>
  <c r="G11" i="8" s="1"/>
  <c r="H16" i="10" l="1"/>
  <c r="G16" i="10"/>
  <c r="G13" i="10"/>
  <c r="H13" i="10"/>
  <c r="G18" i="10"/>
  <c r="H18" i="10"/>
  <c r="C21" i="8"/>
  <c r="D8" i="11"/>
  <c r="J39" i="5"/>
  <c r="K17" i="8" s="1"/>
  <c r="J17" i="8"/>
  <c r="H20" i="7"/>
  <c r="H17" i="9" s="1"/>
  <c r="H14" i="7"/>
  <c r="H5" i="9" s="1"/>
  <c r="H5" i="7"/>
  <c r="H9" i="9" s="1"/>
  <c r="H17" i="7"/>
  <c r="H10" i="9" s="1"/>
  <c r="H4" i="8"/>
  <c r="H6" i="8" s="1"/>
  <c r="F45" i="5"/>
  <c r="G18" i="8" s="1"/>
  <c r="G11" i="7"/>
  <c r="G16" i="9" s="1"/>
  <c r="G8" i="7"/>
  <c r="G8" i="9" s="1"/>
  <c r="G8" i="8"/>
  <c r="G9" i="8" s="1"/>
  <c r="G12" i="8" s="1"/>
  <c r="G4" i="10" s="1"/>
  <c r="J15" i="5"/>
  <c r="K5" i="8" s="1"/>
  <c r="J5" i="8"/>
  <c r="H9" i="5"/>
  <c r="G27" i="5"/>
  <c r="H11" i="8" s="1"/>
  <c r="G21" i="5"/>
  <c r="G33" i="5"/>
  <c r="H14" i="8" s="1"/>
  <c r="G12" i="10" l="1"/>
  <c r="H12" i="10"/>
  <c r="H15" i="10" s="1"/>
  <c r="H23" i="10" s="1"/>
  <c r="H8" i="11" s="1"/>
  <c r="H11" i="11" s="1"/>
  <c r="H14" i="10"/>
  <c r="G14" i="10"/>
  <c r="G5" i="10"/>
  <c r="G7" i="10"/>
  <c r="G10" i="10" s="1"/>
  <c r="I4" i="8"/>
  <c r="I6" i="8" s="1"/>
  <c r="I17" i="7"/>
  <c r="I10" i="9" s="1"/>
  <c r="I20" i="7"/>
  <c r="I17" i="9" s="1"/>
  <c r="I14" i="7"/>
  <c r="I5" i="9" s="1"/>
  <c r="I5" i="7"/>
  <c r="I9" i="9" s="1"/>
  <c r="G19" i="8"/>
  <c r="G45" i="5"/>
  <c r="H18" i="8" s="1"/>
  <c r="H11" i="7"/>
  <c r="H16" i="9" s="1"/>
  <c r="H8" i="8"/>
  <c r="H9" i="8" s="1"/>
  <c r="H12" i="8" s="1"/>
  <c r="H15" i="8" s="1"/>
  <c r="H19" i="8" s="1"/>
  <c r="H8" i="7"/>
  <c r="H8" i="9" s="1"/>
  <c r="I9" i="5"/>
  <c r="H33" i="5"/>
  <c r="I14" i="8" s="1"/>
  <c r="H27" i="5"/>
  <c r="I11" i="8" s="1"/>
  <c r="H21" i="5"/>
  <c r="G15" i="10" l="1"/>
  <c r="G23" i="10"/>
  <c r="H22" i="8"/>
  <c r="H24" i="8" s="1"/>
  <c r="J20" i="7"/>
  <c r="J17" i="9" s="1"/>
  <c r="J14" i="7"/>
  <c r="J5" i="9" s="1"/>
  <c r="J5" i="7"/>
  <c r="J9" i="9" s="1"/>
  <c r="J17" i="7"/>
  <c r="J10" i="9" s="1"/>
  <c r="J4" i="8"/>
  <c r="J6" i="8" s="1"/>
  <c r="H45" i="5"/>
  <c r="I18" i="8" s="1"/>
  <c r="I8" i="8"/>
  <c r="I9" i="8" s="1"/>
  <c r="I12" i="8" s="1"/>
  <c r="I15" i="8" s="1"/>
  <c r="I19" i="8" s="1"/>
  <c r="I11" i="7"/>
  <c r="I16" i="9" s="1"/>
  <c r="I8" i="7"/>
  <c r="I8" i="9" s="1"/>
  <c r="G22" i="8"/>
  <c r="J9" i="5"/>
  <c r="I33" i="5"/>
  <c r="J14" i="8" s="1"/>
  <c r="I27" i="5"/>
  <c r="J11" i="8" s="1"/>
  <c r="I21" i="5"/>
  <c r="G8" i="11" l="1"/>
  <c r="G11" i="11" s="1"/>
  <c r="D15" i="11" s="1"/>
  <c r="D18" i="11" s="1"/>
  <c r="G24" i="8"/>
  <c r="G26" i="10"/>
  <c r="I22" i="8"/>
  <c r="I24" i="8" s="1"/>
  <c r="K20" i="7"/>
  <c r="K17" i="9" s="1"/>
  <c r="K14" i="7"/>
  <c r="K5" i="9" s="1"/>
  <c r="K4" i="8"/>
  <c r="K6" i="8" s="1"/>
  <c r="K17" i="7"/>
  <c r="K10" i="9" s="1"/>
  <c r="K5" i="7"/>
  <c r="K9" i="9" s="1"/>
  <c r="I45" i="5"/>
  <c r="J18" i="8" s="1"/>
  <c r="J11" i="7"/>
  <c r="J16" i="9" s="1"/>
  <c r="J8" i="8"/>
  <c r="J9" i="8" s="1"/>
  <c r="J12" i="8" s="1"/>
  <c r="J15" i="8" s="1"/>
  <c r="J8" i="7"/>
  <c r="J8" i="9" s="1"/>
  <c r="J21" i="5"/>
  <c r="J33" i="5"/>
  <c r="K14" i="8" s="1"/>
  <c r="J27" i="5"/>
  <c r="K11" i="8" s="1"/>
  <c r="G21" i="9" l="1"/>
  <c r="J19" i="8"/>
  <c r="J22" i="8"/>
  <c r="J24" i="8" s="1"/>
  <c r="J45" i="5"/>
  <c r="K18" i="8" s="1"/>
  <c r="K8" i="7"/>
  <c r="K8" i="9" s="1"/>
  <c r="K8" i="8"/>
  <c r="K9" i="8" s="1"/>
  <c r="K12" i="8" s="1"/>
  <c r="K15" i="8" s="1"/>
  <c r="K11" i="7"/>
  <c r="K16" i="9" s="1"/>
  <c r="H21" i="9" l="1"/>
  <c r="G28" i="10"/>
  <c r="G29" i="10" s="1"/>
  <c r="K19" i="8"/>
  <c r="K22" i="8"/>
  <c r="K24" i="8" s="1"/>
  <c r="G12" i="9" l="1"/>
  <c r="G32" i="10"/>
  <c r="H28" i="10"/>
  <c r="H29" i="10" s="1"/>
  <c r="I21" i="9"/>
  <c r="H23" i="9"/>
  <c r="I28" i="10" l="1"/>
  <c r="I29" i="10" s="1"/>
  <c r="I23" i="9"/>
  <c r="J21" i="9"/>
  <c r="G34" i="10"/>
  <c r="H12" i="9"/>
  <c r="G25" i="9"/>
  <c r="H31" i="10"/>
  <c r="H32" i="10" s="1"/>
  <c r="J28" i="10" l="1"/>
  <c r="J29" i="10" s="1"/>
  <c r="K21" i="9"/>
  <c r="J23" i="9"/>
  <c r="H34" i="10"/>
  <c r="I12" i="9"/>
  <c r="H14" i="9"/>
  <c r="H25" i="9" s="1"/>
  <c r="I31" i="10"/>
  <c r="I32" i="10" s="1"/>
  <c r="K28" i="10" l="1"/>
  <c r="K29" i="10" s="1"/>
  <c r="K23" i="9"/>
  <c r="I34" i="10"/>
  <c r="I14" i="9"/>
  <c r="I25" i="9" s="1"/>
  <c r="J12" i="9"/>
  <c r="J31" i="10"/>
  <c r="J32" i="10" s="1"/>
  <c r="D21" i="11"/>
  <c r="K31" i="10" l="1"/>
  <c r="K32" i="10" s="1"/>
  <c r="J14" i="9"/>
  <c r="J25" i="9" s="1"/>
  <c r="K12" i="9"/>
  <c r="J34" i="10"/>
  <c r="K34" i="10" l="1"/>
  <c r="K14" i="9"/>
  <c r="K25" i="9" s="1"/>
</calcChain>
</file>

<file path=xl/sharedStrings.xml><?xml version="1.0" encoding="utf-8"?>
<sst xmlns="http://schemas.openxmlformats.org/spreadsheetml/2006/main" count="255" uniqueCount="145">
  <si>
    <t>$ in thousands</t>
  </si>
  <si>
    <t>Revenue from sales and services</t>
  </si>
  <si>
    <t>Other revenue</t>
  </si>
  <si>
    <t>Raw materials</t>
  </si>
  <si>
    <t>Direct costs</t>
  </si>
  <si>
    <t>Cost for services</t>
  </si>
  <si>
    <t>Lease costs</t>
  </si>
  <si>
    <t>Other operating expenses</t>
  </si>
  <si>
    <t>EBITDA</t>
  </si>
  <si>
    <t>D&amp;A</t>
  </si>
  <si>
    <t>EBIT</t>
  </si>
  <si>
    <t>Financial income/expenses</t>
  </si>
  <si>
    <t>Extraordinary income</t>
  </si>
  <si>
    <t>Taxes</t>
  </si>
  <si>
    <t>P&amp;L assumptions</t>
  </si>
  <si>
    <t>Scenarios:</t>
  </si>
  <si>
    <t>Case 1:</t>
  </si>
  <si>
    <t>Optimistic case</t>
  </si>
  <si>
    <t>Case 2:</t>
  </si>
  <si>
    <t>Base case</t>
  </si>
  <si>
    <t>Selected case</t>
  </si>
  <si>
    <t>Case 3:</t>
  </si>
  <si>
    <t>Worst case</t>
  </si>
  <si>
    <t>FY18
Actual</t>
  </si>
  <si>
    <t>FY21
Forecast</t>
  </si>
  <si>
    <t>FY22
Forecast</t>
  </si>
  <si>
    <t>FY23
Forecast</t>
  </si>
  <si>
    <t>Revenues</t>
  </si>
  <si>
    <t>y-o-y growth%</t>
  </si>
  <si>
    <t>Other revenues</t>
  </si>
  <si>
    <t>y-o-y growth %</t>
  </si>
  <si>
    <t>Case 1</t>
  </si>
  <si>
    <t>Case 2</t>
  </si>
  <si>
    <t>Case 3</t>
  </si>
  <si>
    <t>Cost of goods sold</t>
  </si>
  <si>
    <t>% of revenues</t>
  </si>
  <si>
    <t>Operating expenses</t>
  </si>
  <si>
    <t>Interest expense</t>
  </si>
  <si>
    <t>% of EBT</t>
  </si>
  <si>
    <t>P&amp;L source</t>
  </si>
  <si>
    <t>USD in thousands</t>
  </si>
  <si>
    <t>2018
Act</t>
  </si>
  <si>
    <t>Revenue</t>
  </si>
  <si>
    <t>EBT</t>
  </si>
  <si>
    <t>Net Income</t>
  </si>
  <si>
    <t>BS source</t>
  </si>
  <si>
    <t>31Dec18
Act</t>
  </si>
  <si>
    <t>Intangible assets</t>
  </si>
  <si>
    <t>Share Capital</t>
  </si>
  <si>
    <t>PP&amp;E</t>
  </si>
  <si>
    <t>Reserves</t>
  </si>
  <si>
    <t>Financial assets</t>
  </si>
  <si>
    <t>Retained earnings</t>
  </si>
  <si>
    <t>Profit/(loss) for the year</t>
  </si>
  <si>
    <t>Fixed assets</t>
  </si>
  <si>
    <t>Total Equity</t>
  </si>
  <si>
    <t>Inventory</t>
  </si>
  <si>
    <t>Trade payable</t>
  </si>
  <si>
    <t>Trade receivables</t>
  </si>
  <si>
    <t>Other liabilities</t>
  </si>
  <si>
    <t>Other assets</t>
  </si>
  <si>
    <t>Deferred taxes</t>
  </si>
  <si>
    <t>Provisions for retirement benefits</t>
  </si>
  <si>
    <t>Cash and equivalents</t>
  </si>
  <si>
    <t>Non fixed assets</t>
  </si>
  <si>
    <t>Bank borrowings</t>
  </si>
  <si>
    <t>Other Financial liabilities</t>
  </si>
  <si>
    <t>Total Liabilities</t>
  </si>
  <si>
    <t>Total Assets</t>
  </si>
  <si>
    <t>Total Liabilities &amp; Equity</t>
  </si>
  <si>
    <t>BS assumptions</t>
  </si>
  <si>
    <t>31Dec18
Actual</t>
  </si>
  <si>
    <t>31Dec21
Forecast</t>
  </si>
  <si>
    <t>31Dec22
Forecast</t>
  </si>
  <si>
    <t>31Dec23
Forecast</t>
  </si>
  <si>
    <t>Trade receivable</t>
  </si>
  <si>
    <t>Days receivable</t>
  </si>
  <si>
    <t>Days Inventory</t>
  </si>
  <si>
    <t>Days payable</t>
  </si>
  <si>
    <t>as a % of revenue</t>
  </si>
  <si>
    <t>P&amp;L</t>
  </si>
  <si>
    <t>Total revenues</t>
  </si>
  <si>
    <t>Gross margin</t>
  </si>
  <si>
    <t>Tax rate</t>
  </si>
  <si>
    <t>Net income</t>
  </si>
  <si>
    <t>Balance Sheet</t>
  </si>
  <si>
    <t>Financial liabilities</t>
  </si>
  <si>
    <t>Shareholders' equity</t>
  </si>
  <si>
    <t>Total Liabilities &amp; Equities</t>
  </si>
  <si>
    <t>Check</t>
  </si>
  <si>
    <t>FY19
Actual</t>
  </si>
  <si>
    <t>FY20
Actual</t>
  </si>
  <si>
    <t>FY24
Forecast</t>
  </si>
  <si>
    <t>FY25
Forecast</t>
  </si>
  <si>
    <t>2019
Act</t>
  </si>
  <si>
    <t>2020
Act</t>
  </si>
  <si>
    <t>31Dec19
Act</t>
  </si>
  <si>
    <t>31Dec20
Act</t>
  </si>
  <si>
    <t>31Dec19
Actual</t>
  </si>
  <si>
    <t>31Dec20
Actual</t>
  </si>
  <si>
    <t>31Dec24
Forecast</t>
  </si>
  <si>
    <t>31Dec25
Forecast</t>
  </si>
  <si>
    <t>Cash Flow</t>
  </si>
  <si>
    <t>Operating taxes</t>
  </si>
  <si>
    <t>Operating tax rate</t>
  </si>
  <si>
    <t>NOPAT</t>
  </si>
  <si>
    <t>Add-back D&amp;A</t>
  </si>
  <si>
    <t>Gross Cash Flow</t>
  </si>
  <si>
    <t>Trade payables</t>
  </si>
  <si>
    <t>Investments in working capital</t>
  </si>
  <si>
    <t>Investments in other assets/liabilities</t>
  </si>
  <si>
    <t>Capex</t>
  </si>
  <si>
    <t>Other investments</t>
  </si>
  <si>
    <t>Extraordinary items</t>
  </si>
  <si>
    <t>UFCF</t>
  </si>
  <si>
    <t>Interest expenses</t>
  </si>
  <si>
    <t>Delta Taxes vs. Operating taxes</t>
  </si>
  <si>
    <t>Delta Financial liabilities</t>
  </si>
  <si>
    <t>Delta Equity (incl. dividends)</t>
  </si>
  <si>
    <t>Net Cash Flow</t>
  </si>
  <si>
    <t>Opening cash</t>
  </si>
  <si>
    <t>Closing cash</t>
  </si>
  <si>
    <t>DCF Valuation</t>
  </si>
  <si>
    <t>WACC</t>
  </si>
  <si>
    <t>g</t>
  </si>
  <si>
    <t>Discount factor</t>
  </si>
  <si>
    <t>Present value of UFCF</t>
  </si>
  <si>
    <t>PV of Cash flows</t>
  </si>
  <si>
    <t>Continuing value</t>
  </si>
  <si>
    <t>PV of Continuing value</t>
  </si>
  <si>
    <t>Enterprise value</t>
  </si>
  <si>
    <t>() Financial liabilities</t>
  </si>
  <si>
    <t>Cash</t>
  </si>
  <si>
    <t>Equity value</t>
  </si>
  <si>
    <t>Sheet index</t>
  </si>
  <si>
    <t xml:space="preserve">#                </t>
  </si>
  <si>
    <t>Worksheet</t>
  </si>
  <si>
    <t>1.Input --&gt;</t>
  </si>
  <si>
    <t>2.Output --&gt;</t>
  </si>
  <si>
    <t>BS</t>
  </si>
  <si>
    <t>DCF valuation</t>
  </si>
  <si>
    <t>NOTE</t>
  </si>
  <si>
    <t>CONSTT G.R.</t>
  </si>
  <si>
    <t>C.V= LST UFCF*(1+P.GR)</t>
  </si>
  <si>
    <t>WACC-GR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</si>
</sst>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(&quot;$&quot;* #,##0_);_(&quot;$&quot;* \(#,##0\);_(&quot;$&quot;* &quot;-&quot;_);_(@_)"/>
    <numFmt numFmtId="43" formatCode="_(* #,##0.00_);_(* \(#,##0.00\);_(* &quot;-&quot;??_);_(@_)"/>
    <numFmt numFmtId="164" formatCode="\Fyy\ yyyy"/>
    <numFmt numFmtId="165" formatCode="_-* #,##0_-;\-* #,##0_-;_-* &quot;-&quot;_-;_-@_-"/>
    <numFmt numFmtId="166" formatCode="_(* #,##0.0_);_(* \(#,##0.0\);_(* &quot;-&quot;?_);@_)"/>
    <numFmt numFmtId="167" formatCode="_(* #,##0.0_);_(* \(#,##0.0\);_(* &quot;-&quot;?_);@_l"/>
    <numFmt numFmtId="168" formatCode="_(* #,##0_);_(* \(#,##0\);_(* &quot;-&quot;?_);@_)"/>
    <numFmt numFmtId="169" formatCode="0.0%"/>
    <numFmt numFmtId="170" formatCode="_(* #,##0_);_(* \(#,##0\);_(* &quot;-&quot;??_);_(@_)"/>
    <numFmt numFmtId="171" formatCode="_(* #,##0_);_(* \(#,##0\);_(* &quot;-&quot;?_);@_l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_-* #,##0\ _D_M_-;\-* #,##0\ _D_M_-;_-* &quot;-&quot;\ _D_M_-;_-@_-"/>
    <numFmt numFmtId="175" formatCode="_-* #,##0.00\ &quot;Kc&quot;_-;\-* #,##0.00\ &quot;Kc&quot;_-;_-* &quot;-&quot;??\ &quot;Kc&quot;_-;_-@_-"/>
    <numFmt numFmtId="176" formatCode="\(0\'\)"/>
    <numFmt numFmtId="177" formatCode="0.00_)"/>
    <numFmt numFmtId="178" formatCode="#,##0;\(#,##0\);&quot;-&quot;"/>
    <numFmt numFmtId="179" formatCode="#,##0_);\(#,##0\);&quot; - &quot;_);@_)"/>
    <numFmt numFmtId="180" formatCode="\ #,##0.0_);\(#,##0.0\);&quot; - &quot;_);@_)"/>
  </numFmts>
  <fonts count="70">
    <font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2060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charset val="238"/>
    </font>
    <font>
      <sz val="10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8"/>
      <name val="Verdana"/>
      <family val="2"/>
    </font>
    <font>
      <sz val="10"/>
      <name val="Garamond"/>
      <family val="1"/>
    </font>
    <font>
      <sz val="10"/>
      <color indexed="8"/>
      <name val="MS Sans Serif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4"/>
      <color indexed="25"/>
      <name val="Arial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8"/>
      <color indexed="25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theme="1"/>
      <name val="Tahoma                        "/>
    </font>
    <font>
      <sz val="8"/>
      <color theme="1"/>
      <name val="Tahoma                        "/>
    </font>
    <font>
      <b/>
      <sz val="8"/>
      <color theme="1"/>
      <name val="Tahoma                        "/>
    </font>
    <font>
      <b/>
      <sz val="10"/>
      <color theme="1"/>
      <name val="Tahoma                        "/>
    </font>
    <font>
      <b/>
      <sz val="8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  <charset val="204"/>
    </font>
    <font>
      <sz val="11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</borders>
  <cellStyleXfs count="176">
    <xf numFmtId="0" fontId="0" fillId="0" borderId="0"/>
    <xf numFmtId="0" fontId="2" fillId="0" borderId="0"/>
    <xf numFmtId="0" fontId="6" fillId="0" borderId="2" applyFill="0" applyProtection="0">
      <alignment horizontal="right" wrapText="1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5" borderId="6"/>
    <xf numFmtId="0" fontId="16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7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3" borderId="0" applyNumberFormat="0" applyBorder="0" applyAlignment="0" applyProtection="0"/>
    <xf numFmtId="0" fontId="13" fillId="0" borderId="0"/>
    <xf numFmtId="0" fontId="20" fillId="7" borderId="0" applyNumberFormat="0" applyBorder="0" applyAlignment="0" applyProtection="0"/>
    <xf numFmtId="0" fontId="21" fillId="24" borderId="7" applyNumberFormat="0" applyAlignment="0" applyProtection="0"/>
    <xf numFmtId="0" fontId="22" fillId="25" borderId="8" applyNumberFormat="0" applyAlignment="0" applyProtection="0"/>
    <xf numFmtId="49" fontId="14" fillId="0" borderId="0">
      <alignment horizontal="left" vertical="top" wrapText="1"/>
    </xf>
    <xf numFmtId="172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38" fontId="14" fillId="26" borderId="0" applyNumberFormat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7" applyNumberFormat="0" applyAlignment="0" applyProtection="0"/>
    <xf numFmtId="10" fontId="14" fillId="5" borderId="12" applyNumberFormat="0" applyBorder="0" applyAlignment="0" applyProtection="0"/>
    <xf numFmtId="0" fontId="29" fillId="0" borderId="13" applyNumberFormat="0" applyFill="0" applyAlignment="0" applyProtection="0"/>
    <xf numFmtId="175" fontId="30" fillId="0" borderId="0" applyFont="0" applyFill="0" applyBorder="0" applyAlignment="0" applyProtection="0"/>
    <xf numFmtId="174" fontId="13" fillId="0" borderId="0" applyFont="0" applyFill="0" applyBorder="0" applyAlignment="0" applyProtection="0"/>
    <xf numFmtId="4" fontId="31" fillId="0" borderId="0" applyFont="0" applyFill="0" applyBorder="0" applyAlignment="0" applyProtection="0"/>
    <xf numFmtId="42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32" fillId="27" borderId="0" applyNumberFormat="0" applyBorder="0" applyAlignment="0" applyProtection="0"/>
    <xf numFmtId="177" fontId="33" fillId="0" borderId="0"/>
    <xf numFmtId="0" fontId="30" fillId="0" borderId="0"/>
    <xf numFmtId="0" fontId="18" fillId="28" borderId="14" applyNumberFormat="0" applyFon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5" fillId="24" borderId="15" applyNumberFormat="0" applyAlignment="0" applyProtection="0"/>
    <xf numFmtId="9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6" fillId="0" borderId="16">
      <alignment horizontal="center"/>
    </xf>
    <xf numFmtId="3" fontId="34" fillId="0" borderId="0" applyFont="0" applyFill="0" applyBorder="0" applyAlignment="0" applyProtection="0"/>
    <xf numFmtId="0" fontId="34" fillId="29" borderId="0" applyNumberFormat="0" applyFont="0" applyBorder="0" applyAlignment="0" applyProtection="0"/>
    <xf numFmtId="3" fontId="46" fillId="30" borderId="0" applyFont="0" applyFill="0" applyBorder="0" applyAlignment="0" applyProtection="0"/>
    <xf numFmtId="4" fontId="37" fillId="31" borderId="15" applyNumberFormat="0" applyProtection="0">
      <alignment vertical="center"/>
    </xf>
    <xf numFmtId="4" fontId="38" fillId="31" borderId="15" applyNumberFormat="0" applyProtection="0">
      <alignment vertical="center"/>
    </xf>
    <xf numFmtId="4" fontId="37" fillId="31" borderId="15" applyNumberFormat="0" applyProtection="0">
      <alignment horizontal="left" vertical="center" indent="1"/>
    </xf>
    <xf numFmtId="4" fontId="37" fillId="31" borderId="15" applyNumberFormat="0" applyProtection="0">
      <alignment horizontal="left" vertical="center" indent="1"/>
    </xf>
    <xf numFmtId="0" fontId="13" fillId="32" borderId="15" applyNumberFormat="0" applyProtection="0">
      <alignment horizontal="left" vertical="center" indent="1"/>
    </xf>
    <xf numFmtId="4" fontId="37" fillId="33" borderId="15" applyNumberFormat="0" applyProtection="0">
      <alignment horizontal="right" vertical="center"/>
    </xf>
    <xf numFmtId="4" fontId="37" fillId="34" borderId="15" applyNumberFormat="0" applyProtection="0">
      <alignment horizontal="right" vertical="center"/>
    </xf>
    <xf numFmtId="4" fontId="37" fillId="35" borderId="15" applyNumberFormat="0" applyProtection="0">
      <alignment horizontal="right" vertical="center"/>
    </xf>
    <xf numFmtId="4" fontId="37" fillId="36" borderId="15" applyNumberFormat="0" applyProtection="0">
      <alignment horizontal="right" vertical="center"/>
    </xf>
    <xf numFmtId="4" fontId="37" fillId="37" borderId="15" applyNumberFormat="0" applyProtection="0">
      <alignment horizontal="right" vertical="center"/>
    </xf>
    <xf numFmtId="4" fontId="37" fillId="38" borderId="15" applyNumberFormat="0" applyProtection="0">
      <alignment horizontal="right" vertical="center"/>
    </xf>
    <xf numFmtId="4" fontId="37" fillId="39" borderId="15" applyNumberFormat="0" applyProtection="0">
      <alignment horizontal="right" vertical="center"/>
    </xf>
    <xf numFmtId="4" fontId="37" fillId="40" borderId="15" applyNumberFormat="0" applyProtection="0">
      <alignment horizontal="right" vertical="center"/>
    </xf>
    <xf numFmtId="4" fontId="37" fillId="41" borderId="15" applyNumberFormat="0" applyProtection="0">
      <alignment horizontal="right" vertical="center"/>
    </xf>
    <xf numFmtId="4" fontId="39" fillId="42" borderId="15" applyNumberFormat="0" applyProtection="0">
      <alignment horizontal="left" vertical="center" indent="1"/>
    </xf>
    <xf numFmtId="4" fontId="37" fillId="43" borderId="17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0" fontId="13" fillId="32" borderId="15" applyNumberFormat="0" applyProtection="0">
      <alignment horizontal="left" vertical="center" indent="1"/>
    </xf>
    <xf numFmtId="4" fontId="37" fillId="43" borderId="15" applyNumberFormat="0" applyProtection="0">
      <alignment horizontal="left" vertical="center" indent="1"/>
    </xf>
    <xf numFmtId="4" fontId="37" fillId="45" borderId="15" applyNumberFormat="0" applyProtection="0">
      <alignment horizontal="left" vertical="center" indent="1"/>
    </xf>
    <xf numFmtId="0" fontId="13" fillId="45" borderId="15" applyNumberFormat="0" applyProtection="0">
      <alignment horizontal="left" vertical="center" indent="1"/>
    </xf>
    <xf numFmtId="0" fontId="13" fillId="45" borderId="15" applyNumberFormat="0" applyProtection="0">
      <alignment horizontal="left" vertical="center" indent="1"/>
    </xf>
    <xf numFmtId="0" fontId="13" fillId="46" borderId="15" applyNumberFormat="0" applyProtection="0">
      <alignment horizontal="left" vertical="center" indent="1"/>
    </xf>
    <xf numFmtId="0" fontId="13" fillId="46" borderId="15" applyNumberFormat="0" applyProtection="0">
      <alignment horizontal="left" vertical="center" indent="1"/>
    </xf>
    <xf numFmtId="0" fontId="13" fillId="26" borderId="15" applyNumberFormat="0" applyProtection="0">
      <alignment horizontal="left" vertical="center" indent="1"/>
    </xf>
    <xf numFmtId="0" fontId="13" fillId="26" borderId="15" applyNumberFormat="0" applyProtection="0">
      <alignment horizontal="left" vertical="center" indent="1"/>
    </xf>
    <xf numFmtId="0" fontId="13" fillId="32" borderId="15" applyNumberFormat="0" applyProtection="0">
      <alignment horizontal="left" vertical="center" indent="1"/>
    </xf>
    <xf numFmtId="0" fontId="13" fillId="32" borderId="15" applyNumberFormat="0" applyProtection="0">
      <alignment horizontal="left" vertical="center" indent="1"/>
    </xf>
    <xf numFmtId="4" fontId="37" fillId="5" borderId="15" applyNumberFormat="0" applyProtection="0">
      <alignment vertical="center"/>
    </xf>
    <xf numFmtId="4" fontId="38" fillId="5" borderId="15" applyNumberFormat="0" applyProtection="0">
      <alignment vertical="center"/>
    </xf>
    <xf numFmtId="4" fontId="37" fillId="5" borderId="15" applyNumberFormat="0" applyProtection="0">
      <alignment horizontal="left" vertical="center" indent="1"/>
    </xf>
    <xf numFmtId="4" fontId="37" fillId="5" borderId="15" applyNumberFormat="0" applyProtection="0">
      <alignment horizontal="left" vertical="center" indent="1"/>
    </xf>
    <xf numFmtId="4" fontId="37" fillId="43" borderId="15" applyNumberFormat="0" applyProtection="0">
      <alignment horizontal="right" vertical="center"/>
    </xf>
    <xf numFmtId="4" fontId="38" fillId="43" borderId="15" applyNumberFormat="0" applyProtection="0">
      <alignment horizontal="right" vertical="center"/>
    </xf>
    <xf numFmtId="0" fontId="13" fillId="32" borderId="15" applyNumberFormat="0" applyProtection="0">
      <alignment horizontal="left" vertical="center" indent="1"/>
    </xf>
    <xf numFmtId="0" fontId="13" fillId="32" borderId="15" applyNumberFormat="0" applyProtection="0">
      <alignment horizontal="left" vertical="center" indent="1"/>
    </xf>
    <xf numFmtId="0" fontId="41" fillId="0" borderId="0"/>
    <xf numFmtId="4" fontId="15" fillId="43" borderId="15" applyNumberFormat="0" applyProtection="0">
      <alignment horizontal="right" vertical="center"/>
    </xf>
    <xf numFmtId="0" fontId="13" fillId="0" borderId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3" fontId="44" fillId="0" borderId="3" applyNumberFormat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47" fillId="0" borderId="0"/>
    <xf numFmtId="9" fontId="2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9" fillId="0" borderId="0"/>
    <xf numFmtId="0" fontId="50" fillId="0" borderId="0"/>
    <xf numFmtId="178" fontId="51" fillId="0" borderId="0"/>
    <xf numFmtId="178" fontId="13" fillId="0" borderId="0"/>
    <xf numFmtId="178" fontId="53" fillId="0" borderId="0"/>
    <xf numFmtId="0" fontId="54" fillId="0" borderId="0">
      <alignment horizontal="left"/>
    </xf>
    <xf numFmtId="165" fontId="52" fillId="0" borderId="19" applyFill="0" applyBorder="0" applyProtection="0">
      <alignment horizontal="right" vertical="top"/>
    </xf>
    <xf numFmtId="178" fontId="55" fillId="0" borderId="19">
      <alignment horizontal="left"/>
    </xf>
    <xf numFmtId="0" fontId="54" fillId="0" borderId="19">
      <alignment horizontal="right" wrapText="1"/>
    </xf>
    <xf numFmtId="0" fontId="52" fillId="0" borderId="0" applyFill="0" applyBorder="0">
      <alignment horizontal="left" vertical="top" wrapText="1"/>
    </xf>
    <xf numFmtId="179" fontId="52" fillId="0" borderId="0" applyFill="0" applyBorder="0">
      <alignment horizontal="right" vertical="top"/>
    </xf>
    <xf numFmtId="180" fontId="52" fillId="0" borderId="0" applyFill="0" applyBorder="0">
      <alignment horizontal="right" vertical="top"/>
    </xf>
    <xf numFmtId="49" fontId="52" fillId="0" borderId="0" applyNumberFormat="0" applyFill="0" applyBorder="0" applyProtection="0">
      <alignment horizontal="center" vertical="top"/>
    </xf>
    <xf numFmtId="178" fontId="56" fillId="0" borderId="0">
      <alignment horizontal="left" vertical="top"/>
    </xf>
    <xf numFmtId="0" fontId="57" fillId="0" borderId="0"/>
    <xf numFmtId="0" fontId="2" fillId="0" borderId="0"/>
    <xf numFmtId="0" fontId="58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2" fillId="0" borderId="0"/>
    <xf numFmtId="0" fontId="59" fillId="0" borderId="0"/>
    <xf numFmtId="0" fontId="60" fillId="0" borderId="0"/>
    <xf numFmtId="0" fontId="61" fillId="0" borderId="0"/>
    <xf numFmtId="0" fontId="6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69" fillId="0" borderId="0" applyFont="0" applyFill="0" applyBorder="0" applyAlignment="0" applyProtection="0"/>
  </cellStyleXfs>
  <cellXfs count="126">
    <xf numFmtId="0" fontId="0" fillId="0" borderId="0" xfId="0"/>
    <xf numFmtId="164" fontId="0" fillId="0" borderId="0" xfId="0" applyNumberFormat="1"/>
    <xf numFmtId="166" fontId="7" fillId="2" borderId="5" xfId="0" applyNumberFormat="1" applyFont="1" applyFill="1" applyBorder="1"/>
    <xf numFmtId="43" fontId="3" fillId="3" borderId="0" xfId="4" applyFont="1" applyFill="1" applyBorder="1"/>
    <xf numFmtId="166" fontId="5" fillId="2" borderId="3" xfId="0" applyNumberFormat="1" applyFont="1" applyFill="1" applyBorder="1" applyAlignment="1">
      <alignment horizontal="right" wrapText="1"/>
    </xf>
    <xf numFmtId="168" fontId="3" fillId="2" borderId="4" xfId="0" applyNumberFormat="1" applyFont="1" applyFill="1" applyBorder="1"/>
    <xf numFmtId="166" fontId="66" fillId="2" borderId="1" xfId="0" applyNumberFormat="1" applyFont="1" applyFill="1" applyBorder="1"/>
    <xf numFmtId="166" fontId="5" fillId="2" borderId="4" xfId="0" applyNumberFormat="1" applyFont="1" applyFill="1" applyBorder="1"/>
    <xf numFmtId="166" fontId="5" fillId="2" borderId="3" xfId="0" applyNumberFormat="1" applyFont="1" applyFill="1" applyBorder="1"/>
    <xf numFmtId="166" fontId="5" fillId="2" borderId="1" xfId="0" applyNumberFormat="1" applyFont="1" applyFill="1" applyBorder="1"/>
    <xf numFmtId="168" fontId="9" fillId="2" borderId="0" xfId="0" applyNumberFormat="1" applyFont="1" applyFill="1"/>
    <xf numFmtId="0" fontId="9" fillId="2" borderId="0" xfId="0" applyFont="1" applyFill="1" applyAlignment="1">
      <alignment horizontal="left"/>
    </xf>
    <xf numFmtId="167" fontId="44" fillId="2" borderId="0" xfId="0" applyNumberFormat="1" applyFont="1" applyFill="1"/>
    <xf numFmtId="0" fontId="11" fillId="4" borderId="0" xfId="0" applyFont="1" applyFill="1"/>
    <xf numFmtId="168" fontId="7" fillId="3" borderId="1" xfId="0" applyNumberFormat="1" applyFont="1" applyFill="1" applyBorder="1"/>
    <xf numFmtId="0" fontId="7" fillId="2" borderId="0" xfId="0" applyFont="1" applyFill="1"/>
    <xf numFmtId="169" fontId="8" fillId="2" borderId="0" xfId="156" applyNumberFormat="1" applyFont="1" applyFill="1"/>
    <xf numFmtId="166" fontId="7" fillId="2" borderId="1" xfId="0" applyNumberFormat="1" applyFont="1" applyFill="1" applyBorder="1"/>
    <xf numFmtId="166" fontId="7" fillId="2" borderId="0" xfId="0" applyNumberFormat="1" applyFont="1" applyFill="1"/>
    <xf numFmtId="166" fontId="11" fillId="4" borderId="0" xfId="0" applyNumberFormat="1" applyFont="1" applyFill="1"/>
    <xf numFmtId="9" fontId="3" fillId="2" borderId="0" xfId="156" applyFont="1" applyFill="1"/>
    <xf numFmtId="167" fontId="3" fillId="2" borderId="1" xfId="0" applyNumberFormat="1" applyFont="1" applyFill="1" applyBorder="1"/>
    <xf numFmtId="167" fontId="12" fillId="2" borderId="0" xfId="0" applyNumberFormat="1" applyFont="1" applyFill="1"/>
    <xf numFmtId="167" fontId="7" fillId="2" borderId="0" xfId="0" applyNumberFormat="1" applyFont="1" applyFill="1"/>
    <xf numFmtId="167" fontId="64" fillId="2" borderId="0" xfId="0" applyNumberFormat="1" applyFont="1" applyFill="1"/>
    <xf numFmtId="166" fontId="67" fillId="2" borderId="0" xfId="0" applyNumberFormat="1" applyFont="1" applyFill="1"/>
    <xf numFmtId="0" fontId="3" fillId="2" borderId="0" xfId="0" applyFont="1" applyFill="1"/>
    <xf numFmtId="0" fontId="63" fillId="4" borderId="0" xfId="0" applyFont="1" applyFill="1" applyAlignment="1">
      <alignment horizontal="left"/>
    </xf>
    <xf numFmtId="168" fontId="7" fillId="2" borderId="1" xfId="0" applyNumberFormat="1" applyFont="1" applyFill="1" applyBorder="1"/>
    <xf numFmtId="0" fontId="4" fillId="2" borderId="0" xfId="0" applyFont="1" applyFill="1"/>
    <xf numFmtId="166" fontId="3" fillId="2" borderId="0" xfId="0" applyNumberFormat="1" applyFont="1" applyFill="1"/>
    <xf numFmtId="166" fontId="7" fillId="2" borderId="0" xfId="0" applyNumberFormat="1" applyFont="1" applyFill="1" applyAlignment="1">
      <alignment horizontal="right" wrapText="1"/>
    </xf>
    <xf numFmtId="171" fontId="3" fillId="2" borderId="0" xfId="0" applyNumberFormat="1" applyFont="1" applyFill="1"/>
    <xf numFmtId="9" fontId="3" fillId="2" borderId="0" xfId="156" applyFont="1" applyFill="1" applyBorder="1"/>
    <xf numFmtId="167" fontId="3" fillId="2" borderId="0" xfId="0" applyNumberFormat="1" applyFont="1" applyFill="1"/>
    <xf numFmtId="167" fontId="4" fillId="2" borderId="0" xfId="0" applyNumberFormat="1" applyFont="1" applyFill="1"/>
    <xf numFmtId="168" fontId="12" fillId="2" borderId="1" xfId="0" applyNumberFormat="1" applyFont="1" applyFill="1" applyBorder="1"/>
    <xf numFmtId="168" fontId="11" fillId="4" borderId="0" xfId="0" applyNumberFormat="1" applyFont="1" applyFill="1"/>
    <xf numFmtId="9" fontId="66" fillId="2" borderId="21" xfId="156" applyFont="1" applyFill="1" applyBorder="1"/>
    <xf numFmtId="168" fontId="10" fillId="2" borderId="0" xfId="0" applyNumberFormat="1" applyFont="1" applyFill="1"/>
    <xf numFmtId="9" fontId="7" fillId="2" borderId="0" xfId="156" applyFont="1" applyFill="1"/>
    <xf numFmtId="168" fontId="5" fillId="2" borderId="1" xfId="0" applyNumberFormat="1" applyFont="1" applyFill="1" applyBorder="1"/>
    <xf numFmtId="9" fontId="66" fillId="2" borderId="3" xfId="156" applyFont="1" applyFill="1" applyBorder="1"/>
    <xf numFmtId="166" fontId="8" fillId="2" borderId="0" xfId="0" applyNumberFormat="1" applyFont="1" applyFill="1"/>
    <xf numFmtId="168" fontId="3" fillId="3" borderId="0" xfId="0" applyNumberFormat="1" applyFont="1" applyFill="1"/>
    <xf numFmtId="168" fontId="5" fillId="2" borderId="4" xfId="0" applyNumberFormat="1" applyFont="1" applyFill="1" applyBorder="1"/>
    <xf numFmtId="166" fontId="3" fillId="2" borderId="4" xfId="0" applyNumberFormat="1" applyFont="1" applyFill="1" applyBorder="1"/>
    <xf numFmtId="166" fontId="7" fillId="2" borderId="5" xfId="0" applyNumberFormat="1" applyFont="1" applyFill="1" applyBorder="1" applyAlignment="1">
      <alignment horizontal="right" wrapText="1"/>
    </xf>
    <xf numFmtId="167" fontId="14" fillId="2" borderId="0" xfId="0" applyNumberFormat="1" applyFont="1" applyFill="1"/>
    <xf numFmtId="167" fontId="9" fillId="2" borderId="0" xfId="0" applyNumberFormat="1" applyFont="1" applyFill="1"/>
    <xf numFmtId="169" fontId="68" fillId="4" borderId="0" xfId="156" applyNumberFormat="1" applyFont="1" applyFill="1"/>
    <xf numFmtId="168" fontId="12" fillId="2" borderId="0" xfId="0" applyNumberFormat="1" applyFont="1" applyFill="1"/>
    <xf numFmtId="168" fontId="3" fillId="2" borderId="0" xfId="0" applyNumberFormat="1" applyFont="1" applyFill="1"/>
    <xf numFmtId="166" fontId="11" fillId="2" borderId="0" xfId="0" applyNumberFormat="1" applyFont="1" applyFill="1"/>
    <xf numFmtId="166" fontId="4" fillId="2" borderId="0" xfId="0" applyNumberFormat="1" applyFont="1" applyFill="1"/>
    <xf numFmtId="0" fontId="2" fillId="0" borderId="0" xfId="172"/>
    <xf numFmtId="0" fontId="6" fillId="2" borderId="2" xfId="2" applyFill="1" applyAlignment="1">
      <alignment horizontal="left" wrapText="1"/>
    </xf>
    <xf numFmtId="166" fontId="4" fillId="2" borderId="0" xfId="172" applyNumberFormat="1" applyFont="1" applyFill="1"/>
    <xf numFmtId="166" fontId="3" fillId="2" borderId="0" xfId="172" applyNumberFormat="1" applyFont="1" applyFill="1"/>
    <xf numFmtId="168" fontId="3" fillId="2" borderId="0" xfId="172" applyNumberFormat="1" applyFont="1" applyFill="1"/>
    <xf numFmtId="166" fontId="7" fillId="2" borderId="5" xfId="172" applyNumberFormat="1" applyFont="1" applyFill="1" applyBorder="1"/>
    <xf numFmtId="166" fontId="7" fillId="2" borderId="5" xfId="172" applyNumberFormat="1" applyFont="1" applyFill="1" applyBorder="1" applyAlignment="1">
      <alignment horizontal="right" wrapText="1"/>
    </xf>
    <xf numFmtId="166" fontId="7" fillId="3" borderId="5" xfId="172" applyNumberFormat="1" applyFont="1" applyFill="1" applyBorder="1" applyAlignment="1">
      <alignment horizontal="right" wrapText="1"/>
    </xf>
    <xf numFmtId="166" fontId="7" fillId="2" borderId="0" xfId="172" applyNumberFormat="1" applyFont="1" applyFill="1" applyAlignment="1">
      <alignment horizontal="right" wrapText="1"/>
    </xf>
    <xf numFmtId="9" fontId="3" fillId="2" borderId="0" xfId="171" applyFont="1" applyFill="1"/>
    <xf numFmtId="169" fontId="3" fillId="2" borderId="0" xfId="171" applyNumberFormat="1" applyFont="1" applyFill="1"/>
    <xf numFmtId="168" fontId="3" fillId="2" borderId="0" xfId="172" applyNumberFormat="1" applyFont="1" applyFill="1" applyAlignment="1">
      <alignment horizontal="right"/>
    </xf>
    <xf numFmtId="0" fontId="11" fillId="4" borderId="0" xfId="172" applyFont="1" applyFill="1"/>
    <xf numFmtId="0" fontId="12" fillId="2" borderId="0" xfId="166" applyFont="1" applyFill="1"/>
    <xf numFmtId="166" fontId="3" fillId="47" borderId="0" xfId="172" applyNumberFormat="1" applyFont="1" applyFill="1"/>
    <xf numFmtId="168" fontId="3" fillId="2" borderId="0" xfId="171" applyNumberFormat="1" applyFont="1" applyFill="1" applyAlignment="1">
      <alignment horizontal="right"/>
    </xf>
    <xf numFmtId="166" fontId="7" fillId="3" borderId="5" xfId="172" applyNumberFormat="1" applyFont="1" applyFill="1" applyBorder="1" applyAlignment="1">
      <alignment horizontal="center" wrapText="1"/>
    </xf>
    <xf numFmtId="0" fontId="2" fillId="0" borderId="0" xfId="172" applyAlignment="1">
      <alignment horizontal="center"/>
    </xf>
    <xf numFmtId="166" fontId="3" fillId="2" borderId="0" xfId="172" applyNumberFormat="1" applyFont="1" applyFill="1" applyAlignment="1">
      <alignment horizontal="center"/>
    </xf>
    <xf numFmtId="168" fontId="3" fillId="3" borderId="0" xfId="172" applyNumberFormat="1" applyFont="1" applyFill="1" applyAlignment="1">
      <alignment horizontal="center"/>
    </xf>
    <xf numFmtId="9" fontId="3" fillId="3" borderId="0" xfId="171" applyFont="1" applyFill="1" applyAlignment="1">
      <alignment horizontal="center"/>
    </xf>
    <xf numFmtId="170" fontId="3" fillId="3" borderId="0" xfId="172" applyNumberFormat="1" applyFont="1" applyFill="1" applyAlignment="1">
      <alignment horizontal="center"/>
    </xf>
    <xf numFmtId="0" fontId="0" fillId="0" borderId="0" xfId="0" applyAlignment="1">
      <alignment horizontal="center"/>
    </xf>
    <xf numFmtId="168" fontId="3" fillId="3" borderId="0" xfId="172" applyNumberFormat="1" applyFont="1" applyFill="1" applyAlignment="1">
      <alignment horizontal="left"/>
    </xf>
    <xf numFmtId="168" fontId="3" fillId="3" borderId="0" xfId="172" applyNumberFormat="1" applyFont="1" applyFill="1"/>
    <xf numFmtId="168" fontId="3" fillId="2" borderId="0" xfId="172" applyNumberFormat="1" applyFont="1" applyFill="1" applyAlignment="1">
      <alignment horizontal="center"/>
    </xf>
    <xf numFmtId="170" fontId="3" fillId="3" borderId="0" xfId="175" applyNumberFormat="1" applyFont="1" applyFill="1" applyAlignment="1">
      <alignment horizontal="center"/>
    </xf>
    <xf numFmtId="166" fontId="7" fillId="2" borderId="0" xfId="172" applyNumberFormat="1" applyFont="1" applyFill="1" applyAlignment="1">
      <alignment horizontal="center" vertical="center" wrapText="1"/>
    </xf>
    <xf numFmtId="166" fontId="7" fillId="48" borderId="5" xfId="172" applyNumberFormat="1" applyFont="1" applyFill="1" applyBorder="1" applyAlignment="1">
      <alignment horizontal="right" wrapText="1"/>
    </xf>
    <xf numFmtId="168" fontId="3" fillId="48" borderId="0" xfId="0" applyNumberFormat="1" applyFont="1" applyFill="1"/>
    <xf numFmtId="0" fontId="0" fillId="48" borderId="0" xfId="0" applyFill="1"/>
    <xf numFmtId="9" fontId="3" fillId="48" borderId="0" xfId="156" applyFont="1" applyFill="1"/>
    <xf numFmtId="2" fontId="3" fillId="2" borderId="0" xfId="0" applyNumberFormat="1" applyFont="1" applyFill="1"/>
    <xf numFmtId="166" fontId="3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6" fontId="3" fillId="49" borderId="0" xfId="0" applyNumberFormat="1" applyFont="1" applyFill="1"/>
    <xf numFmtId="166" fontId="7" fillId="50" borderId="20" xfId="0" applyNumberFormat="1" applyFont="1" applyFill="1" applyBorder="1"/>
    <xf numFmtId="168" fontId="7" fillId="50" borderId="20" xfId="0" applyNumberFormat="1" applyFont="1" applyFill="1" applyBorder="1"/>
    <xf numFmtId="168" fontId="3" fillId="50" borderId="0" xfId="0" applyNumberFormat="1" applyFont="1" applyFill="1"/>
    <xf numFmtId="168" fontId="66" fillId="50" borderId="20" xfId="0" applyNumberFormat="1" applyFont="1" applyFill="1" applyBorder="1"/>
    <xf numFmtId="166" fontId="7" fillId="51" borderId="5" xfId="0" applyNumberFormat="1" applyFont="1" applyFill="1" applyBorder="1" applyAlignment="1">
      <alignment vertical="center"/>
    </xf>
    <xf numFmtId="166" fontId="7" fillId="51" borderId="5" xfId="172" applyNumberFormat="1" applyFont="1" applyFill="1" applyBorder="1" applyAlignment="1">
      <alignment horizontal="right" vertical="center" wrapText="1"/>
    </xf>
    <xf numFmtId="166" fontId="7" fillId="51" borderId="0" xfId="172" applyNumberFormat="1" applyFon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6" fontId="7" fillId="52" borderId="5" xfId="172" applyNumberFormat="1" applyFont="1" applyFill="1" applyBorder="1" applyAlignment="1">
      <alignment horizontal="center" vertical="center" wrapText="1"/>
    </xf>
    <xf numFmtId="168" fontId="3" fillId="52" borderId="0" xfId="0" applyNumberFormat="1" applyFont="1" applyFill="1"/>
    <xf numFmtId="166" fontId="8" fillId="52" borderId="0" xfId="0" applyNumberFormat="1" applyFont="1" applyFill="1"/>
    <xf numFmtId="166" fontId="3" fillId="52" borderId="0" xfId="0" applyNumberFormat="1" applyFont="1" applyFill="1"/>
    <xf numFmtId="9" fontId="3" fillId="52" borderId="0" xfId="156" applyFont="1" applyFill="1"/>
    <xf numFmtId="166" fontId="7" fillId="52" borderId="5" xfId="0" applyNumberFormat="1" applyFont="1" applyFill="1" applyBorder="1" applyAlignment="1">
      <alignment horizontal="center" vertical="center"/>
    </xf>
    <xf numFmtId="166" fontId="7" fillId="50" borderId="1" xfId="0" applyNumberFormat="1" applyFont="1" applyFill="1" applyBorder="1"/>
    <xf numFmtId="2" fontId="0" fillId="0" borderId="0" xfId="0" applyNumberFormat="1"/>
    <xf numFmtId="171" fontId="7" fillId="2" borderId="0" xfId="0" applyNumberFormat="1" applyFont="1" applyFill="1"/>
    <xf numFmtId="170" fontId="9" fillId="2" borderId="0" xfId="4" applyNumberFormat="1" applyFont="1" applyFill="1"/>
    <xf numFmtId="170" fontId="9" fillId="2" borderId="0" xfId="0" applyNumberFormat="1" applyFont="1" applyFill="1"/>
    <xf numFmtId="171" fontId="9" fillId="2" borderId="0" xfId="0" applyNumberFormat="1" applyFont="1" applyFill="1"/>
    <xf numFmtId="171" fontId="3" fillId="3" borderId="0" xfId="0" applyNumberFormat="1" applyFont="1" applyFill="1"/>
    <xf numFmtId="171" fontId="7" fillId="3" borderId="1" xfId="0" applyNumberFormat="1" applyFont="1" applyFill="1" applyBorder="1"/>
    <xf numFmtId="171" fontId="7" fillId="3" borderId="0" xfId="0" applyNumberFormat="1" applyFont="1" applyFill="1"/>
    <xf numFmtId="171" fontId="11" fillId="4" borderId="0" xfId="0" applyNumberFormat="1" applyFont="1" applyFill="1"/>
    <xf numFmtId="171" fontId="9" fillId="2" borderId="0" xfId="4" applyNumberFormat="1" applyFont="1" applyFill="1"/>
    <xf numFmtId="171" fontId="7" fillId="3" borderId="5" xfId="172" applyNumberFormat="1" applyFont="1" applyFill="1" applyBorder="1" applyAlignment="1">
      <alignment horizontal="right" wrapText="1"/>
    </xf>
    <xf numFmtId="171" fontId="0" fillId="0" borderId="0" xfId="0" applyNumberFormat="1"/>
    <xf numFmtId="166" fontId="7" fillId="2" borderId="3" xfId="0" applyNumberFormat="1" applyFont="1" applyFill="1" applyBorder="1" applyAlignment="1">
      <alignment vertical="center" wrapText="1"/>
    </xf>
    <xf numFmtId="10" fontId="3" fillId="3" borderId="0" xfId="156" applyNumberFormat="1" applyFont="1" applyFill="1" applyBorder="1"/>
    <xf numFmtId="168" fontId="3" fillId="2" borderId="0" xfId="156" applyNumberFormat="1" applyFont="1" applyFill="1"/>
    <xf numFmtId="0" fontId="0" fillId="0" borderId="3" xfId="0" applyBorder="1"/>
    <xf numFmtId="168" fontId="66" fillId="2" borderId="1" xfId="0" applyNumberFormat="1" applyFont="1" applyFill="1" applyBorder="1"/>
    <xf numFmtId="166" fontId="68" fillId="4" borderId="0" xfId="0" applyNumberFormat="1" applyFont="1" applyFill="1" applyAlignment="1">
      <alignment horizontal="center"/>
    </xf>
    <xf numFmtId="43" fontId="7" fillId="50" borderId="20" xfId="175" applyFont="1" applyFill="1" applyBorder="1"/>
  </cellXfs>
  <cellStyles count="176">
    <cellStyle name="%" xfId="136" xr:uid="{D42FD5D0-9385-4B48-BABE-37770151B43A}"/>
    <cellStyle name="_x0002_._x0011__x0002_._x001b__x0002_ _x0015_%_x0018__x0001_" xfId="6" xr:uid="{4BED0A2D-76D1-4D11-BB9C-E222F2A4F8D8}"/>
    <cellStyle name="_060510 Goal Setting CNV" xfId="7" xr:uid="{60DE574A-A3FE-4525-942B-052BC3328B7C}"/>
    <cellStyle name="_2008-08-18 WC SRL" xfId="8" xr:uid="{4AA5A59F-08AF-46D6-8386-2445E97A9A7E}"/>
    <cellStyle name="_2008-10-06 Goodwill Test KPMG incl PL 19 (2)" xfId="9" xr:uid="{5E44BE94-AC09-4F86-86C9-B7137691353B}"/>
    <cellStyle name="_2008-10-06 Goodwill Test KPMG incl PL 19 (3)" xfId="10" xr:uid="{4A4CA0ED-3147-48E1-855F-E216BD35749B}"/>
    <cellStyle name="_2009-03-17 Version für 53-19" xfId="11" xr:uid="{7A9EA60F-5EC7-4F49-A129-D7D9B22BA2DC}"/>
    <cellStyle name="_Access Bluebook 2007 DCL V7" xfId="12" xr:uid="{4C28FFD9-6DB2-4E94-921A-834BE14A4637}"/>
    <cellStyle name="_AL_cost_outlook_070405_Bluebook2007" xfId="13" xr:uid="{2DBBEFB7-8F61-43A9-B84B-745874C1ADDC}"/>
    <cellStyle name="_BB_08_BG_COM" xfId="14" xr:uid="{41890AB5-CAF5-42D6-81B4-0081647D9C04}"/>
    <cellStyle name="_Bluebook-2005-PL-Projections-COM-SR2" xfId="15" xr:uid="{B7FA8AA1-7ABB-4502-BE6B-198E3C368EBF}"/>
    <cellStyle name="_COM Cash Flow Bluebook 2008" xfId="16" xr:uid="{8F4F65CB-D6EA-4640-92CB-9044118F5DC7}"/>
    <cellStyle name="_Cordless_Bizcase_070524" xfId="17" xr:uid="{93E1EC59-2294-4C80-BACF-A9DD02231317}"/>
    <cellStyle name="_Cordless_Bizcase_Bluebook (2)" xfId="18" xr:uid="{28246861-9023-4836-B8F7-84DDEABF6487}"/>
    <cellStyle name="_Cordless_Bizcase_Master" xfId="19" xr:uid="{8251C327-348F-493E-95B4-95F9482675C0}"/>
    <cellStyle name="_Data" xfId="20" xr:uid="{C0764AB8-6172-47E2-8DCF-33A3A9B9BEC3}"/>
    <cellStyle name="_Foundry Wafer Price Database - BU" xfId="21" xr:uid="{6E91A70D-0218-44E2-916E-0926DEE3EE3A}"/>
    <cellStyle name="_Segment_DCL_FRFC_2007_03" xfId="22" xr:uid="{4CF4FE13-0CD9-459D-A553-FA4DD34A9B02}"/>
    <cellStyle name="_SR_CSP_Segments" xfId="23" xr:uid="{F341A816-23E8-4626-AFCB-4BFC4C66CB94}"/>
    <cellStyle name="_Wireless_MPP_FRFC0810_V3" xfId="24" xr:uid="{4F76099A-1079-4D12-8E81-1A2649F07C09}"/>
    <cellStyle name="_WLS_MPP_BB2008_vs_VRFC0904_bw (2)" xfId="25" xr:uid="{D50FC291-9E80-4E63-8478-B1DCD8C3C219}"/>
    <cellStyle name="0,0_x000d__x000a_NA_x000d__x000a_" xfId="26" xr:uid="{8A471832-299D-46A2-B848-E54878AC51BD}"/>
    <cellStyle name="20% - Accent1 2" xfId="27" xr:uid="{71A30D1E-5DFD-42AA-B4E6-67C32A2704F3}"/>
    <cellStyle name="20% - Accent2 2" xfId="28" xr:uid="{93F4590C-85AE-467B-B1A9-2926689C5082}"/>
    <cellStyle name="20% - Accent3 2" xfId="29" xr:uid="{6BB450B9-01F7-4EEF-8566-2BA031492590}"/>
    <cellStyle name="20% - Accent4 2" xfId="30" xr:uid="{F36E6CAE-8070-41F4-8793-AB4C7FAE40CD}"/>
    <cellStyle name="20% - Accent5 2" xfId="31" xr:uid="{2F862439-0F27-4410-B873-7451D581490D}"/>
    <cellStyle name="20% - Accent6 2" xfId="32" xr:uid="{53125D56-4046-41E2-BEB7-3C487137F845}"/>
    <cellStyle name="40% - Accent1 2" xfId="33" xr:uid="{10BA61F6-697F-4C02-8EB0-1C2F78572E34}"/>
    <cellStyle name="40% - Accent2 2" xfId="34" xr:uid="{FFC89B5A-0B58-4787-BFB0-41D5D6B0D51E}"/>
    <cellStyle name="40% - Accent3 2" xfId="35" xr:uid="{754A2A4E-A21B-4085-B150-776531E1019D}"/>
    <cellStyle name="40% - Accent4 2" xfId="36" xr:uid="{09249108-1FDB-4E16-A78E-5592557560DC}"/>
    <cellStyle name="40% - Accent5 2" xfId="37" xr:uid="{E5091514-105F-4DB2-B62B-A5A7C5FF5FA8}"/>
    <cellStyle name="40% - Accent6 2" xfId="38" xr:uid="{0C35DD6B-C317-455C-B761-F11D31C82E92}"/>
    <cellStyle name="60% - Accent1 2" xfId="39" xr:uid="{3DDA00AE-2E51-47D6-BAA0-BA6B2F64010E}"/>
    <cellStyle name="60% - Accent2 2" xfId="40" xr:uid="{352B86B8-BE2E-4359-8B73-C7148D5D6B65}"/>
    <cellStyle name="60% - Accent3 2" xfId="41" xr:uid="{879E0A69-DC56-49A1-8A30-1CDDEEA9E744}"/>
    <cellStyle name="60% - Accent4 2" xfId="42" xr:uid="{114863B0-421F-4A54-98A9-C2A0D0849924}"/>
    <cellStyle name="60% - Accent5 2" xfId="43" xr:uid="{19B76A4D-BF8E-4E71-A0AC-1151C50E8F26}"/>
    <cellStyle name="60% - Accent6 2" xfId="44" xr:uid="{00F2ECDF-4C63-4E79-805D-48DC80E3F6BB}"/>
    <cellStyle name="Accent1 2" xfId="45" xr:uid="{75734A61-8C02-49A7-BF9E-07E3C2186843}"/>
    <cellStyle name="Accent2 2" xfId="46" xr:uid="{A40409E1-9794-4411-95E7-2BDE85C329E7}"/>
    <cellStyle name="Accent3 2" xfId="47" xr:uid="{DB4EF508-CC38-400A-9FA1-11910B74A4A1}"/>
    <cellStyle name="Accent4 2" xfId="48" xr:uid="{9AD02587-6C53-41FB-9EEB-9A3191EA2E4F}"/>
    <cellStyle name="Accent5 2" xfId="49" xr:uid="{09BBF887-CC23-4943-B264-273657125574}"/>
    <cellStyle name="Accent6 2" xfId="50" xr:uid="{D7000A8C-9E9E-45D9-99AE-CB7B586717E9}"/>
    <cellStyle name="AFE" xfId="51" xr:uid="{009C7046-93C5-4947-A11A-AAA6D13ED3B5}"/>
    <cellStyle name="AFE 2" xfId="134" xr:uid="{4B966632-9814-45F6-B074-5BB907BEC7D6}"/>
    <cellStyle name="Bad 2" xfId="52" xr:uid="{BB390BED-5055-424A-B5D9-1CB6EB7420DA}"/>
    <cellStyle name="Calculation 2" xfId="53" xr:uid="{E88CA734-7CFA-48F1-82FB-3C60EE47282B}"/>
    <cellStyle name="Check Cell 2" xfId="54" xr:uid="{F36D0261-E305-483B-BF7E-0C5750761EFB}"/>
    <cellStyle name="Comma" xfId="175" builtinId="3"/>
    <cellStyle name="Comma 2" xfId="155" xr:uid="{431FB06A-887A-4E64-ADB9-2667FCDF2A6E}"/>
    <cellStyle name="Comma 3" xfId="4" xr:uid="{477C3EA7-5C29-47CE-8263-26D14E84C2C7}"/>
    <cellStyle name="Detail" xfId="55" xr:uid="{7821FC75-E070-4EC3-8416-824EF63E450A}"/>
    <cellStyle name="Euro" xfId="56" xr:uid="{E0A8D60C-1094-421C-9CF3-2E32317A75B4}"/>
    <cellStyle name="Explanatory Text 2" xfId="57" xr:uid="{4280E228-E3C7-42F2-B0CB-FF2FAA738341}"/>
    <cellStyle name="EY Narrative text" xfId="149" xr:uid="{FBEEEEF2-B11A-4C4E-93CA-AE92121FC6C0}"/>
    <cellStyle name="EY0dp" xfId="147" xr:uid="{61C617CE-627C-4E60-8621-59423E8394E7}"/>
    <cellStyle name="EY1dp" xfId="148" xr:uid="{ABD9AD48-D46E-4787-BCFB-B6278B813571}"/>
    <cellStyle name="EYChartTitle" xfId="142" xr:uid="{FEFD8B6D-5062-47E0-9DA5-C1B5943C0BC4}"/>
    <cellStyle name="EYColumnHeading" xfId="145" xr:uid="{CEA37B26-D916-428E-A921-E4831712D626}"/>
    <cellStyle name="EYCurrency" xfId="144" xr:uid="{A717C765-D13F-4775-A052-69EBC3CF1177}"/>
    <cellStyle name="EYnumber" xfId="143" xr:uid="{AB50A2AC-907F-4E53-9EDF-EB133FB7086F}"/>
    <cellStyle name="EYSectionHeading" xfId="139" xr:uid="{A4642109-3D49-4CA6-A145-18832F9B683B}"/>
    <cellStyle name="EYSheetHeading" xfId="141" xr:uid="{3674CB9E-6D12-4DCC-827D-D60E2C6803AB}"/>
    <cellStyle name="EYsmallheading" xfId="140" xr:uid="{44CAE367-D47C-4A91-9865-60EF9012BFD4}"/>
    <cellStyle name="EYSource" xfId="150" xr:uid="{1463F3EE-5F12-45E9-9D13-D4D6FD9BC90C}"/>
    <cellStyle name="EYtext" xfId="146" xr:uid="{8B19DBB5-8270-4C28-A330-84DD6107D292}"/>
    <cellStyle name="Good 2" xfId="58" xr:uid="{7231D17D-92A9-4FD2-ACAB-1F4A76D81A28}"/>
    <cellStyle name="Grey" xfId="59" xr:uid="{4EF80BC1-8FB5-4F14-84C7-391C7E464D68}"/>
    <cellStyle name="Heading 1 2" xfId="60" xr:uid="{5476F669-F3A4-445B-A77D-2353D0B1DBF2}"/>
    <cellStyle name="Heading 2 2" xfId="61" xr:uid="{461C48FE-BDC4-420B-8F51-3670D8EE93B7}"/>
    <cellStyle name="Heading 3 2" xfId="62" xr:uid="{AB3E1871-54E9-4EA3-A80D-6B41C74CAE1C}"/>
    <cellStyle name="Heading 4 2" xfId="63" xr:uid="{5B1D1717-7CDE-425B-80F9-A59AF689F1D8}"/>
    <cellStyle name="Hyperlink" xfId="166" builtinId="8"/>
    <cellStyle name="Input [yellow]" xfId="65" xr:uid="{003DABEC-6C6B-4339-BDEF-32FB386E9D55}"/>
    <cellStyle name="Input 2" xfId="64" xr:uid="{9CC0FB51-73A6-47FC-A538-89DA87C7D0E0}"/>
    <cellStyle name="Linked Cell 2" xfId="66" xr:uid="{B34E6EEA-B336-4A38-A5A7-CD2286126368}"/>
    <cellStyle name="meny_33-34" xfId="67" xr:uid="{1DB70F9F-1DBC-4E72-B19D-61F50E9CD3E4}"/>
    <cellStyle name="Milliers [0]_foxz" xfId="68" xr:uid="{7D5CFDEC-9296-4A1C-BB25-5ED53DFFEA7C}"/>
    <cellStyle name="Milliers_foxz" xfId="69" xr:uid="{DD38FC02-9C02-4818-8360-2B29E3DADAB0}"/>
    <cellStyle name="Monétaire [0]_foxz" xfId="70" xr:uid="{6E163D99-CE1C-4547-B09E-09E76C5F4C61}"/>
    <cellStyle name="Monétaire_foxz" xfId="71" xr:uid="{550C0EB0-270E-444A-9A61-4EAB5B4A8455}"/>
    <cellStyle name="Neutral 2" xfId="72" xr:uid="{DCB5B973-940F-4C09-BC12-3E7FB127989C}"/>
    <cellStyle name="Normal" xfId="0" builtinId="0"/>
    <cellStyle name="Normal - Style1" xfId="73" xr:uid="{58CD8A7E-6714-4840-A3D3-0FC12B240576}"/>
    <cellStyle name="Normal 10" xfId="172" xr:uid="{4CA07952-42B1-4833-B4D6-4BFE6E816DFA}"/>
    <cellStyle name="Normal 2" xfId="151" xr:uid="{0C51934F-28A8-419B-A714-7CC40E0E07E8}"/>
    <cellStyle name="Normal 2 2" xfId="153" xr:uid="{15C0B9BD-5F1F-440E-919F-F2A1EEED56B7}"/>
    <cellStyle name="Normal 3" xfId="152" xr:uid="{E1C68194-A7B3-4424-8325-CB125CAF28CC}"/>
    <cellStyle name="Normal 4" xfId="154" xr:uid="{9D16B09C-51FA-4CD5-AC13-824C887F3817}"/>
    <cellStyle name="Normal 5" xfId="5" xr:uid="{5DAC6A90-D562-4169-BB0E-A3D0C5456F2C}"/>
    <cellStyle name="Normal 6" xfId="1" xr:uid="{3791E92E-13E1-4ECC-8662-7D20B81FA9E1}"/>
    <cellStyle name="Normal 7" xfId="167" xr:uid="{23D8DA67-1FDF-4BD0-97EB-39D20AB6D39E}"/>
    <cellStyle name="Normal 8" xfId="174" xr:uid="{E9E6B1C7-5334-41C4-9091-5DFFEADD50A7}"/>
    <cellStyle name="Normal 9" xfId="169" xr:uid="{DFC82ACF-AECF-445B-A680-4062E6A19EFA}"/>
    <cellStyle name="normální_33-34" xfId="74" xr:uid="{F1C3180F-3238-4943-B90A-56858CC985A1}"/>
    <cellStyle name="Note 2" xfId="75" xr:uid="{DDC6BF4B-9E80-486B-8E1A-5C083C0B0A31}"/>
    <cellStyle name="Œ…‹æØ‚è [0.00]_laroux" xfId="76" xr:uid="{EE33E7A5-99C0-4DBA-B001-76D8E148BE9C}"/>
    <cellStyle name="Œ…‹æØ‚è_laroux" xfId="77" xr:uid="{E0B132C6-5140-4E0B-903F-BC65DE375BE2}"/>
    <cellStyle name="Output 2" xfId="78" xr:uid="{98C3A93E-938E-4643-BD9B-7A6C4D78F3BC}"/>
    <cellStyle name="Percent [2]" xfId="80" xr:uid="{75A9D4DD-AA80-4A55-9C17-DBF1AAA8DB73}"/>
    <cellStyle name="Percent 2" xfId="156" xr:uid="{3180E55B-8617-4D06-9E37-5E85A39E8B17}"/>
    <cellStyle name="Percent 3" xfId="79" xr:uid="{D87D5458-3792-464E-B84C-FC85D1A6DA78}"/>
    <cellStyle name="Percent 4" xfId="3" xr:uid="{EA26489B-345E-488D-876A-6157EBDFF80C}"/>
    <cellStyle name="Percent 5" xfId="81" xr:uid="{3D0A0966-62AA-4AA5-B503-E81D85947B00}"/>
    <cellStyle name="Percent 6" xfId="168" xr:uid="{191E7F28-EA3A-417F-981F-021147E87B46}"/>
    <cellStyle name="Percent 7" xfId="173" xr:uid="{16B6A2A3-E3AD-48E4-AA0F-6CF67F97D642}"/>
    <cellStyle name="Percent 8" xfId="170" xr:uid="{C059E59A-9BAC-426B-B4EC-75417B1878BA}"/>
    <cellStyle name="Percent 9" xfId="171" xr:uid="{9CD8BADF-5BF5-4EE6-8440-2A7B4EBFB087}"/>
    <cellStyle name="Prozent 2" xfId="135" xr:uid="{FB93BBB2-D18D-4E8E-9A88-9A81C49F72EC}"/>
    <cellStyle name="PSChar" xfId="82" xr:uid="{FE8FB4DB-0B22-4A9C-970A-36BD8BC701F3}"/>
    <cellStyle name="PSDate" xfId="83" xr:uid="{A0503540-49AE-4C1E-BFF8-3D85BFE48303}"/>
    <cellStyle name="PSDec" xfId="84" xr:uid="{A0D21FF6-0823-44FE-8B6F-A866F30D954D}"/>
    <cellStyle name="PSHeading" xfId="85" xr:uid="{7A659A8E-B715-4762-8755-3411A7D5C8A9}"/>
    <cellStyle name="PSInt" xfId="86" xr:uid="{523A7CD7-5B53-4A53-BE11-C1FAC87EDE4A}"/>
    <cellStyle name="PSSpacer" xfId="87" xr:uid="{0E1F4F08-D1D5-4575-84A3-6A3234F0BED6}"/>
    <cellStyle name="Revenue" xfId="88" xr:uid="{F712789F-41FC-40D4-9650-AEAE1DAA7D1A}"/>
    <cellStyle name="SAPBEXaggData" xfId="89" xr:uid="{8DD62219-5217-4728-995F-75B1685A6D9C}"/>
    <cellStyle name="SAPBEXaggDataEmph" xfId="90" xr:uid="{26AC4112-DD93-429B-8C97-C9F210EBCDED}"/>
    <cellStyle name="SAPBEXaggItem" xfId="91" xr:uid="{7DD36DB9-1CD3-46FA-8895-40D2A1082B88}"/>
    <cellStyle name="SAPBEXaggItemX" xfId="92" xr:uid="{C2E053C5-D07B-41F8-A67F-E0C70029BBB6}"/>
    <cellStyle name="SAPBEXchaText" xfId="93" xr:uid="{6A5E3CE1-BC5F-4DD1-B10F-4D8A203AA779}"/>
    <cellStyle name="SAPBEXexcBad7" xfId="94" xr:uid="{C75B17DD-54E5-4E48-A6E9-97C186A3DD19}"/>
    <cellStyle name="SAPBEXexcBad8" xfId="95" xr:uid="{833EA9D3-5CB5-4C2F-ADF7-476DF3E74192}"/>
    <cellStyle name="SAPBEXexcBad9" xfId="96" xr:uid="{F3320250-9684-4926-B2F8-366FE07B76D2}"/>
    <cellStyle name="SAPBEXexcCritical4" xfId="97" xr:uid="{2821AC81-F08D-4242-ADEC-754EC00A3EBB}"/>
    <cellStyle name="SAPBEXexcCritical5" xfId="98" xr:uid="{720F0E8E-D6D9-4432-9A31-E1C75503F2FF}"/>
    <cellStyle name="SAPBEXexcCritical6" xfId="99" xr:uid="{22C29692-72B1-4041-BC0D-9A06D9E83AE8}"/>
    <cellStyle name="SAPBEXexcGood1" xfId="100" xr:uid="{CAAE23D7-AA74-4DAF-917A-8E6B6A667156}"/>
    <cellStyle name="SAPBEXexcGood2" xfId="101" xr:uid="{5ADB942D-58F9-456D-A9AC-2370A30DA4B2}"/>
    <cellStyle name="SAPBEXexcGood3" xfId="102" xr:uid="{52B19681-D610-4145-90CD-6E7767EF8A06}"/>
    <cellStyle name="SAPBEXfilterDrill" xfId="103" xr:uid="{FCBE58C7-C0E4-4D63-9EEF-831CC7B703A8}"/>
    <cellStyle name="SAPBEXfilterItem" xfId="104" xr:uid="{3B3425E0-0980-4058-A36C-CCF9968224FF}"/>
    <cellStyle name="SAPBEXfilterText" xfId="105" xr:uid="{CEFDF077-00C6-4B2D-8781-C9C46B91E0A8}"/>
    <cellStyle name="SAPBEXformats" xfId="106" xr:uid="{5B6C6C8A-5AEB-4EFE-B568-BA6FB7C44989}"/>
    <cellStyle name="SAPBEXheaderItem" xfId="107" xr:uid="{5E3482F0-3C0F-4BBC-A1FE-73373A806740}"/>
    <cellStyle name="SAPBEXheaderText" xfId="108" xr:uid="{8A8FD8A6-8304-48C8-BCF7-A756B43A4AF1}"/>
    <cellStyle name="SAPBEXHLevel0" xfId="109" xr:uid="{EE2A9375-390F-4BA1-A9C2-9E8F38BBFA27}"/>
    <cellStyle name="SAPBEXHLevel0X" xfId="110" xr:uid="{2239A6B9-CE79-492B-B333-FC0FEE85E9FC}"/>
    <cellStyle name="SAPBEXHLevel1" xfId="111" xr:uid="{9174C4FD-2815-4CD8-930B-0D5E43F6F0DE}"/>
    <cellStyle name="SAPBEXHLevel1X" xfId="112" xr:uid="{42D949EC-CCF5-4902-AAA4-412117CBAB32}"/>
    <cellStyle name="SAPBEXHLevel2" xfId="113" xr:uid="{A5AA49B4-EB03-4246-B2AD-2EAE8A38165C}"/>
    <cellStyle name="SAPBEXHLevel2X" xfId="114" xr:uid="{32E40219-26D0-406D-8641-9A24AA51684F}"/>
    <cellStyle name="SAPBEXHLevel3" xfId="115" xr:uid="{65116CFE-777B-4DEA-96E6-093C10A8C03B}"/>
    <cellStyle name="SAPBEXHLevel3X" xfId="116" xr:uid="{33496982-E0AF-49B5-A081-B570705B1968}"/>
    <cellStyle name="SAPBEXresData" xfId="117" xr:uid="{D2BB5A08-4FE5-4AE7-A0AD-6B2353825FF8}"/>
    <cellStyle name="SAPBEXresDataEmph" xfId="118" xr:uid="{8A18A813-DAB9-49EE-85C2-3F7CBCC24C4C}"/>
    <cellStyle name="SAPBEXresItem" xfId="119" xr:uid="{DEDF3BED-A360-43CB-80C2-F1DD800F114D}"/>
    <cellStyle name="SAPBEXresItemX" xfId="120" xr:uid="{0616A97C-9022-4EE3-B4CF-E7DA632BE962}"/>
    <cellStyle name="SAPBEXstdData" xfId="121" xr:uid="{1445C0E3-A3A4-4DFB-B942-E532FE5C67D0}"/>
    <cellStyle name="SAPBEXstdDataEmph" xfId="122" xr:uid="{EE0BED32-9830-4ABB-A309-886BBD9EB32C}"/>
    <cellStyle name="SAPBEXstdItem" xfId="123" xr:uid="{5E68216B-D528-4461-8EC6-8EA950BBFD17}"/>
    <cellStyle name="SAPBEXstdItemX" xfId="124" xr:uid="{7315563F-CA02-4182-AD5F-ECF1D417F4CE}"/>
    <cellStyle name="SAPBEXtitle" xfId="125" xr:uid="{233A3511-8C7E-4CEA-8691-39AD1F241ED8}"/>
    <cellStyle name="SAPBEXundefined" xfId="126" xr:uid="{4E20B178-3C2E-41F3-96B6-1AF5DC54F896}"/>
    <cellStyle name="Smart Subtitle 1" xfId="2" xr:uid="{6C22ECA2-8DE3-48C3-957F-D294CD4F7BCB}"/>
    <cellStyle name="Standard 2" xfId="133" xr:uid="{97EE3852-4693-48DE-85DF-475CCA7C2699}"/>
    <cellStyle name="Standard 3" xfId="137" xr:uid="{C4AB0100-8290-45A5-8219-52C18A0C64F1}"/>
    <cellStyle name="Standard 4" xfId="157" xr:uid="{210C4F55-05E1-40A4-ADCA-00B94F2BF1B9}"/>
    <cellStyle name="Stil 1" xfId="132" xr:uid="{B26F754B-732F-426F-9FA3-547C25016DB0}"/>
    <cellStyle name="Style 1" xfId="127" xr:uid="{E059B8DE-F9B7-4827-B1DC-88D9E46BEB26}"/>
    <cellStyle name="Tahoma:10:1" xfId="161" xr:uid="{C43E1E6D-51E4-4F23-8503-DBB0911DF5D6}"/>
    <cellStyle name="Tahoma:10:129" xfId="162" xr:uid="{592B064E-34E9-4911-872E-C7F89FB244CF}"/>
    <cellStyle name="Tahoma:12:1" xfId="158" xr:uid="{63D40031-CD32-419E-9240-6897C14AB7F1}"/>
    <cellStyle name="Tahoma:12:129" xfId="163" xr:uid="{E8DDCB79-C578-4690-B88F-CE554D3110DF}"/>
    <cellStyle name="Tahoma:8:0" xfId="159" xr:uid="{D5FEA235-5C88-4537-B00D-05DCA37A6FF4}"/>
    <cellStyle name="Tahoma:8:1" xfId="160" xr:uid="{00DCC1B5-A6B6-48D9-AE32-0C1BB9156BB4}"/>
    <cellStyle name="Tahoma:8:128" xfId="164" xr:uid="{1F623C37-719D-4134-A0D4-ADC5A795FB1F}"/>
    <cellStyle name="Tahoma:8:129" xfId="165" xr:uid="{0693F3F0-18CA-46D4-97D6-D2F50A20CE2D}"/>
    <cellStyle name="Title 2" xfId="128" xr:uid="{250CE600-1A21-439A-89A8-5D241028AC3C}"/>
    <cellStyle name="Total 2" xfId="129" xr:uid="{E9BDEA76-A1AB-4237-A8F3-533DC9AE937F}"/>
    <cellStyle name="Total Row" xfId="130" xr:uid="{3CE9E14B-5D3C-4D03-AFF8-5572D6B81A93}"/>
    <cellStyle name="TTS" xfId="138" xr:uid="{10567DB4-E175-4524-90F7-CACA68B541A5}"/>
    <cellStyle name="Warning Text 2" xfId="131" xr:uid="{149A0F5B-673E-4295-8879-A997FB015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17584</xdr:colOff>
      <xdr:row>18</xdr:row>
      <xdr:rowOff>111370</xdr:rowOff>
    </xdr:from>
    <xdr:to>
      <xdr:col>10</xdr:col>
      <xdr:colOff>603738</xdr:colOff>
      <xdr:row>19</xdr:row>
      <xdr:rowOff>128954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2BFB8-A128-47B5-8498-12B88457225E}"/>
            </a:ext>
          </a:extLst>
        </xdr:cNvPr>
        <xdr:cNvSpPr txBox="1"/>
      </xdr:nvSpPr>
      <xdr:spPr>
        <a:xfrm>
          <a:off x="4635304" y="2900290"/>
          <a:ext cx="2460674" cy="162364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WACC</a:t>
          </a:r>
        </a:p>
      </xdr:txBody>
    </xdr:sp>
    <xdr:clientData/>
  </xdr:twoCellAnchor>
  <xdr:twoCellAnchor>
    <xdr:from>
      <xdr:col>6</xdr:col>
      <xdr:colOff>193430</xdr:colOff>
      <xdr:row>21</xdr:row>
      <xdr:rowOff>5862</xdr:rowOff>
    </xdr:from>
    <xdr:to>
      <xdr:col>6</xdr:col>
      <xdr:colOff>445477</xdr:colOff>
      <xdr:row>24</xdr:row>
      <xdr:rowOff>134815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44BDFA-5B60-4018-8267-28DAA11F897E}"/>
            </a:ext>
          </a:extLst>
        </xdr:cNvPr>
        <xdr:cNvSpPr txBox="1"/>
      </xdr:nvSpPr>
      <xdr:spPr>
        <a:xfrm>
          <a:off x="4125350" y="3236742"/>
          <a:ext cx="252047" cy="586153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3D29-53D2-481C-B1A2-00A39C5E6E56}">
  <dimension ref="B1:H12"/>
  <sheetViews>
    <sheetView workbookViewId="0">
      <selection activeCell="C10" sqref="C10"/>
    </sheetView>
  </sheetViews>
  <sheetFormatPr defaultRowHeight="15"/>
  <cols>
    <col min="1" max="1" width="2.85546875" customWidth="1"/>
    <col min="2" max="2" width="16" bestFit="1" customWidth="1"/>
    <col min="3" max="3" width="13.7109375" bestFit="1" customWidth="1"/>
  </cols>
  <sheetData>
    <row r="1" spans="2:8" ht="15.75">
      <c r="B1" s="29" t="s">
        <v>122</v>
      </c>
      <c r="C1" s="26"/>
    </row>
    <row r="2" spans="2:8">
      <c r="B2" s="15" t="s">
        <v>134</v>
      </c>
      <c r="C2" s="26"/>
    </row>
    <row r="3" spans="2:8">
      <c r="B3" s="26"/>
      <c r="C3" s="26"/>
    </row>
    <row r="4" spans="2:8" ht="15.75" thickBot="1">
      <c r="B4" s="56" t="s">
        <v>135</v>
      </c>
      <c r="C4" s="56" t="s">
        <v>136</v>
      </c>
    </row>
    <row r="5" spans="2:8">
      <c r="B5" s="27">
        <v>1</v>
      </c>
      <c r="C5" s="13" t="s">
        <v>137</v>
      </c>
    </row>
    <row r="6" spans="2:8">
      <c r="B6" s="11">
        <f>B5+1</f>
        <v>2</v>
      </c>
      <c r="C6" s="68" t="s">
        <v>14</v>
      </c>
    </row>
    <row r="7" spans="2:8">
      <c r="B7" s="11">
        <f t="shared" ref="B7:B12" si="0">B6+1</f>
        <v>3</v>
      </c>
      <c r="C7" s="68" t="s">
        <v>70</v>
      </c>
    </row>
    <row r="8" spans="2:8">
      <c r="B8" s="27">
        <f t="shared" si="0"/>
        <v>4</v>
      </c>
      <c r="C8" s="13" t="s">
        <v>138</v>
      </c>
      <c r="D8" s="1"/>
      <c r="E8" s="1"/>
      <c r="F8" s="1"/>
      <c r="G8" s="1"/>
      <c r="H8" s="1"/>
    </row>
    <row r="9" spans="2:8">
      <c r="B9" s="11">
        <f t="shared" si="0"/>
        <v>5</v>
      </c>
      <c r="C9" s="68" t="s">
        <v>80</v>
      </c>
    </row>
    <row r="10" spans="2:8">
      <c r="B10" s="11">
        <f t="shared" si="0"/>
        <v>6</v>
      </c>
      <c r="C10" s="68" t="s">
        <v>139</v>
      </c>
    </row>
    <row r="11" spans="2:8">
      <c r="B11" s="11">
        <f t="shared" si="0"/>
        <v>7</v>
      </c>
      <c r="C11" s="68" t="s">
        <v>102</v>
      </c>
    </row>
    <row r="12" spans="2:8">
      <c r="B12" s="11">
        <f t="shared" si="0"/>
        <v>8</v>
      </c>
      <c r="C12" s="68" t="s">
        <v>140</v>
      </c>
    </row>
  </sheetData>
  <phoneticPr fontId="1" type="noConversion"/>
  <hyperlinks>
    <hyperlink ref="C6" location="'P&amp;L assumptions'!A1" display="P&amp;L assumptions" xr:uid="{0DE57FC4-3FAF-4B9D-AD14-B41347BFDE79}"/>
    <hyperlink ref="C7" location="'BS assumptions'!A1" display="BS assumptions" xr:uid="{B557BFCC-2A95-4938-BB49-40769E662E86}"/>
    <hyperlink ref="C9" location="'P&amp;L'!A1" display="P&amp;L" xr:uid="{3B650D45-702B-4C9F-A020-99D3E5CAE9F4}"/>
    <hyperlink ref="C10" location="BS!A1" display="BS" xr:uid="{9FAFCD2E-C2A8-4A62-8F39-AD652A691DAA}"/>
    <hyperlink ref="C11" location="'Cash Flow'!A1" display="Cash Flow" xr:uid="{85636937-C48F-402D-B597-D162F82C8398}"/>
    <hyperlink ref="C12" location="'DCF valuation'!A1" display="DCF valuation" xr:uid="{935E964C-144B-46D5-9A3F-ADBDC751B62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E3FF-BAF7-4ACB-81EE-120BFAB64CD9}">
  <dimension ref="B1:F28"/>
  <sheetViews>
    <sheetView workbookViewId="0">
      <selection activeCell="F16" sqref="F16"/>
    </sheetView>
  </sheetViews>
  <sheetFormatPr defaultRowHeight="15"/>
  <cols>
    <col min="2" max="2" width="26" bestFit="1" customWidth="1"/>
    <col min="4" max="6" width="8.140625" bestFit="1" customWidth="1"/>
  </cols>
  <sheetData>
    <row r="1" spans="2:6" ht="15.75">
      <c r="B1" s="54" t="s">
        <v>39</v>
      </c>
      <c r="C1" s="30"/>
      <c r="D1" s="30"/>
      <c r="E1" s="30"/>
      <c r="F1" s="30"/>
    </row>
    <row r="2" spans="2:6">
      <c r="B2" s="30"/>
      <c r="C2" s="30"/>
      <c r="D2" s="30"/>
      <c r="E2" s="30"/>
      <c r="F2" s="30"/>
    </row>
    <row r="3" spans="2:6" ht="24.75">
      <c r="B3" s="8" t="s">
        <v>40</v>
      </c>
      <c r="C3" s="8"/>
      <c r="D3" s="4" t="s">
        <v>41</v>
      </c>
      <c r="E3" s="4" t="s">
        <v>94</v>
      </c>
      <c r="F3" s="4" t="s">
        <v>95</v>
      </c>
    </row>
    <row r="4" spans="2:6">
      <c r="B4" s="30" t="s">
        <v>1</v>
      </c>
      <c r="C4" s="30"/>
      <c r="D4" s="52">
        <v>177203</v>
      </c>
      <c r="E4" s="52">
        <v>188618</v>
      </c>
      <c r="F4" s="52">
        <v>208366</v>
      </c>
    </row>
    <row r="5" spans="2:6">
      <c r="B5" s="30" t="s">
        <v>2</v>
      </c>
      <c r="C5" s="30"/>
      <c r="D5" s="52">
        <v>3520</v>
      </c>
      <c r="E5" s="52">
        <v>2416</v>
      </c>
      <c r="F5" s="52">
        <v>2585</v>
      </c>
    </row>
    <row r="6" spans="2:6">
      <c r="B6" s="9" t="s">
        <v>42</v>
      </c>
      <c r="C6" s="9"/>
      <c r="D6" s="41">
        <f>D4+D5</f>
        <v>180723</v>
      </c>
      <c r="E6" s="41">
        <f>E4+E5</f>
        <v>191034</v>
      </c>
      <c r="F6" s="41">
        <f>F4+F5</f>
        <v>210951</v>
      </c>
    </row>
    <row r="7" spans="2:6">
      <c r="B7" s="30"/>
      <c r="C7" s="30"/>
      <c r="D7" s="52"/>
      <c r="E7" s="52"/>
      <c r="F7" s="52"/>
    </row>
    <row r="8" spans="2:6">
      <c r="B8" s="30" t="s">
        <v>3</v>
      </c>
      <c r="C8" s="30"/>
      <c r="D8" s="52">
        <v>-139903.0394666667</v>
      </c>
      <c r="E8" s="52">
        <v>-138922.98879999999</v>
      </c>
      <c r="F8" s="52">
        <v>-150080.46882539699</v>
      </c>
    </row>
    <row r="9" spans="2:6">
      <c r="B9" s="30" t="s">
        <v>4</v>
      </c>
      <c r="C9" s="30"/>
      <c r="D9" s="52">
        <v>-2491.3280000000004</v>
      </c>
      <c r="E9" s="52">
        <v>-11649.177600000001</v>
      </c>
      <c r="F9" s="52">
        <v>-7442.6495999999997</v>
      </c>
    </row>
    <row r="10" spans="2:6">
      <c r="B10" s="30" t="s">
        <v>5</v>
      </c>
      <c r="C10" s="30"/>
      <c r="D10" s="52">
        <v>-16389.593600000004</v>
      </c>
      <c r="E10" s="52">
        <v>-17878.310399999998</v>
      </c>
      <c r="F10" s="52">
        <v>-22293.312000000005</v>
      </c>
    </row>
    <row r="11" spans="2:6">
      <c r="B11" s="30" t="s">
        <v>6</v>
      </c>
      <c r="C11" s="30"/>
      <c r="D11" s="52">
        <v>-290.72640000000007</v>
      </c>
      <c r="E11" s="52">
        <v>-246.13120000000004</v>
      </c>
      <c r="F11" s="52">
        <v>-120.92160000000001</v>
      </c>
    </row>
    <row r="12" spans="2:6">
      <c r="B12" s="30" t="s">
        <v>7</v>
      </c>
      <c r="C12" s="30"/>
      <c r="D12" s="52">
        <v>-1330.9952000000003</v>
      </c>
      <c r="E12" s="52">
        <v>-1123.4560000000001</v>
      </c>
      <c r="F12" s="52">
        <v>-1452.7744000000002</v>
      </c>
    </row>
    <row r="13" spans="2:6">
      <c r="B13" s="30"/>
      <c r="C13" s="30"/>
      <c r="D13" s="52"/>
      <c r="E13" s="52"/>
      <c r="F13" s="52"/>
    </row>
    <row r="14" spans="2:6">
      <c r="B14" s="9" t="s">
        <v>8</v>
      </c>
      <c r="C14" s="9"/>
      <c r="D14" s="41">
        <f>D6+SUM(D8:D12)</f>
        <v>20317.317333333282</v>
      </c>
      <c r="E14" s="41">
        <f>E6+SUM(E8:E12)</f>
        <v>21213.936000000016</v>
      </c>
      <c r="F14" s="41">
        <f>F6+SUM(F8:F12)</f>
        <v>29560.873574603</v>
      </c>
    </row>
    <row r="15" spans="2:6">
      <c r="B15" s="30"/>
      <c r="C15" s="30"/>
      <c r="D15" s="52"/>
      <c r="E15" s="52"/>
      <c r="F15" s="52"/>
    </row>
    <row r="16" spans="2:6">
      <c r="B16" s="30" t="s">
        <v>9</v>
      </c>
      <c r="C16" s="30"/>
      <c r="D16" s="52">
        <v>-2907.8000000000006</v>
      </c>
      <c r="E16" s="52">
        <v>-4649.8</v>
      </c>
      <c r="F16" s="52">
        <v>-6430.6600000000008</v>
      </c>
    </row>
    <row r="17" spans="2:6">
      <c r="B17" s="30"/>
      <c r="C17" s="30"/>
      <c r="D17" s="52"/>
      <c r="E17" s="52"/>
      <c r="F17" s="52"/>
    </row>
    <row r="18" spans="2:6">
      <c r="B18" s="9" t="s">
        <v>10</v>
      </c>
      <c r="C18" s="9"/>
      <c r="D18" s="41">
        <f>D14+D16</f>
        <v>17409.517333333282</v>
      </c>
      <c r="E18" s="41">
        <f>E14+E16</f>
        <v>16564.136000000017</v>
      </c>
      <c r="F18" s="41">
        <f>F14+F16</f>
        <v>23130.213574603</v>
      </c>
    </row>
    <row r="19" spans="2:6">
      <c r="B19" s="30"/>
      <c r="C19" s="30"/>
      <c r="D19" s="52"/>
      <c r="E19" s="52"/>
      <c r="F19" s="52"/>
    </row>
    <row r="20" spans="2:6">
      <c r="B20" s="30" t="s">
        <v>11</v>
      </c>
      <c r="C20" s="30"/>
      <c r="D20" s="52">
        <v>-1266.3000000000002</v>
      </c>
      <c r="E20" s="52">
        <v>-2190.9</v>
      </c>
      <c r="F20" s="52">
        <v>-2663.92</v>
      </c>
    </row>
    <row r="21" spans="2:6">
      <c r="B21" s="30" t="s">
        <v>12</v>
      </c>
      <c r="C21" s="30"/>
      <c r="D21" s="52">
        <v>-317.58000000000004</v>
      </c>
      <c r="E21" s="52">
        <v>-864.30000000000007</v>
      </c>
      <c r="F21" s="52">
        <v>-320.26</v>
      </c>
    </row>
    <row r="22" spans="2:6">
      <c r="B22" s="30"/>
      <c r="C22" s="30"/>
      <c r="D22" s="52"/>
      <c r="E22" s="52"/>
      <c r="F22" s="52"/>
    </row>
    <row r="23" spans="2:6">
      <c r="B23" s="9" t="s">
        <v>43</v>
      </c>
      <c r="C23" s="9"/>
      <c r="D23" s="41">
        <f>D18+D21+D20</f>
        <v>15825.637333333281</v>
      </c>
      <c r="E23" s="41">
        <f>E18+E21+E20</f>
        <v>13508.936000000018</v>
      </c>
      <c r="F23" s="41">
        <f>F18+F21+F20</f>
        <v>20146.033574603003</v>
      </c>
    </row>
    <row r="24" spans="2:6">
      <c r="B24" s="30"/>
      <c r="C24" s="30"/>
      <c r="D24" s="52"/>
      <c r="E24" s="52"/>
      <c r="F24" s="52"/>
    </row>
    <row r="25" spans="2:6">
      <c r="B25" s="30" t="s">
        <v>13</v>
      </c>
      <c r="C25" s="30"/>
      <c r="D25" s="52">
        <v>-3805.7759999999998</v>
      </c>
      <c r="E25" s="52">
        <v>-3050.192</v>
      </c>
      <c r="F25" s="52">
        <v>-3814.88</v>
      </c>
    </row>
    <row r="26" spans="2:6">
      <c r="B26" s="30"/>
      <c r="C26" s="30"/>
      <c r="D26" s="52"/>
      <c r="E26" s="52"/>
      <c r="F26" s="52"/>
    </row>
    <row r="27" spans="2:6" ht="15.75" thickBot="1">
      <c r="B27" s="7" t="s">
        <v>44</v>
      </c>
      <c r="C27" s="7"/>
      <c r="D27" s="45">
        <f>D23+D25</f>
        <v>12019.861333333281</v>
      </c>
      <c r="E27" s="45">
        <f>E23+E25</f>
        <v>10458.744000000017</v>
      </c>
      <c r="F27" s="45">
        <f>F23+F25</f>
        <v>16331.153574603002</v>
      </c>
    </row>
    <row r="28" spans="2:6">
      <c r="B28" s="30"/>
      <c r="C28" s="30"/>
      <c r="D28" s="30"/>
      <c r="E28" s="30"/>
      <c r="F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4719-14EA-4B56-B228-BD87CAC3EBF1}">
  <dimension ref="B1:M20"/>
  <sheetViews>
    <sheetView showGridLines="0" workbookViewId="0">
      <selection activeCell="I16" sqref="I16"/>
    </sheetView>
  </sheetViews>
  <sheetFormatPr defaultRowHeight="15"/>
  <cols>
    <col min="1" max="1" width="4.140625" customWidth="1"/>
    <col min="2" max="2" width="17.140625" bestFit="1" customWidth="1"/>
    <col min="4" max="4" width="7.7109375" bestFit="1" customWidth="1"/>
    <col min="8" max="8" width="25.5703125" bestFit="1" customWidth="1"/>
    <col min="10" max="10" width="7.7109375" bestFit="1" customWidth="1"/>
  </cols>
  <sheetData>
    <row r="1" spans="2:13" ht="15.75">
      <c r="B1" s="54" t="s">
        <v>45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ht="36.75">
      <c r="B3" s="8" t="s">
        <v>40</v>
      </c>
      <c r="C3" s="8"/>
      <c r="D3" s="4" t="s">
        <v>46</v>
      </c>
      <c r="E3" s="4" t="s">
        <v>96</v>
      </c>
      <c r="F3" s="4" t="s">
        <v>97</v>
      </c>
      <c r="G3" s="30"/>
      <c r="H3" s="8" t="s">
        <v>40</v>
      </c>
      <c r="I3" s="8"/>
      <c r="J3" s="4" t="s">
        <v>46</v>
      </c>
      <c r="K3" s="4" t="s">
        <v>96</v>
      </c>
      <c r="L3" s="4" t="s">
        <v>97</v>
      </c>
      <c r="M3" s="30"/>
    </row>
    <row r="4" spans="2:13">
      <c r="B4" s="30" t="s">
        <v>47</v>
      </c>
      <c r="C4" s="30"/>
      <c r="D4" s="52">
        <v>5961.6</v>
      </c>
      <c r="E4" s="52">
        <v>5840</v>
      </c>
      <c r="F4" s="52">
        <v>5650</v>
      </c>
      <c r="G4" s="52"/>
      <c r="H4" s="52" t="s">
        <v>48</v>
      </c>
      <c r="I4" s="52"/>
      <c r="J4" s="52">
        <v>6784.8</v>
      </c>
      <c r="K4" s="52">
        <v>6800</v>
      </c>
      <c r="L4" s="52">
        <v>7508</v>
      </c>
      <c r="M4" s="30"/>
    </row>
    <row r="5" spans="2:13">
      <c r="B5" s="30" t="s">
        <v>49</v>
      </c>
      <c r="C5" s="30"/>
      <c r="D5" s="52">
        <v>45106.400000000001</v>
      </c>
      <c r="E5" s="52">
        <v>49072.4</v>
      </c>
      <c r="F5" s="52">
        <v>56109.2</v>
      </c>
      <c r="G5" s="52"/>
      <c r="H5" s="52" t="s">
        <v>50</v>
      </c>
      <c r="I5" s="52"/>
      <c r="J5" s="52">
        <v>46224</v>
      </c>
      <c r="K5" s="52">
        <v>44414.400000000001</v>
      </c>
      <c r="L5" s="52">
        <v>46513.2</v>
      </c>
      <c r="M5" s="30"/>
    </row>
    <row r="6" spans="2:13">
      <c r="B6" s="30" t="s">
        <v>51</v>
      </c>
      <c r="C6" s="30"/>
      <c r="D6" s="52">
        <v>8824</v>
      </c>
      <c r="E6" s="52">
        <v>9831</v>
      </c>
      <c r="F6" s="52">
        <v>10323</v>
      </c>
      <c r="G6" s="52"/>
      <c r="H6" s="52" t="s">
        <v>52</v>
      </c>
      <c r="I6" s="52"/>
      <c r="J6" s="52">
        <v>16393.7</v>
      </c>
      <c r="K6" s="52">
        <v>25993.7</v>
      </c>
      <c r="L6" s="52">
        <v>21516</v>
      </c>
      <c r="M6" s="30"/>
    </row>
    <row r="7" spans="2:13">
      <c r="B7" s="30"/>
      <c r="C7" s="30"/>
      <c r="D7" s="52"/>
      <c r="E7" s="52"/>
      <c r="F7" s="52"/>
      <c r="G7" s="52"/>
      <c r="H7" s="52" t="s">
        <v>53</v>
      </c>
      <c r="I7" s="52"/>
      <c r="J7" s="52">
        <v>12019.861333333281</v>
      </c>
      <c r="K7" s="52">
        <v>10458.744000000017</v>
      </c>
      <c r="L7" s="52">
        <v>16331.153574603002</v>
      </c>
      <c r="M7" s="30"/>
    </row>
    <row r="8" spans="2:13" ht="15.75" thickBot="1">
      <c r="B8" s="7" t="s">
        <v>54</v>
      </c>
      <c r="C8" s="46"/>
      <c r="D8" s="45">
        <f>D6+D5+D4</f>
        <v>59892</v>
      </c>
      <c r="E8" s="45">
        <f>E6+E5+E4</f>
        <v>64743.4</v>
      </c>
      <c r="F8" s="45">
        <f>F6+F5+F4</f>
        <v>72082.2</v>
      </c>
      <c r="G8" s="52"/>
      <c r="H8" s="45" t="s">
        <v>55</v>
      </c>
      <c r="I8" s="5"/>
      <c r="J8" s="45">
        <f>SUM(J4:J7)</f>
        <v>81422.361333333276</v>
      </c>
      <c r="K8" s="45">
        <f>SUM(K4:K7)</f>
        <v>87666.844000000026</v>
      </c>
      <c r="L8" s="45">
        <f>SUM(L4:L7)</f>
        <v>91868.353574602996</v>
      </c>
      <c r="M8" s="30"/>
    </row>
    <row r="9" spans="2:13">
      <c r="B9" s="30"/>
      <c r="C9" s="30"/>
      <c r="D9" s="52"/>
      <c r="E9" s="52"/>
      <c r="F9" s="52"/>
      <c r="G9" s="52"/>
      <c r="H9" s="52"/>
      <c r="I9" s="52"/>
      <c r="J9" s="52"/>
      <c r="K9" s="52"/>
      <c r="L9" s="52"/>
      <c r="M9" s="30"/>
    </row>
    <row r="10" spans="2:13">
      <c r="B10" s="30" t="s">
        <v>56</v>
      </c>
      <c r="C10" s="30"/>
      <c r="D10" s="52">
        <v>31167.200000000001</v>
      </c>
      <c r="E10" s="52">
        <v>36396.800000000003</v>
      </c>
      <c r="F10" s="52">
        <v>46212</v>
      </c>
      <c r="G10" s="52"/>
      <c r="H10" s="52" t="s">
        <v>57</v>
      </c>
      <c r="I10" s="52"/>
      <c r="J10" s="52">
        <v>15891.2</v>
      </c>
      <c r="K10" s="52">
        <v>26351.599999999999</v>
      </c>
      <c r="L10" s="52">
        <v>36189.599999999999</v>
      </c>
      <c r="M10" s="30"/>
    </row>
    <row r="11" spans="2:13">
      <c r="B11" s="30" t="s">
        <v>58</v>
      </c>
      <c r="C11" s="30"/>
      <c r="D11" s="52">
        <v>32883.599999999999</v>
      </c>
      <c r="E11" s="52">
        <v>38556</v>
      </c>
      <c r="F11" s="52">
        <v>43581.599999999999</v>
      </c>
      <c r="G11" s="52"/>
      <c r="H11" s="52" t="s">
        <v>59</v>
      </c>
      <c r="I11" s="52"/>
      <c r="J11" s="52">
        <v>5315</v>
      </c>
      <c r="K11" s="52">
        <v>4334</v>
      </c>
      <c r="L11" s="52">
        <v>6473.0464253970422</v>
      </c>
      <c r="M11" s="30"/>
    </row>
    <row r="12" spans="2:13">
      <c r="B12" s="30" t="s">
        <v>60</v>
      </c>
      <c r="C12" s="30"/>
      <c r="D12" s="52">
        <v>8841.6</v>
      </c>
      <c r="E12" s="52">
        <v>11359.199999999999</v>
      </c>
      <c r="F12" s="52">
        <v>17602.8</v>
      </c>
      <c r="G12" s="52"/>
      <c r="H12" s="52" t="s">
        <v>61</v>
      </c>
      <c r="I12" s="52"/>
      <c r="J12" s="52">
        <v>478.83866666668911</v>
      </c>
      <c r="K12" s="52">
        <v>1217.9560000000056</v>
      </c>
      <c r="L12" s="52">
        <v>1760.3999999999999</v>
      </c>
      <c r="M12" s="30"/>
    </row>
    <row r="13" spans="2:13">
      <c r="B13" s="30"/>
      <c r="C13" s="30"/>
      <c r="D13" s="52"/>
      <c r="E13" s="52"/>
      <c r="F13" s="52"/>
      <c r="G13" s="52"/>
      <c r="H13" s="52" t="s">
        <v>62</v>
      </c>
      <c r="I13" s="52"/>
      <c r="J13" s="52">
        <v>175.2</v>
      </c>
      <c r="K13" s="52">
        <v>248.39999999999998</v>
      </c>
      <c r="L13" s="52">
        <v>240</v>
      </c>
      <c r="M13" s="30"/>
    </row>
    <row r="14" spans="2:13">
      <c r="B14" s="30" t="s">
        <v>63</v>
      </c>
      <c r="C14" s="30"/>
      <c r="D14" s="52">
        <v>11791.199999999999</v>
      </c>
      <c r="E14" s="52">
        <v>19408.8</v>
      </c>
      <c r="F14" s="52">
        <v>8173.6</v>
      </c>
      <c r="G14" s="52"/>
      <c r="H14" s="52"/>
      <c r="I14" s="52"/>
      <c r="J14" s="52"/>
      <c r="K14" s="52"/>
      <c r="L14" s="52"/>
      <c r="M14" s="30"/>
    </row>
    <row r="15" spans="2:13" ht="15.75" thickBot="1">
      <c r="B15" s="7" t="s">
        <v>64</v>
      </c>
      <c r="C15" s="46"/>
      <c r="D15" s="45">
        <f>+D14+D12+D11+D10</f>
        <v>84683.599999999991</v>
      </c>
      <c r="E15" s="45">
        <f>+E14+E12+E11+E10</f>
        <v>105720.8</v>
      </c>
      <c r="F15" s="45">
        <f>+F14+F12+F11+F10</f>
        <v>115570</v>
      </c>
      <c r="G15" s="52"/>
      <c r="H15" s="52" t="s">
        <v>65</v>
      </c>
      <c r="I15" s="52"/>
      <c r="J15" s="52">
        <v>37402.600000000006</v>
      </c>
      <c r="K15" s="52">
        <v>45594.6</v>
      </c>
      <c r="L15" s="52">
        <v>50680.399999999994</v>
      </c>
      <c r="M15" s="30"/>
    </row>
    <row r="16" spans="2:13">
      <c r="B16" s="30"/>
      <c r="C16" s="30"/>
      <c r="D16" s="52"/>
      <c r="E16" s="52"/>
      <c r="F16" s="52"/>
      <c r="G16" s="52"/>
      <c r="H16" s="52" t="s">
        <v>66</v>
      </c>
      <c r="I16" s="52"/>
      <c r="J16" s="52">
        <v>3890.3999999999996</v>
      </c>
      <c r="K16" s="52">
        <v>5050.8</v>
      </c>
      <c r="L16" s="52">
        <v>440.4</v>
      </c>
      <c r="M16" s="30"/>
    </row>
    <row r="17" spans="2:13" ht="15.75" thickBot="1">
      <c r="B17" s="30"/>
      <c r="C17" s="30"/>
      <c r="D17" s="52"/>
      <c r="E17" s="52"/>
      <c r="F17" s="52"/>
      <c r="G17" s="52"/>
      <c r="H17" s="45" t="s">
        <v>67</v>
      </c>
      <c r="I17" s="5"/>
      <c r="J17" s="45">
        <f>J16+J15+SUM(J10:J13)</f>
        <v>63153.238666666701</v>
      </c>
      <c r="K17" s="45">
        <f>K16+K15+SUM(K10:K13)</f>
        <v>82797.356</v>
      </c>
      <c r="L17" s="45">
        <f>L16+L15+SUM(L10:L13)</f>
        <v>95783.846425397031</v>
      </c>
      <c r="M17" s="30"/>
    </row>
    <row r="18" spans="2:13">
      <c r="B18" s="30"/>
      <c r="C18" s="30"/>
      <c r="D18" s="52"/>
      <c r="E18" s="52"/>
      <c r="F18" s="52"/>
      <c r="G18" s="52"/>
      <c r="H18" s="52"/>
      <c r="I18" s="52"/>
      <c r="J18" s="52"/>
      <c r="K18" s="52"/>
      <c r="L18" s="52"/>
      <c r="M18" s="30"/>
    </row>
    <row r="19" spans="2:13" ht="15.75" thickBot="1">
      <c r="B19" s="7" t="s">
        <v>68</v>
      </c>
      <c r="C19" s="46"/>
      <c r="D19" s="45">
        <f>D15+D8</f>
        <v>144575.59999999998</v>
      </c>
      <c r="E19" s="45">
        <f>E15+E8</f>
        <v>170464.2</v>
      </c>
      <c r="F19" s="45">
        <f>F15+F8</f>
        <v>187652.2</v>
      </c>
      <c r="G19" s="52"/>
      <c r="H19" s="45" t="s">
        <v>69</v>
      </c>
      <c r="I19" s="5"/>
      <c r="J19" s="45">
        <f>J17+J8</f>
        <v>144575.59999999998</v>
      </c>
      <c r="K19" s="45">
        <f>K17+K8</f>
        <v>170464.2</v>
      </c>
      <c r="L19" s="45">
        <f>L17+L8</f>
        <v>187652.2</v>
      </c>
      <c r="M19" s="30"/>
    </row>
    <row r="20" spans="2:1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6651-BF5F-4F2E-9B18-10425BCD608A}">
  <dimension ref="A1:Q55"/>
  <sheetViews>
    <sheetView showGridLines="0" topLeftCell="A4" zoomScale="89" zoomScaleNormal="89" workbookViewId="0">
      <selection activeCell="G4" sqref="G1:G1048576"/>
    </sheetView>
  </sheetViews>
  <sheetFormatPr defaultRowHeight="15"/>
  <cols>
    <col min="1" max="1" width="20.42578125" customWidth="1"/>
    <col min="5" max="5" width="2.85546875" customWidth="1"/>
    <col min="6" max="6" width="10.28515625" style="77" customWidth="1"/>
    <col min="7" max="7" width="15.140625" style="77" customWidth="1"/>
    <col min="8" max="8" width="9.85546875" style="77" customWidth="1"/>
    <col min="9" max="9" width="10.85546875" style="77" customWidth="1"/>
    <col min="10" max="10" width="11.42578125" style="77" customWidth="1"/>
  </cols>
  <sheetData>
    <row r="1" spans="1:10" ht="15.75">
      <c r="A1" s="57" t="s">
        <v>14</v>
      </c>
      <c r="B1" s="55"/>
      <c r="C1" s="55"/>
      <c r="D1" s="55"/>
      <c r="E1" s="55"/>
      <c r="F1" s="72"/>
      <c r="G1" s="72"/>
      <c r="H1" s="72"/>
      <c r="I1" s="72"/>
      <c r="J1" s="72"/>
    </row>
    <row r="2" spans="1:10">
      <c r="A2" s="55"/>
      <c r="B2" s="55"/>
      <c r="C2" s="55"/>
      <c r="D2" s="55"/>
      <c r="E2" s="55"/>
      <c r="F2" s="73" t="s">
        <v>15</v>
      </c>
      <c r="G2" s="72"/>
      <c r="H2" s="72"/>
      <c r="I2" s="72"/>
      <c r="J2" s="72"/>
    </row>
    <row r="3" spans="1:10">
      <c r="A3" s="55"/>
      <c r="B3" s="55"/>
      <c r="C3" s="55"/>
      <c r="D3" s="55"/>
      <c r="E3" s="55"/>
      <c r="F3" s="73" t="s">
        <v>16</v>
      </c>
      <c r="G3" s="73" t="s">
        <v>17</v>
      </c>
      <c r="H3" s="72"/>
      <c r="I3" s="72"/>
      <c r="J3" s="72"/>
    </row>
    <row r="4" spans="1:10">
      <c r="A4" s="55"/>
      <c r="B4" s="55"/>
      <c r="C4" s="55"/>
      <c r="D4" s="55"/>
      <c r="E4" s="55"/>
      <c r="F4" s="73" t="s">
        <v>18</v>
      </c>
      <c r="G4" s="73" t="s">
        <v>19</v>
      </c>
      <c r="H4" s="72"/>
      <c r="I4" s="72"/>
      <c r="J4" s="72"/>
    </row>
    <row r="5" spans="1:10">
      <c r="A5" s="58" t="s">
        <v>20</v>
      </c>
      <c r="B5" s="67">
        <v>1</v>
      </c>
      <c r="C5" s="55"/>
      <c r="D5" s="55"/>
      <c r="E5" s="55"/>
      <c r="F5" s="73" t="s">
        <v>21</v>
      </c>
      <c r="G5" s="73" t="s">
        <v>22</v>
      </c>
      <c r="H5" s="72"/>
      <c r="I5" s="72"/>
      <c r="J5" s="72"/>
    </row>
    <row r="7" spans="1:10">
      <c r="A7" s="55"/>
      <c r="B7" s="55"/>
      <c r="C7" s="55"/>
      <c r="D7" s="55"/>
      <c r="E7" s="55"/>
      <c r="F7" s="72"/>
      <c r="G7" s="72"/>
      <c r="H7" s="72"/>
      <c r="I7" s="72"/>
      <c r="J7" s="72"/>
    </row>
    <row r="8" spans="1:10" ht="25.5" thickBot="1">
      <c r="A8" s="60" t="s">
        <v>0</v>
      </c>
      <c r="B8" s="61" t="s">
        <v>23</v>
      </c>
      <c r="C8" s="61" t="s">
        <v>90</v>
      </c>
      <c r="D8" s="61" t="s">
        <v>91</v>
      </c>
      <c r="E8" s="63"/>
      <c r="F8" s="71" t="s">
        <v>24</v>
      </c>
      <c r="G8" s="71" t="s">
        <v>25</v>
      </c>
      <c r="H8" s="71" t="s">
        <v>26</v>
      </c>
      <c r="I8" s="71" t="s">
        <v>92</v>
      </c>
      <c r="J8" s="71" t="s">
        <v>93</v>
      </c>
    </row>
    <row r="9" spans="1:10">
      <c r="A9" s="58" t="s">
        <v>27</v>
      </c>
      <c r="B9" s="59">
        <f>'P&amp;L Source'!D4</f>
        <v>177203</v>
      </c>
      <c r="C9" s="59">
        <f>'P&amp;L Source'!E4</f>
        <v>188618</v>
      </c>
      <c r="D9" s="59">
        <f>'P&amp;L Source'!F4</f>
        <v>208366</v>
      </c>
      <c r="E9" s="55"/>
      <c r="F9" s="74">
        <f>D9*(1+F10)</f>
        <v>229202.6</v>
      </c>
      <c r="G9" s="74">
        <f>F9*(1+G10)</f>
        <v>252122.86000000002</v>
      </c>
      <c r="H9" s="74">
        <f t="shared" ref="H9:J9" si="0">G9*(1+H10)</f>
        <v>277335.14600000007</v>
      </c>
      <c r="I9" s="79">
        <f t="shared" si="0"/>
        <v>305068.66060000012</v>
      </c>
      <c r="J9" s="74">
        <f t="shared" si="0"/>
        <v>335575.52666000015</v>
      </c>
    </row>
    <row r="10" spans="1:10">
      <c r="A10" s="58" t="s">
        <v>28</v>
      </c>
      <c r="B10" s="66"/>
      <c r="C10" s="65">
        <f>C9/B9-1</f>
        <v>6.4417645299458703E-2</v>
      </c>
      <c r="D10" s="65">
        <f>D9/C9-1</f>
        <v>0.10469838509580209</v>
      </c>
      <c r="E10" s="55"/>
      <c r="F10" s="75">
        <f>CHOOSE($B$5,F11,F12,F13)</f>
        <v>0.1</v>
      </c>
      <c r="G10" s="75">
        <f t="shared" ref="G10:J10" si="1">CHOOSE($B$5,G11,G12,G13)</f>
        <v>0.1</v>
      </c>
      <c r="H10" s="75">
        <f t="shared" si="1"/>
        <v>0.1</v>
      </c>
      <c r="I10" s="75">
        <f t="shared" si="1"/>
        <v>0.1</v>
      </c>
      <c r="J10" s="75">
        <f t="shared" si="1"/>
        <v>0.1</v>
      </c>
    </row>
    <row r="11" spans="1:10">
      <c r="A11" s="58" t="s">
        <v>16</v>
      </c>
      <c r="B11" s="69"/>
      <c r="C11" s="69"/>
      <c r="D11" s="69"/>
      <c r="E11" s="55"/>
      <c r="F11" s="75">
        <v>0.1</v>
      </c>
      <c r="G11" s="75">
        <v>0.1</v>
      </c>
      <c r="H11" s="75">
        <v>0.1</v>
      </c>
      <c r="I11" s="75">
        <v>0.1</v>
      </c>
      <c r="J11" s="75">
        <v>0.1</v>
      </c>
    </row>
    <row r="12" spans="1:10">
      <c r="A12" s="58" t="s">
        <v>18</v>
      </c>
      <c r="B12" s="69"/>
      <c r="C12" s="69"/>
      <c r="D12" s="69"/>
      <c r="E12" s="55"/>
      <c r="F12" s="75">
        <v>0.08</v>
      </c>
      <c r="G12" s="75">
        <v>0.08</v>
      </c>
      <c r="H12" s="75">
        <v>0.08</v>
      </c>
      <c r="I12" s="75">
        <v>0.08</v>
      </c>
      <c r="J12" s="75">
        <v>0.08</v>
      </c>
    </row>
    <row r="13" spans="1:10">
      <c r="A13" s="58" t="s">
        <v>21</v>
      </c>
      <c r="B13" s="69"/>
      <c r="C13" s="69"/>
      <c r="D13" s="69"/>
      <c r="E13" s="55"/>
      <c r="F13" s="75">
        <v>0.04</v>
      </c>
      <c r="G13" s="75">
        <v>0.04</v>
      </c>
      <c r="H13" s="75">
        <v>0.04</v>
      </c>
      <c r="I13" s="75">
        <v>0.04</v>
      </c>
      <c r="J13" s="75">
        <v>0.04</v>
      </c>
    </row>
    <row r="14" spans="1:10">
      <c r="A14" s="55"/>
      <c r="B14" s="55"/>
      <c r="C14" s="55"/>
      <c r="D14" s="55"/>
      <c r="E14" s="55"/>
      <c r="F14" s="74"/>
      <c r="G14" s="74"/>
      <c r="H14" s="74"/>
      <c r="I14" s="74"/>
      <c r="J14" s="74"/>
    </row>
    <row r="15" spans="1:10">
      <c r="A15" s="58" t="s">
        <v>29</v>
      </c>
      <c r="B15" s="59">
        <f>'P&amp;L Source'!D5</f>
        <v>3520</v>
      </c>
      <c r="C15" s="59">
        <f>'P&amp;L Source'!E5</f>
        <v>2416</v>
      </c>
      <c r="D15" s="59">
        <f>'P&amp;L Source'!F5</f>
        <v>2585</v>
      </c>
      <c r="E15" s="55"/>
      <c r="F15" s="74">
        <f>D15*(1+F16)</f>
        <v>2585</v>
      </c>
      <c r="G15" s="74">
        <f>F15*(1+G16)</f>
        <v>2585</v>
      </c>
      <c r="H15" s="74">
        <f t="shared" ref="H15" si="2">G15*(1+H16)</f>
        <v>2585</v>
      </c>
      <c r="I15" s="78">
        <f t="shared" ref="I15" si="3">H15*(1+I16)</f>
        <v>2585</v>
      </c>
      <c r="J15" s="81">
        <f t="shared" ref="J15" si="4">I15*(1+J16)</f>
        <v>2585</v>
      </c>
    </row>
    <row r="16" spans="1:10">
      <c r="A16" s="58" t="s">
        <v>30</v>
      </c>
      <c r="B16" s="59"/>
      <c r="C16" s="59"/>
      <c r="D16" s="59"/>
      <c r="E16" s="55"/>
      <c r="F16" s="75">
        <f>CHOOSE($B$5,F17,F18,F19)</f>
        <v>0</v>
      </c>
      <c r="G16" s="75">
        <f t="shared" ref="G16:J16" si="5">CHOOSE($B$5,G17,G18,G19)</f>
        <v>0</v>
      </c>
      <c r="H16" s="75">
        <f t="shared" si="5"/>
        <v>0</v>
      </c>
      <c r="I16" s="75">
        <f t="shared" si="5"/>
        <v>0</v>
      </c>
      <c r="J16" s="75">
        <f t="shared" si="5"/>
        <v>0</v>
      </c>
    </row>
    <row r="17" spans="1:10">
      <c r="A17" s="58" t="s">
        <v>31</v>
      </c>
      <c r="B17" s="69"/>
      <c r="C17" s="69"/>
      <c r="D17" s="69"/>
      <c r="E17" s="55"/>
      <c r="F17" s="75">
        <v>0</v>
      </c>
      <c r="G17" s="75">
        <v>0</v>
      </c>
      <c r="H17" s="75">
        <v>0</v>
      </c>
      <c r="I17" s="75">
        <v>0</v>
      </c>
      <c r="J17" s="75">
        <v>0</v>
      </c>
    </row>
    <row r="18" spans="1:10">
      <c r="A18" s="58" t="s">
        <v>32</v>
      </c>
      <c r="B18" s="69"/>
      <c r="C18" s="69"/>
      <c r="D18" s="69"/>
      <c r="E18" s="55"/>
      <c r="F18" s="75">
        <v>0</v>
      </c>
      <c r="G18" s="75">
        <v>0</v>
      </c>
      <c r="H18" s="75">
        <v>0</v>
      </c>
      <c r="I18" s="75">
        <v>0</v>
      </c>
      <c r="J18" s="75">
        <v>0</v>
      </c>
    </row>
    <row r="19" spans="1:10">
      <c r="A19" s="58" t="s">
        <v>33</v>
      </c>
      <c r="B19" s="69"/>
      <c r="C19" s="69"/>
      <c r="D19" s="69"/>
      <c r="E19" s="55"/>
      <c r="F19" s="75">
        <v>0</v>
      </c>
      <c r="G19" s="75">
        <v>0</v>
      </c>
      <c r="H19" s="75">
        <v>0</v>
      </c>
      <c r="I19" s="75">
        <v>0</v>
      </c>
      <c r="J19" s="75">
        <v>0</v>
      </c>
    </row>
    <row r="20" spans="1:10">
      <c r="B20" s="59"/>
      <c r="C20" s="59"/>
      <c r="D20" s="59"/>
      <c r="E20" s="55"/>
      <c r="F20" s="74"/>
      <c r="G20" s="74"/>
      <c r="H20" s="74"/>
      <c r="I20" s="74"/>
      <c r="J20" s="74"/>
    </row>
    <row r="21" spans="1:10">
      <c r="A21" s="58" t="s">
        <v>34</v>
      </c>
      <c r="B21" s="59">
        <f>'P&amp;L Source'!D8+'P&amp;L Source'!D9</f>
        <v>-142394.36746666671</v>
      </c>
      <c r="C21" s="59">
        <f>'P&amp;L Source'!E8+'P&amp;L Source'!E9</f>
        <v>-150572.16639999999</v>
      </c>
      <c r="D21" s="59">
        <f>'P&amp;L Source'!F8+'P&amp;L Source'!F9</f>
        <v>-157523.118425397</v>
      </c>
      <c r="E21" s="55"/>
      <c r="F21" s="76">
        <f>F9*F22</f>
        <v>-174193.976</v>
      </c>
      <c r="G21" s="76">
        <f t="shared" ref="G21:J21" si="6">G9*G22</f>
        <v>-191613.37360000002</v>
      </c>
      <c r="H21" s="76">
        <f t="shared" si="6"/>
        <v>-210774.71096000005</v>
      </c>
      <c r="I21" s="76">
        <f t="shared" si="6"/>
        <v>-231852.18205600011</v>
      </c>
      <c r="J21" s="76">
        <f t="shared" si="6"/>
        <v>-255037.40026160012</v>
      </c>
    </row>
    <row r="22" spans="1:10">
      <c r="A22" s="58" t="s">
        <v>35</v>
      </c>
      <c r="B22" s="64">
        <f>B21/B$9</f>
        <v>-0.8035663474470901</v>
      </c>
      <c r="C22" s="64">
        <f t="shared" ref="C22:D22" si="7">C21/C$9</f>
        <v>-0.79829160737575411</v>
      </c>
      <c r="D22" s="64">
        <f t="shared" si="7"/>
        <v>-0.75599242882906514</v>
      </c>
      <c r="E22" s="55"/>
      <c r="F22" s="75">
        <f>CHOOSE($B$5,F23,F24,F25)</f>
        <v>-0.76</v>
      </c>
      <c r="G22" s="75">
        <f t="shared" ref="G22:J22" si="8">CHOOSE($B$5,G23,G24,G25)</f>
        <v>-0.76</v>
      </c>
      <c r="H22" s="75">
        <f t="shared" si="8"/>
        <v>-0.76</v>
      </c>
      <c r="I22" s="75">
        <f t="shared" si="8"/>
        <v>-0.76</v>
      </c>
      <c r="J22" s="75">
        <f t="shared" si="8"/>
        <v>-0.76</v>
      </c>
    </row>
    <row r="23" spans="1:10">
      <c r="A23" s="58" t="s">
        <v>31</v>
      </c>
      <c r="B23" s="69"/>
      <c r="C23" s="69"/>
      <c r="D23" s="69"/>
      <c r="E23" s="55"/>
      <c r="F23" s="75">
        <v>-0.76</v>
      </c>
      <c r="G23" s="75">
        <v>-0.76</v>
      </c>
      <c r="H23" s="75">
        <v>-0.76</v>
      </c>
      <c r="I23" s="75">
        <v>-0.76</v>
      </c>
      <c r="J23" s="75">
        <v>-0.76</v>
      </c>
    </row>
    <row r="24" spans="1:10">
      <c r="A24" s="58" t="s">
        <v>32</v>
      </c>
      <c r="B24" s="69"/>
      <c r="C24" s="69"/>
      <c r="D24" s="69"/>
      <c r="E24" s="55"/>
      <c r="F24" s="75">
        <v>-0.78</v>
      </c>
      <c r="G24" s="75">
        <v>-0.78</v>
      </c>
      <c r="H24" s="75">
        <v>-0.78</v>
      </c>
      <c r="I24" s="75">
        <v>-0.78</v>
      </c>
      <c r="J24" s="75">
        <v>-0.78</v>
      </c>
    </row>
    <row r="25" spans="1:10">
      <c r="A25" s="58" t="s">
        <v>33</v>
      </c>
      <c r="B25" s="69"/>
      <c r="C25" s="69"/>
      <c r="D25" s="69"/>
      <c r="E25" s="55"/>
      <c r="F25" s="75">
        <v>-0.8</v>
      </c>
      <c r="G25" s="75">
        <v>-0.8</v>
      </c>
      <c r="H25" s="75">
        <v>-0.8</v>
      </c>
      <c r="I25" s="75">
        <v>-0.8</v>
      </c>
      <c r="J25" s="75">
        <v>-0.8</v>
      </c>
    </row>
    <row r="26" spans="1:10">
      <c r="B26" s="59"/>
      <c r="C26" s="59"/>
      <c r="D26" s="59"/>
      <c r="E26" s="55"/>
      <c r="F26" s="74"/>
      <c r="G26" s="74"/>
      <c r="H26" s="74"/>
      <c r="I26" s="74"/>
      <c r="J26" s="74"/>
    </row>
    <row r="27" spans="1:10">
      <c r="A27" s="58" t="s">
        <v>36</v>
      </c>
      <c r="B27" s="59">
        <f>'P&amp;L Source'!D10+'P&amp;L Source'!D11+'P&amp;L Source'!D12</f>
        <v>-18011.315200000005</v>
      </c>
      <c r="C27" s="59">
        <f>'P&amp;L Source'!E10+'P&amp;L Source'!E11+'P&amp;L Source'!E12</f>
        <v>-19247.897599999997</v>
      </c>
      <c r="D27" s="59">
        <f>'P&amp;L Source'!F10+'P&amp;L Source'!F11+'P&amp;L Source'!F12</f>
        <v>-23867.008000000009</v>
      </c>
      <c r="E27" s="55"/>
      <c r="F27" s="76">
        <f>$F$9*F28</f>
        <v>-22920.260000000002</v>
      </c>
      <c r="G27" s="76">
        <f t="shared" ref="G27:J27" si="9">G9*G28</f>
        <v>-25212.286000000004</v>
      </c>
      <c r="H27" s="76">
        <f t="shared" si="9"/>
        <v>-27733.51460000001</v>
      </c>
      <c r="I27" s="76">
        <f t="shared" si="9"/>
        <v>-30506.866060000015</v>
      </c>
      <c r="J27" s="76">
        <f t="shared" si="9"/>
        <v>-33557.552666000018</v>
      </c>
    </row>
    <row r="28" spans="1:10">
      <c r="A28" s="58" t="s">
        <v>35</v>
      </c>
      <c r="B28" s="65">
        <f>B27/B$9</f>
        <v>-0.10164227016472635</v>
      </c>
      <c r="C28" s="65">
        <f t="shared" ref="C28:D28" si="10">C27/C$9</f>
        <v>-0.10204698173026963</v>
      </c>
      <c r="D28" s="65">
        <f t="shared" si="10"/>
        <v>-0.11454367795129727</v>
      </c>
      <c r="E28" s="55"/>
      <c r="F28" s="75">
        <f>CHOOSE($B$5,F29,F30,F31)</f>
        <v>-0.1</v>
      </c>
      <c r="G28" s="75">
        <f t="shared" ref="G28:J28" si="11">CHOOSE($B$5,G29,G30,G31)</f>
        <v>-0.1</v>
      </c>
      <c r="H28" s="75">
        <f t="shared" si="11"/>
        <v>-0.1</v>
      </c>
      <c r="I28" s="75">
        <f t="shared" si="11"/>
        <v>-0.1</v>
      </c>
      <c r="J28" s="75">
        <f t="shared" si="11"/>
        <v>-0.1</v>
      </c>
    </row>
    <row r="29" spans="1:10">
      <c r="A29" s="58" t="s">
        <v>31</v>
      </c>
      <c r="B29" s="69"/>
      <c r="C29" s="69"/>
      <c r="D29" s="69"/>
      <c r="E29" s="55"/>
      <c r="F29" s="75">
        <v>-0.1</v>
      </c>
      <c r="G29" s="75">
        <v>-0.1</v>
      </c>
      <c r="H29" s="75">
        <v>-0.1</v>
      </c>
      <c r="I29" s="75">
        <v>-0.1</v>
      </c>
      <c r="J29" s="75">
        <v>-0.1</v>
      </c>
    </row>
    <row r="30" spans="1:10">
      <c r="A30" s="58" t="s">
        <v>32</v>
      </c>
      <c r="B30" s="69"/>
      <c r="C30" s="69"/>
      <c r="D30" s="69"/>
      <c r="E30" s="55"/>
      <c r="F30" s="75">
        <v>-0.105</v>
      </c>
      <c r="G30" s="75">
        <v>-0.105</v>
      </c>
      <c r="H30" s="75">
        <v>-0.105</v>
      </c>
      <c r="I30" s="75">
        <v>-0.105</v>
      </c>
      <c r="J30" s="75">
        <v>-0.105</v>
      </c>
    </row>
    <row r="31" spans="1:10">
      <c r="A31" s="58" t="s">
        <v>33</v>
      </c>
      <c r="B31" s="69"/>
      <c r="C31" s="69"/>
      <c r="D31" s="69"/>
      <c r="E31" s="55"/>
      <c r="F31" s="75">
        <v>-0.11</v>
      </c>
      <c r="G31" s="75">
        <v>-0.11</v>
      </c>
      <c r="H31" s="75">
        <v>-0.11</v>
      </c>
      <c r="I31" s="75">
        <v>-0.11</v>
      </c>
      <c r="J31" s="75">
        <v>-0.11</v>
      </c>
    </row>
    <row r="32" spans="1:10">
      <c r="B32" s="59"/>
      <c r="C32" s="59"/>
      <c r="D32" s="59"/>
      <c r="E32" s="55"/>
      <c r="F32" s="75"/>
      <c r="G32" s="75"/>
      <c r="H32" s="75"/>
      <c r="I32" s="75"/>
      <c r="J32" s="75"/>
    </row>
    <row r="33" spans="1:17">
      <c r="A33" s="58" t="s">
        <v>9</v>
      </c>
      <c r="B33" s="59">
        <f>'P&amp;L Source'!D16</f>
        <v>-2907.8000000000006</v>
      </c>
      <c r="C33" s="59">
        <f>'P&amp;L Source'!E16</f>
        <v>-4649.8</v>
      </c>
      <c r="D33" s="59">
        <f>'P&amp;L Source'!F16</f>
        <v>-6430.6600000000008</v>
      </c>
      <c r="E33" s="55"/>
      <c r="F33" s="76">
        <f>F9*F34</f>
        <v>-4584.0520000000006</v>
      </c>
      <c r="G33" s="76">
        <f t="shared" ref="G33:J33" si="12">G9*G34</f>
        <v>-5042.4572000000007</v>
      </c>
      <c r="H33" s="76">
        <f t="shared" si="12"/>
        <v>-5546.7029200000015</v>
      </c>
      <c r="I33" s="76">
        <f t="shared" si="12"/>
        <v>-6101.3732120000022</v>
      </c>
      <c r="J33" s="76">
        <f t="shared" si="12"/>
        <v>-6711.510533200003</v>
      </c>
    </row>
    <row r="34" spans="1:17">
      <c r="A34" s="58" t="s">
        <v>35</v>
      </c>
      <c r="B34" s="65">
        <f>B33/B$9</f>
        <v>-1.6409428734276511E-2</v>
      </c>
      <c r="C34" s="65">
        <f t="shared" ref="C34:D34" si="13">C33/C$9</f>
        <v>-2.4651942020379815E-2</v>
      </c>
      <c r="D34" s="65">
        <f t="shared" si="13"/>
        <v>-3.0862328786846225E-2</v>
      </c>
      <c r="E34" s="55"/>
      <c r="F34" s="75">
        <f>CHOOSE($B$5,F35,F36,F37)</f>
        <v>-0.02</v>
      </c>
      <c r="G34" s="75">
        <f t="shared" ref="G34:J34" si="14">CHOOSE($B$5,G35,G36,G37)</f>
        <v>-0.02</v>
      </c>
      <c r="H34" s="75">
        <f t="shared" si="14"/>
        <v>-0.02</v>
      </c>
      <c r="I34" s="75">
        <f t="shared" si="14"/>
        <v>-0.02</v>
      </c>
      <c r="J34" s="75">
        <f t="shared" si="14"/>
        <v>-0.02</v>
      </c>
    </row>
    <row r="35" spans="1:17">
      <c r="A35" s="58" t="s">
        <v>31</v>
      </c>
      <c r="B35" s="69"/>
      <c r="C35" s="69"/>
      <c r="D35" s="69"/>
      <c r="E35" s="55"/>
      <c r="F35" s="75">
        <v>-0.02</v>
      </c>
      <c r="G35" s="75">
        <v>-0.02</v>
      </c>
      <c r="H35" s="75">
        <v>-0.02</v>
      </c>
      <c r="I35" s="75">
        <v>-0.02</v>
      </c>
      <c r="J35" s="75">
        <v>-0.02</v>
      </c>
    </row>
    <row r="36" spans="1:17">
      <c r="A36" s="58" t="s">
        <v>32</v>
      </c>
      <c r="B36" s="69"/>
      <c r="C36" s="69"/>
      <c r="D36" s="69"/>
      <c r="E36" s="55"/>
      <c r="F36" s="75">
        <v>-2.5000000000000001E-2</v>
      </c>
      <c r="G36" s="75">
        <v>-2.5000000000000001E-2</v>
      </c>
      <c r="H36" s="75">
        <v>-2.5000000000000001E-2</v>
      </c>
      <c r="I36" s="75">
        <v>-2.5000000000000001E-2</v>
      </c>
      <c r="J36" s="75">
        <v>-2.5000000000000001E-2</v>
      </c>
    </row>
    <row r="37" spans="1:17">
      <c r="A37" s="58" t="s">
        <v>33</v>
      </c>
      <c r="B37" s="69"/>
      <c r="C37" s="69"/>
      <c r="D37" s="69"/>
      <c r="E37" s="55"/>
      <c r="F37" s="75">
        <v>-0.03</v>
      </c>
      <c r="G37" s="75">
        <v>-0.03</v>
      </c>
      <c r="H37" s="75">
        <v>-0.03</v>
      </c>
      <c r="I37" s="75">
        <v>-0.03</v>
      </c>
      <c r="J37" s="75">
        <v>-0.03</v>
      </c>
    </row>
    <row r="38" spans="1:17">
      <c r="B38" s="59"/>
      <c r="C38" s="59"/>
      <c r="D38" s="59"/>
      <c r="E38" s="55"/>
      <c r="F38" s="75"/>
      <c r="G38" s="75"/>
      <c r="H38" s="75"/>
      <c r="I38" s="75"/>
      <c r="J38" s="75"/>
    </row>
    <row r="39" spans="1:17">
      <c r="A39" s="58" t="s">
        <v>37</v>
      </c>
      <c r="B39" s="59">
        <f>'P&amp;L Source'!D20</f>
        <v>-1266.3000000000002</v>
      </c>
      <c r="C39" s="59">
        <f>'P&amp;L Source'!E20</f>
        <v>-2190.9</v>
      </c>
      <c r="D39" s="59">
        <f>'P&amp;L Source'!F20</f>
        <v>-2663.92</v>
      </c>
      <c r="E39" s="55"/>
      <c r="F39" s="74">
        <f>D39*(1+F40)</f>
        <v>-2663.92</v>
      </c>
      <c r="G39" s="74">
        <f>F39*(1+G40)</f>
        <v>-2663.92</v>
      </c>
      <c r="H39" s="74">
        <f t="shared" ref="H39" si="15">G39*(1+H40)</f>
        <v>-2663.92</v>
      </c>
      <c r="I39" s="74">
        <f t="shared" ref="I39" si="16">H39*(1+I40)</f>
        <v>-2663.92</v>
      </c>
      <c r="J39" s="74">
        <f t="shared" ref="J39" si="17">I39*(1+J40)</f>
        <v>-2663.92</v>
      </c>
    </row>
    <row r="40" spans="1:17">
      <c r="A40" s="58" t="s">
        <v>30</v>
      </c>
      <c r="B40" s="70"/>
      <c r="C40" s="70"/>
      <c r="D40" s="70"/>
      <c r="E40" s="55"/>
      <c r="F40" s="75">
        <f>CHOOSE($B$5,F41,F42,F43)</f>
        <v>0</v>
      </c>
      <c r="G40" s="75">
        <f t="shared" ref="G40:J40" si="18">CHOOSE($B$5,G41,G42,G43)</f>
        <v>0</v>
      </c>
      <c r="H40" s="75">
        <f t="shared" si="18"/>
        <v>0</v>
      </c>
      <c r="I40" s="75">
        <f t="shared" si="18"/>
        <v>0</v>
      </c>
      <c r="J40" s="75">
        <f t="shared" si="18"/>
        <v>0</v>
      </c>
    </row>
    <row r="41" spans="1:17">
      <c r="A41" s="58" t="s">
        <v>31</v>
      </c>
      <c r="B41" s="69"/>
      <c r="C41" s="69"/>
      <c r="D41" s="69"/>
      <c r="E41" s="55"/>
      <c r="F41" s="75">
        <v>0</v>
      </c>
      <c r="G41" s="75">
        <v>0</v>
      </c>
      <c r="H41" s="75">
        <v>0</v>
      </c>
      <c r="I41" s="75">
        <v>0</v>
      </c>
      <c r="J41" s="75">
        <v>0</v>
      </c>
      <c r="M41" s="80"/>
      <c r="N41" s="80"/>
      <c r="O41" s="80"/>
      <c r="P41" s="80"/>
      <c r="Q41" s="80"/>
    </row>
    <row r="42" spans="1:17">
      <c r="A42" s="58" t="s">
        <v>32</v>
      </c>
      <c r="B42" s="69"/>
      <c r="C42" s="69"/>
      <c r="D42" s="69"/>
      <c r="E42" s="55"/>
      <c r="F42" s="75">
        <v>0</v>
      </c>
      <c r="G42" s="75">
        <v>0</v>
      </c>
      <c r="H42" s="75">
        <v>0</v>
      </c>
      <c r="I42" s="75">
        <v>0</v>
      </c>
      <c r="J42" s="75">
        <v>0</v>
      </c>
    </row>
    <row r="43" spans="1:17">
      <c r="A43" s="58" t="s">
        <v>33</v>
      </c>
      <c r="B43" s="69"/>
      <c r="C43" s="69"/>
      <c r="D43" s="69"/>
      <c r="E43" s="55"/>
      <c r="F43" s="75">
        <v>0</v>
      </c>
      <c r="G43" s="75">
        <v>0</v>
      </c>
      <c r="H43" s="75">
        <v>0</v>
      </c>
      <c r="I43" s="75">
        <v>0</v>
      </c>
      <c r="J43" s="75">
        <v>0</v>
      </c>
    </row>
    <row r="44" spans="1:17">
      <c r="B44" s="59"/>
      <c r="C44" s="59"/>
      <c r="D44" s="59"/>
      <c r="E44" s="55"/>
      <c r="F44" s="75"/>
      <c r="G44" s="75"/>
      <c r="H44" s="75"/>
      <c r="I44" s="75"/>
      <c r="J44" s="75"/>
    </row>
    <row r="45" spans="1:17">
      <c r="A45" s="58" t="s">
        <v>12</v>
      </c>
      <c r="B45" s="59">
        <f>'P&amp;L Source'!D21</f>
        <v>-317.58000000000004</v>
      </c>
      <c r="C45" s="59">
        <f>'P&amp;L Source'!E21</f>
        <v>-864.30000000000007</v>
      </c>
      <c r="D45" s="59">
        <f>'P&amp;L Source'!F21</f>
        <v>-320.26</v>
      </c>
      <c r="E45" s="55"/>
      <c r="F45" s="76">
        <f>F21*F46</f>
        <v>0</v>
      </c>
      <c r="G45" s="76">
        <f t="shared" ref="G45:J45" si="19">G21*G46</f>
        <v>0</v>
      </c>
      <c r="H45" s="76">
        <f t="shared" si="19"/>
        <v>0</v>
      </c>
      <c r="I45" s="76">
        <f t="shared" si="19"/>
        <v>0</v>
      </c>
      <c r="J45" s="76">
        <f t="shared" si="19"/>
        <v>0</v>
      </c>
    </row>
    <row r="46" spans="1:17">
      <c r="A46" s="58" t="s">
        <v>35</v>
      </c>
      <c r="B46" s="65">
        <f>B45/B$9</f>
        <v>-1.7921818479371119E-3</v>
      </c>
      <c r="C46" s="65">
        <f>C45/C$9</f>
        <v>-4.5822774072463929E-3</v>
      </c>
      <c r="D46" s="65">
        <f t="shared" ref="D46" si="20">D45/D$9</f>
        <v>-1.5370069973028228E-3</v>
      </c>
      <c r="E46" s="55"/>
      <c r="F46" s="75">
        <f>CHOOSE($B$5,F47,F48,F49)</f>
        <v>0</v>
      </c>
      <c r="G46" s="75">
        <f t="shared" ref="G46:J46" si="21">CHOOSE($B$5,G47,G48,G49)</f>
        <v>0</v>
      </c>
      <c r="H46" s="75">
        <f t="shared" si="21"/>
        <v>0</v>
      </c>
      <c r="I46" s="75">
        <f t="shared" si="21"/>
        <v>0</v>
      </c>
      <c r="J46" s="75">
        <f t="shared" si="21"/>
        <v>0</v>
      </c>
    </row>
    <row r="47" spans="1:17">
      <c r="A47" s="58" t="s">
        <v>31</v>
      </c>
      <c r="B47" s="69"/>
      <c r="C47" s="69"/>
      <c r="D47" s="69"/>
      <c r="E47" s="55"/>
      <c r="F47" s="75">
        <v>0</v>
      </c>
      <c r="G47" s="75">
        <v>0</v>
      </c>
      <c r="H47" s="75">
        <v>0</v>
      </c>
      <c r="I47" s="75">
        <v>0</v>
      </c>
      <c r="J47" s="75">
        <v>0</v>
      </c>
    </row>
    <row r="48" spans="1:17">
      <c r="A48" s="58" t="s">
        <v>32</v>
      </c>
      <c r="B48" s="69"/>
      <c r="C48" s="69"/>
      <c r="D48" s="69"/>
      <c r="E48" s="55"/>
      <c r="F48" s="75">
        <v>0</v>
      </c>
      <c r="G48" s="75">
        <v>0</v>
      </c>
      <c r="H48" s="75">
        <v>0</v>
      </c>
      <c r="I48" s="75">
        <v>0</v>
      </c>
      <c r="J48" s="75">
        <v>0</v>
      </c>
    </row>
    <row r="49" spans="1:10">
      <c r="A49" s="58" t="s">
        <v>33</v>
      </c>
      <c r="B49" s="69"/>
      <c r="C49" s="69"/>
      <c r="D49" s="69"/>
      <c r="E49" s="55"/>
      <c r="F49" s="75">
        <v>0</v>
      </c>
      <c r="G49" s="75">
        <v>0</v>
      </c>
      <c r="H49" s="75">
        <v>0</v>
      </c>
      <c r="I49" s="75">
        <v>0</v>
      </c>
      <c r="J49" s="75">
        <v>0</v>
      </c>
    </row>
    <row r="50" spans="1:10">
      <c r="B50" s="59"/>
      <c r="C50" s="59"/>
      <c r="D50" s="59"/>
      <c r="E50" s="55"/>
      <c r="F50" s="75"/>
      <c r="G50" s="75"/>
      <c r="H50" s="75"/>
      <c r="I50" s="75"/>
      <c r="J50" s="75"/>
    </row>
    <row r="51" spans="1:10">
      <c r="A51" s="58" t="s">
        <v>13</v>
      </c>
      <c r="B51" s="59">
        <f>'P&amp;L Source'!D25</f>
        <v>-3805.7759999999998</v>
      </c>
      <c r="C51" s="59">
        <f>'P&amp;L Source'!E25</f>
        <v>-3050.192</v>
      </c>
      <c r="D51" s="59">
        <f>'P&amp;L Source'!F25</f>
        <v>-3814.88</v>
      </c>
      <c r="E51" s="55"/>
      <c r="F51" s="75"/>
      <c r="G51" s="75"/>
      <c r="H51" s="75"/>
      <c r="I51" s="75"/>
      <c r="J51" s="75"/>
    </row>
    <row r="52" spans="1:10">
      <c r="A52" s="58" t="s">
        <v>38</v>
      </c>
      <c r="B52" s="64">
        <f>B51/'P&amp;L Source'!D23</f>
        <v>-0.2404816892893126</v>
      </c>
      <c r="C52" s="64">
        <f>C51/'P&amp;L Source'!E23</f>
        <v>-0.22579069143565386</v>
      </c>
      <c r="D52" s="64">
        <f>D51/'P&amp;L Source'!F23</f>
        <v>-0.18936134430001197</v>
      </c>
      <c r="E52" s="55"/>
      <c r="F52" s="75">
        <f>CHOOSE($B$5,F53,F54,F55)</f>
        <v>-0.18</v>
      </c>
      <c r="G52" s="75">
        <f t="shared" ref="G52:J52" si="22">CHOOSE($B$5,G53,G54,G55)</f>
        <v>-0.18</v>
      </c>
      <c r="H52" s="75">
        <f t="shared" si="22"/>
        <v>-0.18</v>
      </c>
      <c r="I52" s="75">
        <f t="shared" si="22"/>
        <v>-0.18</v>
      </c>
      <c r="J52" s="75">
        <f t="shared" si="22"/>
        <v>-0.18</v>
      </c>
    </row>
    <row r="53" spans="1:10">
      <c r="A53" s="58" t="s">
        <v>31</v>
      </c>
      <c r="B53" s="69"/>
      <c r="C53" s="69"/>
      <c r="D53" s="69"/>
      <c r="E53" s="55"/>
      <c r="F53" s="75">
        <v>-0.18</v>
      </c>
      <c r="G53" s="75">
        <v>-0.18</v>
      </c>
      <c r="H53" s="75">
        <v>-0.18</v>
      </c>
      <c r="I53" s="75">
        <v>-0.18</v>
      </c>
      <c r="J53" s="75">
        <v>-0.18</v>
      </c>
    </row>
    <row r="54" spans="1:10">
      <c r="A54" s="58" t="s">
        <v>32</v>
      </c>
      <c r="B54" s="69"/>
      <c r="C54" s="69"/>
      <c r="D54" s="69"/>
      <c r="E54" s="55"/>
      <c r="F54" s="75">
        <v>-0.2</v>
      </c>
      <c r="G54" s="75">
        <v>-0.2</v>
      </c>
      <c r="H54" s="75">
        <v>-0.2</v>
      </c>
      <c r="I54" s="75">
        <v>-0.2</v>
      </c>
      <c r="J54" s="75">
        <v>-0.2</v>
      </c>
    </row>
    <row r="55" spans="1:10">
      <c r="A55" s="58" t="s">
        <v>33</v>
      </c>
      <c r="B55" s="69"/>
      <c r="C55" s="69"/>
      <c r="D55" s="69"/>
      <c r="E55" s="55"/>
      <c r="F55" s="75">
        <v>-0.22</v>
      </c>
      <c r="G55" s="75">
        <v>-0.22</v>
      </c>
      <c r="H55" s="75">
        <v>-0.22</v>
      </c>
      <c r="I55" s="75">
        <v>-0.22</v>
      </c>
      <c r="J55" s="75">
        <v>-0.22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8010-95C5-4429-869A-83BE6EF31A3A}">
  <dimension ref="B1:K22"/>
  <sheetViews>
    <sheetView topLeftCell="A2" workbookViewId="0">
      <selection activeCell="G5" sqref="G5"/>
    </sheetView>
  </sheetViews>
  <sheetFormatPr defaultRowHeight="15"/>
  <cols>
    <col min="1" max="1" width="9.140625" style="98"/>
    <col min="2" max="2" width="19.140625" style="98" bestFit="1" customWidth="1"/>
    <col min="3" max="5" width="9.140625" style="98"/>
    <col min="6" max="6" width="2" style="98" customWidth="1"/>
    <col min="7" max="7" width="11.28515625" style="98" customWidth="1"/>
    <col min="8" max="8" width="10.140625" style="98" customWidth="1"/>
    <col min="9" max="9" width="10.5703125" style="98" customWidth="1"/>
    <col min="10" max="10" width="11" style="98" customWidth="1"/>
    <col min="11" max="11" width="10.7109375" style="98" customWidth="1"/>
    <col min="12" max="16384" width="9.140625" style="98"/>
  </cols>
  <sheetData>
    <row r="1" spans="2:11" ht="15.75">
      <c r="B1" s="54" t="s">
        <v>70</v>
      </c>
      <c r="C1" s="30"/>
      <c r="D1" s="30"/>
      <c r="E1" s="30"/>
      <c r="F1" s="30"/>
      <c r="G1" s="30"/>
      <c r="H1" s="30"/>
      <c r="I1" s="30"/>
      <c r="J1" s="30"/>
      <c r="K1" s="30"/>
    </row>
    <row r="2" spans="2:11"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2:11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 s="99" customFormat="1" ht="24.75" thickBot="1">
      <c r="B4" s="105" t="s">
        <v>0</v>
      </c>
      <c r="C4" s="100" t="s">
        <v>71</v>
      </c>
      <c r="D4" s="100" t="s">
        <v>98</v>
      </c>
      <c r="E4" s="100" t="s">
        <v>99</v>
      </c>
      <c r="F4" s="82"/>
      <c r="G4" s="100" t="s">
        <v>72</v>
      </c>
      <c r="H4" s="100" t="s">
        <v>73</v>
      </c>
      <c r="I4" s="100" t="s">
        <v>74</v>
      </c>
      <c r="J4" s="100" t="s">
        <v>100</v>
      </c>
      <c r="K4" s="100" t="s">
        <v>101</v>
      </c>
    </row>
    <row r="5" spans="2:11">
      <c r="B5" s="30" t="s">
        <v>75</v>
      </c>
      <c r="C5" s="52">
        <f>'BS source'!D11</f>
        <v>32883.599999999999</v>
      </c>
      <c r="D5" s="52">
        <f>'BS source'!E11</f>
        <v>38556</v>
      </c>
      <c r="E5" s="52">
        <f>'BS source'!F11</f>
        <v>43581.599999999999</v>
      </c>
      <c r="F5" s="30"/>
      <c r="G5" s="101">
        <f>(G6*'P&amp;L assumptions'!F9)/365</f>
        <v>47283.050958904081</v>
      </c>
      <c r="H5" s="101">
        <f>(H6*'P&amp;L assumptions'!G9)/365</f>
        <v>52011.356054794524</v>
      </c>
      <c r="I5" s="101">
        <f>(I6*'P&amp;L assumptions'!H9)/365</f>
        <v>57212.491660273983</v>
      </c>
      <c r="J5" s="101">
        <f>(J6*'P&amp;L assumptions'!I9)/365</f>
        <v>62933.740826301386</v>
      </c>
      <c r="K5" s="101">
        <f>(K6*'P&amp;L assumptions'!J9)/365</f>
        <v>69227.114908931529</v>
      </c>
    </row>
    <row r="6" spans="2:11">
      <c r="B6" s="43" t="s">
        <v>76</v>
      </c>
      <c r="C6" s="43">
        <f>C5/'P&amp;L assumptions'!B9*360</f>
        <v>66.805279820319072</v>
      </c>
      <c r="D6" s="43">
        <f>D5/'P&amp;L assumptions'!C9*360</f>
        <v>73.588734903349632</v>
      </c>
      <c r="E6" s="43">
        <f>E5/'P&amp;L assumptions'!D9*360</f>
        <v>75.297198199322338</v>
      </c>
      <c r="F6" s="30"/>
      <c r="G6" s="102">
        <v>75.297198199322295</v>
      </c>
      <c r="H6" s="102">
        <v>75.297198199322338</v>
      </c>
      <c r="I6" s="102">
        <v>75.297198199322338</v>
      </c>
      <c r="J6" s="102">
        <v>75.297198199322338</v>
      </c>
      <c r="K6" s="102">
        <v>75.297198199322338</v>
      </c>
    </row>
    <row r="7" spans="2:11">
      <c r="B7" s="30"/>
      <c r="C7" s="52"/>
      <c r="D7" s="52"/>
      <c r="E7" s="52"/>
      <c r="F7" s="30"/>
      <c r="G7" s="103"/>
      <c r="H7" s="103"/>
      <c r="I7" s="103"/>
      <c r="J7" s="103"/>
      <c r="K7" s="103"/>
    </row>
    <row r="8" spans="2:11">
      <c r="B8" s="30" t="s">
        <v>56</v>
      </c>
      <c r="C8" s="52">
        <f>'BS source'!D10</f>
        <v>31167.200000000001</v>
      </c>
      <c r="D8" s="52">
        <f>'BS source'!E10</f>
        <v>36396.800000000003</v>
      </c>
      <c r="E8" s="52">
        <f>'BS source'!F10</f>
        <v>46212</v>
      </c>
      <c r="F8" s="30"/>
      <c r="G8" s="101">
        <f>-(G9*'P&amp;L assumptions'!F21)/365</f>
        <v>50402.633929619915</v>
      </c>
      <c r="H8" s="101">
        <f>-(H9*'P&amp;L assumptions'!G21)/365</f>
        <v>55442.897322581921</v>
      </c>
      <c r="I8" s="101">
        <f>-(I9*'P&amp;L assumptions'!H21)/365</f>
        <v>60987.187054840128</v>
      </c>
      <c r="J8" s="101">
        <f>-(J9*'P&amp;L assumptions'!I21)/365</f>
        <v>67085.905760324153</v>
      </c>
      <c r="K8" s="101">
        <f>-(K9*'P&amp;L assumptions'!J21)/365</f>
        <v>73794.496336356577</v>
      </c>
    </row>
    <row r="9" spans="2:11">
      <c r="B9" s="43" t="s">
        <v>77</v>
      </c>
      <c r="C9" s="43">
        <f>-C8/'P&amp;L assumptions'!B21*360</f>
        <v>78.796599890979181</v>
      </c>
      <c r="D9" s="43">
        <f>-D8/'P&amp;L assumptions'!C21*360</f>
        <v>87.020385727810066</v>
      </c>
      <c r="E9" s="43">
        <f>-E8/'P&amp;L assumptions'!D21*360</f>
        <v>105.61192646702818</v>
      </c>
      <c r="F9" s="30"/>
      <c r="G9" s="102">
        <v>105.61192646702818</v>
      </c>
      <c r="H9" s="102">
        <v>105.61192646702818</v>
      </c>
      <c r="I9" s="102">
        <v>105.61192646702818</v>
      </c>
      <c r="J9" s="102">
        <v>105.61192646702818</v>
      </c>
      <c r="K9" s="102">
        <v>105.61192646702818</v>
      </c>
    </row>
    <row r="10" spans="2:11">
      <c r="B10" s="30"/>
      <c r="C10" s="52"/>
      <c r="D10" s="52"/>
      <c r="E10" s="52"/>
      <c r="F10" s="30"/>
      <c r="G10" s="103"/>
      <c r="H10" s="103"/>
      <c r="I10" s="103"/>
      <c r="J10" s="103"/>
      <c r="K10" s="103"/>
    </row>
    <row r="11" spans="2:11">
      <c r="B11" s="30" t="s">
        <v>57</v>
      </c>
      <c r="C11" s="52">
        <f>'BS source'!J10</f>
        <v>15891.2</v>
      </c>
      <c r="D11" s="52">
        <f>'BS source'!K10</f>
        <v>26351.599999999999</v>
      </c>
      <c r="E11" s="52">
        <f>'BS source'!L10</f>
        <v>36189.599999999999</v>
      </c>
      <c r="F11" s="30"/>
      <c r="G11" s="101">
        <f>-(G12*'P&amp;L assumptions'!F21)/365</f>
        <v>39471.374553349211</v>
      </c>
      <c r="H11" s="101">
        <f>-(H12*'P&amp;L assumptions'!G21)/365</f>
        <v>43418.51200868412</v>
      </c>
      <c r="I11" s="101">
        <f>-(I12*'P&amp;L assumptions'!H21)/365</f>
        <v>47760.363209552539</v>
      </c>
      <c r="J11" s="101">
        <f>-(J12*'P&amp;L assumptions'!I21)/365</f>
        <v>52536.399530507806</v>
      </c>
      <c r="K11" s="101">
        <f>-(K12*'P&amp;L assumptions'!J21)/365</f>
        <v>57790.03948355859</v>
      </c>
    </row>
    <row r="12" spans="2:11">
      <c r="B12" s="43" t="s">
        <v>78</v>
      </c>
      <c r="C12" s="43">
        <f>-C11/'P&amp;L assumptions'!B21*360</f>
        <v>40.175971155173656</v>
      </c>
      <c r="D12" s="43">
        <f>-D11/'P&amp;L assumptions'!C21*360</f>
        <v>63.003516697758023</v>
      </c>
      <c r="E12" s="43">
        <f>-E11/'P&amp;L assumptions'!D21*360</f>
        <v>82.706945686643365</v>
      </c>
      <c r="F12" s="30"/>
      <c r="G12" s="102">
        <v>82.706945686643394</v>
      </c>
      <c r="H12" s="102">
        <v>82.706945686643365</v>
      </c>
      <c r="I12" s="102">
        <v>82.706945686643365</v>
      </c>
      <c r="J12" s="102">
        <v>82.706945686643365</v>
      </c>
      <c r="K12" s="102">
        <v>82.706945686643365</v>
      </c>
    </row>
    <row r="13" spans="2:11">
      <c r="B13" s="30"/>
      <c r="C13" s="52"/>
      <c r="D13" s="52"/>
      <c r="E13" s="52"/>
      <c r="F13" s="30"/>
      <c r="G13" s="103"/>
      <c r="H13" s="103"/>
      <c r="I13" s="103"/>
      <c r="J13" s="103"/>
      <c r="K13" s="103"/>
    </row>
    <row r="14" spans="2:11">
      <c r="B14" s="30" t="s">
        <v>49</v>
      </c>
      <c r="C14" s="52">
        <f>'BS source'!D5</f>
        <v>45106.400000000001</v>
      </c>
      <c r="D14" s="52">
        <f>'BS source'!E5</f>
        <v>49072.4</v>
      </c>
      <c r="E14" s="52">
        <f>'BS source'!F5</f>
        <v>56109.2</v>
      </c>
      <c r="F14" s="30"/>
      <c r="G14" s="101">
        <f>G15*'P&amp;L assumptions'!F9</f>
        <v>59898.018769381182</v>
      </c>
      <c r="H14" s="101">
        <f>H15*'P&amp;L assumptions'!G9</f>
        <v>65887.820646319306</v>
      </c>
      <c r="I14" s="101">
        <f>I15*'P&amp;L assumptions'!H9</f>
        <v>72476.602710951251</v>
      </c>
      <c r="J14" s="101">
        <f>J15*'P&amp;L assumptions'!I9</f>
        <v>79724.262982046392</v>
      </c>
      <c r="K14" s="101">
        <f>K15*'P&amp;L assumptions'!J9</f>
        <v>87696.689280251027</v>
      </c>
    </row>
    <row r="15" spans="2:11">
      <c r="B15" s="43" t="s">
        <v>79</v>
      </c>
      <c r="C15" s="16">
        <f>C14/'P&amp;L assumptions'!B9</f>
        <v>0.25454648059005774</v>
      </c>
      <c r="D15" s="16">
        <f>D14/'P&amp;L assumptions'!C9</f>
        <v>0.26016817058817293</v>
      </c>
      <c r="E15" s="16">
        <f>E14/'P&amp;L assumptions'!D9</f>
        <v>0.26928193659234229</v>
      </c>
      <c r="F15" s="30"/>
      <c r="G15" s="104">
        <f>AVERAGE($C$15:$E$15)</f>
        <v>0.26133219592352436</v>
      </c>
      <c r="H15" s="104">
        <f t="shared" ref="H15:J15" si="0">AVERAGE($C$15:$E$15)</f>
        <v>0.26133219592352436</v>
      </c>
      <c r="I15" s="104">
        <f t="shared" si="0"/>
        <v>0.26133219592352436</v>
      </c>
      <c r="J15" s="104">
        <f t="shared" si="0"/>
        <v>0.26133219592352436</v>
      </c>
      <c r="K15" s="104">
        <f>AVERAGE($C$15:$E$15)</f>
        <v>0.26133219592352436</v>
      </c>
    </row>
    <row r="16" spans="2:11">
      <c r="B16" s="30"/>
      <c r="C16" s="52"/>
      <c r="D16" s="52"/>
      <c r="E16" s="52"/>
      <c r="F16" s="30"/>
      <c r="G16" s="103"/>
      <c r="H16" s="103"/>
      <c r="I16" s="103"/>
      <c r="J16" s="103"/>
      <c r="K16" s="103"/>
    </row>
    <row r="17" spans="2:11">
      <c r="B17" s="30" t="s">
        <v>60</v>
      </c>
      <c r="C17" s="52">
        <f>'BS source'!D12</f>
        <v>8841.6</v>
      </c>
      <c r="D17" s="52">
        <f>'BS source'!E12</f>
        <v>11359.199999999999</v>
      </c>
      <c r="E17" s="52">
        <f>'BS source'!F12</f>
        <v>17602.8</v>
      </c>
      <c r="F17" s="30"/>
      <c r="G17" s="101">
        <f>G18*'P&amp;L assumptions'!F9</f>
        <v>14867.518484339287</v>
      </c>
      <c r="H17" s="101">
        <f>H18*'P&amp;L assumptions'!G9</f>
        <v>16354.270332773216</v>
      </c>
      <c r="I17" s="101">
        <f>I18*'P&amp;L assumptions'!H9</f>
        <v>17989.697366050539</v>
      </c>
      <c r="J17" s="101">
        <f>J18*'P&amp;L assumptions'!I9</f>
        <v>19788.6671026556</v>
      </c>
      <c r="K17" s="101">
        <f>K18*'P&amp;L assumptions'!J9</f>
        <v>21767.53381292116</v>
      </c>
    </row>
    <row r="18" spans="2:11">
      <c r="B18" s="43" t="s">
        <v>79</v>
      </c>
      <c r="C18" s="16">
        <f>C17/'P&amp;L assumptions'!B9</f>
        <v>4.9895317799360059E-2</v>
      </c>
      <c r="D18" s="16">
        <f>D17/'P&amp;L assumptions'!C9</f>
        <v>6.0223308485934532E-2</v>
      </c>
      <c r="E18" s="16">
        <f>E17/'P&amp;L assumptions'!D9</f>
        <v>8.4480193505658316E-2</v>
      </c>
      <c r="F18" s="30"/>
      <c r="G18" s="104">
        <f>AVERAGE($C$18:$E$18)</f>
        <v>6.4866273263650964E-2</v>
      </c>
      <c r="H18" s="104">
        <f t="shared" ref="H18:K18" si="1">AVERAGE($C$18:$E$18)</f>
        <v>6.4866273263650964E-2</v>
      </c>
      <c r="I18" s="104">
        <f t="shared" si="1"/>
        <v>6.4866273263650964E-2</v>
      </c>
      <c r="J18" s="104">
        <f t="shared" si="1"/>
        <v>6.4866273263650964E-2</v>
      </c>
      <c r="K18" s="104">
        <f t="shared" si="1"/>
        <v>6.4866273263650964E-2</v>
      </c>
    </row>
    <row r="19" spans="2:11">
      <c r="B19" s="30"/>
      <c r="C19" s="52"/>
      <c r="D19" s="52"/>
      <c r="E19" s="52"/>
      <c r="F19" s="30"/>
      <c r="G19" s="103"/>
      <c r="H19" s="103"/>
      <c r="I19" s="103"/>
      <c r="J19" s="103"/>
      <c r="K19" s="103"/>
    </row>
    <row r="20" spans="2:11">
      <c r="B20" s="30" t="s">
        <v>59</v>
      </c>
      <c r="C20" s="52">
        <f>'BS source'!J11+'BS source'!J12+'BS source'!J13</f>
        <v>5969.0386666666891</v>
      </c>
      <c r="D20" s="52">
        <f>'BS source'!K11+'BS source'!K12+'BS source'!K13</f>
        <v>5800.3560000000052</v>
      </c>
      <c r="E20" s="52">
        <f>'BS source'!L11+'BS source'!L12+'BS source'!L13</f>
        <v>8473.4464253970418</v>
      </c>
      <c r="F20" s="30"/>
      <c r="G20" s="101">
        <f>G21*'P&amp;L assumptions'!F9</f>
        <v>8029.9438439337491</v>
      </c>
      <c r="H20" s="101">
        <f>H21*'P&amp;L assumptions'!G9</f>
        <v>8832.9382283271243</v>
      </c>
      <c r="I20" s="101">
        <f>I21*'P&amp;L assumptions'!H9</f>
        <v>9716.2320511598391</v>
      </c>
      <c r="J20" s="101">
        <f>J21*'P&amp;L assumptions'!I9</f>
        <v>10687.855256275825</v>
      </c>
      <c r="K20" s="101">
        <f>K21*'P&amp;L assumptions'!J9</f>
        <v>11756.640781903407</v>
      </c>
    </row>
    <row r="21" spans="2:11">
      <c r="B21" s="43" t="s">
        <v>79</v>
      </c>
      <c r="C21" s="16">
        <f>C20/'P&amp;L assumptions'!B9</f>
        <v>3.368474950574589E-2</v>
      </c>
      <c r="D21" s="16">
        <f>D20/'P&amp;L assumptions'!C9</f>
        <v>3.0751868856630889E-2</v>
      </c>
      <c r="E21" s="16">
        <f>E20/'P&amp;L assumptions'!D9</f>
        <v>4.0666166387016318E-2</v>
      </c>
      <c r="F21" s="30"/>
      <c r="G21" s="104">
        <f>AVERAGE($C$21:$E$21)</f>
        <v>3.5034261583131034E-2</v>
      </c>
      <c r="H21" s="104">
        <f t="shared" ref="H21:K21" si="2">AVERAGE($C$21:$E$21)</f>
        <v>3.5034261583131034E-2</v>
      </c>
      <c r="I21" s="104">
        <f t="shared" si="2"/>
        <v>3.5034261583131034E-2</v>
      </c>
      <c r="J21" s="104">
        <f t="shared" si="2"/>
        <v>3.5034261583131034E-2</v>
      </c>
      <c r="K21" s="104">
        <f t="shared" si="2"/>
        <v>3.5034261583131034E-2</v>
      </c>
    </row>
    <row r="22" spans="2:11">
      <c r="B22" s="30"/>
      <c r="C22" s="30"/>
      <c r="D22" s="30"/>
      <c r="E22" s="30"/>
      <c r="F22" s="30"/>
      <c r="G22" s="103"/>
      <c r="H22" s="103"/>
      <c r="I22" s="103"/>
      <c r="J22" s="103"/>
      <c r="K22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C5F1-9B0D-4CCD-8BEF-FE4DF43085CF}">
  <dimension ref="B1:K26"/>
  <sheetViews>
    <sheetView showGridLines="0" workbookViewId="0">
      <selection activeCell="N18" sqref="N18"/>
    </sheetView>
  </sheetViews>
  <sheetFormatPr defaultRowHeight="15"/>
  <cols>
    <col min="1" max="1" width="2.28515625" customWidth="1"/>
    <col min="2" max="2" width="16.85546875" bestFit="1" customWidth="1"/>
    <col min="5" max="5" width="9.42578125" bestFit="1" customWidth="1"/>
    <col min="6" max="6" width="3.42578125" customWidth="1"/>
  </cols>
  <sheetData>
    <row r="1" spans="2:11" ht="15.75">
      <c r="B1" s="54" t="s">
        <v>80</v>
      </c>
      <c r="C1" s="30"/>
      <c r="D1" s="30"/>
      <c r="E1" s="30"/>
      <c r="F1" s="30"/>
      <c r="G1" s="30"/>
      <c r="H1" s="30"/>
      <c r="I1" s="30"/>
      <c r="J1" s="30"/>
      <c r="K1" s="30"/>
    </row>
    <row r="2" spans="2:11"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2:11" ht="25.5" thickBot="1">
      <c r="B3" s="2" t="s">
        <v>0</v>
      </c>
      <c r="C3" s="61" t="s">
        <v>23</v>
      </c>
      <c r="D3" s="61" t="s">
        <v>90</v>
      </c>
      <c r="E3" s="61" t="s">
        <v>91</v>
      </c>
      <c r="F3" s="63"/>
      <c r="G3" s="83" t="s">
        <v>24</v>
      </c>
      <c r="H3" s="83" t="s">
        <v>25</v>
      </c>
      <c r="I3" s="83" t="s">
        <v>26</v>
      </c>
      <c r="J3" s="83" t="s">
        <v>92</v>
      </c>
      <c r="K3" s="83" t="s">
        <v>93</v>
      </c>
    </row>
    <row r="4" spans="2:11">
      <c r="B4" s="30" t="s">
        <v>27</v>
      </c>
      <c r="C4" s="52">
        <f>SUMIF('P&amp;L assumptions'!$A:$A,'P&amp;L '!$B4,'P&amp;L assumptions'!B:B)</f>
        <v>177203</v>
      </c>
      <c r="D4" s="52">
        <f>SUMIF('P&amp;L assumptions'!$A:$A,'P&amp;L '!$B4,'P&amp;L assumptions'!C:C)</f>
        <v>188618</v>
      </c>
      <c r="E4" s="87">
        <f>SUMIF('P&amp;L assumptions'!$A:$A,'P&amp;L '!$B4,'P&amp;L assumptions'!D:D)</f>
        <v>208366</v>
      </c>
      <c r="F4" s="30"/>
      <c r="G4" s="84">
        <f>SUMIF('P&amp;L assumptions'!$A:$A,'P&amp;L '!$B4,'P&amp;L assumptions'!F:F)</f>
        <v>229202.6</v>
      </c>
      <c r="H4" s="84">
        <f>SUMIF('P&amp;L assumptions'!$A:$A,'P&amp;L '!$B4,'P&amp;L assumptions'!G:G)</f>
        <v>252122.86000000002</v>
      </c>
      <c r="I4" s="84">
        <f>SUMIF('P&amp;L assumptions'!$A:$A,'P&amp;L '!$B4,'P&amp;L assumptions'!H:H)</f>
        <v>277335.14600000007</v>
      </c>
      <c r="J4" s="84">
        <f>SUMIF('P&amp;L assumptions'!$A:$A,'P&amp;L '!$B4,'P&amp;L assumptions'!I:I)</f>
        <v>305068.66060000012</v>
      </c>
      <c r="K4" s="84">
        <f>SUMIF('P&amp;L assumptions'!$A:$A,'P&amp;L '!$B4,'P&amp;L assumptions'!J:J)</f>
        <v>335575.52666000015</v>
      </c>
    </row>
    <row r="5" spans="2:11">
      <c r="B5" s="30" t="s">
        <v>29</v>
      </c>
      <c r="C5" s="52">
        <f>SUMIF('P&amp;L assumptions'!$A:$A,'P&amp;L '!$B5,'P&amp;L assumptions'!B:B)</f>
        <v>3520</v>
      </c>
      <c r="D5" s="52">
        <f>SUMIF('P&amp;L assumptions'!$A:$A,'P&amp;L '!$B5,'P&amp;L assumptions'!C:C)</f>
        <v>2416</v>
      </c>
      <c r="E5" s="52">
        <f>SUMIF('P&amp;L assumptions'!$A:$A,'P&amp;L '!$B5,'P&amp;L assumptions'!D:D)</f>
        <v>2585</v>
      </c>
      <c r="F5" s="30"/>
      <c r="G5" s="84">
        <f>SUMIF('P&amp;L assumptions'!$A:$A,'P&amp;L '!$B5,'P&amp;L assumptions'!F:F)</f>
        <v>2585</v>
      </c>
      <c r="H5" s="84">
        <f>SUMIF('P&amp;L assumptions'!$A:$A,'P&amp;L '!$B5,'P&amp;L assumptions'!G:G)</f>
        <v>2585</v>
      </c>
      <c r="I5" s="84">
        <f>SUMIF('P&amp;L assumptions'!$A:$A,'P&amp;L '!$B5,'P&amp;L assumptions'!H:H)</f>
        <v>2585</v>
      </c>
      <c r="J5" s="84">
        <f>SUMIF('P&amp;L assumptions'!$A:$A,'P&amp;L '!$B5,'P&amp;L assumptions'!I:I)</f>
        <v>2585</v>
      </c>
      <c r="K5" s="84">
        <f>SUMIF('P&amp;L assumptions'!$A:$A,'P&amp;L '!$B5,'P&amp;L assumptions'!J:J)</f>
        <v>2585</v>
      </c>
    </row>
    <row r="6" spans="2:11">
      <c r="B6" s="106" t="s">
        <v>81</v>
      </c>
      <c r="C6" s="93">
        <f>SUM(C4:C5)</f>
        <v>180723</v>
      </c>
      <c r="D6" s="93">
        <f t="shared" ref="D6:K6" si="0">SUM(D4:D5)</f>
        <v>191034</v>
      </c>
      <c r="E6" s="93">
        <f t="shared" si="0"/>
        <v>210951</v>
      </c>
      <c r="F6" s="93"/>
      <c r="G6" s="93">
        <f t="shared" si="0"/>
        <v>231787.6</v>
      </c>
      <c r="H6" s="93">
        <f t="shared" si="0"/>
        <v>254707.86000000002</v>
      </c>
      <c r="I6" s="93">
        <f t="shared" si="0"/>
        <v>279920.14600000007</v>
      </c>
      <c r="J6" s="93">
        <f t="shared" si="0"/>
        <v>307653.66060000012</v>
      </c>
      <c r="K6" s="93">
        <f t="shared" si="0"/>
        <v>338160.52666000015</v>
      </c>
    </row>
    <row r="7" spans="2:11" ht="5.45" customHeight="1">
      <c r="B7" s="18"/>
      <c r="G7" s="85"/>
      <c r="H7" s="85"/>
      <c r="I7" s="85"/>
      <c r="J7" s="85"/>
      <c r="K7" s="85"/>
    </row>
    <row r="8" spans="2:11">
      <c r="B8" s="30" t="s">
        <v>34</v>
      </c>
      <c r="C8" s="52">
        <f>SUMIF('P&amp;L assumptions'!$A:$A,'P&amp;L '!$B8,'P&amp;L assumptions'!B:B)</f>
        <v>-142394.36746666671</v>
      </c>
      <c r="D8" s="52">
        <f>SUMIF('P&amp;L assumptions'!$A:$A,'P&amp;L '!$B8,'P&amp;L assumptions'!C:C)</f>
        <v>-150572.16639999999</v>
      </c>
      <c r="E8" s="52">
        <f>SUMIF('P&amp;L assumptions'!$A:$A,'P&amp;L '!$B8,'P&amp;L assumptions'!D:D)</f>
        <v>-157523.118425397</v>
      </c>
      <c r="F8" s="52"/>
      <c r="G8" s="84">
        <f>SUMIF('P&amp;L assumptions'!$A:$A,'P&amp;L '!$B8,'P&amp;L assumptions'!F:F)</f>
        <v>-174193.976</v>
      </c>
      <c r="H8" s="84">
        <f>SUMIF('P&amp;L assumptions'!$A:$A,'P&amp;L '!$B8,'P&amp;L assumptions'!G:G)</f>
        <v>-191613.37360000002</v>
      </c>
      <c r="I8" s="84">
        <f>SUMIF('P&amp;L assumptions'!$A:$A,'P&amp;L '!$B8,'P&amp;L assumptions'!H:H)</f>
        <v>-210774.71096000005</v>
      </c>
      <c r="J8" s="84">
        <f>SUMIF('P&amp;L assumptions'!$A:$A,'P&amp;L '!$B8,'P&amp;L assumptions'!I:I)</f>
        <v>-231852.18205600011</v>
      </c>
      <c r="K8" s="84">
        <f>SUMIF('P&amp;L assumptions'!$A:$A,'P&amp;L '!$B8,'P&amp;L assumptions'!J:J)</f>
        <v>-255037.40026160012</v>
      </c>
    </row>
    <row r="9" spans="2:11">
      <c r="B9" s="106" t="s">
        <v>82</v>
      </c>
      <c r="C9" s="93">
        <f>SUM(C6,C8)</f>
        <v>38328.632533333293</v>
      </c>
      <c r="D9" s="93">
        <f t="shared" ref="D9:K9" si="1">SUM(D6,D8)</f>
        <v>40461.833600000013</v>
      </c>
      <c r="E9" s="93">
        <f t="shared" si="1"/>
        <v>53427.881574603001</v>
      </c>
      <c r="F9" s="93"/>
      <c r="G9" s="93">
        <f t="shared" si="1"/>
        <v>57593.624000000011</v>
      </c>
      <c r="H9" s="93">
        <f t="shared" si="1"/>
        <v>63094.486399999994</v>
      </c>
      <c r="I9" s="93">
        <f t="shared" si="1"/>
        <v>69145.435040000011</v>
      </c>
      <c r="J9" s="93">
        <f t="shared" si="1"/>
        <v>75801.478544000012</v>
      </c>
      <c r="K9" s="93">
        <f t="shared" si="1"/>
        <v>83123.126398400025</v>
      </c>
    </row>
    <row r="10" spans="2:11" ht="5.45" customHeight="1">
      <c r="B10" s="30"/>
      <c r="C10" s="52"/>
      <c r="D10" s="52"/>
      <c r="E10" s="52"/>
      <c r="F10" s="52"/>
      <c r="G10" s="84"/>
      <c r="H10" s="84"/>
      <c r="I10" s="84"/>
      <c r="J10" s="84"/>
      <c r="K10" s="84"/>
    </row>
    <row r="11" spans="2:11">
      <c r="B11" s="30" t="s">
        <v>36</v>
      </c>
      <c r="C11" s="52">
        <f>SUMIF('P&amp;L assumptions'!$A:$A,'P&amp;L '!$B11,'P&amp;L assumptions'!B:B)</f>
        <v>-18011.315200000005</v>
      </c>
      <c r="D11" s="52">
        <f>SUMIF('P&amp;L assumptions'!$A:$A,'P&amp;L '!$B11,'P&amp;L assumptions'!C:C)</f>
        <v>-19247.897599999997</v>
      </c>
      <c r="E11" s="52">
        <f>SUMIF('P&amp;L assumptions'!$A:$A,'P&amp;L '!$B11,'P&amp;L assumptions'!D:D)</f>
        <v>-23867.008000000009</v>
      </c>
      <c r="F11" s="52"/>
      <c r="G11" s="84">
        <f>SUMIF('P&amp;L assumptions'!$A:$A,'P&amp;L '!$B11,'P&amp;L assumptions'!F:F)</f>
        <v>-22920.260000000002</v>
      </c>
      <c r="H11" s="84">
        <f>SUMIF('P&amp;L assumptions'!$A:$A,'P&amp;L '!$B11,'P&amp;L assumptions'!G:G)</f>
        <v>-25212.286000000004</v>
      </c>
      <c r="I11" s="84">
        <f>SUMIF('P&amp;L assumptions'!$A:$A,'P&amp;L '!$B11,'P&amp;L assumptions'!H:H)</f>
        <v>-27733.51460000001</v>
      </c>
      <c r="J11" s="84">
        <f>SUMIF('P&amp;L assumptions'!$A:$A,'P&amp;L '!$B11,'P&amp;L assumptions'!I:I)</f>
        <v>-30506.866060000015</v>
      </c>
      <c r="K11" s="84">
        <f>SUMIF('P&amp;L assumptions'!$A:$A,'P&amp;L '!$B11,'P&amp;L assumptions'!J:J)</f>
        <v>-33557.552666000018</v>
      </c>
    </row>
    <row r="12" spans="2:11">
      <c r="B12" s="106" t="s">
        <v>8</v>
      </c>
      <c r="C12" s="93">
        <f>SUM(C9,C11)</f>
        <v>20317.317333333289</v>
      </c>
      <c r="D12" s="93">
        <f t="shared" ref="D12:K12" si="2">SUM(D9,D11)</f>
        <v>21213.936000000016</v>
      </c>
      <c r="E12" s="93">
        <f t="shared" si="2"/>
        <v>29560.873574602992</v>
      </c>
      <c r="F12" s="93"/>
      <c r="G12" s="93">
        <f t="shared" si="2"/>
        <v>34673.364000000009</v>
      </c>
      <c r="H12" s="93">
        <f t="shared" si="2"/>
        <v>37882.200399999987</v>
      </c>
      <c r="I12" s="93">
        <f t="shared" si="2"/>
        <v>41411.920440000002</v>
      </c>
      <c r="J12" s="93">
        <f t="shared" si="2"/>
        <v>45294.612483999997</v>
      </c>
      <c r="K12" s="93">
        <f t="shared" si="2"/>
        <v>49565.573732400007</v>
      </c>
    </row>
    <row r="13" spans="2:11" ht="3.6" customHeight="1">
      <c r="B13" s="30"/>
      <c r="C13" s="52"/>
      <c r="D13" s="52"/>
      <c r="E13" s="52"/>
      <c r="F13" s="52"/>
      <c r="G13" s="84"/>
      <c r="H13" s="84"/>
      <c r="I13" s="84"/>
      <c r="J13" s="84"/>
      <c r="K13" s="84"/>
    </row>
    <row r="14" spans="2:11">
      <c r="B14" s="30" t="s">
        <v>9</v>
      </c>
      <c r="C14" s="52">
        <f>SUMIF('P&amp;L assumptions'!$A:$A,'P&amp;L '!$B14,'P&amp;L assumptions'!B:B)</f>
        <v>-2907.8000000000006</v>
      </c>
      <c r="D14" s="52">
        <f>SUMIF('P&amp;L assumptions'!$A:$A,'P&amp;L '!$B14,'P&amp;L assumptions'!C:C)</f>
        <v>-4649.8</v>
      </c>
      <c r="E14" s="52">
        <f>SUMIF('P&amp;L assumptions'!$A:$A,'P&amp;L '!$B14,'P&amp;L assumptions'!D:D)</f>
        <v>-6430.6600000000008</v>
      </c>
      <c r="F14" s="52"/>
      <c r="G14" s="84">
        <f>SUMIF('P&amp;L assumptions'!$A:$A,'P&amp;L '!$B14,'P&amp;L assumptions'!F:F)</f>
        <v>-4584.0520000000006</v>
      </c>
      <c r="H14" s="84">
        <f>SUMIF('P&amp;L assumptions'!$A:$A,'P&amp;L '!$B14,'P&amp;L assumptions'!G:G)</f>
        <v>-5042.4572000000007</v>
      </c>
      <c r="I14" s="84">
        <f>SUMIF('P&amp;L assumptions'!$A:$A,'P&amp;L '!$B14,'P&amp;L assumptions'!H:H)</f>
        <v>-5546.7029200000015</v>
      </c>
      <c r="J14" s="84">
        <f>SUMIF('P&amp;L assumptions'!$A:$A,'P&amp;L '!$B14,'P&amp;L assumptions'!I:I)</f>
        <v>-6101.3732120000022</v>
      </c>
      <c r="K14" s="84">
        <f>SUMIF('P&amp;L assumptions'!$A:$A,'P&amp;L '!$B14,'P&amp;L assumptions'!J:J)</f>
        <v>-6711.510533200003</v>
      </c>
    </row>
    <row r="15" spans="2:11">
      <c r="B15" s="106" t="s">
        <v>10</v>
      </c>
      <c r="C15" s="93">
        <f>SUM(C12,C14)</f>
        <v>17409.51733333329</v>
      </c>
      <c r="D15" s="93">
        <f t="shared" ref="D15:J15" si="3">SUM(D12,D14)</f>
        <v>16564.136000000017</v>
      </c>
      <c r="E15" s="93">
        <f t="shared" si="3"/>
        <v>23130.213574602993</v>
      </c>
      <c r="F15" s="93"/>
      <c r="G15" s="93">
        <f>SUM(G12,G14)</f>
        <v>30089.312000000009</v>
      </c>
      <c r="H15" s="93">
        <f t="shared" si="3"/>
        <v>32839.743199999983</v>
      </c>
      <c r="I15" s="93">
        <f t="shared" si="3"/>
        <v>35865.217519999998</v>
      </c>
      <c r="J15" s="93">
        <f t="shared" si="3"/>
        <v>39193.239271999992</v>
      </c>
      <c r="K15" s="93">
        <f>SUM(K12,K14)</f>
        <v>42854.063199200005</v>
      </c>
    </row>
    <row r="16" spans="2:11" ht="7.9" customHeight="1">
      <c r="B16" s="18"/>
      <c r="C16" s="52"/>
      <c r="D16" s="52"/>
      <c r="E16" s="52"/>
      <c r="F16" s="52"/>
      <c r="G16" s="84"/>
      <c r="H16" s="84"/>
      <c r="I16" s="84"/>
      <c r="J16" s="84"/>
      <c r="K16" s="84"/>
    </row>
    <row r="17" spans="2:11">
      <c r="B17" s="30" t="s">
        <v>37</v>
      </c>
      <c r="C17" s="52">
        <f>SUMIF('P&amp;L assumptions'!$A:$A,'P&amp;L '!$B17,'P&amp;L assumptions'!B:B)</f>
        <v>-1266.3000000000002</v>
      </c>
      <c r="D17" s="52">
        <f>SUMIF('P&amp;L assumptions'!$A:$A,'P&amp;L '!$B17,'P&amp;L assumptions'!C:C)</f>
        <v>-2190.9</v>
      </c>
      <c r="E17" s="52">
        <f>SUMIF('P&amp;L assumptions'!$A:$A,'P&amp;L '!$B17,'P&amp;L assumptions'!D:D)</f>
        <v>-2663.92</v>
      </c>
      <c r="F17" s="52"/>
      <c r="G17" s="84">
        <f>SUMIF('P&amp;L assumptions'!$A:$A,'P&amp;L '!$B17,'P&amp;L assumptions'!F:F)</f>
        <v>-2663.92</v>
      </c>
      <c r="H17" s="84">
        <f>SUMIF('P&amp;L assumptions'!$A:$A,'P&amp;L '!$B17,'P&amp;L assumptions'!G:G)</f>
        <v>-2663.92</v>
      </c>
      <c r="I17" s="84">
        <f>SUMIF('P&amp;L assumptions'!$A:$A,'P&amp;L '!$B17,'P&amp;L assumptions'!H:H)</f>
        <v>-2663.92</v>
      </c>
      <c r="J17" s="84">
        <f>SUMIF('P&amp;L assumptions'!$A:$A,'P&amp;L '!$B17,'P&amp;L assumptions'!I:I)</f>
        <v>-2663.92</v>
      </c>
      <c r="K17" s="84">
        <f>SUMIF('P&amp;L assumptions'!$A:$A,'P&amp;L '!$B17,'P&amp;L assumptions'!J:J)</f>
        <v>-2663.92</v>
      </c>
    </row>
    <row r="18" spans="2:11">
      <c r="B18" s="30" t="s">
        <v>12</v>
      </c>
      <c r="C18" s="52">
        <f>SUMIF('P&amp;L assumptions'!$A:$A,'P&amp;L '!$B18,'P&amp;L assumptions'!B:B)</f>
        <v>-317.58000000000004</v>
      </c>
      <c r="D18" s="52">
        <f>SUMIF('P&amp;L assumptions'!$A:$A,'P&amp;L '!$B18,'P&amp;L assumptions'!C:C)</f>
        <v>-864.30000000000007</v>
      </c>
      <c r="E18" s="52">
        <f>SUMIF('P&amp;L assumptions'!$A:$A,'P&amp;L '!$B18,'P&amp;L assumptions'!D:D)</f>
        <v>-320.26</v>
      </c>
      <c r="F18" s="52"/>
      <c r="G18" s="84">
        <f>SUMIF('P&amp;L assumptions'!$A:$A,'P&amp;L '!$B18,'P&amp;L assumptions'!F:F)</f>
        <v>0</v>
      </c>
      <c r="H18" s="84">
        <f>SUMIF('P&amp;L assumptions'!$A:$A,'P&amp;L '!$B18,'P&amp;L assumptions'!G:G)</f>
        <v>0</v>
      </c>
      <c r="I18" s="84">
        <f>SUMIF('P&amp;L assumptions'!$A:$A,'P&amp;L '!$B18,'P&amp;L assumptions'!H:H)</f>
        <v>0</v>
      </c>
      <c r="J18" s="84">
        <f>SUMIF('P&amp;L assumptions'!$A:$A,'P&amp;L '!$B18,'P&amp;L assumptions'!I:I)</f>
        <v>0</v>
      </c>
      <c r="K18" s="84">
        <f>SUMIF('P&amp;L assumptions'!$A:$A,'P&amp;L '!$B18,'P&amp;L assumptions'!J:J)</f>
        <v>0</v>
      </c>
    </row>
    <row r="19" spans="2:11">
      <c r="B19" s="106" t="s">
        <v>43</v>
      </c>
      <c r="C19" s="93">
        <f>SUM(C15,C17,C18)</f>
        <v>15825.63733333329</v>
      </c>
      <c r="D19" s="93">
        <f t="shared" ref="D19:K19" si="4">SUM(D15,D17,D18)</f>
        <v>13508.936000000018</v>
      </c>
      <c r="E19" s="93">
        <f t="shared" si="4"/>
        <v>20146.033574602992</v>
      </c>
      <c r="F19" s="93"/>
      <c r="G19" s="93">
        <f t="shared" si="4"/>
        <v>27425.392000000007</v>
      </c>
      <c r="H19" s="93">
        <f t="shared" si="4"/>
        <v>30175.823199999984</v>
      </c>
      <c r="I19" s="93">
        <f t="shared" si="4"/>
        <v>33201.29752</v>
      </c>
      <c r="J19" s="93">
        <f t="shared" si="4"/>
        <v>36529.319271999993</v>
      </c>
      <c r="K19" s="93">
        <f t="shared" si="4"/>
        <v>40190.143199200007</v>
      </c>
    </row>
    <row r="20" spans="2:11" ht="7.15" customHeight="1">
      <c r="B20" s="30"/>
      <c r="C20" s="52"/>
      <c r="D20" s="52"/>
      <c r="E20" s="52"/>
      <c r="F20" s="52"/>
      <c r="G20" s="84"/>
      <c r="H20" s="84"/>
      <c r="I20" s="84"/>
      <c r="J20" s="84"/>
      <c r="K20" s="84"/>
    </row>
    <row r="21" spans="2:11">
      <c r="B21" s="30" t="s">
        <v>83</v>
      </c>
      <c r="C21" s="20">
        <f>C22/C19</f>
        <v>-0.24048168928931246</v>
      </c>
      <c r="D21" s="20">
        <f t="shared" ref="D21:E21" si="5">D22/D19</f>
        <v>-0.22579069143565386</v>
      </c>
      <c r="E21" s="20">
        <f t="shared" si="5"/>
        <v>-0.18936134430001206</v>
      </c>
      <c r="F21" s="20"/>
      <c r="G21" s="86">
        <f>'P&amp;L assumptions'!F52</f>
        <v>-0.18</v>
      </c>
      <c r="H21" s="86">
        <f>'P&amp;L assumptions'!G52</f>
        <v>-0.18</v>
      </c>
      <c r="I21" s="86">
        <f>'P&amp;L assumptions'!H52</f>
        <v>-0.18</v>
      </c>
      <c r="J21" s="86">
        <f>'P&amp;L assumptions'!I52</f>
        <v>-0.18</v>
      </c>
      <c r="K21" s="86">
        <f>'P&amp;L assumptions'!J52</f>
        <v>-0.18</v>
      </c>
    </row>
    <row r="22" spans="2:11">
      <c r="B22" s="30" t="s">
        <v>13</v>
      </c>
      <c r="C22" s="52">
        <f>SUMIF('P&amp;L assumptions'!$A:$A,'P&amp;L '!$B22,'P&amp;L assumptions'!B:B)</f>
        <v>-3805.7759999999998</v>
      </c>
      <c r="D22" s="52">
        <f>SUMIF('P&amp;L assumptions'!$A:$A,'P&amp;L '!$B22,'P&amp;L assumptions'!C:C)</f>
        <v>-3050.192</v>
      </c>
      <c r="E22" s="52">
        <f>SUMIF('P&amp;L assumptions'!$A:$A,'P&amp;L '!$B22,'P&amp;L assumptions'!D:D)</f>
        <v>-3814.88</v>
      </c>
      <c r="F22" s="52"/>
      <c r="G22" s="84">
        <f>G19*G21</f>
        <v>-4936.570560000001</v>
      </c>
      <c r="H22" s="84">
        <f t="shared" ref="H22:K22" si="6">H19*H21</f>
        <v>-5431.648175999997</v>
      </c>
      <c r="I22" s="84">
        <f t="shared" si="6"/>
        <v>-5976.2335536000001</v>
      </c>
      <c r="J22" s="84">
        <f t="shared" si="6"/>
        <v>-6575.2774689599983</v>
      </c>
      <c r="K22" s="84">
        <f t="shared" si="6"/>
        <v>-7234.2257758560008</v>
      </c>
    </row>
    <row r="23" spans="2:11">
      <c r="B23" s="30"/>
      <c r="C23" s="52"/>
      <c r="D23" s="52"/>
      <c r="E23" s="52"/>
      <c r="F23" s="52"/>
      <c r="G23" s="84"/>
      <c r="H23" s="84"/>
      <c r="I23" s="84"/>
      <c r="J23" s="84"/>
      <c r="K23" s="84"/>
    </row>
    <row r="24" spans="2:11">
      <c r="B24" s="19" t="s">
        <v>84</v>
      </c>
      <c r="C24" s="37">
        <f>C19+C22</f>
        <v>12019.861333333291</v>
      </c>
      <c r="D24" s="37">
        <f t="shared" ref="D24:J24" si="7">D19+D22</f>
        <v>10458.744000000017</v>
      </c>
      <c r="E24" s="37">
        <f t="shared" si="7"/>
        <v>16331.153574602991</v>
      </c>
      <c r="F24" s="37"/>
      <c r="G24" s="37">
        <f>G19+G22</f>
        <v>22488.821440000007</v>
      </c>
      <c r="H24" s="37">
        <f t="shared" si="7"/>
        <v>24744.175023999989</v>
      </c>
      <c r="I24" s="37">
        <f t="shared" si="7"/>
        <v>27225.063966400001</v>
      </c>
      <c r="J24" s="37">
        <f t="shared" si="7"/>
        <v>29954.041803039996</v>
      </c>
      <c r="K24" s="37">
        <f>K19+K22</f>
        <v>32955.917423344006</v>
      </c>
    </row>
    <row r="25" spans="2:11">
      <c r="B25" s="30"/>
      <c r="C25" s="52"/>
      <c r="D25" s="52"/>
      <c r="E25" s="52"/>
      <c r="F25" s="52"/>
      <c r="G25" s="30"/>
      <c r="H25" s="30"/>
      <c r="I25" s="30"/>
      <c r="J25" s="30"/>
      <c r="K25" s="30"/>
    </row>
    <row r="26" spans="2:11">
      <c r="B26" s="30"/>
      <c r="C26" s="52"/>
      <c r="D26" s="52"/>
      <c r="E26" s="52"/>
      <c r="F26" s="52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EAF4-A0A7-402C-8B18-B27173B9D38F}">
  <dimension ref="B1:O26"/>
  <sheetViews>
    <sheetView showGridLines="0" tabSelected="1" zoomScale="87" zoomScaleNormal="87" workbookViewId="0">
      <selection activeCell="G17" sqref="G17"/>
    </sheetView>
  </sheetViews>
  <sheetFormatPr defaultRowHeight="15"/>
  <cols>
    <col min="2" max="2" width="22.140625" bestFit="1" customWidth="1"/>
    <col min="3" max="5" width="13" bestFit="1" customWidth="1"/>
    <col min="6" max="6" width="2.140625" customWidth="1"/>
    <col min="8" max="8" width="10.42578125" customWidth="1"/>
    <col min="9" max="9" width="10.28515625" customWidth="1"/>
    <col min="10" max="10" width="11.140625" customWidth="1"/>
    <col min="11" max="11" width="11.5703125" customWidth="1"/>
  </cols>
  <sheetData>
    <row r="1" spans="2:15" ht="15.75">
      <c r="B1" s="54" t="s">
        <v>85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5" s="89" customFormat="1" ht="24.75" thickBot="1">
      <c r="B3" s="95" t="s">
        <v>0</v>
      </c>
      <c r="C3" s="96" t="s">
        <v>71</v>
      </c>
      <c r="D3" s="96" t="s">
        <v>98</v>
      </c>
      <c r="E3" s="96" t="s">
        <v>99</v>
      </c>
      <c r="F3" s="97"/>
      <c r="G3" s="96" t="s">
        <v>72</v>
      </c>
      <c r="H3" s="96" t="s">
        <v>73</v>
      </c>
      <c r="I3" s="96" t="s">
        <v>74</v>
      </c>
      <c r="J3" s="96" t="s">
        <v>100</v>
      </c>
      <c r="K3" s="96" t="s">
        <v>101</v>
      </c>
      <c r="L3" s="88"/>
      <c r="M3" s="119" t="s">
        <v>141</v>
      </c>
      <c r="N3" s="88"/>
      <c r="O3" s="88"/>
    </row>
    <row r="4" spans="2:15">
      <c r="B4" s="30" t="s">
        <v>47</v>
      </c>
      <c r="C4" s="52">
        <f>'BS source'!D4</f>
        <v>5961.6</v>
      </c>
      <c r="D4" s="52">
        <f>'BS source'!E4</f>
        <v>5840</v>
      </c>
      <c r="E4" s="52">
        <f>'BS source'!F4</f>
        <v>5650</v>
      </c>
      <c r="F4" s="30"/>
      <c r="G4" s="44">
        <f>$E4</f>
        <v>5650</v>
      </c>
      <c r="H4" s="44">
        <f t="shared" ref="H4:K4" si="0">$E4</f>
        <v>5650</v>
      </c>
      <c r="I4" s="44">
        <f t="shared" si="0"/>
        <v>5650</v>
      </c>
      <c r="J4" s="44">
        <f t="shared" si="0"/>
        <v>5650</v>
      </c>
      <c r="K4" s="44">
        <f t="shared" si="0"/>
        <v>5650</v>
      </c>
      <c r="L4" s="30"/>
      <c r="M4" s="30" t="s">
        <v>142</v>
      </c>
      <c r="N4" s="30"/>
      <c r="O4" s="30"/>
    </row>
    <row r="5" spans="2:15">
      <c r="B5" s="90" t="s">
        <v>49</v>
      </c>
      <c r="C5" s="52">
        <f>SUMIF('BS assumptions'!$B:$B,BS!$B5,'BS assumptions'!C:C)</f>
        <v>45106.400000000001</v>
      </c>
      <c r="D5" s="52">
        <f>SUMIF('BS assumptions'!$B:$B,BS!$B5,'BS assumptions'!D:D)</f>
        <v>49072.4</v>
      </c>
      <c r="E5" s="52">
        <f>SUMIF('BS assumptions'!$B:$B,BS!$B5,'BS assumptions'!E:E)</f>
        <v>56109.2</v>
      </c>
      <c r="F5" s="30"/>
      <c r="G5" s="44">
        <f>SUMIF('BS assumptions'!$B:$B,BS!$B5,'BS assumptions'!G:G)</f>
        <v>59898.018769381182</v>
      </c>
      <c r="H5" s="44">
        <f>SUMIF('BS assumptions'!$B:$B,BS!$B5,'BS assumptions'!H:H)</f>
        <v>65887.820646319306</v>
      </c>
      <c r="I5" s="44">
        <f>SUMIF('BS assumptions'!$B:$B,BS!$B5,'BS assumptions'!I:I)</f>
        <v>72476.602710951251</v>
      </c>
      <c r="J5" s="44">
        <f>SUMIF('BS assumptions'!$B:$B,BS!$B5,'BS assumptions'!J:J)</f>
        <v>79724.262982046392</v>
      </c>
      <c r="K5" s="44">
        <f>SUMIF('BS assumptions'!$B:$B,BS!$B5,'BS assumptions'!K:K)</f>
        <v>87696.689280251027</v>
      </c>
      <c r="L5" s="30"/>
      <c r="M5" s="30"/>
      <c r="N5" s="30"/>
      <c r="O5" s="30"/>
    </row>
    <row r="6" spans="2:15">
      <c r="B6" s="30" t="s">
        <v>51</v>
      </c>
      <c r="C6" s="52">
        <f>'BS source'!D6</f>
        <v>8824</v>
      </c>
      <c r="D6" s="52">
        <f>'BS source'!E6</f>
        <v>9831</v>
      </c>
      <c r="E6" s="52">
        <f>'BS source'!F6</f>
        <v>10323</v>
      </c>
      <c r="F6" s="30"/>
      <c r="G6" s="44">
        <f>$E6</f>
        <v>10323</v>
      </c>
      <c r="H6" s="44">
        <f t="shared" ref="H6:K6" si="1">$E6</f>
        <v>10323</v>
      </c>
      <c r="I6" s="44">
        <f t="shared" si="1"/>
        <v>10323</v>
      </c>
      <c r="J6" s="44">
        <f t="shared" si="1"/>
        <v>10323</v>
      </c>
      <c r="K6" s="44">
        <f t="shared" si="1"/>
        <v>10323</v>
      </c>
      <c r="L6" s="30"/>
      <c r="M6" s="30" t="s">
        <v>142</v>
      </c>
      <c r="N6" s="30"/>
      <c r="O6" s="30"/>
    </row>
    <row r="7" spans="2:15">
      <c r="B7" s="30"/>
      <c r="C7" s="52"/>
      <c r="D7" s="52"/>
      <c r="E7" s="52"/>
      <c r="F7" s="30"/>
      <c r="G7" s="44"/>
      <c r="H7" s="44"/>
      <c r="I7" s="44"/>
      <c r="J7" s="44"/>
      <c r="K7" s="44"/>
      <c r="L7" s="30"/>
      <c r="M7" s="30"/>
      <c r="N7" s="30"/>
      <c r="O7" s="30"/>
    </row>
    <row r="8" spans="2:15">
      <c r="B8" s="90" t="s">
        <v>56</v>
      </c>
      <c r="C8" s="52">
        <f>SUMIF('BS assumptions'!$B:$B,BS!$B8,'BS assumptions'!C:C)</f>
        <v>31167.200000000001</v>
      </c>
      <c r="D8" s="52">
        <f>SUMIF('BS assumptions'!$B:$B,BS!$B8,'BS assumptions'!D:D)</f>
        <v>36396.800000000003</v>
      </c>
      <c r="E8" s="52">
        <f>SUMIF('BS assumptions'!$B:$B,BS!$B8,'BS assumptions'!E:E)</f>
        <v>46212</v>
      </c>
      <c r="F8" s="30"/>
      <c r="G8" s="44">
        <f>SUMIF('BS assumptions'!$B:$B,BS!$B8,'BS assumptions'!G:G)</f>
        <v>50402.633929619915</v>
      </c>
      <c r="H8" s="44">
        <f>SUMIF('BS assumptions'!$B:$B,BS!$B8,'BS assumptions'!H:H)</f>
        <v>55442.897322581921</v>
      </c>
      <c r="I8" s="44">
        <f>SUMIF('BS assumptions'!$B:$B,BS!$B8,'BS assumptions'!I:I)</f>
        <v>60987.187054840128</v>
      </c>
      <c r="J8" s="44">
        <f>SUMIF('BS assumptions'!$B:$B,BS!$B8,'BS assumptions'!J:J)</f>
        <v>67085.905760324153</v>
      </c>
      <c r="K8" s="44">
        <f>SUMIF('BS assumptions'!$B:$B,BS!$B8,'BS assumptions'!K:K)</f>
        <v>73794.496336356577</v>
      </c>
      <c r="L8" s="30"/>
      <c r="M8" s="30"/>
      <c r="N8" s="30"/>
      <c r="O8" s="30"/>
    </row>
    <row r="9" spans="2:15">
      <c r="B9" s="90" t="s">
        <v>75</v>
      </c>
      <c r="C9" s="52">
        <f>SUMIF('BS assumptions'!$B:$B,BS!$B9,'BS assumptions'!C:C)</f>
        <v>32883.599999999999</v>
      </c>
      <c r="D9" s="52">
        <f>SUMIF('BS assumptions'!$B:$B,BS!$B9,'BS assumptions'!D:D)</f>
        <v>38556</v>
      </c>
      <c r="E9" s="52">
        <f>SUMIF('BS assumptions'!$B:$B,BS!$B9,'BS assumptions'!E:E)</f>
        <v>43581.599999999999</v>
      </c>
      <c r="F9" s="30"/>
      <c r="G9" s="44">
        <f>SUMIF('BS assumptions'!$B:$B,BS!$B9,'BS assumptions'!G:G)</f>
        <v>47283.050958904081</v>
      </c>
      <c r="H9" s="44">
        <f>SUMIF('BS assumptions'!$B:$B,BS!$B9,'BS assumptions'!H:H)</f>
        <v>52011.356054794524</v>
      </c>
      <c r="I9" s="44">
        <f>SUMIF('BS assumptions'!$B:$B,BS!$B9,'BS assumptions'!I:I)</f>
        <v>57212.491660273983</v>
      </c>
      <c r="J9" s="44">
        <f>SUMIF('BS assumptions'!$B:$B,BS!$B9,'BS assumptions'!J:J)</f>
        <v>62933.740826301386</v>
      </c>
      <c r="K9" s="44">
        <f>SUMIF('BS assumptions'!$B:$B,BS!$B9,'BS assumptions'!K:K)</f>
        <v>69227.114908931529</v>
      </c>
      <c r="L9" s="30"/>
      <c r="M9" s="30"/>
      <c r="N9" s="30"/>
      <c r="O9" s="30"/>
    </row>
    <row r="10" spans="2:15">
      <c r="B10" s="90" t="s">
        <v>60</v>
      </c>
      <c r="C10" s="52">
        <f>SUMIF('BS assumptions'!$B:$B,BS!$B10,'BS assumptions'!C:C)</f>
        <v>8841.6</v>
      </c>
      <c r="D10" s="52">
        <f>SUMIF('BS assumptions'!$B:$B,BS!$B10,'BS assumptions'!D:D)</f>
        <v>11359.199999999999</v>
      </c>
      <c r="E10" s="52">
        <f>SUMIF('BS assumptions'!$B:$B,BS!$B10,'BS assumptions'!E:E)</f>
        <v>17602.8</v>
      </c>
      <c r="F10" s="30"/>
      <c r="G10" s="44">
        <f>SUMIF('BS assumptions'!$B:$B,BS!$B10,'BS assumptions'!G:G)</f>
        <v>14867.518484339287</v>
      </c>
      <c r="H10" s="44">
        <f>SUMIF('BS assumptions'!$B:$B,BS!$B10,'BS assumptions'!H:H)</f>
        <v>16354.270332773216</v>
      </c>
      <c r="I10" s="44">
        <f>SUMIF('BS assumptions'!$B:$B,BS!$B10,'BS assumptions'!I:I)</f>
        <v>17989.697366050539</v>
      </c>
      <c r="J10" s="44">
        <f>SUMIF('BS assumptions'!$B:$B,BS!$B10,'BS assumptions'!J:J)</f>
        <v>19788.6671026556</v>
      </c>
      <c r="K10" s="44">
        <f>SUMIF('BS assumptions'!$B:$B,BS!$B10,'BS assumptions'!K:K)</f>
        <v>21767.53381292116</v>
      </c>
      <c r="L10" s="30"/>
      <c r="M10" s="30"/>
      <c r="N10" s="30"/>
      <c r="O10" s="30"/>
    </row>
    <row r="11" spans="2:15">
      <c r="B11" s="30"/>
      <c r="C11" s="52"/>
      <c r="D11" s="52"/>
      <c r="E11" s="52"/>
      <c r="F11" s="30"/>
      <c r="G11" s="44"/>
      <c r="H11" s="44"/>
      <c r="I11" s="44"/>
      <c r="J11" s="44"/>
      <c r="K11" s="44"/>
      <c r="L11" s="30"/>
      <c r="M11" s="30"/>
      <c r="N11" s="30"/>
      <c r="O11" s="30"/>
    </row>
    <row r="12" spans="2:15">
      <c r="B12" s="30" t="s">
        <v>63</v>
      </c>
      <c r="C12" s="52">
        <f>'BS source'!D14</f>
        <v>11791.199999999999</v>
      </c>
      <c r="D12" s="52">
        <f>'BS source'!E14</f>
        <v>19408.8</v>
      </c>
      <c r="E12" s="52">
        <f>'BS source'!F14</f>
        <v>8173.6</v>
      </c>
      <c r="F12" s="30"/>
      <c r="G12" s="44">
        <f>E12+'Cash Flow'!G29</f>
        <v>24555.071269641459</v>
      </c>
      <c r="H12" s="44">
        <f>G12+'Cash Flow'!H29</f>
        <v>36804.255919145231</v>
      </c>
      <c r="I12" s="44">
        <f>H12+'Cash Flow'!I29</f>
        <v>50284.830473599432</v>
      </c>
      <c r="J12" s="44">
        <f>I12+'Cash Flow'!J29</f>
        <v>65119.933923499048</v>
      </c>
      <c r="K12" s="44">
        <f>J12+'Cash Flow'!K29</f>
        <v>81445.019158388663</v>
      </c>
      <c r="L12" s="30"/>
      <c r="M12" s="30"/>
      <c r="N12" s="30"/>
      <c r="O12" s="30"/>
    </row>
    <row r="13" spans="2:15">
      <c r="B13" s="30"/>
      <c r="C13" s="30"/>
      <c r="D13" s="30"/>
      <c r="E13" s="30"/>
      <c r="F13" s="30"/>
      <c r="G13" s="44"/>
      <c r="H13" s="44"/>
      <c r="I13" s="44"/>
      <c r="J13" s="44"/>
      <c r="K13" s="44"/>
      <c r="L13" s="30"/>
      <c r="M13" s="30"/>
      <c r="N13" s="30"/>
      <c r="O13" s="30"/>
    </row>
    <row r="14" spans="2:15" ht="15.75" thickBot="1">
      <c r="B14" s="91" t="s">
        <v>68</v>
      </c>
      <c r="C14" s="125">
        <f>SUM(C4:C12)</f>
        <v>144575.6</v>
      </c>
      <c r="D14" s="125">
        <f t="shared" ref="D14" si="2">SUM(D4:D12)</f>
        <v>170464.2</v>
      </c>
      <c r="E14" s="125">
        <f>SUM(E4:E12)</f>
        <v>187652.19999999998</v>
      </c>
      <c r="F14" s="52"/>
      <c r="G14" s="94">
        <f>SUM(G4:G10)+G12</f>
        <v>212979.29341188594</v>
      </c>
      <c r="H14" s="94">
        <f>SUM(H4:H10)+H12</f>
        <v>242473.60027561418</v>
      </c>
      <c r="I14" s="94">
        <f t="shared" ref="I14:K14" si="3">SUM(I4:I10)+I12</f>
        <v>274923.8092657153</v>
      </c>
      <c r="J14" s="94">
        <f t="shared" si="3"/>
        <v>310625.5105948266</v>
      </c>
      <c r="K14" s="94">
        <f t="shared" si="3"/>
        <v>349903.85349684895</v>
      </c>
      <c r="L14" s="30"/>
      <c r="M14" s="30"/>
      <c r="N14" s="30"/>
      <c r="O14" s="30"/>
    </row>
    <row r="15" spans="2:15">
      <c r="B15" s="30"/>
      <c r="C15" s="52"/>
      <c r="D15" s="52"/>
      <c r="E15" s="52"/>
      <c r="F15" s="52"/>
      <c r="G15" s="44"/>
      <c r="H15" s="44"/>
      <c r="I15" s="44"/>
      <c r="J15" s="44"/>
      <c r="K15" s="44"/>
      <c r="L15" s="30"/>
      <c r="M15" s="30"/>
      <c r="N15" s="30"/>
      <c r="O15" s="30"/>
    </row>
    <row r="16" spans="2:15">
      <c r="B16" s="90" t="s">
        <v>57</v>
      </c>
      <c r="C16" s="52">
        <f>SUMIF('BS assumptions'!$B:$B,BS!$B16,'BS assumptions'!C:C)</f>
        <v>15891.2</v>
      </c>
      <c r="D16" s="52">
        <f>SUMIF('BS assumptions'!$B:$B,BS!$B16,'BS assumptions'!D:D)</f>
        <v>26351.599999999999</v>
      </c>
      <c r="E16" s="52">
        <f>SUMIF('BS assumptions'!$B:$B,BS!$B16,'BS assumptions'!E:E)</f>
        <v>36189.599999999999</v>
      </c>
      <c r="F16" s="52"/>
      <c r="G16" s="44">
        <f>SUMIF('BS assumptions'!$B:$B,BS!$B16,'BS assumptions'!G:G)</f>
        <v>39471.374553349211</v>
      </c>
      <c r="H16" s="44">
        <f>SUMIF('BS assumptions'!$B:$B,BS!$B16,'BS assumptions'!H:H)</f>
        <v>43418.51200868412</v>
      </c>
      <c r="I16" s="44">
        <f>SUMIF('BS assumptions'!$B:$B,BS!$B16,'BS assumptions'!I:I)</f>
        <v>47760.363209552539</v>
      </c>
      <c r="J16" s="44">
        <f>SUMIF('BS assumptions'!$B:$B,BS!$B16,'BS assumptions'!J:J)</f>
        <v>52536.399530507806</v>
      </c>
      <c r="K16" s="44">
        <f>SUMIF('BS assumptions'!$B:$B,BS!$B16,'BS assumptions'!K:K)</f>
        <v>57790.03948355859</v>
      </c>
      <c r="L16" s="30"/>
      <c r="M16" s="30"/>
      <c r="N16" s="30"/>
      <c r="O16" s="30"/>
    </row>
    <row r="17" spans="2:15">
      <c r="B17" s="90" t="s">
        <v>59</v>
      </c>
      <c r="C17" s="52">
        <f>SUMIF('BS assumptions'!$B:$B,BS!$B17,'BS assumptions'!C:C)</f>
        <v>5969.0386666666891</v>
      </c>
      <c r="D17" s="52">
        <f>SUMIF('BS assumptions'!$B:$B,BS!$B17,'BS assumptions'!D:D)</f>
        <v>5800.3560000000052</v>
      </c>
      <c r="E17" s="52">
        <f>SUMIF('BS assumptions'!$B:$B,BS!$B17,'BS assumptions'!E:E)</f>
        <v>8473.4464253970418</v>
      </c>
      <c r="F17" s="52"/>
      <c r="G17" s="44">
        <f>SUMIF('BS assumptions'!$B:$B,BS!$B17,'BS assumptions'!G:G)</f>
        <v>8029.9438439337491</v>
      </c>
      <c r="H17" s="44">
        <f>SUMIF('BS assumptions'!$B:$B,BS!$B17,'BS assumptions'!H:H)</f>
        <v>8832.9382283271243</v>
      </c>
      <c r="I17" s="44">
        <f>SUMIF('BS assumptions'!$B:$B,BS!$B17,'BS assumptions'!I:I)</f>
        <v>9716.2320511598391</v>
      </c>
      <c r="J17" s="44">
        <f>SUMIF('BS assumptions'!$B:$B,BS!$B17,'BS assumptions'!J:J)</f>
        <v>10687.855256275825</v>
      </c>
      <c r="K17" s="44">
        <f>SUMIF('BS assumptions'!$B:$B,BS!$B17,'BS assumptions'!K:K)</f>
        <v>11756.640781903407</v>
      </c>
      <c r="L17" s="30"/>
      <c r="M17" s="30"/>
      <c r="N17" s="30"/>
      <c r="O17" s="30"/>
    </row>
    <row r="18" spans="2:15">
      <c r="B18" s="30"/>
      <c r="C18" s="52"/>
      <c r="D18" s="52"/>
      <c r="E18" s="52"/>
      <c r="F18" s="52"/>
      <c r="G18" s="44"/>
      <c r="H18" s="44"/>
      <c r="I18" s="44"/>
      <c r="J18" s="44"/>
      <c r="K18" s="44"/>
      <c r="L18" s="30"/>
      <c r="M18" s="30"/>
      <c r="N18" s="30"/>
      <c r="O18" s="30"/>
    </row>
    <row r="19" spans="2:15">
      <c r="B19" s="30" t="s">
        <v>86</v>
      </c>
      <c r="C19" s="52">
        <f>'BS source'!J15+'BS source'!J16</f>
        <v>41293.000000000007</v>
      </c>
      <c r="D19" s="52">
        <f>'BS source'!K15+'BS source'!K16</f>
        <v>50645.4</v>
      </c>
      <c r="E19" s="52">
        <f>'BS source'!L15+'BS source'!L16</f>
        <v>51120.799999999996</v>
      </c>
      <c r="F19" s="52"/>
      <c r="G19" s="44">
        <f>$E19</f>
        <v>51120.799999999996</v>
      </c>
      <c r="H19" s="44">
        <f t="shared" ref="H19:K19" si="4">$E19</f>
        <v>51120.799999999996</v>
      </c>
      <c r="I19" s="44">
        <f t="shared" si="4"/>
        <v>51120.799999999996</v>
      </c>
      <c r="J19" s="44">
        <f t="shared" si="4"/>
        <v>51120.799999999996</v>
      </c>
      <c r="K19" s="44">
        <f t="shared" si="4"/>
        <v>51120.799999999996</v>
      </c>
      <c r="L19" s="30"/>
      <c r="M19" s="30" t="s">
        <v>142</v>
      </c>
      <c r="N19" s="30"/>
      <c r="O19" s="30"/>
    </row>
    <row r="20" spans="2:15">
      <c r="B20" s="30"/>
      <c r="C20" s="52"/>
      <c r="D20" s="52"/>
      <c r="E20" s="52"/>
      <c r="F20" s="52"/>
      <c r="G20" s="44"/>
      <c r="H20" s="44"/>
      <c r="I20" s="44"/>
      <c r="J20" s="44"/>
      <c r="K20" s="44"/>
      <c r="L20" s="30"/>
      <c r="M20" s="30"/>
      <c r="N20" s="30"/>
      <c r="O20" s="30"/>
    </row>
    <row r="21" spans="2:15">
      <c r="B21" s="30" t="s">
        <v>87</v>
      </c>
      <c r="C21" s="52">
        <f>'BS source'!J8</f>
        <v>81422.361333333276</v>
      </c>
      <c r="D21" s="52">
        <f>'BS source'!K8</f>
        <v>87666.844000000026</v>
      </c>
      <c r="E21" s="52">
        <f>'BS source'!L8</f>
        <v>91868.353574602996</v>
      </c>
      <c r="F21" s="52">
        <f>'BS source'!M8</f>
        <v>0</v>
      </c>
      <c r="G21" s="44">
        <f>E21+'P&amp;L '!G24</f>
        <v>114357.17501460301</v>
      </c>
      <c r="H21" s="44">
        <f>G21+'P&amp;L '!H24</f>
        <v>139101.35003860301</v>
      </c>
      <c r="I21" s="44">
        <f>H21+'P&amp;L '!I24</f>
        <v>166326.414005003</v>
      </c>
      <c r="J21" s="44">
        <f>I21+'P&amp;L '!J24</f>
        <v>196280.45580804299</v>
      </c>
      <c r="K21" s="44">
        <f>J21+'P&amp;L '!K24</f>
        <v>229236.373231387</v>
      </c>
      <c r="L21" s="30"/>
      <c r="M21" s="30"/>
      <c r="N21" s="30"/>
      <c r="O21" s="30"/>
    </row>
    <row r="22" spans="2:15">
      <c r="B22" s="30"/>
      <c r="C22" s="52"/>
      <c r="D22" s="52"/>
      <c r="E22" s="52"/>
      <c r="F22" s="52"/>
      <c r="G22" s="44"/>
      <c r="H22" s="44"/>
      <c r="I22" s="44"/>
      <c r="J22" s="44"/>
      <c r="K22" s="44"/>
      <c r="L22" s="30"/>
      <c r="M22" s="30"/>
      <c r="N22" s="30"/>
      <c r="O22" s="30"/>
    </row>
    <row r="23" spans="2:15" ht="15.75" thickBot="1">
      <c r="B23" s="91" t="s">
        <v>88</v>
      </c>
      <c r="C23" s="92">
        <f>SUM(C16:C21)</f>
        <v>144575.59999999998</v>
      </c>
      <c r="D23" s="92">
        <f t="shared" ref="D23:E23" si="5">SUM(D16:D21)</f>
        <v>170464.2</v>
      </c>
      <c r="E23" s="92">
        <f t="shared" si="5"/>
        <v>187652.2</v>
      </c>
      <c r="F23" s="52"/>
      <c r="G23" s="94">
        <f>SUM(G16:G21)</f>
        <v>212979.29341188597</v>
      </c>
      <c r="H23" s="94">
        <f t="shared" ref="H23:K23" si="6">SUM(H16:H21)</f>
        <v>242473.60027561424</v>
      </c>
      <c r="I23" s="94">
        <f t="shared" si="6"/>
        <v>274923.80926571536</v>
      </c>
      <c r="J23" s="94">
        <f t="shared" si="6"/>
        <v>310625.5105948266</v>
      </c>
      <c r="K23" s="94">
        <f t="shared" si="6"/>
        <v>349903.85349684895</v>
      </c>
      <c r="L23" s="30"/>
      <c r="M23" s="30"/>
      <c r="N23" s="30"/>
      <c r="O23" s="30"/>
    </row>
    <row r="24" spans="2:15">
      <c r="B24" s="30"/>
      <c r="C24" s="30"/>
      <c r="D24" s="30"/>
      <c r="E24" s="30"/>
      <c r="F24" s="30"/>
      <c r="G24" s="52"/>
      <c r="H24" s="52"/>
      <c r="I24" s="52"/>
      <c r="J24" s="52"/>
      <c r="K24" s="52"/>
      <c r="L24" s="30"/>
      <c r="M24" s="30"/>
      <c r="N24" s="30"/>
      <c r="O24" s="30"/>
    </row>
    <row r="25" spans="2:15" s="107" customFormat="1">
      <c r="B25" s="87" t="s">
        <v>89</v>
      </c>
      <c r="C25" s="87">
        <f>C14-C23</f>
        <v>0</v>
      </c>
      <c r="D25" s="87">
        <f t="shared" ref="D25:K25" si="7">D14-D23</f>
        <v>0</v>
      </c>
      <c r="E25" s="87">
        <f>E14-E23</f>
        <v>0</v>
      </c>
      <c r="F25" s="87"/>
      <c r="G25" s="87">
        <f t="shared" si="7"/>
        <v>0</v>
      </c>
      <c r="H25" s="87">
        <f t="shared" si="7"/>
        <v>0</v>
      </c>
      <c r="I25" s="87">
        <f t="shared" si="7"/>
        <v>0</v>
      </c>
      <c r="J25" s="87">
        <f t="shared" si="7"/>
        <v>0</v>
      </c>
      <c r="K25" s="87">
        <f t="shared" si="7"/>
        <v>0</v>
      </c>
      <c r="L25" s="87"/>
      <c r="M25" s="87"/>
      <c r="N25" s="87"/>
      <c r="O25" s="87"/>
    </row>
    <row r="26" spans="2:1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</sheetData>
  <pageMargins left="0.7" right="0.7" top="0.75" bottom="0.75" header="0.3" footer="0.3"/>
  <ignoredErrors>
    <ignoredError sqref="G5:K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5C4F-F628-493A-8F6A-11B2D7AAB6D8}">
  <dimension ref="B1:K36"/>
  <sheetViews>
    <sheetView topLeftCell="A12" zoomScale="93" zoomScaleNormal="93" workbookViewId="0">
      <selection activeCell="G12" sqref="G1:G1048576"/>
    </sheetView>
  </sheetViews>
  <sheetFormatPr defaultRowHeight="15"/>
  <cols>
    <col min="2" max="2" width="31" bestFit="1" customWidth="1"/>
    <col min="6" max="6" width="1.85546875" customWidth="1"/>
    <col min="7" max="7" width="10" bestFit="1" customWidth="1"/>
    <col min="9" max="9" width="9.140625" style="118"/>
  </cols>
  <sheetData>
    <row r="1" spans="2:11" ht="15.75">
      <c r="B1" s="35" t="s">
        <v>102</v>
      </c>
      <c r="C1" s="35"/>
      <c r="D1" s="34"/>
      <c r="E1" s="34"/>
      <c r="F1" s="34"/>
      <c r="G1" s="34"/>
      <c r="H1" s="34"/>
      <c r="I1" s="32"/>
      <c r="J1" s="34"/>
      <c r="K1" s="34"/>
    </row>
    <row r="2" spans="2:11">
      <c r="B2" s="34"/>
      <c r="C2" s="34"/>
      <c r="D2" s="34"/>
      <c r="E2" s="34"/>
      <c r="F2" s="34"/>
      <c r="G2" s="34"/>
      <c r="H2" s="34"/>
      <c r="I2" s="32"/>
      <c r="J2" s="34"/>
      <c r="K2" s="34"/>
    </row>
    <row r="3" spans="2:11" ht="25.5" thickBot="1">
      <c r="B3" s="2" t="s">
        <v>0</v>
      </c>
      <c r="C3" s="2"/>
      <c r="D3" s="47" t="s">
        <v>90</v>
      </c>
      <c r="E3" s="47" t="s">
        <v>91</v>
      </c>
      <c r="F3" s="31"/>
      <c r="G3" s="62" t="s">
        <v>24</v>
      </c>
      <c r="H3" s="62" t="s">
        <v>25</v>
      </c>
      <c r="I3" s="117" t="s">
        <v>26</v>
      </c>
      <c r="J3" s="62" t="s">
        <v>92</v>
      </c>
      <c r="K3" s="62" t="s">
        <v>93</v>
      </c>
    </row>
    <row r="4" spans="2:11">
      <c r="B4" s="34" t="s">
        <v>10</v>
      </c>
      <c r="C4" s="34"/>
      <c r="D4" s="32">
        <f>'P&amp;L '!D15</f>
        <v>16564.136000000017</v>
      </c>
      <c r="E4" s="32">
        <f>'P&amp;L '!E15</f>
        <v>23130.213574602993</v>
      </c>
      <c r="F4" s="32"/>
      <c r="G4" s="112">
        <f>'P&amp;L '!G15</f>
        <v>30089.312000000009</v>
      </c>
      <c r="H4" s="112">
        <f>'P&amp;L '!H15</f>
        <v>32839.743199999983</v>
      </c>
      <c r="I4" s="112">
        <f>'P&amp;L '!I15</f>
        <v>35865.217519999998</v>
      </c>
      <c r="J4" s="112">
        <f>'P&amp;L '!J15</f>
        <v>39193.239271999992</v>
      </c>
      <c r="K4" s="112">
        <f>'P&amp;L '!K15</f>
        <v>42854.063199200005</v>
      </c>
    </row>
    <row r="5" spans="2:11">
      <c r="B5" s="34" t="s">
        <v>103</v>
      </c>
      <c r="C5" s="34"/>
      <c r="D5" s="32">
        <f>D6*D4</f>
        <v>-3740.0277204742097</v>
      </c>
      <c r="E5" s="34">
        <f>E6*E4</f>
        <v>-4379.9683364332095</v>
      </c>
      <c r="F5" s="32"/>
      <c r="G5" s="112">
        <f>G6*G4</f>
        <v>-5416.0761600000014</v>
      </c>
      <c r="H5" s="112">
        <f>H6*H4</f>
        <v>-5911.1537759999965</v>
      </c>
      <c r="I5" s="112">
        <f>I6*I4</f>
        <v>-6455.7391535999996</v>
      </c>
      <c r="J5" s="112">
        <f t="shared" ref="J5:K5" si="0">J6*J4</f>
        <v>-7054.7830689599987</v>
      </c>
      <c r="K5" s="112">
        <f t="shared" si="0"/>
        <v>-7713.7313758560003</v>
      </c>
    </row>
    <row r="6" spans="2:11">
      <c r="B6" s="34" t="s">
        <v>104</v>
      </c>
      <c r="C6" s="34"/>
      <c r="D6" s="33">
        <f>'P&amp;L '!D21</f>
        <v>-0.22579069143565386</v>
      </c>
      <c r="E6" s="33">
        <f>'P&amp;L '!E21</f>
        <v>-0.18936134430001206</v>
      </c>
      <c r="F6" s="33"/>
      <c r="G6" s="120">
        <f>'P&amp;L '!G21</f>
        <v>-0.18</v>
      </c>
      <c r="H6" s="120">
        <f>'P&amp;L '!H21</f>
        <v>-0.18</v>
      </c>
      <c r="I6" s="120">
        <f>'P&amp;L '!I21</f>
        <v>-0.18</v>
      </c>
      <c r="J6" s="120">
        <f>'P&amp;L '!J21</f>
        <v>-0.18</v>
      </c>
      <c r="K6" s="120">
        <f>'P&amp;L '!K21</f>
        <v>-0.18</v>
      </c>
    </row>
    <row r="7" spans="2:11">
      <c r="B7" s="17" t="s">
        <v>105</v>
      </c>
      <c r="C7" s="17"/>
      <c r="D7" s="28">
        <f>SUM(D4:D5)</f>
        <v>12824.108279525808</v>
      </c>
      <c r="E7" s="28">
        <f>SUM(E4:E5)</f>
        <v>18750.245238169784</v>
      </c>
      <c r="F7" s="36"/>
      <c r="G7" s="113">
        <f>SUM(G4:G5)</f>
        <v>24673.235840000008</v>
      </c>
      <c r="H7" s="113">
        <f>SUM(H4:H5)</f>
        <v>26928.589423999987</v>
      </c>
      <c r="I7" s="113">
        <f>SUM(I4:I5)</f>
        <v>29409.478366399999</v>
      </c>
      <c r="J7" s="113">
        <f t="shared" ref="J7:K7" si="1">SUM(J4:J5)</f>
        <v>32138.456203039994</v>
      </c>
      <c r="K7" s="113">
        <f t="shared" si="1"/>
        <v>35140.331823344008</v>
      </c>
    </row>
    <row r="8" spans="2:11">
      <c r="B8" s="18"/>
      <c r="C8" s="18"/>
      <c r="D8" s="18"/>
      <c r="E8" s="18"/>
      <c r="F8" s="34"/>
      <c r="G8" s="114"/>
      <c r="H8" s="114"/>
      <c r="I8" s="114"/>
      <c r="J8" s="114"/>
      <c r="K8" s="114"/>
    </row>
    <row r="9" spans="2:11">
      <c r="B9" s="34" t="s">
        <v>106</v>
      </c>
      <c r="C9" s="34"/>
      <c r="D9" s="32">
        <f>-'P&amp;L '!D14</f>
        <v>4649.8</v>
      </c>
      <c r="E9" s="32">
        <f>-'P&amp;L '!E14</f>
        <v>6430.6600000000008</v>
      </c>
      <c r="F9" s="34"/>
      <c r="G9" s="112">
        <f>-'P&amp;L '!G14</f>
        <v>4584.0520000000006</v>
      </c>
      <c r="H9" s="112">
        <f>-'P&amp;L '!H14</f>
        <v>5042.4572000000007</v>
      </c>
      <c r="I9" s="112">
        <f>-'P&amp;L '!I14</f>
        <v>5546.7029200000015</v>
      </c>
      <c r="J9" s="112">
        <f>-'P&amp;L '!J14</f>
        <v>6101.3732120000022</v>
      </c>
      <c r="K9" s="112">
        <f>-'P&amp;L '!K14</f>
        <v>6711.510533200003</v>
      </c>
    </row>
    <row r="10" spans="2:11">
      <c r="B10" s="17" t="s">
        <v>107</v>
      </c>
      <c r="C10" s="17"/>
      <c r="D10" s="28">
        <f>SUM(D7:D9)</f>
        <v>17473.908279525807</v>
      </c>
      <c r="E10" s="28">
        <f>SUM(E7:E9)</f>
        <v>25180.905238169784</v>
      </c>
      <c r="F10" s="21"/>
      <c r="G10" s="113">
        <f>SUM(G7:G9)</f>
        <v>29257.287840000008</v>
      </c>
      <c r="H10" s="113">
        <f>SUM(H7:H9)</f>
        <v>31971.046623999988</v>
      </c>
      <c r="I10" s="113">
        <f>SUM(I7:I9)</f>
        <v>34956.181286400002</v>
      </c>
      <c r="J10" s="113">
        <f t="shared" ref="J10:K10" si="2">SUM(J7:J9)</f>
        <v>38239.829415039996</v>
      </c>
      <c r="K10" s="113">
        <f t="shared" si="2"/>
        <v>41851.84235654401</v>
      </c>
    </row>
    <row r="11" spans="2:11">
      <c r="B11" s="34"/>
      <c r="C11" s="34"/>
      <c r="D11" s="34"/>
      <c r="E11" s="34"/>
      <c r="F11" s="51"/>
      <c r="G11" s="112"/>
      <c r="H11" s="112"/>
      <c r="I11" s="112"/>
      <c r="J11" s="112"/>
      <c r="K11" s="112"/>
    </row>
    <row r="12" spans="2:11">
      <c r="B12" s="34" t="s">
        <v>56</v>
      </c>
      <c r="C12" s="34"/>
      <c r="D12" s="32">
        <f>-(BS!D8-BS!C8)</f>
        <v>-5229.6000000000022</v>
      </c>
      <c r="E12" s="32">
        <f>-(BS!E8-BS!D8)</f>
        <v>-9815.1999999999971</v>
      </c>
      <c r="F12" s="22"/>
      <c r="G12" s="112">
        <f>-(BS!G8-BS!E8)</f>
        <v>-4190.6339296199149</v>
      </c>
      <c r="H12" s="112">
        <f>-(BS!H8-BS!G8)</f>
        <v>-5040.263392962006</v>
      </c>
      <c r="I12" s="112">
        <f>-(BS!I8-BS!H8)</f>
        <v>-5544.2897322582066</v>
      </c>
      <c r="J12" s="112">
        <f>-(BS!J8-BS!I8)</f>
        <v>-6098.7187054840251</v>
      </c>
      <c r="K12" s="112">
        <f>-(BS!K8-BS!J8)</f>
        <v>-6708.590576032424</v>
      </c>
    </row>
    <row r="13" spans="2:11">
      <c r="B13" s="34" t="s">
        <v>58</v>
      </c>
      <c r="C13" s="34"/>
      <c r="D13" s="32">
        <f>-(BS!D9-BS!C9)</f>
        <v>-5672.4000000000015</v>
      </c>
      <c r="E13" s="32">
        <f>-(BS!E9-BS!D9)</f>
        <v>-5025.5999999999985</v>
      </c>
      <c r="F13" s="22"/>
      <c r="G13" s="112">
        <f>-(BS!G9-BS!E9)</f>
        <v>-3701.4509589040827</v>
      </c>
      <c r="H13" s="112">
        <f>-(BS!H9-BS!G9)</f>
        <v>-4728.3050958904423</v>
      </c>
      <c r="I13" s="112">
        <f>-(BS!I9-BS!H9)</f>
        <v>-5201.1356054794596</v>
      </c>
      <c r="J13" s="112">
        <f>-(BS!J9-BS!I9)</f>
        <v>-5721.2491660274027</v>
      </c>
      <c r="K13" s="112">
        <f>-(BS!K9-BS!J9)</f>
        <v>-6293.3740826301437</v>
      </c>
    </row>
    <row r="14" spans="2:11">
      <c r="B14" s="34" t="s">
        <v>108</v>
      </c>
      <c r="C14" s="34"/>
      <c r="D14" s="32">
        <f>BS!D16-BS!C16</f>
        <v>10460.399999999998</v>
      </c>
      <c r="E14" s="32">
        <f>BS!E16-BS!D16</f>
        <v>9838</v>
      </c>
      <c r="F14" s="34"/>
      <c r="G14" s="112">
        <f>BS!G16-BS!E16</f>
        <v>3281.7745533492125</v>
      </c>
      <c r="H14" s="112">
        <f>BS!H16-BS!G16</f>
        <v>3947.1374553349087</v>
      </c>
      <c r="I14" s="112">
        <f>BS!I16-BS!H16</f>
        <v>4341.8512008684193</v>
      </c>
      <c r="J14" s="112">
        <f>BS!J16-BS!I16</f>
        <v>4776.036320955267</v>
      </c>
      <c r="K14" s="112">
        <f>BS!K16-BS!J16</f>
        <v>5253.6399530507842</v>
      </c>
    </row>
    <row r="15" spans="2:11">
      <c r="B15" s="17" t="s">
        <v>109</v>
      </c>
      <c r="C15" s="17"/>
      <c r="D15" s="28">
        <f>SUM(D12:D14)</f>
        <v>-441.60000000000582</v>
      </c>
      <c r="E15" s="28">
        <f>SUM(E12:E14)</f>
        <v>-5002.7999999999956</v>
      </c>
      <c r="F15" s="21"/>
      <c r="G15" s="113">
        <f>SUM(G12:G14)</f>
        <v>-4610.310335174785</v>
      </c>
      <c r="H15" s="113">
        <f>SUM(H12:H14)</f>
        <v>-5821.4310335175396</v>
      </c>
      <c r="I15" s="113">
        <f>SUM(I12:I14)</f>
        <v>-6403.574136869247</v>
      </c>
      <c r="J15" s="113">
        <f t="shared" ref="J15:K15" si="3">SUM(J12:J14)</f>
        <v>-7043.9315505561608</v>
      </c>
      <c r="K15" s="113">
        <f t="shared" si="3"/>
        <v>-7748.3247056117834</v>
      </c>
    </row>
    <row r="16" spans="2:11">
      <c r="B16" s="23" t="s">
        <v>110</v>
      </c>
      <c r="C16" s="23"/>
      <c r="D16" s="108">
        <f>-(BS!D10-BS!C10)+(BS!D17-BS!C17)</f>
        <v>-2686.2826666666824</v>
      </c>
      <c r="E16" s="108">
        <f>-(BS!E10-BS!D10)+(BS!E17-BS!D17)</f>
        <v>-3570.5095746029638</v>
      </c>
      <c r="F16" s="34"/>
      <c r="G16" s="114">
        <f>-(BS!G10-BS!E10)+(BS!G17-BS!E17)</f>
        <v>2291.7789341974194</v>
      </c>
      <c r="H16" s="114">
        <f>-(BS!H10-BS!G10)+(BS!H17-BS!G17)</f>
        <v>-683.75746404055371</v>
      </c>
      <c r="I16" s="114">
        <f>-(BS!I10-BS!H10)+(BS!I17-BS!H17)</f>
        <v>-752.13321044460827</v>
      </c>
      <c r="J16" s="114">
        <f>-(BS!J10-BS!I10)+(BS!J17-BS!I17)</f>
        <v>-827.34653148907455</v>
      </c>
      <c r="K16" s="114">
        <f>-(BS!K10-BS!J10)+(BS!K17-BS!J17)</f>
        <v>-910.08118463797837</v>
      </c>
    </row>
    <row r="17" spans="2:11">
      <c r="B17" s="23"/>
      <c r="C17" s="23"/>
      <c r="D17" s="23"/>
      <c r="E17" s="23"/>
      <c r="F17" s="34"/>
      <c r="G17" s="114"/>
      <c r="H17" s="114"/>
      <c r="I17" s="114"/>
      <c r="J17" s="114"/>
      <c r="K17" s="114"/>
    </row>
    <row r="18" spans="2:11">
      <c r="B18" s="23" t="s">
        <v>111</v>
      </c>
      <c r="C18" s="23"/>
      <c r="D18" s="108">
        <f>-(BS!D5-BS!C5)+'P&amp;L '!D14</f>
        <v>-8615.7999999999993</v>
      </c>
      <c r="E18" s="108">
        <f>-(BS!E5-BS!D5)+'P&amp;L '!E14</f>
        <v>-13467.459999999995</v>
      </c>
      <c r="F18" s="34"/>
      <c r="G18" s="114">
        <f>-(BS!G5-BS!E5)+'P&amp;L '!G14</f>
        <v>-8372.8707693811848</v>
      </c>
      <c r="H18" s="114">
        <f>-(BS!H5-BS!G5)+'P&amp;L '!H14</f>
        <v>-11032.259076938124</v>
      </c>
      <c r="I18" s="114">
        <f>-(BS!I5-BS!H5)+'P&amp;L '!I14</f>
        <v>-12135.484984631947</v>
      </c>
      <c r="J18" s="114">
        <f>-(BS!J5-BS!I5)+'P&amp;L '!J14</f>
        <v>-13349.033483095143</v>
      </c>
      <c r="K18" s="114">
        <f>-(BS!K5-BS!J5)+'P&amp;L '!K14</f>
        <v>-14683.936831404637</v>
      </c>
    </row>
    <row r="19" spans="2:11">
      <c r="B19" s="23" t="s">
        <v>112</v>
      </c>
      <c r="C19" s="23"/>
      <c r="D19" s="108">
        <f>-(BS!D4-BS!C4)-(BS!D6-BS!C6)</f>
        <v>-885.39999999999964</v>
      </c>
      <c r="E19" s="108">
        <f>-(BS!E4-BS!D4)-(BS!E6-BS!D6)</f>
        <v>-302</v>
      </c>
      <c r="F19" s="53"/>
      <c r="G19" s="114">
        <f>-(BS!G4-BS!E4)-(BS!G6-BS!E6)</f>
        <v>0</v>
      </c>
      <c r="H19" s="114">
        <f>-(BS!H4-BS!G4)-(BS!H6-BS!G6)</f>
        <v>0</v>
      </c>
      <c r="I19" s="114">
        <f>-(BS!I4-BS!H4)-(BS!I6-BS!H6)</f>
        <v>0</v>
      </c>
      <c r="J19" s="114">
        <f>-(BS!J4-BS!I4)-(BS!J6-BS!I6)</f>
        <v>0</v>
      </c>
      <c r="K19" s="114">
        <f>-(BS!K4-BS!J4)-(BS!K6-BS!J6)</f>
        <v>0</v>
      </c>
    </row>
    <row r="20" spans="2:11" ht="9.6" customHeight="1">
      <c r="B20" s="34"/>
      <c r="C20" s="34"/>
      <c r="D20" s="34"/>
      <c r="E20" s="34"/>
      <c r="F20" s="34"/>
      <c r="G20" s="112"/>
      <c r="H20" s="112"/>
      <c r="I20" s="112"/>
      <c r="J20" s="112"/>
      <c r="K20" s="112"/>
    </row>
    <row r="21" spans="2:11">
      <c r="B21" s="23" t="s">
        <v>113</v>
      </c>
      <c r="C21" s="12"/>
      <c r="D21" s="108">
        <f>'P&amp;L '!D18</f>
        <v>-864.30000000000007</v>
      </c>
      <c r="E21" s="108">
        <f>'P&amp;L '!E18</f>
        <v>-320.26</v>
      </c>
      <c r="F21" s="24"/>
      <c r="G21" s="114">
        <f>'P&amp;L '!G18</f>
        <v>0</v>
      </c>
      <c r="H21" s="114">
        <f>'P&amp;L '!H18</f>
        <v>0</v>
      </c>
      <c r="I21" s="114">
        <f>'P&amp;L '!I18</f>
        <v>0</v>
      </c>
      <c r="J21" s="114">
        <f>'P&amp;L '!J18</f>
        <v>0</v>
      </c>
      <c r="K21" s="114">
        <f>'P&amp;L '!K18</f>
        <v>0</v>
      </c>
    </row>
    <row r="22" spans="2:11" ht="4.1500000000000004" customHeight="1">
      <c r="B22" s="34"/>
      <c r="C22" s="34"/>
      <c r="D22" s="34"/>
      <c r="E22" s="34"/>
      <c r="F22" s="34"/>
      <c r="G22" s="112"/>
      <c r="H22" s="112"/>
      <c r="I22" s="112"/>
      <c r="J22" s="112"/>
      <c r="K22" s="112"/>
    </row>
    <row r="23" spans="2:11">
      <c r="B23" s="19" t="s">
        <v>114</v>
      </c>
      <c r="C23" s="19"/>
      <c r="D23" s="37">
        <f>SUM(D10,D15,D16,D18,D19,D21)</f>
        <v>3980.52561285912</v>
      </c>
      <c r="E23" s="37">
        <f>SUM(E10,E15,E16,E18,E19,E21)</f>
        <v>2517.8756635668306</v>
      </c>
      <c r="F23" s="19"/>
      <c r="G23" s="115">
        <f>SUM(G10,G15,G16,G18,G19,G21)</f>
        <v>18565.885669641459</v>
      </c>
      <c r="H23" s="115">
        <f>SUM(H10,H15,H16,H18,H19,H21)</f>
        <v>14433.599049503769</v>
      </c>
      <c r="I23" s="115">
        <f>SUM(I10,I15,I16,I18,I19,I21)</f>
        <v>15664.9889544542</v>
      </c>
      <c r="J23" s="115">
        <f t="shared" ref="J23:K23" si="4">SUM(J10,J15,J16,J18,J19,J21)</f>
        <v>17019.517849899617</v>
      </c>
      <c r="K23" s="115">
        <f t="shared" si="4"/>
        <v>18509.499634889609</v>
      </c>
    </row>
    <row r="24" spans="2:11" ht="8.4499999999999993" customHeight="1">
      <c r="B24" s="24"/>
      <c r="C24" s="34"/>
      <c r="D24" s="34"/>
      <c r="E24" s="34"/>
      <c r="F24" s="34"/>
      <c r="G24" s="112"/>
      <c r="H24" s="112"/>
      <c r="I24" s="112"/>
      <c r="J24" s="112"/>
      <c r="K24" s="112"/>
    </row>
    <row r="25" spans="2:11">
      <c r="B25" s="25" t="s">
        <v>115</v>
      </c>
      <c r="C25" s="53"/>
      <c r="D25" s="32">
        <f>'P&amp;L '!D17</f>
        <v>-2190.9</v>
      </c>
      <c r="E25" s="32">
        <f>'P&amp;L '!E17</f>
        <v>-2663.92</v>
      </c>
      <c r="F25" s="53"/>
      <c r="G25" s="112">
        <f>'P&amp;L '!G17</f>
        <v>-2663.92</v>
      </c>
      <c r="H25" s="112">
        <f>'P&amp;L '!H17</f>
        <v>-2663.92</v>
      </c>
      <c r="I25" s="112">
        <f>'P&amp;L '!I17</f>
        <v>-2663.92</v>
      </c>
      <c r="J25" s="112">
        <f>'P&amp;L '!J17</f>
        <v>-2663.92</v>
      </c>
      <c r="K25" s="112">
        <f>'P&amp;L '!K17</f>
        <v>-2663.92</v>
      </c>
    </row>
    <row r="26" spans="2:11">
      <c r="B26" s="25" t="s">
        <v>116</v>
      </c>
      <c r="C26" s="34"/>
      <c r="D26" s="32">
        <f>'P&amp;L '!D22-'Cash Flow'!D5</f>
        <v>689.83572047420967</v>
      </c>
      <c r="E26" s="32">
        <f>'P&amp;L '!E22-'Cash Flow'!E5</f>
        <v>565.08833643320941</v>
      </c>
      <c r="F26" s="34"/>
      <c r="G26" s="112">
        <f>'P&amp;L '!G22-'Cash Flow'!G5</f>
        <v>479.50560000000041</v>
      </c>
      <c r="H26" s="112">
        <f>'P&amp;L '!H22-'Cash Flow'!H5</f>
        <v>479.5055999999995</v>
      </c>
      <c r="I26" s="112">
        <f>'P&amp;L '!I22-'Cash Flow'!I5</f>
        <v>479.5055999999995</v>
      </c>
      <c r="J26" s="112">
        <f>'P&amp;L '!J22-'Cash Flow'!J5</f>
        <v>479.50560000000041</v>
      </c>
      <c r="K26" s="112">
        <f>'P&amp;L '!K22-'Cash Flow'!K5</f>
        <v>479.5055999999995</v>
      </c>
    </row>
    <row r="27" spans="2:11">
      <c r="B27" s="25" t="s">
        <v>117</v>
      </c>
      <c r="C27" s="49"/>
      <c r="D27" s="32">
        <f>BS!D19-BS!C19</f>
        <v>9352.3999999999942</v>
      </c>
      <c r="E27" s="32">
        <f>BS!E19-BS!D19</f>
        <v>475.39999999999418</v>
      </c>
      <c r="F27" s="10"/>
      <c r="G27" s="112">
        <f>BS!G19-BS!E19</f>
        <v>0</v>
      </c>
      <c r="H27" s="112">
        <f>BS!H19-BS!G19</f>
        <v>0</v>
      </c>
      <c r="I27" s="112">
        <f>BS!I19-BS!H19</f>
        <v>0</v>
      </c>
      <c r="J27" s="112">
        <f>BS!J19-BS!I19</f>
        <v>0</v>
      </c>
      <c r="K27" s="112">
        <f>BS!K19-BS!J19</f>
        <v>0</v>
      </c>
    </row>
    <row r="28" spans="2:11">
      <c r="B28" s="25" t="s">
        <v>118</v>
      </c>
      <c r="C28" s="49"/>
      <c r="D28" s="32">
        <f>BS!D21-BS!C21-'P&amp;L '!D24</f>
        <v>-4214.2613333332665</v>
      </c>
      <c r="E28" s="32">
        <f>BS!E21-BS!D21-'P&amp;L '!E24</f>
        <v>-12129.644000000022</v>
      </c>
      <c r="F28" s="10"/>
      <c r="G28" s="112">
        <f>BS!G21-BS!E21-'P&amp;L '!G24</f>
        <v>0</v>
      </c>
      <c r="H28" s="112">
        <f>BS!H21-BS!G21-'P&amp;L '!H24</f>
        <v>0</v>
      </c>
      <c r="I28" s="112">
        <f>BS!I21-BS!H21-'P&amp;L '!I24</f>
        <v>0</v>
      </c>
      <c r="J28" s="112">
        <f>BS!J21-BS!I21-'P&amp;L '!J24</f>
        <v>0</v>
      </c>
      <c r="K28" s="112">
        <f>BS!K21-BS!J21-'P&amp;L '!K24</f>
        <v>0</v>
      </c>
    </row>
    <row r="29" spans="2:11">
      <c r="B29" s="19" t="s">
        <v>119</v>
      </c>
      <c r="C29" s="19"/>
      <c r="D29" s="37">
        <f>SUM(D23:D28)</f>
        <v>7617.6000000000568</v>
      </c>
      <c r="E29" s="37">
        <f>SUM(E23:E28)</f>
        <v>-11235.199999999988</v>
      </c>
      <c r="F29" s="19"/>
      <c r="G29" s="115">
        <f>SUM(G23:G28)</f>
        <v>16381.471269641459</v>
      </c>
      <c r="H29" s="115">
        <f>SUM(H23:H28)</f>
        <v>12249.184649503768</v>
      </c>
      <c r="I29" s="115">
        <f>SUM(I23:I28)</f>
        <v>13480.574554454201</v>
      </c>
      <c r="J29" s="115">
        <f t="shared" ref="J29:K29" si="5">SUM(J23:J28)</f>
        <v>14835.103449899618</v>
      </c>
      <c r="K29" s="115">
        <f t="shared" si="5"/>
        <v>16325.085234889608</v>
      </c>
    </row>
    <row r="30" spans="2:11">
      <c r="B30" s="24"/>
      <c r="C30" s="34"/>
      <c r="D30" s="34"/>
      <c r="E30" s="34"/>
      <c r="F30" s="34"/>
      <c r="G30" s="32"/>
      <c r="H30" s="32"/>
      <c r="I30" s="32"/>
      <c r="J30" s="32"/>
      <c r="K30" s="32"/>
    </row>
    <row r="31" spans="2:11">
      <c r="B31" s="48" t="s">
        <v>120</v>
      </c>
      <c r="C31" s="49"/>
      <c r="D31" s="109">
        <f>BS!C12</f>
        <v>11791.199999999999</v>
      </c>
      <c r="E31" s="109">
        <f>BS!D12</f>
        <v>19408.8</v>
      </c>
      <c r="F31" s="34"/>
      <c r="G31" s="116">
        <f>BS!E12</f>
        <v>8173.6</v>
      </c>
      <c r="H31" s="32">
        <f>BS!G12</f>
        <v>24555.071269641459</v>
      </c>
      <c r="I31" s="32">
        <f>BS!H12</f>
        <v>36804.255919145231</v>
      </c>
      <c r="J31" s="32">
        <f>BS!I12</f>
        <v>50284.830473599432</v>
      </c>
      <c r="K31" s="32">
        <f>BS!J12</f>
        <v>65119.933923499048</v>
      </c>
    </row>
    <row r="32" spans="2:11">
      <c r="B32" s="49" t="s">
        <v>121</v>
      </c>
      <c r="C32" s="49"/>
      <c r="D32" s="110">
        <f>D31+D29</f>
        <v>19408.800000000054</v>
      </c>
      <c r="E32" s="110">
        <f>E31+E29</f>
        <v>8173.6000000000113</v>
      </c>
      <c r="F32" s="34"/>
      <c r="G32" s="111">
        <f>G31+G29</f>
        <v>24555.071269641459</v>
      </c>
      <c r="H32" s="32">
        <f>H31+H29</f>
        <v>36804.255919145231</v>
      </c>
      <c r="I32" s="32">
        <f>I31+I29</f>
        <v>50284.830473599432</v>
      </c>
      <c r="J32" s="32">
        <f t="shared" ref="J32:K32" si="6">J31+J29</f>
        <v>65119.933923499048</v>
      </c>
      <c r="K32" s="32">
        <f t="shared" si="6"/>
        <v>81445.019158388663</v>
      </c>
    </row>
    <row r="33" spans="2:11">
      <c r="B33" s="34"/>
      <c r="C33" s="34"/>
      <c r="D33" s="34"/>
      <c r="E33" s="34"/>
      <c r="F33" s="34"/>
      <c r="G33" s="32"/>
      <c r="H33" s="32"/>
      <c r="I33" s="32"/>
      <c r="J33" s="32"/>
      <c r="K33" s="32"/>
    </row>
    <row r="34" spans="2:11">
      <c r="B34" s="49" t="s">
        <v>89</v>
      </c>
      <c r="C34" s="49"/>
      <c r="D34" s="111">
        <f>BS!D12</f>
        <v>19408.8</v>
      </c>
      <c r="E34" s="111">
        <f>BS!E12</f>
        <v>8173.6</v>
      </c>
      <c r="F34" s="34"/>
      <c r="G34" s="111">
        <f>BS!G12</f>
        <v>24555.071269641459</v>
      </c>
      <c r="H34" s="32">
        <f>BS!H12</f>
        <v>36804.255919145231</v>
      </c>
      <c r="I34" s="32">
        <f>BS!I12</f>
        <v>50284.830473599432</v>
      </c>
      <c r="J34" s="32">
        <f>BS!J12</f>
        <v>65119.933923499048</v>
      </c>
      <c r="K34" s="32">
        <f>BS!K12</f>
        <v>81445.019158388663</v>
      </c>
    </row>
    <row r="35" spans="2:11">
      <c r="B35" s="49"/>
      <c r="C35" s="49"/>
      <c r="D35" s="49"/>
      <c r="E35" s="49"/>
      <c r="F35" s="34"/>
      <c r="G35" s="49"/>
      <c r="H35" s="34"/>
      <c r="I35" s="32"/>
      <c r="J35" s="34"/>
      <c r="K35" s="34"/>
    </row>
    <row r="36" spans="2:11">
      <c r="B36" s="34"/>
      <c r="C36" s="34"/>
      <c r="D36" s="34"/>
      <c r="E36" s="34"/>
      <c r="F36" s="34"/>
      <c r="G36" s="34"/>
      <c r="H36" s="34"/>
      <c r="I36" s="32"/>
      <c r="J36" s="34"/>
      <c r="K3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2AF2-A620-42D2-AC21-055BCA2CEAA5}">
  <dimension ref="B1:Q26"/>
  <sheetViews>
    <sheetView workbookViewId="0">
      <selection activeCell="D21" sqref="D21"/>
    </sheetView>
  </sheetViews>
  <sheetFormatPr defaultRowHeight="15"/>
  <cols>
    <col min="1" max="1" width="3.42578125" customWidth="1"/>
    <col min="2" max="2" width="19.5703125" bestFit="1" customWidth="1"/>
    <col min="4" max="4" width="10" bestFit="1" customWidth="1"/>
    <col min="6" max="6" width="2.42578125" customWidth="1"/>
  </cols>
  <sheetData>
    <row r="1" spans="2:11" ht="15.75">
      <c r="B1" s="54" t="s">
        <v>122</v>
      </c>
      <c r="C1" s="30"/>
      <c r="D1" s="30"/>
      <c r="E1" s="30"/>
      <c r="F1" s="30"/>
      <c r="G1" s="30"/>
      <c r="H1" s="30"/>
      <c r="I1" s="30"/>
      <c r="J1" s="30"/>
      <c r="K1" s="30"/>
    </row>
    <row r="2" spans="2:11"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2:11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>
      <c r="B4" s="30" t="s">
        <v>123</v>
      </c>
      <c r="C4" s="50">
        <v>0.1</v>
      </c>
      <c r="D4" s="30"/>
      <c r="E4" s="30"/>
      <c r="F4" s="30"/>
      <c r="G4" s="30"/>
      <c r="H4" s="30"/>
      <c r="I4" s="30"/>
      <c r="J4" s="30"/>
      <c r="K4" s="30"/>
    </row>
    <row r="5" spans="2:11">
      <c r="B5" s="30" t="s">
        <v>124</v>
      </c>
      <c r="C5" s="50">
        <v>0.02</v>
      </c>
      <c r="D5" s="30"/>
      <c r="E5" s="30"/>
      <c r="F5" s="30"/>
      <c r="G5" s="30">
        <v>1</v>
      </c>
      <c r="H5" s="30">
        <v>2</v>
      </c>
      <c r="I5" s="30">
        <v>3</v>
      </c>
      <c r="J5" s="30">
        <v>4</v>
      </c>
      <c r="K5" s="30">
        <v>5</v>
      </c>
    </row>
    <row r="6" spans="2:11">
      <c r="B6" s="30"/>
      <c r="C6" s="30"/>
      <c r="D6" s="30"/>
      <c r="E6" s="30"/>
      <c r="F6" s="30"/>
      <c r="G6" s="30">
        <v>1</v>
      </c>
      <c r="H6" s="30">
        <v>2</v>
      </c>
      <c r="I6" s="30">
        <v>3</v>
      </c>
      <c r="J6" s="30">
        <v>4</v>
      </c>
      <c r="K6" s="30">
        <v>5</v>
      </c>
    </row>
    <row r="7" spans="2:11" ht="25.5" thickBot="1">
      <c r="B7" s="2" t="s">
        <v>0</v>
      </c>
      <c r="C7" s="61" t="s">
        <v>23</v>
      </c>
      <c r="D7" s="61" t="s">
        <v>90</v>
      </c>
      <c r="E7" s="61" t="s">
        <v>91</v>
      </c>
      <c r="F7" s="63"/>
      <c r="G7" s="62" t="s">
        <v>24</v>
      </c>
      <c r="H7" s="62" t="s">
        <v>25</v>
      </c>
      <c r="I7" s="62" t="s">
        <v>26</v>
      </c>
      <c r="J7" s="62" t="s">
        <v>92</v>
      </c>
      <c r="K7" s="62" t="s">
        <v>93</v>
      </c>
    </row>
    <row r="8" spans="2:11">
      <c r="B8" s="30" t="s">
        <v>114</v>
      </c>
      <c r="C8" s="30"/>
      <c r="D8" s="52">
        <f>'Cash Flow'!D23</f>
        <v>3980.52561285912</v>
      </c>
      <c r="E8" s="52">
        <f>'Cash Flow'!E23</f>
        <v>2517.8756635668306</v>
      </c>
      <c r="F8" s="30"/>
      <c r="G8" s="44">
        <f>'Cash Flow'!G23</f>
        <v>18565.885669641459</v>
      </c>
      <c r="H8" s="44">
        <f>'Cash Flow'!H23</f>
        <v>14433.599049503769</v>
      </c>
      <c r="I8" s="44">
        <f>'Cash Flow'!I23</f>
        <v>15664.9889544542</v>
      </c>
      <c r="J8" s="44">
        <f>'Cash Flow'!J23</f>
        <v>17019.517849899617</v>
      </c>
      <c r="K8" s="44">
        <f>'Cash Flow'!K23</f>
        <v>18509.499634889609</v>
      </c>
    </row>
    <row r="9" spans="2:11">
      <c r="B9" s="30"/>
      <c r="C9" s="30"/>
      <c r="D9" s="30"/>
      <c r="E9" s="30"/>
      <c r="F9" s="30"/>
      <c r="G9" s="44"/>
      <c r="H9" s="44"/>
      <c r="I9" s="44"/>
      <c r="J9" s="44"/>
      <c r="K9" s="44"/>
    </row>
    <row r="10" spans="2:11">
      <c r="B10" s="30" t="s">
        <v>125</v>
      </c>
      <c r="C10" s="30"/>
      <c r="D10" s="30"/>
      <c r="E10" s="30"/>
      <c r="F10" s="30"/>
      <c r="G10" s="3">
        <f>1/(1+$C$4)^G5</f>
        <v>0.90909090909090906</v>
      </c>
      <c r="H10" s="3">
        <f t="shared" ref="H10:K10" si="0">1/(1+$C$4)^H5</f>
        <v>0.82644628099173545</v>
      </c>
      <c r="I10" s="3">
        <f t="shared" si="0"/>
        <v>0.75131480090157754</v>
      </c>
      <c r="J10" s="3">
        <f t="shared" si="0"/>
        <v>0.68301345536507052</v>
      </c>
      <c r="K10" s="3">
        <f t="shared" si="0"/>
        <v>0.62092132305915493</v>
      </c>
    </row>
    <row r="11" spans="2:11">
      <c r="B11" s="17" t="s">
        <v>126</v>
      </c>
      <c r="C11" s="17"/>
      <c r="D11" s="17"/>
      <c r="E11" s="17"/>
      <c r="F11" s="28"/>
      <c r="G11" s="14">
        <f>G8*G10</f>
        <v>16878.077881492234</v>
      </c>
      <c r="H11" s="14">
        <f t="shared" ref="H11:K11" si="1">H8*H10</f>
        <v>11928.594255788237</v>
      </c>
      <c r="I11" s="14">
        <f t="shared" si="1"/>
        <v>11769.338057441169</v>
      </c>
      <c r="J11" s="14">
        <f t="shared" si="1"/>
        <v>11624.559695307433</v>
      </c>
      <c r="K11" s="14">
        <f t="shared" si="1"/>
        <v>11492.943002458602</v>
      </c>
    </row>
    <row r="12" spans="2:11">
      <c r="B12" s="30"/>
      <c r="C12" s="30"/>
      <c r="D12" s="30"/>
      <c r="E12" s="30"/>
      <c r="F12" s="30"/>
      <c r="G12" s="40"/>
      <c r="H12" s="52"/>
      <c r="I12" s="52"/>
      <c r="J12" s="52"/>
      <c r="K12" s="52"/>
    </row>
    <row r="13" spans="2:11">
      <c r="B13" s="30"/>
      <c r="C13" s="30"/>
      <c r="D13" s="30"/>
      <c r="E13" s="30"/>
      <c r="F13" s="30"/>
      <c r="G13" s="40"/>
      <c r="H13" s="52"/>
      <c r="I13" s="52"/>
      <c r="J13" s="52"/>
      <c r="K13" s="52"/>
    </row>
    <row r="14" spans="2:11">
      <c r="B14" s="124" t="s">
        <v>122</v>
      </c>
      <c r="C14" s="124"/>
      <c r="D14" s="124"/>
      <c r="E14" s="124"/>
      <c r="F14" s="124"/>
      <c r="G14" s="124"/>
      <c r="H14" s="124"/>
      <c r="I14" s="124"/>
      <c r="J14" s="124"/>
      <c r="K14" s="124"/>
    </row>
    <row r="15" spans="2:11">
      <c r="B15" s="30" t="s">
        <v>127</v>
      </c>
      <c r="C15" s="30"/>
      <c r="D15" s="121">
        <f>SUM(G11:K11)</f>
        <v>63693.512892487677</v>
      </c>
      <c r="F15" s="30"/>
      <c r="G15" s="40"/>
      <c r="H15" s="52"/>
      <c r="I15" s="52"/>
      <c r="J15" s="52"/>
      <c r="K15" s="52"/>
    </row>
    <row r="16" spans="2:11">
      <c r="B16" s="30" t="s">
        <v>128</v>
      </c>
      <c r="C16" s="30"/>
      <c r="D16" s="52">
        <f>K8*(1+C5)/(C4-C5)</f>
        <v>235996.12034484252</v>
      </c>
      <c r="E16" s="20"/>
      <c r="F16" s="30"/>
      <c r="G16" s="30"/>
      <c r="H16" s="30"/>
      <c r="I16" s="30"/>
      <c r="J16" s="30"/>
      <c r="K16" s="30"/>
    </row>
    <row r="17" spans="2:17">
      <c r="B17" s="30" t="s">
        <v>129</v>
      </c>
      <c r="C17" s="30"/>
      <c r="D17" s="52">
        <f>D16*K10</f>
        <v>146535.02328134718</v>
      </c>
      <c r="E17" s="20"/>
      <c r="F17" s="30"/>
      <c r="G17" s="30"/>
      <c r="H17" s="30"/>
      <c r="I17" s="30"/>
      <c r="J17" s="30"/>
      <c r="K17" s="30"/>
      <c r="O17" s="122" t="s">
        <v>143</v>
      </c>
      <c r="P17" s="122"/>
      <c r="Q17" s="122"/>
    </row>
    <row r="18" spans="2:17">
      <c r="B18" s="6" t="s">
        <v>130</v>
      </c>
      <c r="C18" s="6"/>
      <c r="D18" s="123">
        <f>D17+D15</f>
        <v>210228.53617383487</v>
      </c>
      <c r="E18" s="30"/>
      <c r="F18" s="30"/>
      <c r="G18" s="30"/>
      <c r="H18" s="30"/>
      <c r="I18" s="30"/>
      <c r="J18" s="30"/>
      <c r="K18" s="30"/>
      <c r="P18" t="s">
        <v>144</v>
      </c>
    </row>
    <row r="19" spans="2:17">
      <c r="B19" s="30" t="s">
        <v>131</v>
      </c>
      <c r="C19" s="30"/>
      <c r="D19" s="52">
        <f>-BS!K19</f>
        <v>-51120.799999999996</v>
      </c>
      <c r="E19" s="30"/>
      <c r="F19" s="30"/>
      <c r="G19" s="30"/>
      <c r="H19" s="30"/>
      <c r="I19" s="30"/>
      <c r="J19" s="30"/>
      <c r="K19" s="30"/>
    </row>
    <row r="20" spans="2:17">
      <c r="B20" s="30" t="s">
        <v>132</v>
      </c>
      <c r="C20" s="30"/>
      <c r="D20" s="52">
        <f>'Cash Flow'!E32</f>
        <v>8173.6000000000113</v>
      </c>
      <c r="E20" s="30"/>
      <c r="F20" s="30"/>
      <c r="G20" s="30"/>
      <c r="H20" s="30"/>
      <c r="I20" s="30"/>
      <c r="J20" s="30"/>
      <c r="K20" s="30"/>
    </row>
    <row r="21" spans="2:17">
      <c r="B21" s="6" t="s">
        <v>133</v>
      </c>
      <c r="C21" s="6"/>
      <c r="D21" s="6">
        <f>SUM(D18:D20)</f>
        <v>167281.33617383489</v>
      </c>
      <c r="E21" s="30"/>
      <c r="F21" s="30"/>
      <c r="G21" s="39">
        <f>C18</f>
        <v>0</v>
      </c>
      <c r="H21" s="42">
        <v>0.09</v>
      </c>
      <c r="I21" s="42">
        <v>0.1</v>
      </c>
      <c r="J21" s="42">
        <v>0.11</v>
      </c>
      <c r="K21" s="42">
        <v>0.12</v>
      </c>
    </row>
    <row r="22" spans="2:17">
      <c r="B22" s="30"/>
      <c r="C22" s="30"/>
      <c r="D22" s="30"/>
      <c r="E22" s="30"/>
      <c r="F22" s="30"/>
      <c r="G22" s="38">
        <v>0.01</v>
      </c>
      <c r="H22" s="52"/>
      <c r="I22" s="52"/>
      <c r="J22" s="52"/>
      <c r="K22" s="52"/>
    </row>
    <row r="23" spans="2:17">
      <c r="B23" s="30"/>
      <c r="C23" s="30"/>
      <c r="D23" s="30"/>
      <c r="E23" s="30"/>
      <c r="F23" s="30"/>
      <c r="G23" s="38">
        <v>0.02</v>
      </c>
      <c r="H23" s="52"/>
      <c r="I23" s="52"/>
      <c r="J23" s="52"/>
      <c r="K23" s="52"/>
    </row>
    <row r="24" spans="2:17">
      <c r="B24" s="30"/>
      <c r="C24" s="30"/>
      <c r="D24" s="30"/>
      <c r="E24" s="30"/>
      <c r="F24" s="30"/>
      <c r="G24" s="38">
        <v>0.03</v>
      </c>
      <c r="H24" s="52"/>
      <c r="I24" s="52"/>
      <c r="J24" s="52"/>
      <c r="K24" s="52"/>
    </row>
    <row r="25" spans="2:17">
      <c r="B25" s="30"/>
      <c r="C25" s="30"/>
      <c r="D25" s="30"/>
      <c r="E25" s="30"/>
      <c r="F25" s="30"/>
      <c r="G25" s="38">
        <v>0.04</v>
      </c>
      <c r="H25" s="52"/>
      <c r="I25" s="52"/>
      <c r="J25" s="52"/>
      <c r="K25" s="52"/>
    </row>
    <row r="26" spans="2:17"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1">
    <mergeCell ref="B14: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P&amp;L Source</vt:lpstr>
      <vt:lpstr>BS source</vt:lpstr>
      <vt:lpstr>P&amp;L assumptions</vt:lpstr>
      <vt:lpstr>BS assumptions</vt:lpstr>
      <vt:lpstr>P&amp;L </vt:lpstr>
      <vt:lpstr>BS</vt:lpstr>
      <vt:lpstr>Cash Flow</vt:lpstr>
      <vt:lpstr>DCF Valuation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 Rattan Kaur Bajaj</dc:creator>
  <cp:lastModifiedBy>DELL</cp:lastModifiedBy>
  <dcterms:created xsi:type="dcterms:W3CDTF">2023-07-04T14:34:58Z</dcterms:created>
  <dcterms:modified xsi:type="dcterms:W3CDTF">2024-06-23T10:35:56Z</dcterms:modified>
</cp:coreProperties>
</file>