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F37A7E55-37CB-4190-8796-A77973A50A8A}" xr6:coauthVersionLast="46" xr6:coauthVersionMax="47" xr10:uidLastSave="{00000000-0000-0000-0000-000000000000}"/>
  <bookViews>
    <workbookView xWindow="-120" yWindow="-120" windowWidth="20730" windowHeight="11160" activeTab="3" xr2:uid="{4B7B4260-BE13-4457-9936-44AFFE294F0E}"/>
  </bookViews>
  <sheets>
    <sheet name="historical data" sheetId="1" r:id="rId1"/>
    <sheet name="assumptions" sheetId="2" r:id="rId2"/>
    <sheet name="P&amp;L" sheetId="3" r:id="rId3"/>
    <sheet name="BS" sheetId="4" r:id="rId4"/>
    <sheet name="Cashflow" sheetId="5" r:id="rId5"/>
    <sheet name="Equity Schedule" sheetId="6" r:id="rId6"/>
    <sheet name="FARF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G14" i="4"/>
  <c r="H14" i="4"/>
  <c r="I14" i="4"/>
  <c r="J8" i="5" s="1"/>
  <c r="E14" i="4"/>
  <c r="F8" i="5"/>
  <c r="H8" i="5"/>
  <c r="I8" i="5"/>
  <c r="G14" i="5"/>
  <c r="H14" i="5"/>
  <c r="I14" i="5"/>
  <c r="J14" i="5"/>
  <c r="F14" i="5"/>
  <c r="F15" i="4"/>
  <c r="F17" i="4" s="1"/>
  <c r="G15" i="4"/>
  <c r="G17" i="4" s="1"/>
  <c r="H15" i="4"/>
  <c r="H17" i="4" s="1"/>
  <c r="E15" i="4"/>
  <c r="E17" i="4" s="1"/>
  <c r="F18" i="4"/>
  <c r="G18" i="4"/>
  <c r="H18" i="4"/>
  <c r="I18" i="4"/>
  <c r="E18" i="4"/>
  <c r="F6" i="4"/>
  <c r="G6" i="4"/>
  <c r="H6" i="4"/>
  <c r="I6" i="4"/>
  <c r="E6" i="4"/>
  <c r="F7" i="4"/>
  <c r="G7" i="4" s="1"/>
  <c r="H7" i="4" s="1"/>
  <c r="I7" i="4" s="1"/>
  <c r="E7" i="4"/>
  <c r="H9" i="7"/>
  <c r="G9" i="7"/>
  <c r="E9" i="7"/>
  <c r="E8" i="7" s="1"/>
  <c r="E10" i="4"/>
  <c r="E8" i="5"/>
  <c r="D8" i="5"/>
  <c r="E8" i="4"/>
  <c r="D7" i="5"/>
  <c r="E7" i="5"/>
  <c r="C7" i="5"/>
  <c r="C39" i="2"/>
  <c r="D39" i="2"/>
  <c r="B39" i="2"/>
  <c r="F9" i="4"/>
  <c r="G9" i="4"/>
  <c r="H9" i="4"/>
  <c r="I9" i="4"/>
  <c r="B17" i="4"/>
  <c r="C18" i="3"/>
  <c r="D18" i="3"/>
  <c r="B18" i="3"/>
  <c r="C16" i="3"/>
  <c r="D16" i="3"/>
  <c r="B16" i="3"/>
  <c r="B15" i="3"/>
  <c r="I15" i="4" l="1"/>
  <c r="I17" i="4" s="1"/>
  <c r="G8" i="5"/>
  <c r="C42" i="2"/>
  <c r="D42" i="2"/>
  <c r="B42" i="2"/>
  <c r="C40" i="2"/>
  <c r="D40" i="2"/>
  <c r="B40" i="2"/>
  <c r="C38" i="2"/>
  <c r="D38" i="2"/>
  <c r="B38" i="2"/>
  <c r="D17" i="4"/>
  <c r="D11" i="4"/>
  <c r="D8" i="4"/>
  <c r="D12" i="5"/>
  <c r="D14" i="5"/>
  <c r="E11" i="5"/>
  <c r="D11" i="5"/>
  <c r="E10" i="5"/>
  <c r="D10" i="5"/>
  <c r="D9" i="5"/>
  <c r="D13" i="5" l="1"/>
  <c r="D16" i="5" s="1"/>
  <c r="E9" i="5"/>
  <c r="D6" i="5" l="1"/>
  <c r="E6" i="5"/>
  <c r="C6" i="5"/>
  <c r="D5" i="5"/>
  <c r="E5" i="5"/>
  <c r="D18" i="4"/>
  <c r="C15" i="3"/>
  <c r="D15" i="3"/>
  <c r="B12" i="1"/>
  <c r="C17" i="3"/>
  <c r="D17" i="3"/>
  <c r="B17" i="3"/>
  <c r="C14" i="3"/>
  <c r="D14" i="3"/>
  <c r="B14" i="3"/>
  <c r="C12" i="3"/>
  <c r="D12" i="3"/>
  <c r="B12" i="3"/>
  <c r="C11" i="3"/>
  <c r="D11" i="3"/>
  <c r="B11" i="3"/>
  <c r="C9" i="3"/>
  <c r="D9" i="3"/>
  <c r="B9" i="3"/>
  <c r="C8" i="3"/>
  <c r="D8" i="3"/>
  <c r="B8" i="3"/>
  <c r="F9" i="7" l="1"/>
  <c r="E38" i="2"/>
  <c r="I15" i="1"/>
  <c r="G6" i="7" l="1"/>
  <c r="E42" i="2"/>
  <c r="C5" i="5" l="1"/>
  <c r="B6" i="4"/>
  <c r="C16" i="4"/>
  <c r="D16" i="4"/>
  <c r="C15" i="4"/>
  <c r="D15" i="4"/>
  <c r="C14" i="4"/>
  <c r="D14" i="4"/>
  <c r="B14" i="4"/>
  <c r="B15" i="4"/>
  <c r="B16" i="4"/>
  <c r="C13" i="4"/>
  <c r="D13" i="4"/>
  <c r="B13" i="4"/>
  <c r="B18" i="4" s="1"/>
  <c r="C9" i="4"/>
  <c r="D9" i="4"/>
  <c r="D10" i="4" s="1"/>
  <c r="B9" i="4"/>
  <c r="C8" i="4"/>
  <c r="B8" i="4"/>
  <c r="C7" i="4"/>
  <c r="D7" i="4"/>
  <c r="B7" i="4"/>
  <c r="C6" i="4"/>
  <c r="D6" i="4"/>
  <c r="C10" i="3"/>
  <c r="D10" i="3"/>
  <c r="B10" i="3"/>
  <c r="E6" i="7"/>
  <c r="I16" i="1"/>
  <c r="F28" i="2"/>
  <c r="G28" i="2"/>
  <c r="H28" i="2"/>
  <c r="I28" i="2"/>
  <c r="E28" i="2"/>
  <c r="E27" i="2" s="1"/>
  <c r="F22" i="2"/>
  <c r="G22" i="2"/>
  <c r="H22" i="2"/>
  <c r="I22" i="2"/>
  <c r="E22" i="2"/>
  <c r="E21" i="2" s="1"/>
  <c r="F16" i="2"/>
  <c r="G16" i="2"/>
  <c r="H16" i="2"/>
  <c r="I16" i="2"/>
  <c r="E16" i="2"/>
  <c r="F10" i="2"/>
  <c r="G10" i="2"/>
  <c r="H10" i="2"/>
  <c r="I10" i="2"/>
  <c r="E10" i="2"/>
  <c r="E9" i="2" s="1"/>
  <c r="E4" i="2"/>
  <c r="E3" i="2" s="1"/>
  <c r="C33" i="2"/>
  <c r="D33" i="2"/>
  <c r="B33" i="2"/>
  <c r="C27" i="2"/>
  <c r="D27" i="2"/>
  <c r="B27" i="2"/>
  <c r="C21" i="2"/>
  <c r="D21" i="2"/>
  <c r="B21" i="2"/>
  <c r="C15" i="2"/>
  <c r="D15" i="2"/>
  <c r="B15" i="2"/>
  <c r="C9" i="2"/>
  <c r="D9" i="2"/>
  <c r="B9" i="2"/>
  <c r="E15" i="2" l="1"/>
  <c r="E8" i="3"/>
  <c r="E9" i="4"/>
  <c r="F11" i="5" s="1"/>
  <c r="F15" i="2"/>
  <c r="E11" i="3"/>
  <c r="F21" i="2"/>
  <c r="F12" i="3" s="1"/>
  <c r="E12" i="3"/>
  <c r="F9" i="2"/>
  <c r="F9" i="3" s="1"/>
  <c r="E9" i="3"/>
  <c r="E10" i="3" s="1"/>
  <c r="F27" i="2"/>
  <c r="F14" i="3" s="1"/>
  <c r="E14" i="3"/>
  <c r="G15" i="2"/>
  <c r="G21" i="2"/>
  <c r="C17" i="4"/>
  <c r="C18" i="4"/>
  <c r="C10" i="4"/>
  <c r="C11" i="4"/>
  <c r="B10" i="4"/>
  <c r="B11" i="4"/>
  <c r="B21" i="4" s="1"/>
  <c r="D21" i="4"/>
  <c r="F11" i="3" l="1"/>
  <c r="H15" i="2"/>
  <c r="G11" i="3"/>
  <c r="H21" i="2"/>
  <c r="G12" i="3"/>
  <c r="G27" i="2"/>
  <c r="G9" i="2"/>
  <c r="C21" i="4"/>
  <c r="H9" i="2" l="1"/>
  <c r="G9" i="3"/>
  <c r="H27" i="2"/>
  <c r="G14" i="3"/>
  <c r="I21" i="2"/>
  <c r="I12" i="3" s="1"/>
  <c r="H12" i="3"/>
  <c r="I15" i="2"/>
  <c r="H11" i="3"/>
  <c r="C3" i="2"/>
  <c r="D3" i="2"/>
  <c r="D13" i="3"/>
  <c r="F7" i="7"/>
  <c r="F6" i="7"/>
  <c r="C13" i="3"/>
  <c r="E7" i="7"/>
  <c r="E12" i="7"/>
  <c r="B13" i="3"/>
  <c r="J16" i="1"/>
  <c r="K16" i="1"/>
  <c r="J15" i="1"/>
  <c r="K15" i="1"/>
  <c r="J9" i="1"/>
  <c r="K9" i="1"/>
  <c r="I9" i="1"/>
  <c r="J8" i="1"/>
  <c r="K8" i="1"/>
  <c r="I8" i="1"/>
  <c r="C6" i="1"/>
  <c r="D6" i="1"/>
  <c r="B6" i="1"/>
  <c r="B13" i="1"/>
  <c r="B16" i="1" s="1"/>
  <c r="B17" i="1" s="1"/>
  <c r="C12" i="1"/>
  <c r="D12" i="1"/>
  <c r="E14" i="5"/>
  <c r="F5" i="6"/>
  <c r="F4" i="2"/>
  <c r="F3" i="2" s="1"/>
  <c r="G4" i="2"/>
  <c r="H4" i="2"/>
  <c r="I4" i="2"/>
  <c r="C13" i="1"/>
  <c r="C16" i="1"/>
  <c r="C17" i="1"/>
  <c r="D13" i="1"/>
  <c r="D16" i="1"/>
  <c r="D17" i="1"/>
  <c r="E39" i="2"/>
  <c r="E40" i="2"/>
  <c r="E16" i="4" s="1"/>
  <c r="F10" i="5" s="1"/>
  <c r="E11" i="7"/>
  <c r="F8" i="7" l="1"/>
  <c r="F11" i="7"/>
  <c r="G8" i="4"/>
  <c r="H8" i="4"/>
  <c r="I8" i="4"/>
  <c r="F8" i="4"/>
  <c r="F8" i="3"/>
  <c r="F10" i="3" s="1"/>
  <c r="G11" i="5"/>
  <c r="F16" i="4"/>
  <c r="G10" i="5" s="1"/>
  <c r="I11" i="3"/>
  <c r="I27" i="2"/>
  <c r="I14" i="3" s="1"/>
  <c r="H14" i="3"/>
  <c r="I9" i="2"/>
  <c r="I9" i="3" s="1"/>
  <c r="H9" i="3"/>
  <c r="G3" i="2"/>
  <c r="J11" i="7" l="1"/>
  <c r="K11" i="7"/>
  <c r="I11" i="7"/>
  <c r="H11" i="7"/>
  <c r="G11" i="7"/>
  <c r="G7" i="7" s="1"/>
  <c r="E13" i="3" s="1"/>
  <c r="E15" i="3" s="1"/>
  <c r="E12" i="5"/>
  <c r="F12" i="7"/>
  <c r="G12" i="7" s="1"/>
  <c r="G8" i="7" s="1"/>
  <c r="J9" i="5"/>
  <c r="I9" i="5"/>
  <c r="H9" i="5"/>
  <c r="G9" i="5"/>
  <c r="F9" i="5"/>
  <c r="H11" i="5"/>
  <c r="G16" i="4"/>
  <c r="H10" i="5" s="1"/>
  <c r="F10" i="4"/>
  <c r="H3" i="2"/>
  <c r="G8" i="3"/>
  <c r="G10" i="3" s="1"/>
  <c r="H12" i="7" l="1"/>
  <c r="J12" i="7"/>
  <c r="E13" i="5"/>
  <c r="E16" i="5" s="1"/>
  <c r="K12" i="7"/>
  <c r="I12" i="7"/>
  <c r="E16" i="3"/>
  <c r="I11" i="5"/>
  <c r="H16" i="4"/>
  <c r="I10" i="5" s="1"/>
  <c r="G10" i="4"/>
  <c r="I3" i="2"/>
  <c r="H8" i="3"/>
  <c r="H10" i="3" s="1"/>
  <c r="E17" i="3" l="1"/>
  <c r="F6" i="5" s="1"/>
  <c r="F5" i="5"/>
  <c r="F7" i="5" s="1"/>
  <c r="H10" i="4"/>
  <c r="I8" i="3"/>
  <c r="I10" i="3" s="1"/>
  <c r="J11" i="5"/>
  <c r="I16" i="4"/>
  <c r="J10" i="5" s="1"/>
  <c r="E18" i="3" l="1"/>
  <c r="I10" i="4"/>
  <c r="F12" i="5"/>
  <c r="H6" i="7"/>
  <c r="F7" i="6" l="1"/>
  <c r="F8" i="6" s="1"/>
  <c r="F9" i="6" s="1"/>
  <c r="G5" i="6" s="1"/>
  <c r="F13" i="5"/>
  <c r="F16" i="5" s="1"/>
  <c r="H8" i="7"/>
  <c r="G12" i="5" s="1"/>
  <c r="H7" i="7"/>
  <c r="F13" i="3" s="1"/>
  <c r="F15" i="3" s="1"/>
  <c r="F16" i="3" s="1"/>
  <c r="E13" i="4"/>
  <c r="I6" i="7" l="1"/>
  <c r="F13" i="4"/>
  <c r="F17" i="3"/>
  <c r="G6" i="5" s="1"/>
  <c r="G5" i="5"/>
  <c r="G7" i="5" l="1"/>
  <c r="G13" i="5" s="1"/>
  <c r="G16" i="5" s="1"/>
  <c r="F18" i="3"/>
  <c r="G7" i="6" s="1"/>
  <c r="I8" i="7"/>
  <c r="H12" i="5" s="1"/>
  <c r="I7" i="7"/>
  <c r="G13" i="3" s="1"/>
  <c r="G15" i="3" s="1"/>
  <c r="G16" i="3" s="1"/>
  <c r="I9" i="7" l="1"/>
  <c r="H5" i="5"/>
  <c r="G17" i="3"/>
  <c r="H6" i="5" s="1"/>
  <c r="G8" i="6"/>
  <c r="G9" i="6" s="1"/>
  <c r="H5" i="6" s="1"/>
  <c r="H7" i="5" l="1"/>
  <c r="H13" i="5" s="1"/>
  <c r="H16" i="5" s="1"/>
  <c r="G18" i="3"/>
  <c r="J6" i="7"/>
  <c r="G13" i="4"/>
  <c r="H7" i="6" l="1"/>
  <c r="J8" i="7"/>
  <c r="I12" i="5" s="1"/>
  <c r="J7" i="7"/>
  <c r="H13" i="3" s="1"/>
  <c r="H15" i="3" s="1"/>
  <c r="H16" i="3" s="1"/>
  <c r="J9" i="7" l="1"/>
  <c r="K6" i="7"/>
  <c r="H13" i="4"/>
  <c r="H17" i="3"/>
  <c r="I6" i="5" s="1"/>
  <c r="I5" i="5"/>
  <c r="H8" i="6"/>
  <c r="H9" i="6" s="1"/>
  <c r="I5" i="6" s="1"/>
  <c r="I7" i="5" l="1"/>
  <c r="I13" i="5" s="1"/>
  <c r="I16" i="5" s="1"/>
  <c r="H18" i="3"/>
  <c r="I7" i="6" s="1"/>
  <c r="I8" i="6" s="1"/>
  <c r="K8" i="7"/>
  <c r="J12" i="5" s="1"/>
  <c r="K7" i="7"/>
  <c r="I13" i="3" s="1"/>
  <c r="I15" i="3" s="1"/>
  <c r="I16" i="3" s="1"/>
  <c r="I9" i="6" l="1"/>
  <c r="J5" i="6" s="1"/>
  <c r="K9" i="7"/>
  <c r="I13" i="4" s="1"/>
  <c r="J5" i="5"/>
  <c r="I17" i="3"/>
  <c r="J6" i="5" s="1"/>
  <c r="J7" i="5" l="1"/>
  <c r="J13" i="5" s="1"/>
  <c r="J16" i="5" s="1"/>
  <c r="I18" i="3"/>
  <c r="J7" i="6" l="1"/>
  <c r="J8" i="6" l="1"/>
  <c r="J9" i="6"/>
  <c r="F11" i="4" l="1"/>
  <c r="F21" i="4" s="1"/>
  <c r="G11" i="4"/>
  <c r="G21" i="4" s="1"/>
  <c r="H11" i="4" l="1"/>
  <c r="H21" i="4" s="1"/>
  <c r="E11" i="4"/>
  <c r="E21" i="4" s="1"/>
  <c r="I11" i="4" l="1"/>
  <c r="I21" i="4" s="1"/>
</calcChain>
</file>

<file path=xl/sharedStrings.xml><?xml version="1.0" encoding="utf-8"?>
<sst xmlns="http://schemas.openxmlformats.org/spreadsheetml/2006/main" count="180" uniqueCount="81">
  <si>
    <t>In ₹Crores</t>
  </si>
  <si>
    <t>FY 2018</t>
  </si>
  <si>
    <t>FY 2019</t>
  </si>
  <si>
    <t>FY 2020</t>
  </si>
  <si>
    <t>Operating Revenues</t>
  </si>
  <si>
    <t>Total Shareholders Funds</t>
  </si>
  <si>
    <t>Other Income</t>
  </si>
  <si>
    <t>Total Non-Current Liabilities</t>
  </si>
  <si>
    <t>Total Revenue</t>
  </si>
  <si>
    <t>Trade Payables</t>
  </si>
  <si>
    <t>Other Current Liabilities</t>
  </si>
  <si>
    <t>Employee Benefit Expenses</t>
  </si>
  <si>
    <t>Total Current Liabilities</t>
  </si>
  <si>
    <t>Total Liabilities</t>
  </si>
  <si>
    <t>Depreciation And Amortisation Expenses</t>
  </si>
  <si>
    <t>ASSETS</t>
  </si>
  <si>
    <t>Other Expenses</t>
  </si>
  <si>
    <t>PP&amp;E</t>
  </si>
  <si>
    <t>Total Expenses</t>
  </si>
  <si>
    <t>Trade Receivables</t>
  </si>
  <si>
    <t>EBIT</t>
  </si>
  <si>
    <t>Cash And Cash Equivalents</t>
  </si>
  <si>
    <t>Other Current Assets</t>
  </si>
  <si>
    <t>Tax</t>
  </si>
  <si>
    <t>Total Current Assets</t>
  </si>
  <si>
    <t>PAT</t>
  </si>
  <si>
    <t>Total Assets</t>
  </si>
  <si>
    <t>Profit/Loss For The Period</t>
  </si>
  <si>
    <t>FY 2021</t>
  </si>
  <si>
    <t>P&amp;L Assumptions:</t>
  </si>
  <si>
    <t>% Operating Revenue Growth</t>
  </si>
  <si>
    <t>Selected Scenario</t>
  </si>
  <si>
    <t>Best Case</t>
  </si>
  <si>
    <t>Base Case</t>
  </si>
  <si>
    <t>Worst Case</t>
  </si>
  <si>
    <t>% Other Income Growth</t>
  </si>
  <si>
    <t>% Employee Benefit Growth</t>
  </si>
  <si>
    <t>% Other expense Growth</t>
  </si>
  <si>
    <t>Taxes</t>
  </si>
  <si>
    <t>BS Assumption</t>
  </si>
  <si>
    <t>Days Sales Outstanding</t>
  </si>
  <si>
    <t>Days Payables Outstanding</t>
  </si>
  <si>
    <t>Other assets as % of Revenue</t>
  </si>
  <si>
    <t>Other Current Liabilities as % of Revenue</t>
  </si>
  <si>
    <t>Scenarios :</t>
  </si>
  <si>
    <t>Historical Period</t>
  </si>
  <si>
    <t>Forecast Period</t>
  </si>
  <si>
    <t>FY 2022</t>
  </si>
  <si>
    <t>FY 2023</t>
  </si>
  <si>
    <t>FY 2024</t>
  </si>
  <si>
    <t>FY 2025</t>
  </si>
  <si>
    <t>D&amp;A</t>
  </si>
  <si>
    <t>COGS</t>
  </si>
  <si>
    <t>EBIT (EBT)</t>
  </si>
  <si>
    <t>Net Income</t>
  </si>
  <si>
    <t>Check</t>
  </si>
  <si>
    <t>EBITDA</t>
  </si>
  <si>
    <t>NOPAT</t>
  </si>
  <si>
    <t>Change in Trade Receivable</t>
  </si>
  <si>
    <t>Change in Trade Payable</t>
  </si>
  <si>
    <t>Change in other Assets</t>
  </si>
  <si>
    <t>Change in other Liabilities</t>
  </si>
  <si>
    <t>Capex</t>
  </si>
  <si>
    <t>UFCF</t>
  </si>
  <si>
    <t>Dividends</t>
  </si>
  <si>
    <t>Net Cashflow</t>
  </si>
  <si>
    <t>Equity Schedule</t>
  </si>
  <si>
    <t>Beginning Equity</t>
  </si>
  <si>
    <t>Increase of Capital</t>
  </si>
  <si>
    <t>Net Income/Loss</t>
  </si>
  <si>
    <t>Ending Equity</t>
  </si>
  <si>
    <t>Dividend as a % of Net Income</t>
  </si>
  <si>
    <t>FARF - Fixed Assets Roll Forward</t>
  </si>
  <si>
    <t>Beginning PP&amp;E</t>
  </si>
  <si>
    <t>Ending PP&amp;E</t>
  </si>
  <si>
    <t>D&amp;A as a beginning % of PP&amp;E</t>
  </si>
  <si>
    <t>Capex as a beginning % of PP&amp;E</t>
  </si>
  <si>
    <t>Finance cost</t>
  </si>
  <si>
    <t>TOTAL EXPENSES</t>
  </si>
  <si>
    <t>% COGS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</si>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</sst>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%"/>
    <numFmt numFmtId="167" formatCode="#,##0;[Red]\(#,##0\)"/>
    <numFmt numFmtId="168" formatCode="0.0"/>
    <numFmt numFmtId="169" formatCode="_ * #,##0_ ;_ * \-#,##0_ ;_ * &quot;-&quot;??_ ;_ @_ "/>
    <numFmt numFmtId="170" formatCode="#,##0.0_);\(#,##0.0\)"/>
    <numFmt numFmtId="171" formatCode="#,##0;\(#,##0\)"/>
    <numFmt numFmtId="172" formatCode="_(* #,##0_);_(* \(#,##0\);_(* &quot;-&quot;??_);_(@_)"/>
  </numFmts>
  <fonts count="2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Arial"/>
      <family val="2"/>
    </font>
    <font>
      <b/>
      <sz val="11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b/>
      <sz val="11"/>
      <color theme="3"/>
      <name val="Arial"/>
      <family val="2"/>
    </font>
    <font>
      <sz val="9"/>
      <color theme="3"/>
      <name val="Arial"/>
      <family val="2"/>
    </font>
    <font>
      <b/>
      <sz val="10"/>
      <color theme="3"/>
      <name val="Arial"/>
      <family val="2"/>
    </font>
    <font>
      <sz val="11"/>
      <color theme="3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Trellis"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Trellis"/>
    </fill>
    <fill>
      <patternFill patternType="mediumGray">
        <bgColor theme="0" tint="-4.9989318521683403E-2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rgb="FFEEEEEE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EEEEEE"/>
      </left>
      <right style="medium">
        <color rgb="FFEEEEEE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EEEEEE"/>
      </left>
      <right/>
      <top/>
      <bottom/>
      <diagonal/>
    </border>
  </borders>
  <cellStyleXfs count="9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13" fillId="4" borderId="12"/>
    <xf numFmtId="164" fontId="3" fillId="0" borderId="0" applyFont="0" applyFill="0" applyBorder="0" applyAlignment="0" applyProtection="0"/>
    <xf numFmtId="0" fontId="14" fillId="0" borderId="1" applyNumberFormat="0" applyFill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1"/>
    <xf numFmtId="0" fontId="6" fillId="4" borderId="3" xfId="1" applyFont="1" applyFill="1" applyBorder="1"/>
    <xf numFmtId="0" fontId="19" fillId="2" borderId="2" xfId="1" applyFont="1" applyFill="1" applyBorder="1" applyAlignment="1">
      <alignment vertical="center" wrapText="1"/>
    </xf>
    <xf numFmtId="3" fontId="19" fillId="2" borderId="2" xfId="1" applyNumberFormat="1" applyFont="1" applyFill="1" applyBorder="1" applyAlignment="1">
      <alignment horizontal="right" vertical="center"/>
    </xf>
    <xf numFmtId="0" fontId="24" fillId="2" borderId="2" xfId="1" applyFont="1" applyFill="1" applyBorder="1" applyAlignment="1">
      <alignment vertical="center" wrapText="1"/>
    </xf>
    <xf numFmtId="3" fontId="24" fillId="2" borderId="2" xfId="1" applyNumberFormat="1" applyFont="1" applyFill="1" applyBorder="1" applyAlignment="1">
      <alignment horizontal="right" vertical="center"/>
    </xf>
    <xf numFmtId="0" fontId="19" fillId="3" borderId="4" xfId="1" applyFont="1" applyFill="1" applyBorder="1" applyAlignment="1">
      <alignment vertical="center" wrapText="1"/>
    </xf>
    <xf numFmtId="3" fontId="19" fillId="3" borderId="4" xfId="1" applyNumberFormat="1" applyFont="1" applyFill="1" applyBorder="1" applyAlignment="1">
      <alignment horizontal="right" vertical="center"/>
    </xf>
    <xf numFmtId="0" fontId="19" fillId="3" borderId="2" xfId="1" applyFont="1" applyFill="1" applyBorder="1" applyAlignment="1">
      <alignment vertical="center" wrapText="1"/>
    </xf>
    <xf numFmtId="3" fontId="19" fillId="3" borderId="2" xfId="1" applyNumberFormat="1" applyFont="1" applyFill="1" applyBorder="1" applyAlignment="1">
      <alignment horizontal="right" vertical="center"/>
    </xf>
    <xf numFmtId="0" fontId="19" fillId="4" borderId="2" xfId="1" applyFont="1" applyFill="1" applyBorder="1" applyAlignment="1">
      <alignment vertical="center" wrapText="1"/>
    </xf>
    <xf numFmtId="3" fontId="19" fillId="4" borderId="2" xfId="1" applyNumberFormat="1" applyFont="1" applyFill="1" applyBorder="1" applyAlignment="1">
      <alignment horizontal="right" vertical="center" wrapText="1"/>
    </xf>
    <xf numFmtId="3" fontId="24" fillId="2" borderId="2" xfId="1" applyNumberFormat="1" applyFont="1" applyFill="1" applyBorder="1" applyAlignment="1">
      <alignment horizontal="right" vertical="center" wrapText="1"/>
    </xf>
    <xf numFmtId="0" fontId="19" fillId="4" borderId="4" xfId="1" applyFont="1" applyFill="1" applyBorder="1" applyAlignment="1">
      <alignment vertical="center" wrapText="1"/>
    </xf>
    <xf numFmtId="3" fontId="19" fillId="4" borderId="4" xfId="1" applyNumberFormat="1" applyFont="1" applyFill="1" applyBorder="1" applyAlignment="1">
      <alignment horizontal="right" vertical="center" wrapText="1"/>
    </xf>
    <xf numFmtId="0" fontId="23" fillId="3" borderId="2" xfId="1" applyFont="1" applyFill="1" applyBorder="1" applyAlignment="1">
      <alignment vertical="center" wrapText="1"/>
    </xf>
    <xf numFmtId="3" fontId="19" fillId="3" borderId="2" xfId="1" applyNumberFormat="1" applyFont="1" applyFill="1" applyBorder="1" applyAlignment="1">
      <alignment horizontal="right" vertical="center" wrapText="1"/>
    </xf>
    <xf numFmtId="0" fontId="24" fillId="4" borderId="2" xfId="1" applyFont="1" applyFill="1" applyBorder="1" applyAlignment="1">
      <alignment vertical="center" wrapText="1"/>
    </xf>
    <xf numFmtId="3" fontId="24" fillId="4" borderId="2" xfId="1" applyNumberFormat="1" applyFont="1" applyFill="1" applyBorder="1" applyAlignment="1">
      <alignment horizontal="right" vertical="center"/>
    </xf>
    <xf numFmtId="0" fontId="25" fillId="4" borderId="1" xfId="6" applyFont="1" applyFill="1" applyAlignment="1">
      <alignment vertical="center" wrapText="1"/>
    </xf>
    <xf numFmtId="3" fontId="25" fillId="4" borderId="1" xfId="6" applyNumberFormat="1" applyFont="1" applyFill="1" applyAlignment="1">
      <alignment horizontal="right" vertical="center" wrapText="1"/>
    </xf>
    <xf numFmtId="167" fontId="0" fillId="0" borderId="0" xfId="0" applyNumberFormat="1"/>
    <xf numFmtId="0" fontId="3" fillId="4" borderId="0" xfId="1" applyFill="1"/>
    <xf numFmtId="0" fontId="8" fillId="8" borderId="3" xfId="1" applyFont="1" applyFill="1" applyBorder="1"/>
    <xf numFmtId="0" fontId="3" fillId="8" borderId="6" xfId="1" applyFill="1" applyBorder="1"/>
    <xf numFmtId="0" fontId="3" fillId="8" borderId="0" xfId="1" applyFill="1"/>
    <xf numFmtId="0" fontId="8" fillId="8" borderId="6" xfId="1" applyFont="1" applyFill="1" applyBorder="1"/>
    <xf numFmtId="0" fontId="8" fillId="12" borderId="0" xfId="1" applyFont="1" applyFill="1"/>
    <xf numFmtId="0" fontId="8" fillId="7" borderId="0" xfId="1" applyFont="1" applyFill="1"/>
    <xf numFmtId="0" fontId="15" fillId="4" borderId="0" xfId="1" applyFont="1" applyFill="1"/>
    <xf numFmtId="0" fontId="16" fillId="10" borderId="5" xfId="1" applyFont="1" applyFill="1" applyBorder="1"/>
    <xf numFmtId="0" fontId="10" fillId="4" borderId="0" xfId="1" applyFont="1" applyFill="1"/>
    <xf numFmtId="0" fontId="9" fillId="5" borderId="0" xfId="1" applyFont="1" applyFill="1"/>
    <xf numFmtId="0" fontId="22" fillId="8" borderId="6" xfId="1" applyFont="1" applyFill="1" applyBorder="1"/>
    <xf numFmtId="9" fontId="20" fillId="8" borderId="6" xfId="2" applyFont="1" applyFill="1" applyBorder="1"/>
    <xf numFmtId="0" fontId="22" fillId="9" borderId="0" xfId="1" applyFont="1" applyFill="1"/>
    <xf numFmtId="9" fontId="22" fillId="8" borderId="0" xfId="1" applyNumberFormat="1" applyFont="1" applyFill="1"/>
    <xf numFmtId="0" fontId="22" fillId="8" borderId="0" xfId="1" applyFont="1" applyFill="1"/>
    <xf numFmtId="9" fontId="22" fillId="8" borderId="0" xfId="2" applyFont="1" applyFill="1"/>
    <xf numFmtId="166" fontId="22" fillId="8" borderId="0" xfId="2" applyNumberFormat="1" applyFont="1" applyFill="1"/>
    <xf numFmtId="0" fontId="22" fillId="0" borderId="0" xfId="1" applyFont="1"/>
    <xf numFmtId="0" fontId="22" fillId="4" borderId="0" xfId="1" applyFont="1" applyFill="1"/>
    <xf numFmtId="168" fontId="20" fillId="4" borderId="0" xfId="1" applyNumberFormat="1" applyFont="1" applyFill="1"/>
    <xf numFmtId="166" fontId="20" fillId="4" borderId="0" xfId="1" applyNumberFormat="1" applyFont="1" applyFill="1"/>
    <xf numFmtId="0" fontId="4" fillId="4" borderId="2" xfId="1" applyFont="1" applyFill="1" applyBorder="1" applyAlignment="1">
      <alignment vertical="center" wrapText="1"/>
    </xf>
    <xf numFmtId="0" fontId="5" fillId="4" borderId="4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/>
    </xf>
    <xf numFmtId="169" fontId="3" fillId="4" borderId="0" xfId="3" applyNumberFormat="1" applyFont="1" applyFill="1"/>
    <xf numFmtId="0" fontId="4" fillId="4" borderId="0" xfId="1" applyFont="1" applyFill="1" applyAlignment="1">
      <alignment vertical="center" wrapText="1"/>
    </xf>
    <xf numFmtId="0" fontId="7" fillId="11" borderId="3" xfId="1" applyFont="1" applyFill="1" applyBorder="1"/>
    <xf numFmtId="0" fontId="9" fillId="5" borderId="3" xfId="1" applyFont="1" applyFill="1" applyBorder="1"/>
    <xf numFmtId="0" fontId="21" fillId="5" borderId="4" xfId="1" applyFont="1" applyFill="1" applyBorder="1" applyAlignment="1">
      <alignment vertical="center" wrapText="1"/>
    </xf>
    <xf numFmtId="3" fontId="19" fillId="4" borderId="4" xfId="1" applyNumberFormat="1" applyFont="1" applyFill="1" applyBorder="1" applyAlignment="1">
      <alignment horizontal="right" vertical="center"/>
    </xf>
    <xf numFmtId="171" fontId="24" fillId="4" borderId="2" xfId="1" applyNumberFormat="1" applyFont="1" applyFill="1" applyBorder="1" applyAlignment="1">
      <alignment horizontal="right" vertical="center"/>
    </xf>
    <xf numFmtId="171" fontId="19" fillId="4" borderId="2" xfId="1" applyNumberFormat="1" applyFont="1" applyFill="1" applyBorder="1" applyAlignment="1">
      <alignment horizontal="right" vertical="center"/>
    </xf>
    <xf numFmtId="167" fontId="19" fillId="4" borderId="4" xfId="1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vertical="center" wrapText="1"/>
    </xf>
    <xf numFmtId="0" fontId="5" fillId="4" borderId="7" xfId="1" applyFont="1" applyFill="1" applyBorder="1" applyAlignment="1">
      <alignment vertical="center" wrapText="1"/>
    </xf>
    <xf numFmtId="0" fontId="5" fillId="4" borderId="8" xfId="1" applyFont="1" applyFill="1" applyBorder="1" applyAlignment="1">
      <alignment vertical="center" wrapText="1"/>
    </xf>
    <xf numFmtId="169" fontId="3" fillId="4" borderId="9" xfId="3" applyNumberFormat="1" applyFont="1" applyFill="1" applyBorder="1"/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horizontal="right" vertical="center"/>
    </xf>
    <xf numFmtId="0" fontId="4" fillId="4" borderId="11" xfId="1" applyFont="1" applyFill="1" applyBorder="1" applyAlignment="1">
      <alignment vertical="center" wrapText="1"/>
    </xf>
    <xf numFmtId="3" fontId="3" fillId="4" borderId="0" xfId="1" applyNumberFormat="1" applyFill="1"/>
    <xf numFmtId="169" fontId="3" fillId="4" borderId="3" xfId="3" applyNumberFormat="1" applyFont="1" applyFill="1" applyBorder="1"/>
    <xf numFmtId="3" fontId="19" fillId="4" borderId="7" xfId="1" applyNumberFormat="1" applyFont="1" applyFill="1" applyBorder="1" applyAlignment="1">
      <alignment horizontal="right" vertical="center"/>
    </xf>
    <xf numFmtId="3" fontId="19" fillId="4" borderId="8" xfId="1" applyNumberFormat="1" applyFont="1" applyFill="1" applyBorder="1" applyAlignment="1">
      <alignment horizontal="right" vertical="center"/>
    </xf>
    <xf numFmtId="0" fontId="7" fillId="15" borderId="0" xfId="1" applyFont="1" applyFill="1"/>
    <xf numFmtId="0" fontId="3" fillId="0" borderId="3" xfId="1" applyBorder="1"/>
    <xf numFmtId="169" fontId="3" fillId="0" borderId="3" xfId="3" applyNumberFormat="1" applyFont="1" applyBorder="1"/>
    <xf numFmtId="169" fontId="3" fillId="0" borderId="0" xfId="3" applyNumberFormat="1" applyFont="1"/>
    <xf numFmtId="167" fontId="3" fillId="0" borderId="0" xfId="3" applyNumberFormat="1" applyFont="1"/>
    <xf numFmtId="0" fontId="7" fillId="5" borderId="0" xfId="1" applyFont="1" applyFill="1"/>
    <xf numFmtId="0" fontId="17" fillId="0" borderId="13" xfId="1" applyFont="1" applyBorder="1"/>
    <xf numFmtId="169" fontId="22" fillId="0" borderId="13" xfId="1" applyNumberFormat="1" applyFont="1" applyBorder="1"/>
    <xf numFmtId="0" fontId="3" fillId="0" borderId="3" xfId="1" applyBorder="1" applyAlignment="1">
      <alignment horizontal="center"/>
    </xf>
    <xf numFmtId="171" fontId="26" fillId="0" borderId="0" xfId="3" applyNumberFormat="1" applyFont="1"/>
    <xf numFmtId="0" fontId="3" fillId="12" borderId="0" xfId="1" applyFill="1"/>
    <xf numFmtId="0" fontId="12" fillId="0" borderId="0" xfId="1" applyFont="1"/>
    <xf numFmtId="0" fontId="3" fillId="14" borderId="0" xfId="1" applyFill="1"/>
    <xf numFmtId="170" fontId="13" fillId="4" borderId="12" xfId="4"/>
    <xf numFmtId="166" fontId="3" fillId="12" borderId="0" xfId="2" applyNumberFormat="1" applyFont="1" applyFill="1"/>
    <xf numFmtId="166" fontId="3" fillId="12" borderId="0" xfId="1" applyNumberFormat="1" applyFill="1"/>
    <xf numFmtId="37" fontId="3" fillId="0" borderId="0" xfId="1" applyNumberFormat="1"/>
    <xf numFmtId="37" fontId="3" fillId="0" borderId="0" xfId="3" applyNumberFormat="1" applyFont="1"/>
    <xf numFmtId="37" fontId="13" fillId="4" borderId="12" xfId="4" applyNumberFormat="1"/>
    <xf numFmtId="0" fontId="3" fillId="0" borderId="0" xfId="1" applyAlignment="1">
      <alignment horizontal="centerContinuous"/>
    </xf>
    <xf numFmtId="0" fontId="11" fillId="0" borderId="0" xfId="1" applyFont="1" applyAlignment="1">
      <alignment horizontal="centerContinuous"/>
    </xf>
    <xf numFmtId="0" fontId="3" fillId="13" borderId="0" xfId="1" applyFill="1"/>
    <xf numFmtId="0" fontId="3" fillId="13" borderId="3" xfId="1" applyFill="1" applyBorder="1"/>
    <xf numFmtId="0" fontId="3" fillId="0" borderId="10" xfId="1" applyBorder="1"/>
    <xf numFmtId="0" fontId="8" fillId="0" borderId="10" xfId="1" applyFont="1" applyBorder="1"/>
    <xf numFmtId="3" fontId="3" fillId="0" borderId="10" xfId="1" applyNumberFormat="1" applyBorder="1"/>
    <xf numFmtId="3" fontId="3" fillId="0" borderId="0" xfId="1" applyNumberFormat="1"/>
    <xf numFmtId="3" fontId="3" fillId="0" borderId="3" xfId="1" applyNumberFormat="1" applyBorder="1"/>
    <xf numFmtId="166" fontId="3" fillId="0" borderId="0" xfId="2" applyNumberFormat="1" applyFont="1"/>
    <xf numFmtId="166" fontId="3" fillId="0" borderId="0" xfId="1" applyNumberFormat="1"/>
    <xf numFmtId="171" fontId="22" fillId="0" borderId="0" xfId="1" applyNumberFormat="1" applyFont="1"/>
    <xf numFmtId="9" fontId="20" fillId="4" borderId="0" xfId="7" applyFont="1" applyFill="1"/>
    <xf numFmtId="3" fontId="26" fillId="0" borderId="0" xfId="1" applyNumberFormat="1" applyFont="1"/>
    <xf numFmtId="3" fontId="3" fillId="8" borderId="3" xfId="1" applyNumberFormat="1" applyFill="1" applyBorder="1"/>
    <xf numFmtId="9" fontId="22" fillId="8" borderId="6" xfId="7" applyFont="1" applyFill="1" applyBorder="1"/>
    <xf numFmtId="3" fontId="22" fillId="8" borderId="3" xfId="1" applyNumberFormat="1" applyFont="1" applyFill="1" applyBorder="1"/>
    <xf numFmtId="3" fontId="22" fillId="8" borderId="6" xfId="1" applyNumberFormat="1" applyFont="1" applyFill="1" applyBorder="1"/>
    <xf numFmtId="0" fontId="2" fillId="8" borderId="6" xfId="1" applyFont="1" applyFill="1" applyBorder="1"/>
    <xf numFmtId="172" fontId="3" fillId="8" borderId="3" xfId="8" applyNumberFormat="1" applyFont="1" applyFill="1" applyBorder="1"/>
    <xf numFmtId="172" fontId="22" fillId="8" borderId="3" xfId="8" applyNumberFormat="1" applyFont="1" applyFill="1" applyBorder="1"/>
    <xf numFmtId="0" fontId="4" fillId="2" borderId="14" xfId="1" applyFont="1" applyFill="1" applyBorder="1" applyAlignment="1">
      <alignment vertical="center" wrapText="1"/>
    </xf>
    <xf numFmtId="3" fontId="24" fillId="2" borderId="0" xfId="1" applyNumberFormat="1" applyFont="1" applyFill="1" applyAlignment="1">
      <alignment horizontal="right" vertical="center"/>
    </xf>
    <xf numFmtId="3" fontId="24" fillId="2" borderId="13" xfId="1" applyNumberFormat="1" applyFont="1" applyFill="1" applyBorder="1" applyAlignment="1">
      <alignment horizontal="right" vertical="center"/>
    </xf>
    <xf numFmtId="0" fontId="7" fillId="11" borderId="3" xfId="1" applyFont="1" applyFill="1" applyBorder="1" applyAlignment="1">
      <alignment horizontal="right"/>
    </xf>
    <xf numFmtId="0" fontId="26" fillId="4" borderId="0" xfId="1" applyFont="1" applyFill="1" applyAlignment="1">
      <alignment horizontal="right"/>
    </xf>
    <xf numFmtId="165" fontId="7" fillId="15" borderId="0" xfId="3" applyFont="1" applyFill="1" applyAlignment="1">
      <alignment horizontal="right"/>
    </xf>
    <xf numFmtId="0" fontId="0" fillId="0" borderId="0" xfId="0" applyAlignment="1">
      <alignment horizontal="right"/>
    </xf>
    <xf numFmtId="172" fontId="22" fillId="8" borderId="0" xfId="8" applyNumberFormat="1" applyFont="1" applyFill="1"/>
    <xf numFmtId="3" fontId="24" fillId="4" borderId="2" xfId="1" applyNumberFormat="1" applyFont="1" applyFill="1" applyBorder="1" applyAlignment="1">
      <alignment horizontal="center" vertical="center"/>
    </xf>
    <xf numFmtId="172" fontId="21" fillId="5" borderId="4" xfId="8" applyNumberFormat="1" applyFont="1" applyFill="1" applyBorder="1" applyAlignment="1">
      <alignment horizontal="right" vertical="center"/>
    </xf>
    <xf numFmtId="1" fontId="22" fillId="8" borderId="0" xfId="1" applyNumberFormat="1" applyFont="1" applyFill="1"/>
    <xf numFmtId="166" fontId="3" fillId="10" borderId="0" xfId="1" applyNumberFormat="1" applyFill="1"/>
    <xf numFmtId="0" fontId="1" fillId="6" borderId="0" xfId="1" applyFont="1" applyFill="1"/>
    <xf numFmtId="43" fontId="7" fillId="15" borderId="0" xfId="8" applyFont="1" applyFill="1"/>
    <xf numFmtId="172" fontId="26" fillId="0" borderId="0" xfId="8" applyNumberFormat="1" applyFont="1"/>
    <xf numFmtId="172" fontId="7" fillId="5" borderId="0" xfId="8" applyNumberFormat="1" applyFont="1" applyFill="1"/>
    <xf numFmtId="172" fontId="3" fillId="0" borderId="3" xfId="8" applyNumberFormat="1" applyFont="1" applyBorder="1"/>
    <xf numFmtId="9" fontId="3" fillId="0" borderId="0" xfId="7" applyFont="1"/>
    <xf numFmtId="171" fontId="18" fillId="10" borderId="2" xfId="1" applyNumberFormat="1" applyFont="1" applyFill="1" applyBorder="1" applyAlignment="1">
      <alignment horizontal="right" vertical="center"/>
    </xf>
    <xf numFmtId="0" fontId="7" fillId="5" borderId="0" xfId="1" applyFont="1" applyFill="1" applyAlignment="1">
      <alignment horizontal="center"/>
    </xf>
    <xf numFmtId="0" fontId="7" fillId="11" borderId="0" xfId="1" applyFont="1" applyFill="1" applyAlignment="1">
      <alignment horizontal="center"/>
    </xf>
  </cellXfs>
  <cellStyles count="9">
    <cellStyle name="Comma" xfId="8" builtinId="3"/>
    <cellStyle name="Comma 2" xfId="3" xr:uid="{6E9AC0CE-5F16-4AB6-8A5D-A899F7533937}"/>
    <cellStyle name="Currency 2" xfId="5" xr:uid="{73CDBAAC-70FF-4BE2-A507-763E996237D5}"/>
    <cellStyle name="Normal" xfId="0" builtinId="0"/>
    <cellStyle name="Normal 2" xfId="1" xr:uid="{769B0C06-8CFB-4646-85CD-A66CBA0D2B51}"/>
    <cellStyle name="Percent" xfId="7" builtinId="5"/>
    <cellStyle name="Percent 2" xfId="2" xr:uid="{03EEAB84-A66B-4FE2-9022-B0C32AC41EC8}"/>
    <cellStyle name="Total 2" xfId="6" xr:uid="{259FC4FC-10D6-4E53-B77A-F11911B26BEF}"/>
    <cellStyle name="Total Formatting" xfId="4" xr:uid="{7239F13D-DEB5-4CBF-A7F3-EEB974F8C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D273-95AF-4686-BC1D-3592F422D8EE}">
  <dimension ref="A3:K17"/>
  <sheetViews>
    <sheetView showGridLines="0" zoomScale="94" workbookViewId="0">
      <selection activeCell="C7" sqref="C7"/>
    </sheetView>
  </sheetViews>
  <sheetFormatPr defaultRowHeight="15" x14ac:dyDescent="0.25"/>
  <cols>
    <col min="1" max="1" width="31.42578125" customWidth="1"/>
    <col min="2" max="2" width="11.85546875" customWidth="1"/>
    <col min="3" max="3" width="11.140625" customWidth="1"/>
    <col min="4" max="4" width="12.28515625" customWidth="1"/>
    <col min="8" max="8" width="29.85546875" customWidth="1"/>
    <col min="9" max="9" width="15" customWidth="1"/>
    <col min="10" max="10" width="17" customWidth="1"/>
    <col min="11" max="11" width="18.42578125" customWidth="1"/>
  </cols>
  <sheetData>
    <row r="3" spans="1:11" x14ac:dyDescent="0.25">
      <c r="A3" s="2" t="s">
        <v>0</v>
      </c>
      <c r="B3" s="2" t="s">
        <v>1</v>
      </c>
      <c r="C3" s="2" t="s">
        <v>2</v>
      </c>
      <c r="D3" s="2" t="s">
        <v>3</v>
      </c>
      <c r="E3" s="1"/>
      <c r="F3" s="1"/>
      <c r="G3" s="1"/>
      <c r="H3" s="2" t="s">
        <v>0</v>
      </c>
      <c r="I3" s="2" t="s">
        <v>1</v>
      </c>
      <c r="J3" s="2" t="s">
        <v>2</v>
      </c>
      <c r="K3" s="2" t="s">
        <v>3</v>
      </c>
    </row>
    <row r="4" spans="1:11" x14ac:dyDescent="0.25">
      <c r="A4" s="3" t="s">
        <v>4</v>
      </c>
      <c r="B4" s="4">
        <v>61941</v>
      </c>
      <c r="C4" s="4">
        <v>73107</v>
      </c>
      <c r="D4" s="4">
        <v>79047</v>
      </c>
      <c r="E4" s="1"/>
      <c r="F4" s="1"/>
      <c r="G4" s="1"/>
      <c r="H4" s="11" t="s">
        <v>5</v>
      </c>
      <c r="I4" s="12">
        <v>63502</v>
      </c>
      <c r="J4" s="12">
        <v>62711</v>
      </c>
      <c r="K4" s="12">
        <v>62234</v>
      </c>
    </row>
    <row r="5" spans="1:11" x14ac:dyDescent="0.25">
      <c r="A5" s="5" t="s">
        <v>6</v>
      </c>
      <c r="B5" s="6">
        <v>4019</v>
      </c>
      <c r="C5" s="6">
        <v>2852</v>
      </c>
      <c r="D5" s="6">
        <v>2700</v>
      </c>
      <c r="E5" s="1"/>
      <c r="F5" s="1"/>
      <c r="G5" s="1"/>
      <c r="H5" s="11" t="s">
        <v>7</v>
      </c>
      <c r="I5" s="12">
        <v>713</v>
      </c>
      <c r="J5" s="12">
        <v>789</v>
      </c>
      <c r="K5" s="12">
        <v>3587</v>
      </c>
    </row>
    <row r="6" spans="1:11" x14ac:dyDescent="0.25">
      <c r="A6" s="7" t="s">
        <v>8</v>
      </c>
      <c r="B6" s="8">
        <f>SUM(B4:B5)</f>
        <v>65960</v>
      </c>
      <c r="C6" s="8">
        <f t="shared" ref="C6:D6" si="0">SUM(C4:C5)</f>
        <v>75959</v>
      </c>
      <c r="D6" s="8">
        <f t="shared" si="0"/>
        <v>81747</v>
      </c>
      <c r="E6" s="1"/>
      <c r="F6" s="1"/>
      <c r="G6" s="1"/>
      <c r="H6" s="5" t="s">
        <v>9</v>
      </c>
      <c r="I6" s="13">
        <v>738</v>
      </c>
      <c r="J6" s="13">
        <v>1604</v>
      </c>
      <c r="K6" s="13">
        <v>1529</v>
      </c>
    </row>
    <row r="7" spans="1:11" x14ac:dyDescent="0.25">
      <c r="A7" s="5" t="s">
        <v>52</v>
      </c>
      <c r="B7" s="6">
        <v>6764</v>
      </c>
      <c r="C7" s="6">
        <v>12633</v>
      </c>
      <c r="D7" s="6">
        <v>10000</v>
      </c>
      <c r="E7" s="1"/>
      <c r="F7" s="1"/>
      <c r="G7" s="1"/>
      <c r="H7" s="5" t="s">
        <v>10</v>
      </c>
      <c r="I7" s="6">
        <v>10924</v>
      </c>
      <c r="J7" s="6">
        <v>13826</v>
      </c>
      <c r="K7" s="6">
        <v>13691</v>
      </c>
    </row>
    <row r="8" spans="1:11" x14ac:dyDescent="0.25">
      <c r="A8" s="5" t="s">
        <v>11</v>
      </c>
      <c r="B8" s="6">
        <v>32472</v>
      </c>
      <c r="C8" s="6">
        <v>38296</v>
      </c>
      <c r="D8" s="6">
        <v>42434</v>
      </c>
      <c r="E8" s="1"/>
      <c r="F8" s="1"/>
      <c r="G8" s="1"/>
      <c r="H8" s="14" t="s">
        <v>12</v>
      </c>
      <c r="I8" s="15">
        <f>SUM(I6:I7)</f>
        <v>11662</v>
      </c>
      <c r="J8" s="15">
        <f t="shared" ref="J8:K8" si="1">SUM(J6:J7)</f>
        <v>15430</v>
      </c>
      <c r="K8" s="15">
        <f t="shared" si="1"/>
        <v>15220</v>
      </c>
    </row>
    <row r="9" spans="1:11" x14ac:dyDescent="0.25">
      <c r="A9" s="5" t="s">
        <v>77</v>
      </c>
      <c r="B9" s="6">
        <v>0</v>
      </c>
      <c r="C9" s="6">
        <v>0</v>
      </c>
      <c r="D9" s="6">
        <v>0</v>
      </c>
      <c r="E9" s="1"/>
      <c r="F9" s="1"/>
      <c r="G9" s="1"/>
      <c r="H9" s="14" t="s">
        <v>13</v>
      </c>
      <c r="I9" s="15">
        <f>SUM(I4:I7)</f>
        <v>75877</v>
      </c>
      <c r="J9" s="15">
        <f t="shared" ref="J9:K9" si="2">SUM(J4:J7)</f>
        <v>78930</v>
      </c>
      <c r="K9" s="15">
        <f t="shared" si="2"/>
        <v>81041</v>
      </c>
    </row>
    <row r="10" spans="1:11" ht="24" x14ac:dyDescent="0.25">
      <c r="A10" s="5" t="s">
        <v>14</v>
      </c>
      <c r="B10" s="6">
        <v>1408</v>
      </c>
      <c r="C10" s="6">
        <v>1599</v>
      </c>
      <c r="D10" s="6">
        <v>2144</v>
      </c>
      <c r="E10" s="1"/>
      <c r="F10" s="1"/>
      <c r="G10" s="1"/>
      <c r="H10" s="16" t="s">
        <v>15</v>
      </c>
      <c r="I10" s="17"/>
      <c r="J10" s="17"/>
      <c r="K10" s="17"/>
    </row>
    <row r="11" spans="1:11" x14ac:dyDescent="0.25">
      <c r="A11" s="5" t="s">
        <v>16</v>
      </c>
      <c r="B11" s="6">
        <v>5408</v>
      </c>
      <c r="C11" s="6">
        <v>3504</v>
      </c>
      <c r="D11" s="6">
        <v>5000</v>
      </c>
      <c r="E11" s="1"/>
      <c r="F11" s="1"/>
      <c r="G11" s="1"/>
      <c r="H11" s="18" t="s">
        <v>17</v>
      </c>
      <c r="I11" s="19">
        <v>31787</v>
      </c>
      <c r="J11" s="19">
        <v>32707</v>
      </c>
      <c r="K11" s="19">
        <v>37221</v>
      </c>
    </row>
    <row r="12" spans="1:11" x14ac:dyDescent="0.25">
      <c r="A12" s="9" t="s">
        <v>18</v>
      </c>
      <c r="B12" s="10">
        <f>SUM(B7:B11)</f>
        <v>46052</v>
      </c>
      <c r="C12" s="10">
        <f t="shared" ref="C12:D12" si="3">SUM(C7:C11)</f>
        <v>56032</v>
      </c>
      <c r="D12" s="10">
        <f t="shared" si="3"/>
        <v>59578</v>
      </c>
      <c r="E12" s="1"/>
      <c r="F12" s="1"/>
      <c r="G12" s="1"/>
      <c r="H12" s="5" t="s">
        <v>19</v>
      </c>
      <c r="I12" s="13">
        <v>12151</v>
      </c>
      <c r="J12" s="13">
        <v>13370</v>
      </c>
      <c r="K12" s="13">
        <v>15459</v>
      </c>
    </row>
    <row r="13" spans="1:11" x14ac:dyDescent="0.25">
      <c r="A13" s="7" t="s">
        <v>20</v>
      </c>
      <c r="B13" s="8">
        <f>B6-B12</f>
        <v>19908</v>
      </c>
      <c r="C13" s="8">
        <f t="shared" ref="C13:D13" si="4">C6-C12</f>
        <v>19927</v>
      </c>
      <c r="D13" s="8">
        <f t="shared" si="4"/>
        <v>22169</v>
      </c>
      <c r="E13" s="1"/>
      <c r="F13" s="1"/>
      <c r="G13" s="1"/>
      <c r="H13" s="5" t="s">
        <v>21</v>
      </c>
      <c r="I13" s="13">
        <v>16770</v>
      </c>
      <c r="J13" s="13">
        <v>15551</v>
      </c>
      <c r="K13" s="13">
        <v>13562</v>
      </c>
    </row>
    <row r="14" spans="1:11" x14ac:dyDescent="0.25">
      <c r="A14" s="3"/>
      <c r="B14" s="4"/>
      <c r="C14" s="4"/>
      <c r="D14" s="4"/>
      <c r="E14" s="1"/>
      <c r="F14" s="1"/>
      <c r="G14" s="1"/>
      <c r="H14" s="5" t="s">
        <v>22</v>
      </c>
      <c r="I14" s="6">
        <v>15169</v>
      </c>
      <c r="J14" s="6">
        <v>17302</v>
      </c>
      <c r="K14" s="6">
        <v>14799</v>
      </c>
    </row>
    <row r="15" spans="1:11" x14ac:dyDescent="0.25">
      <c r="A15" s="3" t="s">
        <v>23</v>
      </c>
      <c r="B15" s="4">
        <v>3753</v>
      </c>
      <c r="C15" s="4">
        <v>5225</v>
      </c>
      <c r="D15" s="4">
        <v>4934</v>
      </c>
      <c r="E15" s="1"/>
      <c r="F15" s="1"/>
      <c r="G15" s="1"/>
      <c r="H15" s="11" t="s">
        <v>24</v>
      </c>
      <c r="I15" s="12">
        <f>SUM(I13:I14)</f>
        <v>31939</v>
      </c>
      <c r="J15" s="12">
        <f t="shared" ref="J15:K15" si="5">SUM(J13:J14)</f>
        <v>32853</v>
      </c>
      <c r="K15" s="12">
        <f t="shared" si="5"/>
        <v>28361</v>
      </c>
    </row>
    <row r="16" spans="1:11" ht="15.75" thickBot="1" x14ac:dyDescent="0.3">
      <c r="A16" s="3" t="s">
        <v>25</v>
      </c>
      <c r="B16" s="4">
        <f>B13-B15</f>
        <v>16155</v>
      </c>
      <c r="C16" s="4">
        <f t="shared" ref="C16:D16" si="6">C13-C15</f>
        <v>14702</v>
      </c>
      <c r="D16" s="4">
        <f t="shared" si="6"/>
        <v>17235</v>
      </c>
      <c r="E16" s="1"/>
      <c r="F16" s="1"/>
      <c r="G16" s="1"/>
      <c r="H16" s="20" t="s">
        <v>26</v>
      </c>
      <c r="I16" s="21">
        <f>SUM(I11:I14)</f>
        <v>75877</v>
      </c>
      <c r="J16" s="21">
        <f t="shared" ref="J16:K16" si="7">SUM(J11:J14)</f>
        <v>78930</v>
      </c>
      <c r="K16" s="21">
        <f t="shared" si="7"/>
        <v>81041</v>
      </c>
    </row>
    <row r="17" spans="1:4" ht="15.75" thickTop="1" x14ac:dyDescent="0.25">
      <c r="A17" s="7" t="s">
        <v>27</v>
      </c>
      <c r="B17" s="8">
        <f>B16</f>
        <v>16155</v>
      </c>
      <c r="C17" s="8">
        <f>C16</f>
        <v>14702</v>
      </c>
      <c r="D17" s="8">
        <f t="shared" ref="D17" si="8">D16</f>
        <v>17235</v>
      </c>
    </row>
  </sheetData>
  <pageMargins left="0.7" right="0.7" top="0.75" bottom="0.75" header="0.3" footer="0.3"/>
  <ignoredErrors>
    <ignoredError sqref="C12:D12 I8:K13 J16:K16 J15:K15 J14:K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938-E793-4141-9BDF-8F219B7CE3EC}">
  <dimension ref="A1:I42"/>
  <sheetViews>
    <sheetView topLeftCell="A22" workbookViewId="0">
      <selection activeCell="D22" sqref="D1:D1048576"/>
    </sheetView>
  </sheetViews>
  <sheetFormatPr defaultRowHeight="15" x14ac:dyDescent="0.25"/>
  <cols>
    <col min="1" max="1" width="38.28515625" customWidth="1"/>
    <col min="2" max="2" width="10.5703125" bestFit="1" customWidth="1"/>
    <col min="5" max="5" width="11" bestFit="1" customWidth="1"/>
    <col min="6" max="8" width="10.5703125" bestFit="1" customWidth="1"/>
    <col min="9" max="9" width="11.5703125" bestFit="1" customWidth="1"/>
  </cols>
  <sheetData>
    <row r="1" spans="1:9" ht="15.75" x14ac:dyDescent="0.25">
      <c r="A1" s="1"/>
      <c r="B1" s="33" t="s">
        <v>1</v>
      </c>
      <c r="C1" s="33" t="s">
        <v>2</v>
      </c>
      <c r="D1" s="33" t="s">
        <v>3</v>
      </c>
      <c r="E1" s="33" t="s">
        <v>28</v>
      </c>
      <c r="F1" s="33" t="s">
        <v>47</v>
      </c>
      <c r="G1" s="33" t="s">
        <v>48</v>
      </c>
      <c r="H1" s="33" t="s">
        <v>49</v>
      </c>
      <c r="I1" s="33" t="s">
        <v>50</v>
      </c>
    </row>
    <row r="2" spans="1:9" ht="19.5" thickBot="1" x14ac:dyDescent="0.35">
      <c r="A2" s="31" t="s">
        <v>29</v>
      </c>
      <c r="B2" s="30"/>
      <c r="C2" s="30"/>
      <c r="D2" s="23"/>
      <c r="E2" s="23"/>
      <c r="F2" s="23"/>
      <c r="G2" s="23"/>
      <c r="H2" s="23"/>
      <c r="I2" s="23"/>
    </row>
    <row r="3" spans="1:9" x14ac:dyDescent="0.25">
      <c r="A3" s="24" t="s">
        <v>30</v>
      </c>
      <c r="B3" s="101">
        <v>61941</v>
      </c>
      <c r="C3" s="101">
        <f>'historical data'!C4</f>
        <v>73107</v>
      </c>
      <c r="D3" s="101">
        <f>'historical data'!D4</f>
        <v>79047</v>
      </c>
      <c r="E3" s="106">
        <f>D3*(1+E4)</f>
        <v>90904.049999999988</v>
      </c>
      <c r="F3" s="106">
        <f t="shared" ref="F3:I3" si="0">E3*(1+F4)</f>
        <v>104539.65749999997</v>
      </c>
      <c r="G3" s="106">
        <f t="shared" si="0"/>
        <v>120220.60612499996</v>
      </c>
      <c r="H3" s="106">
        <f t="shared" si="0"/>
        <v>138253.69704374994</v>
      </c>
      <c r="I3" s="106">
        <f t="shared" si="0"/>
        <v>158991.75160031242</v>
      </c>
    </row>
    <row r="4" spans="1:9" x14ac:dyDescent="0.25">
      <c r="A4" s="105" t="s">
        <v>31</v>
      </c>
      <c r="B4" s="34"/>
      <c r="C4" s="102"/>
      <c r="D4" s="102"/>
      <c r="E4" s="35">
        <f>CHOOSE(MATCH('P&amp;L'!$B$4,assumptions!$A$5:$A$7,0),assumptions!E$5,assumptions!E$6,assumptions!E$7)</f>
        <v>0.15</v>
      </c>
      <c r="F4" s="35">
        <f>CHOOSE(MATCH('P&amp;L'!$B$4,assumptions!$A$5:$A$7,0),assumptions!F$5,assumptions!F$6,assumptions!F$7)</f>
        <v>0.15</v>
      </c>
      <c r="G4" s="35">
        <f>CHOOSE(MATCH('P&amp;L'!$B$4,assumptions!$A$5:$A$7,0),assumptions!G$5,assumptions!G$6,assumptions!G$7)</f>
        <v>0.15</v>
      </c>
      <c r="H4" s="35">
        <f>CHOOSE(MATCH('P&amp;L'!$B$4,assumptions!$A$5:$A$7,0),assumptions!H$5,assumptions!H$6,assumptions!H$7)</f>
        <v>0.15</v>
      </c>
      <c r="I4" s="35">
        <f>CHOOSE(MATCH('P&amp;L'!$B$4,assumptions!$A$5:$A$7,0),assumptions!I$5,assumptions!I$6,assumptions!I$7)</f>
        <v>0.15</v>
      </c>
    </row>
    <row r="5" spans="1:9" x14ac:dyDescent="0.25">
      <c r="A5" s="26" t="s">
        <v>32</v>
      </c>
      <c r="B5" s="36"/>
      <c r="C5" s="36"/>
      <c r="D5" s="36"/>
      <c r="E5" s="37">
        <v>0.15</v>
      </c>
      <c r="F5" s="37">
        <v>0.15</v>
      </c>
      <c r="G5" s="37">
        <v>0.15</v>
      </c>
      <c r="H5" s="37">
        <v>0.15</v>
      </c>
      <c r="I5" s="37">
        <v>0.15</v>
      </c>
    </row>
    <row r="6" spans="1:9" x14ac:dyDescent="0.25">
      <c r="A6" s="26" t="s">
        <v>33</v>
      </c>
      <c r="B6" s="36"/>
      <c r="C6" s="36"/>
      <c r="D6" s="36"/>
      <c r="E6" s="37">
        <v>0.13</v>
      </c>
      <c r="F6" s="37">
        <v>0.13</v>
      </c>
      <c r="G6" s="37">
        <v>0.13</v>
      </c>
      <c r="H6" s="37">
        <v>0.13</v>
      </c>
      <c r="I6" s="37">
        <v>0.13</v>
      </c>
    </row>
    <row r="7" spans="1:9" x14ac:dyDescent="0.25">
      <c r="A7" s="26" t="s">
        <v>34</v>
      </c>
      <c r="B7" s="36"/>
      <c r="C7" s="36"/>
      <c r="D7" s="36"/>
      <c r="E7" s="37">
        <v>0.11</v>
      </c>
      <c r="F7" s="37">
        <v>0.11</v>
      </c>
      <c r="G7" s="37">
        <v>0.11</v>
      </c>
      <c r="H7" s="37">
        <v>0.11</v>
      </c>
      <c r="I7" s="37">
        <v>0.11</v>
      </c>
    </row>
    <row r="8" spans="1:9" x14ac:dyDescent="0.25">
      <c r="A8" s="26"/>
      <c r="B8" s="38"/>
      <c r="C8" s="38"/>
      <c r="D8" s="38"/>
      <c r="E8" s="37"/>
      <c r="F8" s="37"/>
      <c r="G8" s="37"/>
      <c r="H8" s="37"/>
      <c r="I8" s="37"/>
    </row>
    <row r="9" spans="1:9" x14ac:dyDescent="0.25">
      <c r="A9" s="24" t="s">
        <v>35</v>
      </c>
      <c r="B9" s="103">
        <f>'historical data'!B5</f>
        <v>4019</v>
      </c>
      <c r="C9" s="103">
        <f>'historical data'!C5</f>
        <v>2852</v>
      </c>
      <c r="D9" s="103">
        <f>'historical data'!D5</f>
        <v>2700</v>
      </c>
      <c r="E9" s="107">
        <f>D9*(1+E10)</f>
        <v>2295</v>
      </c>
      <c r="F9" s="107">
        <f t="shared" ref="F9:I9" si="1">E9*(1+F10)</f>
        <v>1950.75</v>
      </c>
      <c r="G9" s="107">
        <f t="shared" si="1"/>
        <v>1658.1375</v>
      </c>
      <c r="H9" s="107">
        <f t="shared" si="1"/>
        <v>1409.4168749999999</v>
      </c>
      <c r="I9" s="107">
        <f t="shared" si="1"/>
        <v>1198.0043437499999</v>
      </c>
    </row>
    <row r="10" spans="1:9" x14ac:dyDescent="0.25">
      <c r="A10" s="25" t="s">
        <v>31</v>
      </c>
      <c r="B10" s="34"/>
      <c r="C10" s="102"/>
      <c r="D10" s="102"/>
      <c r="E10" s="35">
        <f>CHOOSE(MATCH('P&amp;L'!$B$4,assumptions!$A$11:$A$13,0),assumptions!E$11,assumptions!E$12,assumptions!E$13)</f>
        <v>-0.15</v>
      </c>
      <c r="F10" s="35">
        <f>CHOOSE(MATCH('P&amp;L'!$B$4,assumptions!$A$11:$A$13,0),assumptions!F$11,assumptions!F$12,assumptions!F$13)</f>
        <v>-0.15</v>
      </c>
      <c r="G10" s="35">
        <f>CHOOSE(MATCH('P&amp;L'!$B$4,assumptions!$A$11:$A$13,0),assumptions!G$11,assumptions!G$12,assumptions!G$13)</f>
        <v>-0.15</v>
      </c>
      <c r="H10" s="35">
        <f>CHOOSE(MATCH('P&amp;L'!$B$4,assumptions!$A$11:$A$13,0),assumptions!H$11,assumptions!H$12,assumptions!H$13)</f>
        <v>-0.15</v>
      </c>
      <c r="I10" s="35">
        <f>CHOOSE(MATCH('P&amp;L'!$B$4,assumptions!$A$11:$A$13,0),assumptions!I$11,assumptions!I$12,assumptions!I$13)</f>
        <v>-0.15</v>
      </c>
    </row>
    <row r="11" spans="1:9" x14ac:dyDescent="0.25">
      <c r="A11" s="26" t="s">
        <v>32</v>
      </c>
      <c r="B11" s="36"/>
      <c r="C11" s="36"/>
      <c r="D11" s="36"/>
      <c r="E11" s="39">
        <v>-0.15</v>
      </c>
      <c r="F11" s="39">
        <v>-0.15</v>
      </c>
      <c r="G11" s="39">
        <v>-0.15</v>
      </c>
      <c r="H11" s="39">
        <v>-0.15</v>
      </c>
      <c r="I11" s="39">
        <v>-0.15</v>
      </c>
    </row>
    <row r="12" spans="1:9" x14ac:dyDescent="0.25">
      <c r="A12" s="26" t="s">
        <v>33</v>
      </c>
      <c r="B12" s="36"/>
      <c r="C12" s="36"/>
      <c r="D12" s="36"/>
      <c r="E12" s="39">
        <v>-0.18</v>
      </c>
      <c r="F12" s="39">
        <v>-0.18</v>
      </c>
      <c r="G12" s="39">
        <v>-0.18</v>
      </c>
      <c r="H12" s="39">
        <v>-0.18</v>
      </c>
      <c r="I12" s="39">
        <v>-0.18</v>
      </c>
    </row>
    <row r="13" spans="1:9" x14ac:dyDescent="0.25">
      <c r="A13" s="26" t="s">
        <v>34</v>
      </c>
      <c r="B13" s="36"/>
      <c r="C13" s="36"/>
      <c r="D13" s="36"/>
      <c r="E13" s="39">
        <v>-0.2</v>
      </c>
      <c r="F13" s="39">
        <v>-0.2</v>
      </c>
      <c r="G13" s="39">
        <v>-0.2</v>
      </c>
      <c r="H13" s="39">
        <v>-0.2</v>
      </c>
      <c r="I13" s="39">
        <v>-0.2</v>
      </c>
    </row>
    <row r="14" spans="1:9" x14ac:dyDescent="0.25">
      <c r="A14" s="26"/>
      <c r="B14" s="38"/>
      <c r="C14" s="38"/>
      <c r="D14" s="38"/>
      <c r="E14" s="38"/>
      <c r="F14" s="38"/>
      <c r="G14" s="38"/>
      <c r="H14" s="38"/>
      <c r="I14" s="38"/>
    </row>
    <row r="15" spans="1:9" x14ac:dyDescent="0.25">
      <c r="A15" s="24" t="s">
        <v>79</v>
      </c>
      <c r="B15" s="103">
        <f>'historical data'!B7</f>
        <v>6764</v>
      </c>
      <c r="C15" s="103">
        <f>'historical data'!C7</f>
        <v>12633</v>
      </c>
      <c r="D15" s="103">
        <f>'historical data'!D7</f>
        <v>10000</v>
      </c>
      <c r="E15" s="107">
        <f>D15*(1+E16)</f>
        <v>9200</v>
      </c>
      <c r="F15" s="107">
        <f t="shared" ref="F15:I15" si="2">E15*(1+F16)</f>
        <v>8464</v>
      </c>
      <c r="G15" s="107">
        <f t="shared" si="2"/>
        <v>7786.88</v>
      </c>
      <c r="H15" s="107">
        <f t="shared" si="2"/>
        <v>7163.9296000000004</v>
      </c>
      <c r="I15" s="107">
        <f t="shared" si="2"/>
        <v>6590.8152320000008</v>
      </c>
    </row>
    <row r="16" spans="1:9" x14ac:dyDescent="0.25">
      <c r="A16" s="25" t="s">
        <v>31</v>
      </c>
      <c r="B16" s="34"/>
      <c r="C16" s="102"/>
      <c r="D16" s="102"/>
      <c r="E16" s="35">
        <f>CHOOSE(MATCH('P&amp;L'!$B$4,assumptions!$A$17:$A$19,0),assumptions!E$17,assumptions!E$18,assumptions!E$19)</f>
        <v>-0.08</v>
      </c>
      <c r="F16" s="35">
        <f>CHOOSE(MATCH('P&amp;L'!$B$4,assumptions!$A$17:$A$19,0),assumptions!F$17,assumptions!F$18,assumptions!F$19)</f>
        <v>-0.08</v>
      </c>
      <c r="G16" s="35">
        <f>CHOOSE(MATCH('P&amp;L'!$B$4,assumptions!$A$17:$A$19,0),assumptions!G$17,assumptions!G$18,assumptions!G$19)</f>
        <v>-0.08</v>
      </c>
      <c r="H16" s="35">
        <f>CHOOSE(MATCH('P&amp;L'!$B$4,assumptions!$A$17:$A$19,0),assumptions!H$17,assumptions!H$18,assumptions!H$19)</f>
        <v>-0.08</v>
      </c>
      <c r="I16" s="35">
        <f>CHOOSE(MATCH('P&amp;L'!$B$4,assumptions!$A$17:$A$19,0),assumptions!I$17,assumptions!I$18,assumptions!I$19)</f>
        <v>-0.08</v>
      </c>
    </row>
    <row r="17" spans="1:9" x14ac:dyDescent="0.25">
      <c r="A17" s="26" t="s">
        <v>32</v>
      </c>
      <c r="B17" s="40"/>
      <c r="C17" s="40"/>
      <c r="D17" s="40"/>
      <c r="E17" s="37">
        <v>-0.08</v>
      </c>
      <c r="F17" s="37">
        <v>-0.08</v>
      </c>
      <c r="G17" s="37">
        <v>-0.08</v>
      </c>
      <c r="H17" s="37">
        <v>-0.08</v>
      </c>
      <c r="I17" s="37">
        <v>-0.08</v>
      </c>
    </row>
    <row r="18" spans="1:9" x14ac:dyDescent="0.25">
      <c r="A18" s="26" t="s">
        <v>33</v>
      </c>
      <c r="B18" s="40"/>
      <c r="C18" s="40"/>
      <c r="D18" s="40"/>
      <c r="E18" s="37">
        <v>-0.09</v>
      </c>
      <c r="F18" s="37">
        <v>-0.09</v>
      </c>
      <c r="G18" s="37">
        <v>-0.09</v>
      </c>
      <c r="H18" s="37">
        <v>-0.09</v>
      </c>
      <c r="I18" s="37">
        <v>-0.09</v>
      </c>
    </row>
    <row r="19" spans="1:9" x14ac:dyDescent="0.25">
      <c r="A19" s="26" t="s">
        <v>34</v>
      </c>
      <c r="B19" s="40"/>
      <c r="C19" s="40"/>
      <c r="D19" s="40"/>
      <c r="E19" s="37">
        <v>-0.1</v>
      </c>
      <c r="F19" s="37">
        <v>-0.1</v>
      </c>
      <c r="G19" s="37">
        <v>-0.1</v>
      </c>
      <c r="H19" s="37">
        <v>-0.1</v>
      </c>
      <c r="I19" s="37">
        <v>-0.1</v>
      </c>
    </row>
    <row r="20" spans="1:9" x14ac:dyDescent="0.25">
      <c r="A20" s="26"/>
      <c r="B20" s="38"/>
      <c r="C20" s="38"/>
      <c r="D20" s="38"/>
      <c r="E20" s="38"/>
      <c r="F20" s="38"/>
      <c r="G20" s="38"/>
      <c r="H20" s="38"/>
      <c r="I20" s="38"/>
    </row>
    <row r="21" spans="1:9" x14ac:dyDescent="0.25">
      <c r="A21" s="24" t="s">
        <v>36</v>
      </c>
      <c r="B21" s="103">
        <f>'historical data'!B8</f>
        <v>32472</v>
      </c>
      <c r="C21" s="103">
        <f>'historical data'!C8</f>
        <v>38296</v>
      </c>
      <c r="D21" s="103">
        <f>'historical data'!D8</f>
        <v>42434</v>
      </c>
      <c r="E21" s="107">
        <f>D21*(1+E22)</f>
        <v>48799.1</v>
      </c>
      <c r="F21" s="107">
        <f t="shared" ref="F21:I21" si="3">E21*(1+F22)</f>
        <v>56118.964999999997</v>
      </c>
      <c r="G21" s="107">
        <f t="shared" si="3"/>
        <v>64536.809749999993</v>
      </c>
      <c r="H21" s="107">
        <f t="shared" si="3"/>
        <v>74217.331212499979</v>
      </c>
      <c r="I21" s="107">
        <f t="shared" si="3"/>
        <v>85349.930894374964</v>
      </c>
    </row>
    <row r="22" spans="1:9" x14ac:dyDescent="0.25">
      <c r="A22" s="25" t="s">
        <v>31</v>
      </c>
      <c r="B22" s="34"/>
      <c r="C22" s="34"/>
      <c r="D22" s="34"/>
      <c r="E22" s="35">
        <f>CHOOSE(MATCH('P&amp;L'!$B$4,assumptions!$A$23:$A$25,0),assumptions!E$23,assumptions!E$24,assumptions!E$25)</f>
        <v>0.15</v>
      </c>
      <c r="F22" s="35">
        <f>CHOOSE(MATCH('P&amp;L'!$B$4,assumptions!$A$23:$A$25,0),assumptions!F$23,assumptions!F$24,assumptions!F$25)</f>
        <v>0.15</v>
      </c>
      <c r="G22" s="35">
        <f>CHOOSE(MATCH('P&amp;L'!$B$4,assumptions!$A$23:$A$25,0),assumptions!G$23,assumptions!G$24,assumptions!G$25)</f>
        <v>0.15</v>
      </c>
      <c r="H22" s="35">
        <f>CHOOSE(MATCH('P&amp;L'!$B$4,assumptions!$A$23:$A$25,0),assumptions!H$23,assumptions!H$24,assumptions!H$25)</f>
        <v>0.15</v>
      </c>
      <c r="I22" s="35">
        <f>CHOOSE(MATCH('P&amp;L'!$B$4,assumptions!$A$23:$A$25,0),assumptions!I$23,assumptions!I$24,assumptions!I$25)</f>
        <v>0.15</v>
      </c>
    </row>
    <row r="23" spans="1:9" x14ac:dyDescent="0.25">
      <c r="A23" s="26" t="s">
        <v>32</v>
      </c>
      <c r="B23" s="39"/>
      <c r="C23" s="39"/>
      <c r="D23" s="39"/>
      <c r="E23" s="37">
        <v>0.15</v>
      </c>
      <c r="F23" s="37">
        <v>0.15</v>
      </c>
      <c r="G23" s="37">
        <v>0.15</v>
      </c>
      <c r="H23" s="37">
        <v>0.15</v>
      </c>
      <c r="I23" s="37">
        <v>0.15</v>
      </c>
    </row>
    <row r="24" spans="1:9" x14ac:dyDescent="0.25">
      <c r="A24" s="26" t="s">
        <v>33</v>
      </c>
      <c r="B24" s="39"/>
      <c r="C24" s="39"/>
      <c r="D24" s="39"/>
      <c r="E24" s="37">
        <v>0.18</v>
      </c>
      <c r="F24" s="37">
        <v>0.18</v>
      </c>
      <c r="G24" s="37">
        <v>0.18</v>
      </c>
      <c r="H24" s="37">
        <v>0.18</v>
      </c>
      <c r="I24" s="37">
        <v>0.18</v>
      </c>
    </row>
    <row r="25" spans="1:9" x14ac:dyDescent="0.25">
      <c r="A25" s="26" t="s">
        <v>34</v>
      </c>
      <c r="B25" s="39"/>
      <c r="C25" s="39"/>
      <c r="D25" s="39"/>
      <c r="E25" s="37">
        <v>0.2</v>
      </c>
      <c r="F25" s="37">
        <v>0.2</v>
      </c>
      <c r="G25" s="37">
        <v>0.2</v>
      </c>
      <c r="H25" s="37">
        <v>0.2</v>
      </c>
      <c r="I25" s="37">
        <v>0.2</v>
      </c>
    </row>
    <row r="26" spans="1:9" x14ac:dyDescent="0.25">
      <c r="A26" s="26"/>
      <c r="B26" s="38"/>
      <c r="C26" s="38"/>
      <c r="D26" s="38"/>
      <c r="E26" s="38"/>
      <c r="F26" s="38"/>
      <c r="G26" s="38"/>
      <c r="H26" s="38"/>
      <c r="I26" s="38"/>
    </row>
    <row r="27" spans="1:9" x14ac:dyDescent="0.25">
      <c r="A27" s="24" t="s">
        <v>37</v>
      </c>
      <c r="B27" s="103">
        <f>'historical data'!B11</f>
        <v>5408</v>
      </c>
      <c r="C27" s="103">
        <f>'historical data'!C11</f>
        <v>3504</v>
      </c>
      <c r="D27" s="103">
        <f>'historical data'!D11</f>
        <v>5000</v>
      </c>
      <c r="E27" s="107">
        <f>D27*(1+E28)</f>
        <v>4600</v>
      </c>
      <c r="F27" s="107">
        <f t="shared" ref="F27:I27" si="4">E27*(1+F28)</f>
        <v>4232</v>
      </c>
      <c r="G27" s="107">
        <f t="shared" si="4"/>
        <v>3893.44</v>
      </c>
      <c r="H27" s="107">
        <f t="shared" si="4"/>
        <v>3581.9648000000002</v>
      </c>
      <c r="I27" s="107">
        <f t="shared" si="4"/>
        <v>3295.4076160000004</v>
      </c>
    </row>
    <row r="28" spans="1:9" x14ac:dyDescent="0.25">
      <c r="A28" s="25" t="s">
        <v>31</v>
      </c>
      <c r="B28" s="34"/>
      <c r="C28" s="34"/>
      <c r="D28" s="34"/>
      <c r="E28" s="35">
        <f>CHOOSE(MATCH('P&amp;L'!$B$4,assumptions!$A$29:$A$31,0),assumptions!E$29,assumptions!E$30,assumptions!E$31)</f>
        <v>-0.08</v>
      </c>
      <c r="F28" s="35">
        <f>CHOOSE(MATCH('P&amp;L'!$B$4,assumptions!$A$29:$A$31,0),assumptions!F$29,assumptions!F$30,assumptions!F$31)</f>
        <v>-0.08</v>
      </c>
      <c r="G28" s="35">
        <f>CHOOSE(MATCH('P&amp;L'!$B$4,assumptions!$A$29:$A$31,0),assumptions!G$29,assumptions!G$30,assumptions!G$31)</f>
        <v>-0.08</v>
      </c>
      <c r="H28" s="35">
        <f>CHOOSE(MATCH('P&amp;L'!$B$4,assumptions!$A$29:$A$31,0),assumptions!H$29,assumptions!H$30,assumptions!H$31)</f>
        <v>-0.08</v>
      </c>
      <c r="I28" s="35">
        <f>CHOOSE(MATCH('P&amp;L'!$B$4,assumptions!$A$29:$A$31,0),assumptions!I$29,assumptions!I$30,assumptions!I$31)</f>
        <v>-0.08</v>
      </c>
    </row>
    <row r="29" spans="1:9" x14ac:dyDescent="0.25">
      <c r="A29" s="26" t="s">
        <v>32</v>
      </c>
      <c r="B29" s="39"/>
      <c r="C29" s="39"/>
      <c r="D29" s="39"/>
      <c r="E29" s="37">
        <v>-0.08</v>
      </c>
      <c r="F29" s="37">
        <v>-0.08</v>
      </c>
      <c r="G29" s="37">
        <v>-0.08</v>
      </c>
      <c r="H29" s="37">
        <v>-0.08</v>
      </c>
      <c r="I29" s="37">
        <v>-0.08</v>
      </c>
    </row>
    <row r="30" spans="1:9" x14ac:dyDescent="0.25">
      <c r="A30" s="26" t="s">
        <v>33</v>
      </c>
      <c r="B30" s="39"/>
      <c r="C30" s="39"/>
      <c r="D30" s="39"/>
      <c r="E30" s="37">
        <v>-0.1</v>
      </c>
      <c r="F30" s="37">
        <v>-0.1</v>
      </c>
      <c r="G30" s="37">
        <v>-0.1</v>
      </c>
      <c r="H30" s="37">
        <v>-0.1</v>
      </c>
      <c r="I30" s="37">
        <v>-0.1</v>
      </c>
    </row>
    <row r="31" spans="1:9" x14ac:dyDescent="0.25">
      <c r="A31" s="26" t="s">
        <v>34</v>
      </c>
      <c r="B31" s="39"/>
      <c r="C31" s="39"/>
      <c r="D31" s="39"/>
      <c r="E31" s="37">
        <v>-0.12</v>
      </c>
      <c r="F31" s="37">
        <v>-0.12</v>
      </c>
      <c r="G31" s="37">
        <v>-0.12</v>
      </c>
      <c r="H31" s="37">
        <v>-0.12</v>
      </c>
      <c r="I31" s="37">
        <v>-0.12</v>
      </c>
    </row>
    <row r="32" spans="1:9" x14ac:dyDescent="0.25">
      <c r="A32" s="26"/>
      <c r="B32" s="38"/>
      <c r="C32" s="38"/>
      <c r="D32" s="38"/>
      <c r="E32" s="38"/>
      <c r="F32" s="38"/>
      <c r="G32" s="38"/>
      <c r="H32" s="38"/>
      <c r="I32" s="38"/>
    </row>
    <row r="33" spans="1:9" x14ac:dyDescent="0.25">
      <c r="A33" s="27" t="s">
        <v>38</v>
      </c>
      <c r="B33" s="104">
        <f>'historical data'!B15</f>
        <v>3753</v>
      </c>
      <c r="C33" s="104">
        <f>'historical data'!C15</f>
        <v>5225</v>
      </c>
      <c r="D33" s="104">
        <f>'historical data'!D15</f>
        <v>4934</v>
      </c>
      <c r="E33" s="35">
        <v>-0.35</v>
      </c>
      <c r="F33" s="35">
        <v>-0.35</v>
      </c>
      <c r="G33" s="35">
        <v>-0.35</v>
      </c>
      <c r="H33" s="35">
        <v>-0.35</v>
      </c>
      <c r="I33" s="35">
        <v>-0.35</v>
      </c>
    </row>
    <row r="34" spans="1:9" x14ac:dyDescent="0.25">
      <c r="A34" s="1"/>
      <c r="B34" s="41"/>
      <c r="C34" s="41"/>
      <c r="D34" s="41"/>
      <c r="E34" s="41"/>
      <c r="F34" s="41"/>
      <c r="G34" s="41"/>
      <c r="H34" s="41"/>
      <c r="I34" s="41"/>
    </row>
    <row r="35" spans="1:9" x14ac:dyDescent="0.25">
      <c r="A35" s="1"/>
      <c r="B35" s="41"/>
      <c r="C35" s="41"/>
      <c r="D35" s="41"/>
      <c r="E35" s="41"/>
      <c r="F35" s="41"/>
      <c r="G35" s="41"/>
      <c r="H35" s="41"/>
      <c r="I35" s="41"/>
    </row>
    <row r="36" spans="1:9" ht="19.5" thickBot="1" x14ac:dyDescent="0.35">
      <c r="A36" s="31" t="s">
        <v>39</v>
      </c>
      <c r="B36" s="42"/>
      <c r="C36" s="42"/>
      <c r="D36" s="42"/>
      <c r="E36" s="42"/>
      <c r="F36" s="42"/>
      <c r="G36" s="42"/>
      <c r="H36" s="42"/>
      <c r="I36" s="42"/>
    </row>
    <row r="37" spans="1:9" ht="23.25" x14ac:dyDescent="0.35">
      <c r="A37" s="32"/>
      <c r="B37" s="42"/>
      <c r="C37" s="42"/>
      <c r="D37" s="42"/>
      <c r="E37" s="42"/>
      <c r="F37" s="42"/>
      <c r="G37" s="42"/>
      <c r="H37" s="42"/>
      <c r="I37" s="42"/>
    </row>
    <row r="38" spans="1:9" x14ac:dyDescent="0.25">
      <c r="A38" s="29" t="s">
        <v>40</v>
      </c>
      <c r="B38" s="115">
        <f>('historical data'!I12/'historical data'!B6)*365</f>
        <v>67.239463311097637</v>
      </c>
      <c r="C38" s="115">
        <f>('historical data'!J12/'historical data'!C6)*365</f>
        <v>64.245843152226868</v>
      </c>
      <c r="D38" s="115">
        <f>('historical data'!K12/'historical data'!D6)*365</f>
        <v>69.024367866710705</v>
      </c>
      <c r="E38" s="43">
        <f>AVERAGE(B38:D38)</f>
        <v>66.836558110011723</v>
      </c>
      <c r="F38" s="43"/>
      <c r="G38" s="43"/>
      <c r="H38" s="43"/>
      <c r="I38" s="43"/>
    </row>
    <row r="39" spans="1:9" x14ac:dyDescent="0.25">
      <c r="A39" s="28" t="s">
        <v>41</v>
      </c>
      <c r="B39" s="118">
        <f>('historical data'!I6/'historical data'!B6)*360</f>
        <v>4.0278956943602182</v>
      </c>
      <c r="C39" s="118">
        <f>('historical data'!J6/'historical data'!C6)*360</f>
        <v>7.6019958135309844</v>
      </c>
      <c r="D39" s="118">
        <f>('historical data'!K6/'historical data'!D6)*360</f>
        <v>6.7334581085544425</v>
      </c>
      <c r="E39" s="43">
        <f>AVERAGE(B39:D39)</f>
        <v>6.1211165388152153</v>
      </c>
      <c r="F39" s="43"/>
      <c r="G39" s="43"/>
      <c r="H39" s="43"/>
      <c r="I39" s="43"/>
    </row>
    <row r="40" spans="1:9" x14ac:dyDescent="0.25">
      <c r="A40" s="29" t="s">
        <v>42</v>
      </c>
      <c r="B40" s="40">
        <f>('historical data'!I14)/'historical data'!B6</f>
        <v>0.22997271073377804</v>
      </c>
      <c r="C40" s="40">
        <f>('historical data'!J14)/'historical data'!C6</f>
        <v>0.22778077647151754</v>
      </c>
      <c r="D40" s="40">
        <f>('historical data'!K14)/'historical data'!D6</f>
        <v>0.18103416639142722</v>
      </c>
      <c r="E40" s="99">
        <f>AVERAGE(B40:D40)</f>
        <v>0.21292921786557426</v>
      </c>
      <c r="F40" s="44"/>
      <c r="G40" s="44"/>
      <c r="H40" s="44"/>
      <c r="I40" s="44"/>
    </row>
    <row r="41" spans="1:9" x14ac:dyDescent="0.25">
      <c r="A41" s="28"/>
      <c r="B41" s="40"/>
      <c r="C41" s="40"/>
      <c r="D41" s="40"/>
      <c r="E41" s="99"/>
      <c r="F41" s="44"/>
      <c r="G41" s="44"/>
      <c r="H41" s="44"/>
      <c r="I41" s="44"/>
    </row>
    <row r="42" spans="1:9" x14ac:dyDescent="0.25">
      <c r="A42" s="28" t="s">
        <v>43</v>
      </c>
      <c r="B42" s="40">
        <f>('historical data'!I7)/'historical data'!B6</f>
        <v>0.16561552456033959</v>
      </c>
      <c r="C42" s="40">
        <f>('historical data'!J7)/'historical data'!C6</f>
        <v>0.18201924722547691</v>
      </c>
      <c r="D42" s="40">
        <f>('historical data'!K7)/'historical data'!D6</f>
        <v>0.16748015217683829</v>
      </c>
      <c r="E42" s="99">
        <f>AVERAGE(B42:D42)</f>
        <v>0.17170497465421827</v>
      </c>
      <c r="F42" s="44"/>
      <c r="G42" s="44"/>
      <c r="H42" s="44"/>
      <c r="I42" s="44"/>
    </row>
  </sheetData>
  <scenarios current="0" show="0">
    <scenario name="selected " locked="1" count="1" user="DELL" comment="Created by DELL on 6/15/2024">
      <inputCells r="B3" val="61941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BF7B-CAEB-45E6-9FEF-D84D36BC141A}">
  <dimension ref="A4:I20"/>
  <sheetViews>
    <sheetView workbookViewId="0">
      <selection activeCell="A10" sqref="A10:XFD10"/>
    </sheetView>
  </sheetViews>
  <sheetFormatPr defaultRowHeight="15" x14ac:dyDescent="0.25"/>
  <cols>
    <col min="1" max="1" width="28.7109375" customWidth="1"/>
    <col min="2" max="2" width="10.42578125" bestFit="1" customWidth="1"/>
    <col min="3" max="4" width="9.5703125" bestFit="1" customWidth="1"/>
    <col min="5" max="9" width="9.28515625" bestFit="1" customWidth="1"/>
  </cols>
  <sheetData>
    <row r="4" spans="1:9" x14ac:dyDescent="0.25">
      <c r="A4" s="23" t="s">
        <v>44</v>
      </c>
      <c r="B4" s="120" t="s">
        <v>80</v>
      </c>
      <c r="C4" s="1"/>
      <c r="D4" s="1"/>
      <c r="E4" s="1"/>
      <c r="F4" s="1"/>
      <c r="G4" s="1"/>
      <c r="H4" s="1"/>
      <c r="I4" s="1"/>
    </row>
    <row r="6" spans="1:9" x14ac:dyDescent="0.25">
      <c r="A6" s="1"/>
      <c r="B6" s="128" t="s">
        <v>45</v>
      </c>
      <c r="C6" s="128"/>
      <c r="D6" s="128"/>
      <c r="E6" s="127" t="s">
        <v>46</v>
      </c>
      <c r="F6" s="127"/>
      <c r="G6" s="127"/>
      <c r="H6" s="127"/>
      <c r="I6" s="127"/>
    </row>
    <row r="7" spans="1:9" ht="15.75" x14ac:dyDescent="0.25">
      <c r="A7" s="2" t="s">
        <v>0</v>
      </c>
      <c r="B7" s="50" t="s">
        <v>1</v>
      </c>
      <c r="C7" s="50" t="s">
        <v>2</v>
      </c>
      <c r="D7" s="50" t="s">
        <v>3</v>
      </c>
      <c r="E7" s="51" t="s">
        <v>28</v>
      </c>
      <c r="F7" s="51" t="s">
        <v>47</v>
      </c>
      <c r="G7" s="51" t="s">
        <v>48</v>
      </c>
      <c r="H7" s="51" t="s">
        <v>49</v>
      </c>
      <c r="I7" s="51" t="s">
        <v>50</v>
      </c>
    </row>
    <row r="8" spans="1:9" x14ac:dyDescent="0.25">
      <c r="A8" s="45" t="s">
        <v>4</v>
      </c>
      <c r="B8" s="116">
        <f>assumptions!B3</f>
        <v>61941</v>
      </c>
      <c r="C8" s="116">
        <f>assumptions!C3</f>
        <v>73107</v>
      </c>
      <c r="D8" s="116">
        <f>assumptions!D3</f>
        <v>79047</v>
      </c>
      <c r="E8" s="116">
        <f>assumptions!E3</f>
        <v>90904.049999999988</v>
      </c>
      <c r="F8" s="116">
        <f>assumptions!F3</f>
        <v>104539.65749999997</v>
      </c>
      <c r="G8" s="116">
        <f>assumptions!G3</f>
        <v>120220.60612499996</v>
      </c>
      <c r="H8" s="116">
        <f>assumptions!H3</f>
        <v>138253.69704374994</v>
      </c>
      <c r="I8" s="116">
        <f>assumptions!I3</f>
        <v>158991.75160031242</v>
      </c>
    </row>
    <row r="9" spans="1:9" x14ac:dyDescent="0.25">
      <c r="A9" s="45" t="s">
        <v>6</v>
      </c>
      <c r="B9" s="19">
        <f>assumptions!B9</f>
        <v>4019</v>
      </c>
      <c r="C9" s="19">
        <f>assumptions!C9</f>
        <v>2852</v>
      </c>
      <c r="D9" s="19">
        <f>assumptions!D9</f>
        <v>2700</v>
      </c>
      <c r="E9" s="19">
        <f>assumptions!E9</f>
        <v>2295</v>
      </c>
      <c r="F9" s="19">
        <f>assumptions!F9</f>
        <v>1950.75</v>
      </c>
      <c r="G9" s="19">
        <f>assumptions!G9</f>
        <v>1658.1375</v>
      </c>
      <c r="H9" s="19">
        <f>assumptions!H9</f>
        <v>1409.4168749999999</v>
      </c>
      <c r="I9" s="19">
        <f>assumptions!I9</f>
        <v>1198.0043437499999</v>
      </c>
    </row>
    <row r="10" spans="1:9" x14ac:dyDescent="0.25">
      <c r="A10" s="46" t="s">
        <v>8</v>
      </c>
      <c r="B10" s="53">
        <f>SUM(B8:B9)</f>
        <v>65960</v>
      </c>
      <c r="C10" s="53">
        <f t="shared" ref="C10:I10" si="0">SUM(C8:C9)</f>
        <v>75959</v>
      </c>
      <c r="D10" s="53">
        <f t="shared" si="0"/>
        <v>81747</v>
      </c>
      <c r="E10" s="53">
        <f t="shared" si="0"/>
        <v>93199.049999999988</v>
      </c>
      <c r="F10" s="53">
        <f t="shared" si="0"/>
        <v>106490.40749999997</v>
      </c>
      <c r="G10" s="53">
        <f t="shared" si="0"/>
        <v>121878.74362499996</v>
      </c>
      <c r="H10" s="53">
        <f t="shared" si="0"/>
        <v>139663.11391874994</v>
      </c>
      <c r="I10" s="53">
        <f t="shared" si="0"/>
        <v>160189.75594406243</v>
      </c>
    </row>
    <row r="11" spans="1:9" x14ac:dyDescent="0.25">
      <c r="A11" s="45" t="s">
        <v>52</v>
      </c>
      <c r="B11" s="54">
        <f>assumptions!B15</f>
        <v>6764</v>
      </c>
      <c r="C11" s="54">
        <f>assumptions!C15</f>
        <v>12633</v>
      </c>
      <c r="D11" s="54">
        <f>assumptions!D15</f>
        <v>10000</v>
      </c>
      <c r="E11" s="54">
        <f>assumptions!E15</f>
        <v>9200</v>
      </c>
      <c r="F11" s="54">
        <f>assumptions!F15</f>
        <v>8464</v>
      </c>
      <c r="G11" s="54">
        <f>assumptions!G15</f>
        <v>7786.88</v>
      </c>
      <c r="H11" s="54">
        <f>assumptions!H15</f>
        <v>7163.9296000000004</v>
      </c>
      <c r="I11" s="54">
        <f>assumptions!I15</f>
        <v>6590.8152320000008</v>
      </c>
    </row>
    <row r="12" spans="1:9" x14ac:dyDescent="0.25">
      <c r="A12" s="45" t="s">
        <v>11</v>
      </c>
      <c r="B12" s="54">
        <f>assumptions!B21</f>
        <v>32472</v>
      </c>
      <c r="C12" s="54">
        <f>assumptions!C21</f>
        <v>38296</v>
      </c>
      <c r="D12" s="54">
        <f>assumptions!D21</f>
        <v>42434</v>
      </c>
      <c r="E12" s="54">
        <f>assumptions!E21</f>
        <v>48799.1</v>
      </c>
      <c r="F12" s="54">
        <f>assumptions!F21</f>
        <v>56118.964999999997</v>
      </c>
      <c r="G12" s="54">
        <f>assumptions!G21</f>
        <v>64536.809749999993</v>
      </c>
      <c r="H12" s="54">
        <f>assumptions!H21</f>
        <v>74217.331212499979</v>
      </c>
      <c r="I12" s="54">
        <f>assumptions!I21</f>
        <v>85349.930894374964</v>
      </c>
    </row>
    <row r="13" spans="1:9" x14ac:dyDescent="0.25">
      <c r="A13" s="45" t="s">
        <v>51</v>
      </c>
      <c r="B13" s="54">
        <f>'historical data'!B10</f>
        <v>1408</v>
      </c>
      <c r="C13" s="54">
        <f>'historical data'!C10</f>
        <v>1599</v>
      </c>
      <c r="D13" s="54">
        <f>'historical data'!D10</f>
        <v>2144</v>
      </c>
      <c r="E13" s="126">
        <f>FARF!G7</f>
        <v>2156.1250603471631</v>
      </c>
      <c r="F13" s="126">
        <f>FARF!H7</f>
        <v>2336.1139806409183</v>
      </c>
      <c r="G13" s="126">
        <f>FARF!I7</f>
        <v>2531.1280087191435</v>
      </c>
      <c r="H13" s="126">
        <f>FARF!J7</f>
        <v>2742.4214099197625</v>
      </c>
      <c r="I13" s="126">
        <f>FARF!K7</f>
        <v>2971.3531530916825</v>
      </c>
    </row>
    <row r="14" spans="1:9" x14ac:dyDescent="0.25">
      <c r="A14" s="45" t="s">
        <v>16</v>
      </c>
      <c r="B14" s="54">
        <f>assumptions!B27</f>
        <v>5408</v>
      </c>
      <c r="C14" s="54">
        <f>assumptions!C27</f>
        <v>3504</v>
      </c>
      <c r="D14" s="54">
        <f>assumptions!D27</f>
        <v>5000</v>
      </c>
      <c r="E14" s="54">
        <f>assumptions!E27</f>
        <v>4600</v>
      </c>
      <c r="F14" s="54">
        <f>assumptions!F27</f>
        <v>4232</v>
      </c>
      <c r="G14" s="54">
        <f>assumptions!G27</f>
        <v>3893.44</v>
      </c>
      <c r="H14" s="54">
        <f>assumptions!H27</f>
        <v>3581.9648000000002</v>
      </c>
      <c r="I14" s="54">
        <f>assumptions!I27</f>
        <v>3295.4076160000004</v>
      </c>
    </row>
    <row r="15" spans="1:9" x14ac:dyDescent="0.25">
      <c r="A15" s="47" t="s">
        <v>78</v>
      </c>
      <c r="B15" s="55">
        <f>SUM(B11:B14)</f>
        <v>46052</v>
      </c>
      <c r="C15" s="55">
        <f t="shared" ref="C15:I15" si="1">SUM(C11:C14)</f>
        <v>56032</v>
      </c>
      <c r="D15" s="55">
        <f t="shared" si="1"/>
        <v>59578</v>
      </c>
      <c r="E15" s="55">
        <f t="shared" si="1"/>
        <v>64755.225060347162</v>
      </c>
      <c r="F15" s="55">
        <f t="shared" si="1"/>
        <v>71151.078980640916</v>
      </c>
      <c r="G15" s="55">
        <f t="shared" si="1"/>
        <v>78748.257758719134</v>
      </c>
      <c r="H15" s="55">
        <f t="shared" si="1"/>
        <v>87705.64702241974</v>
      </c>
      <c r="I15" s="55">
        <f t="shared" si="1"/>
        <v>98207.506895466635</v>
      </c>
    </row>
    <row r="16" spans="1:9" x14ac:dyDescent="0.25">
      <c r="A16" s="46" t="s">
        <v>53</v>
      </c>
      <c r="B16" s="56">
        <f>B10-B15</f>
        <v>19908</v>
      </c>
      <c r="C16" s="56">
        <f t="shared" ref="C16:I16" si="2">C10-C15</f>
        <v>19927</v>
      </c>
      <c r="D16" s="56">
        <f t="shared" si="2"/>
        <v>22169</v>
      </c>
      <c r="E16" s="56">
        <f t="shared" si="2"/>
        <v>28443.824939652826</v>
      </c>
      <c r="F16" s="56">
        <f t="shared" si="2"/>
        <v>35339.328519359056</v>
      </c>
      <c r="G16" s="56">
        <f t="shared" si="2"/>
        <v>43130.485866280826</v>
      </c>
      <c r="H16" s="56">
        <f t="shared" si="2"/>
        <v>51957.466896330196</v>
      </c>
      <c r="I16" s="56">
        <f t="shared" si="2"/>
        <v>61982.249048595797</v>
      </c>
    </row>
    <row r="17" spans="1:9" x14ac:dyDescent="0.25">
      <c r="A17" s="49" t="s">
        <v>23</v>
      </c>
      <c r="B17" s="54">
        <f>assumptions!B33</f>
        <v>3753</v>
      </c>
      <c r="C17" s="54">
        <f>assumptions!C33</f>
        <v>5225</v>
      </c>
      <c r="D17" s="54">
        <f>assumptions!D33</f>
        <v>4934</v>
      </c>
      <c r="E17" s="54">
        <f>-assumptions!E33*'P&amp;L'!E16</f>
        <v>9955.3387288784888</v>
      </c>
      <c r="F17" s="54">
        <f>-assumptions!F33*'P&amp;L'!F16</f>
        <v>12368.764981775668</v>
      </c>
      <c r="G17" s="54">
        <f>-assumptions!G33*'P&amp;L'!G16</f>
        <v>15095.670053198288</v>
      </c>
      <c r="H17" s="54">
        <f>-assumptions!H33*'P&amp;L'!H16</f>
        <v>18185.113413715568</v>
      </c>
      <c r="I17" s="54">
        <f>-assumptions!I33*'P&amp;L'!I16</f>
        <v>21693.787167008526</v>
      </c>
    </row>
    <row r="18" spans="1:9" x14ac:dyDescent="0.25">
      <c r="A18" s="52" t="s">
        <v>54</v>
      </c>
      <c r="B18" s="117">
        <f>B16-B17</f>
        <v>16155</v>
      </c>
      <c r="C18" s="117">
        <f t="shared" ref="C18:I18" si="3">C16-C17</f>
        <v>14702</v>
      </c>
      <c r="D18" s="117">
        <f t="shared" si="3"/>
        <v>17235</v>
      </c>
      <c r="E18" s="117">
        <f t="shared" si="3"/>
        <v>18488.486210774339</v>
      </c>
      <c r="F18" s="117">
        <f t="shared" si="3"/>
        <v>22970.563537583388</v>
      </c>
      <c r="G18" s="117">
        <f t="shared" si="3"/>
        <v>28034.81581308254</v>
      </c>
      <c r="H18" s="117">
        <f t="shared" si="3"/>
        <v>33772.353482614628</v>
      </c>
      <c r="I18" s="117">
        <f t="shared" si="3"/>
        <v>40288.461881587267</v>
      </c>
    </row>
    <row r="19" spans="1:9" x14ac:dyDescent="0.25">
      <c r="B19" s="22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mergeCells count="2">
    <mergeCell ref="E6:I6"/>
    <mergeCell ref="B6:D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FF9C-1ABC-4041-A633-8E8E7E99AF79}">
  <dimension ref="A4:I21"/>
  <sheetViews>
    <sheetView tabSelected="1" topLeftCell="A2" workbookViewId="0">
      <selection activeCell="M16" sqref="M16"/>
    </sheetView>
  </sheetViews>
  <sheetFormatPr defaultRowHeight="15" x14ac:dyDescent="0.25"/>
  <cols>
    <col min="1" max="1" width="26.5703125" customWidth="1"/>
    <col min="2" max="4" width="9.140625" style="114"/>
    <col min="5" max="5" width="11.42578125" bestFit="1" customWidth="1"/>
    <col min="6" max="7" width="11.28515625" bestFit="1" customWidth="1"/>
    <col min="8" max="9" width="13.28515625" bestFit="1" customWidth="1"/>
  </cols>
  <sheetData>
    <row r="4" spans="1:9" x14ac:dyDescent="0.25">
      <c r="A4" s="1"/>
      <c r="B4" s="128" t="s">
        <v>45</v>
      </c>
      <c r="C4" s="128"/>
      <c r="D4" s="128"/>
      <c r="E4" s="127" t="s">
        <v>46</v>
      </c>
      <c r="F4" s="127"/>
      <c r="G4" s="127"/>
      <c r="H4" s="127"/>
      <c r="I4" s="127"/>
    </row>
    <row r="5" spans="1:9" ht="15.75" x14ac:dyDescent="0.25">
      <c r="A5" s="2" t="s">
        <v>0</v>
      </c>
      <c r="B5" s="111" t="s">
        <v>1</v>
      </c>
      <c r="C5" s="111" t="s">
        <v>2</v>
      </c>
      <c r="D5" s="111" t="s">
        <v>3</v>
      </c>
      <c r="E5" s="51" t="s">
        <v>28</v>
      </c>
      <c r="F5" s="51" t="s">
        <v>47</v>
      </c>
      <c r="G5" s="51" t="s">
        <v>48</v>
      </c>
      <c r="H5" s="51" t="s">
        <v>49</v>
      </c>
      <c r="I5" s="51" t="s">
        <v>50</v>
      </c>
    </row>
    <row r="6" spans="1:9" x14ac:dyDescent="0.25">
      <c r="A6" s="45" t="s">
        <v>5</v>
      </c>
      <c r="B6" s="19">
        <f>SUMIF('historical data'!$H:$H,BS!$A6,'historical data'!I:I)</f>
        <v>63502</v>
      </c>
      <c r="C6" s="19">
        <f>SUMIF('historical data'!$H:$H,BS!$A6,'historical data'!J:J)</f>
        <v>62711</v>
      </c>
      <c r="D6" s="19">
        <f>SUMIF('historical data'!$H:$H,BS!$A6,'historical data'!K:K)</f>
        <v>62234</v>
      </c>
      <c r="E6" s="48">
        <f>'Equity Schedule'!F9</f>
        <v>72402.667415925884</v>
      </c>
      <c r="F6" s="48">
        <f>'Equity Schedule'!G9</f>
        <v>85036.477361596757</v>
      </c>
      <c r="G6" s="48">
        <f>'Equity Schedule'!H9</f>
        <v>100455.62605879216</v>
      </c>
      <c r="H6" s="48">
        <f>'Equity Schedule'!I9</f>
        <v>119030.42047423021</v>
      </c>
      <c r="I6" s="48">
        <f>'Equity Schedule'!J9</f>
        <v>141189.0745091032</v>
      </c>
    </row>
    <row r="7" spans="1:9" x14ac:dyDescent="0.25">
      <c r="A7" s="63" t="s">
        <v>7</v>
      </c>
      <c r="B7" s="19">
        <f>SUMIF('historical data'!$H:$H,BS!$A7,'historical data'!I:I)</f>
        <v>713</v>
      </c>
      <c r="C7" s="19">
        <f>SUMIF('historical data'!$H:$H,BS!$A7,'historical data'!J:J)</f>
        <v>789</v>
      </c>
      <c r="D7" s="19">
        <f>SUMIF('historical data'!$H:$H,BS!$A7,'historical data'!K:K)</f>
        <v>3587</v>
      </c>
      <c r="E7" s="65">
        <f>D7</f>
        <v>3587</v>
      </c>
      <c r="F7" s="65">
        <f t="shared" ref="F7:I7" si="0">E7</f>
        <v>3587</v>
      </c>
      <c r="G7" s="65">
        <f t="shared" si="0"/>
        <v>3587</v>
      </c>
      <c r="H7" s="65">
        <f t="shared" si="0"/>
        <v>3587</v>
      </c>
      <c r="I7" s="65">
        <f t="shared" si="0"/>
        <v>3587</v>
      </c>
    </row>
    <row r="8" spans="1:9" x14ac:dyDescent="0.25">
      <c r="A8" s="108" t="s">
        <v>9</v>
      </c>
      <c r="B8" s="110">
        <f>SUMIF('historical data'!$H:$H,BS!$A8,'historical data'!I:I)</f>
        <v>738</v>
      </c>
      <c r="C8" s="110">
        <f>SUMIF('historical data'!$H:$H,BS!$A8,'historical data'!J:J)</f>
        <v>1604</v>
      </c>
      <c r="D8" s="110">
        <f>SUMIF('historical data'!$H:$H,BS!$A8,'historical data'!K:K)</f>
        <v>1529</v>
      </c>
      <c r="E8" s="48">
        <f>(assumptions!$E$39*'P&amp;L'!E10)/365</f>
        <v>1562.9650585119618</v>
      </c>
      <c r="F8" s="48">
        <f>(assumptions!$E$39*'P&amp;L'!F10)/365</f>
        <v>1785.863546776498</v>
      </c>
      <c r="G8" s="48">
        <f>(assumptions!$E$39*'P&amp;L'!G10)/365</f>
        <v>2043.9287488575528</v>
      </c>
      <c r="H8" s="48">
        <f>(assumptions!$E$39*'P&amp;L'!H10)/365</f>
        <v>2342.1758807410788</v>
      </c>
      <c r="I8" s="48">
        <f>(assumptions!$E$39*'P&amp;L'!I10)/365</f>
        <v>2686.4114094738998</v>
      </c>
    </row>
    <row r="9" spans="1:9" x14ac:dyDescent="0.25">
      <c r="A9" s="108" t="s">
        <v>10</v>
      </c>
      <c r="B9" s="109">
        <f>SUMIF('historical data'!$H:$H,BS!$A9,'historical data'!I:I)</f>
        <v>10924</v>
      </c>
      <c r="C9" s="109">
        <f>SUMIF('historical data'!$H:$H,BS!$A9,'historical data'!J:J)</f>
        <v>13826</v>
      </c>
      <c r="D9" s="109">
        <f>SUMIF('historical data'!$H:$H,BS!$A9,'historical data'!K:K)</f>
        <v>13691</v>
      </c>
      <c r="E9" s="48">
        <f>assumptions!$E$42*assumptions!E3</f>
        <v>15608.677601215788</v>
      </c>
      <c r="F9" s="48">
        <f>assumptions!$E$42*assumptions!F3</f>
        <v>17949.979241398156</v>
      </c>
      <c r="G9" s="48">
        <f>assumptions!$E$42*assumptions!G3</f>
        <v>20642.476127607875</v>
      </c>
      <c r="H9" s="48">
        <f>assumptions!$E$42*assumptions!H3</f>
        <v>23738.847546749057</v>
      </c>
      <c r="I9" s="48">
        <f>assumptions!$E$42*assumptions!I3</f>
        <v>27299.67467876141</v>
      </c>
    </row>
    <row r="10" spans="1:9" x14ac:dyDescent="0.25">
      <c r="A10" s="58" t="s">
        <v>12</v>
      </c>
      <c r="B10" s="66">
        <f>SUM(B8:B9)</f>
        <v>11662</v>
      </c>
      <c r="C10" s="66">
        <f t="shared" ref="C10:D10" si="1">SUM(C8:C9)</f>
        <v>15430</v>
      </c>
      <c r="D10" s="66">
        <f t="shared" si="1"/>
        <v>15220</v>
      </c>
      <c r="E10" s="66">
        <f>SUM(E8:E9)</f>
        <v>17171.64265972775</v>
      </c>
      <c r="F10" s="66">
        <f t="shared" ref="F10" si="2">SUM(F8:F9)</f>
        <v>19735.842788174654</v>
      </c>
      <c r="G10" s="66">
        <f t="shared" ref="G10" si="3">SUM(G8:G9)</f>
        <v>22686.404876465429</v>
      </c>
      <c r="H10" s="66">
        <f t="shared" ref="H10" si="4">SUM(H8:H9)</f>
        <v>26081.023427490138</v>
      </c>
      <c r="I10" s="66">
        <f t="shared" ref="I10" si="5">SUM(I8:I9)</f>
        <v>29986.086088235308</v>
      </c>
    </row>
    <row r="11" spans="1:9" ht="15.75" thickBot="1" x14ac:dyDescent="0.3">
      <c r="A11" s="59" t="s">
        <v>13</v>
      </c>
      <c r="B11" s="67">
        <f>SUM(B6,B7,B8,B9)</f>
        <v>75877</v>
      </c>
      <c r="C11" s="67">
        <f t="shared" ref="C11:I11" si="6">SUM(C6,C7,C8,C9)</f>
        <v>78930</v>
      </c>
      <c r="D11" s="67">
        <f>SUM(D6,D7,D8,D9)</f>
        <v>81041</v>
      </c>
      <c r="E11" s="67">
        <f>SUM(E6,E7,E8,E9)</f>
        <v>93161.310075653644</v>
      </c>
      <c r="F11" s="67">
        <f t="shared" si="6"/>
        <v>108359.3201497714</v>
      </c>
      <c r="G11" s="67">
        <f t="shared" si="6"/>
        <v>126729.03093525759</v>
      </c>
      <c r="H11" s="67">
        <f t="shared" si="6"/>
        <v>148698.44390172034</v>
      </c>
      <c r="I11" s="67">
        <f t="shared" si="6"/>
        <v>174762.16059733852</v>
      </c>
    </row>
    <row r="12" spans="1:9" ht="15.75" thickTop="1" x14ac:dyDescent="0.25">
      <c r="A12" s="1"/>
      <c r="B12" s="112"/>
      <c r="C12" s="112"/>
      <c r="D12" s="112"/>
      <c r="E12" s="1"/>
      <c r="F12" s="1"/>
      <c r="G12" s="1"/>
      <c r="H12" s="1"/>
      <c r="I12" s="1"/>
    </row>
    <row r="13" spans="1:9" x14ac:dyDescent="0.25">
      <c r="A13" s="45" t="s">
        <v>17</v>
      </c>
      <c r="B13" s="19">
        <f>SUMIF('historical data'!$H:$H,BS!$A13,'historical data'!I:I)</f>
        <v>31787</v>
      </c>
      <c r="C13" s="19">
        <f>SUMIF('historical data'!$H:$H,BS!$A13,'historical data'!J:J)</f>
        <v>32707</v>
      </c>
      <c r="D13" s="19">
        <f>SUMIF('historical data'!$H:$H,BS!$A13,'historical data'!K:K)</f>
        <v>37221</v>
      </c>
      <c r="E13" s="64">
        <f>FARF!G9</f>
        <v>40328.133127600304</v>
      </c>
      <c r="F13" s="64">
        <f>FARF!H9</f>
        <v>43694.643388341341</v>
      </c>
      <c r="G13" s="64">
        <f>FARF!I9</f>
        <v>47342.183056018112</v>
      </c>
      <c r="H13" s="64">
        <f>FARF!J9</f>
        <v>51294.211892058833</v>
      </c>
      <c r="I13" s="64">
        <f>FARF!K9</f>
        <v>55576.148030904253</v>
      </c>
    </row>
    <row r="14" spans="1:9" x14ac:dyDescent="0.25">
      <c r="A14" s="57" t="s">
        <v>19</v>
      </c>
      <c r="B14" s="19">
        <f>SUMIF('historical data'!$H:$H,BS!$A14,'historical data'!I:I)</f>
        <v>12151</v>
      </c>
      <c r="C14" s="19">
        <f>SUMIF('historical data'!$H:$H,BS!$A14,'historical data'!J:J)</f>
        <v>13370</v>
      </c>
      <c r="D14" s="19">
        <f>SUMIF('historical data'!$H:$H,BS!$A14,'historical data'!K:K)</f>
        <v>15459</v>
      </c>
      <c r="E14" s="48">
        <f>(assumptions!$D$38*'P&amp;L'!E8)/365</f>
        <v>17190.670103490032</v>
      </c>
      <c r="F14" s="48">
        <f>(assumptions!$D$38*'P&amp;L'!F8)/365</f>
        <v>19769.270619013536</v>
      </c>
      <c r="G14" s="48">
        <f>(assumptions!$D$38*'P&amp;L'!G8)/365</f>
        <v>22734.661211865565</v>
      </c>
      <c r="H14" s="48">
        <f>(assumptions!$D$38*'P&amp;L'!H8)/365</f>
        <v>26144.860393645398</v>
      </c>
      <c r="I14" s="48">
        <f>(assumptions!$D$38*'P&amp;L'!I8)/365</f>
        <v>30066.589452692202</v>
      </c>
    </row>
    <row r="15" spans="1:9" x14ac:dyDescent="0.25">
      <c r="A15" s="57" t="s">
        <v>21</v>
      </c>
      <c r="B15" s="19">
        <f>SUMIF('historical data'!$H:$H,BS!$A15,'historical data'!I:I)</f>
        <v>16770</v>
      </c>
      <c r="C15" s="19">
        <f>SUMIF('historical data'!$H:$H,BS!$A15,'historical data'!J:J)</f>
        <v>15551</v>
      </c>
      <c r="D15" s="19">
        <f>SUMIF('historical data'!$H:$H,BS!$A15,'historical data'!K:K)</f>
        <v>13562</v>
      </c>
      <c r="E15" s="48">
        <f>E18-(E13+E14+E16)</f>
        <v>16286.37857725026</v>
      </c>
      <c r="F15" s="48">
        <f t="shared" ref="F15:I15" si="7">F18-(F13+F14+F16)</f>
        <v>22635.858635006516</v>
      </c>
      <c r="G15" s="48">
        <f t="shared" si="7"/>
        <v>31053.707033852406</v>
      </c>
      <c r="H15" s="48">
        <f t="shared" si="7"/>
        <v>41821.120037466375</v>
      </c>
      <c r="I15" s="48">
        <f t="shared" si="7"/>
        <v>55265.433798409867</v>
      </c>
    </row>
    <row r="16" spans="1:9" x14ac:dyDescent="0.25">
      <c r="A16" s="57" t="s">
        <v>22</v>
      </c>
      <c r="B16" s="19">
        <f>SUMIF('historical data'!$H:$H,BS!$A16,'historical data'!I:I)</f>
        <v>15169</v>
      </c>
      <c r="C16" s="19">
        <f>SUMIF('historical data'!$H:$H,BS!$A16,'historical data'!J:J)</f>
        <v>17302</v>
      </c>
      <c r="D16" s="19">
        <f>SUMIF('historical data'!$H:$H,BS!$A16,'historical data'!K:K)</f>
        <v>14799</v>
      </c>
      <c r="E16" s="60">
        <f>assumptions!$E$40*assumptions!E3</f>
        <v>19356.128267313052</v>
      </c>
      <c r="F16" s="60">
        <f>assumptions!$E$40*assumptions!F3</f>
        <v>22259.547507410007</v>
      </c>
      <c r="G16" s="60">
        <f>assumptions!$E$40*assumptions!G3</f>
        <v>25598.479633521507</v>
      </c>
      <c r="H16" s="60">
        <f>assumptions!$E$40*assumptions!H3</f>
        <v>29438.251578549731</v>
      </c>
      <c r="I16" s="60">
        <f>assumptions!$E$40*assumptions!I3</f>
        <v>33853.98931533219</v>
      </c>
    </row>
    <row r="17" spans="1:9" x14ac:dyDescent="0.25">
      <c r="A17" s="58" t="s">
        <v>24</v>
      </c>
      <c r="B17" s="66">
        <f>SUM(B15:B16)</f>
        <v>31939</v>
      </c>
      <c r="C17" s="66">
        <f t="shared" ref="C17" si="8">SUM(C15:C16)</f>
        <v>32853</v>
      </c>
      <c r="D17" s="66">
        <f>SUM(D15:D16)</f>
        <v>28361</v>
      </c>
      <c r="E17" s="66">
        <f>SUM(E15:E16)</f>
        <v>35642.506844563308</v>
      </c>
      <c r="F17" s="66">
        <f t="shared" ref="F17:I17" si="9">SUM(F15:F16)</f>
        <v>44895.406142416527</v>
      </c>
      <c r="G17" s="66">
        <f t="shared" si="9"/>
        <v>56652.186667373913</v>
      </c>
      <c r="H17" s="66">
        <f t="shared" si="9"/>
        <v>71259.371616016113</v>
      </c>
      <c r="I17" s="66">
        <f t="shared" si="9"/>
        <v>89119.423113742057</v>
      </c>
    </row>
    <row r="18" spans="1:9" ht="15.75" thickBot="1" x14ac:dyDescent="0.3">
      <c r="A18" s="59" t="s">
        <v>26</v>
      </c>
      <c r="B18" s="67">
        <f>SUM(B13:B16)</f>
        <v>75877</v>
      </c>
      <c r="C18" s="67">
        <f t="shared" ref="C18" si="10">SUM(C13:C16)</f>
        <v>78930</v>
      </c>
      <c r="D18" s="67">
        <f>SUM(D13:D16)</f>
        <v>81041</v>
      </c>
      <c r="E18" s="67">
        <f>E11</f>
        <v>93161.310075653644</v>
      </c>
      <c r="F18" s="67">
        <f t="shared" ref="F18:I18" si="11">F11</f>
        <v>108359.3201497714</v>
      </c>
      <c r="G18" s="67">
        <f t="shared" si="11"/>
        <v>126729.03093525759</v>
      </c>
      <c r="H18" s="67">
        <f t="shared" si="11"/>
        <v>148698.44390172034</v>
      </c>
      <c r="I18" s="67">
        <f t="shared" si="11"/>
        <v>174762.16059733852</v>
      </c>
    </row>
    <row r="19" spans="1:9" ht="15.75" thickTop="1" x14ac:dyDescent="0.25">
      <c r="A19" s="61"/>
      <c r="B19" s="62"/>
      <c r="C19" s="62"/>
      <c r="D19" s="62"/>
      <c r="E19" s="62"/>
      <c r="F19" s="62"/>
      <c r="G19" s="62"/>
      <c r="H19" s="62"/>
      <c r="I19" s="62"/>
    </row>
    <row r="21" spans="1:9" x14ac:dyDescent="0.25">
      <c r="A21" s="68" t="s">
        <v>55</v>
      </c>
      <c r="B21" s="113">
        <f>B11-B18</f>
        <v>0</v>
      </c>
      <c r="C21" s="113">
        <f t="shared" ref="C21:I21" si="12">C11-C18</f>
        <v>0</v>
      </c>
      <c r="D21" s="113">
        <f t="shared" si="12"/>
        <v>0</v>
      </c>
      <c r="E21" s="121">
        <f>E11-E18</f>
        <v>0</v>
      </c>
      <c r="F21" s="121">
        <f t="shared" si="12"/>
        <v>0</v>
      </c>
      <c r="G21" s="121">
        <f t="shared" si="12"/>
        <v>0</v>
      </c>
      <c r="H21" s="121">
        <f t="shared" si="12"/>
        <v>0</v>
      </c>
      <c r="I21" s="121">
        <f t="shared" si="12"/>
        <v>0</v>
      </c>
    </row>
  </sheetData>
  <mergeCells count="2">
    <mergeCell ref="E4:I4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4937-1F41-449D-B04A-8BC3F9C50EF8}">
  <dimension ref="B3:J16"/>
  <sheetViews>
    <sheetView workbookViewId="0">
      <selection activeCell="J8" sqref="J8"/>
    </sheetView>
  </sheetViews>
  <sheetFormatPr defaultRowHeight="15" x14ac:dyDescent="0.25"/>
  <cols>
    <col min="1" max="1" width="2.42578125" customWidth="1"/>
    <col min="2" max="2" width="25.140625" customWidth="1"/>
    <col min="4" max="4" width="11.28515625" bestFit="1" customWidth="1"/>
    <col min="5" max="5" width="10.28515625" bestFit="1" customWidth="1"/>
    <col min="6" max="6" width="9.5703125" customWidth="1"/>
    <col min="7" max="9" width="9.28515625" customWidth="1"/>
    <col min="10" max="10" width="9.5703125" customWidth="1"/>
  </cols>
  <sheetData>
    <row r="3" spans="2:10" x14ac:dyDescent="0.25">
      <c r="B3" s="23"/>
      <c r="C3" s="128" t="s">
        <v>45</v>
      </c>
      <c r="D3" s="128"/>
      <c r="E3" s="128"/>
      <c r="F3" s="127" t="s">
        <v>46</v>
      </c>
      <c r="G3" s="127"/>
      <c r="H3" s="127"/>
      <c r="I3" s="127"/>
      <c r="J3" s="127"/>
    </row>
    <row r="4" spans="2:10" ht="15.75" x14ac:dyDescent="0.25">
      <c r="B4" s="2" t="s">
        <v>0</v>
      </c>
      <c r="C4" s="50" t="s">
        <v>1</v>
      </c>
      <c r="D4" s="50" t="s">
        <v>2</v>
      </c>
      <c r="E4" s="50" t="s">
        <v>3</v>
      </c>
      <c r="F4" s="51" t="s">
        <v>28</v>
      </c>
      <c r="G4" s="51" t="s">
        <v>47</v>
      </c>
      <c r="H4" s="51" t="s">
        <v>48</v>
      </c>
      <c r="I4" s="51" t="s">
        <v>49</v>
      </c>
      <c r="J4" s="51" t="s">
        <v>50</v>
      </c>
    </row>
    <row r="5" spans="2:10" x14ac:dyDescent="0.25">
      <c r="B5" s="1" t="s">
        <v>56</v>
      </c>
      <c r="C5" s="71">
        <f>'P&amp;L'!B16+'P&amp;L'!B13</f>
        <v>21316</v>
      </c>
      <c r="D5" s="71">
        <f>'P&amp;L'!C16+'P&amp;L'!C13</f>
        <v>21526</v>
      </c>
      <c r="E5" s="71">
        <f>'P&amp;L'!D16+'P&amp;L'!D13</f>
        <v>24313</v>
      </c>
      <c r="F5" s="71">
        <f>'P&amp;L'!E16+'P&amp;L'!E13</f>
        <v>30599.94999999999</v>
      </c>
      <c r="G5" s="71">
        <f>'P&amp;L'!F16+'P&amp;L'!F13</f>
        <v>37675.442499999976</v>
      </c>
      <c r="H5" s="71">
        <f>'P&amp;L'!G16+'P&amp;L'!G13</f>
        <v>45661.613874999966</v>
      </c>
      <c r="I5" s="71">
        <f>'P&amp;L'!H16+'P&amp;L'!H13</f>
        <v>54699.888306249959</v>
      </c>
      <c r="J5" s="71">
        <f>'P&amp;L'!I16+'P&amp;L'!I13</f>
        <v>64953.602201687478</v>
      </c>
    </row>
    <row r="6" spans="2:10" x14ac:dyDescent="0.25">
      <c r="B6" s="1" t="s">
        <v>38</v>
      </c>
      <c r="C6" s="72">
        <f>'P&amp;L'!B17</f>
        <v>3753</v>
      </c>
      <c r="D6" s="72">
        <f>'P&amp;L'!C17</f>
        <v>5225</v>
      </c>
      <c r="E6" s="72">
        <f>'P&amp;L'!D17</f>
        <v>4934</v>
      </c>
      <c r="F6" s="72">
        <f>'P&amp;L'!E17</f>
        <v>9955.3387288784888</v>
      </c>
      <c r="G6" s="72">
        <f>'P&amp;L'!F17</f>
        <v>12368.764981775668</v>
      </c>
      <c r="H6" s="72">
        <f>'P&amp;L'!G17</f>
        <v>15095.670053198288</v>
      </c>
      <c r="I6" s="72">
        <f>'P&amp;L'!H17</f>
        <v>18185.113413715568</v>
      </c>
      <c r="J6" s="72">
        <f>'P&amp;L'!I17</f>
        <v>21693.787167008526</v>
      </c>
    </row>
    <row r="7" spans="2:10" x14ac:dyDescent="0.25">
      <c r="B7" s="74" t="s">
        <v>57</v>
      </c>
      <c r="C7" s="75">
        <f>C5-C6</f>
        <v>17563</v>
      </c>
      <c r="D7" s="75">
        <f t="shared" ref="D7:J7" si="0">D5-D6</f>
        <v>16301</v>
      </c>
      <c r="E7" s="75">
        <f t="shared" si="0"/>
        <v>19379</v>
      </c>
      <c r="F7" s="75">
        <f>F5-F6</f>
        <v>20644.611271121503</v>
      </c>
      <c r="G7" s="75">
        <f t="shared" si="0"/>
        <v>25306.677518224307</v>
      </c>
      <c r="H7" s="75">
        <f t="shared" si="0"/>
        <v>30565.94382180168</v>
      </c>
      <c r="I7" s="75">
        <f t="shared" si="0"/>
        <v>36514.774892534391</v>
      </c>
      <c r="J7" s="75">
        <f t="shared" si="0"/>
        <v>43259.815034678948</v>
      </c>
    </row>
    <row r="8" spans="2:10" x14ac:dyDescent="0.25">
      <c r="B8" s="1" t="s">
        <v>58</v>
      </c>
      <c r="C8" s="1"/>
      <c r="D8" s="77">
        <f>BS!C14-BS!B14</f>
        <v>1219</v>
      </c>
      <c r="E8" s="77">
        <f>BS!D14-BS!C14</f>
        <v>2089</v>
      </c>
      <c r="F8" s="77">
        <f>BS!E14-BS!D14</f>
        <v>1731.6701034900325</v>
      </c>
      <c r="G8" s="77">
        <f>BS!F14-BS!E14</f>
        <v>2578.6005155235034</v>
      </c>
      <c r="H8" s="77">
        <f>BS!G14-BS!F14</f>
        <v>2965.3905928520289</v>
      </c>
      <c r="I8" s="77">
        <f>BS!H14-BS!G14</f>
        <v>3410.1991817798335</v>
      </c>
      <c r="J8" s="77">
        <f>BS!I14-BS!H14</f>
        <v>3921.7290590468037</v>
      </c>
    </row>
    <row r="9" spans="2:10" x14ac:dyDescent="0.25">
      <c r="B9" s="1" t="s">
        <v>59</v>
      </c>
      <c r="C9" s="1"/>
      <c r="D9" s="100">
        <f>BS!C8-BS!B8</f>
        <v>866</v>
      </c>
      <c r="E9" s="122">
        <f>BS!D8-BS!C8</f>
        <v>-75</v>
      </c>
      <c r="F9" s="122">
        <f>BS!E8-BS!D8</f>
        <v>33.965058511961843</v>
      </c>
      <c r="G9" s="122">
        <f>BS!F8-BS!E8</f>
        <v>222.89848826453613</v>
      </c>
      <c r="H9" s="122">
        <f>BS!G8-BS!F8</f>
        <v>258.06520208105485</v>
      </c>
      <c r="I9" s="122">
        <f>BS!H8-BS!G8</f>
        <v>298.24713188352598</v>
      </c>
      <c r="J9" s="122">
        <f>BS!I8-BS!H8</f>
        <v>344.23552873282097</v>
      </c>
    </row>
    <row r="10" spans="2:10" x14ac:dyDescent="0.25">
      <c r="B10" s="1" t="s">
        <v>60</v>
      </c>
      <c r="C10" s="1"/>
      <c r="D10" s="77">
        <f>BS!C16-BS!B16</f>
        <v>2133</v>
      </c>
      <c r="E10" s="77">
        <f>BS!D16-BS!C16</f>
        <v>-2503</v>
      </c>
      <c r="F10" s="77">
        <f>BS!E16-BS!D16</f>
        <v>4557.1282673130518</v>
      </c>
      <c r="G10" s="77">
        <f>BS!F16-BS!E16</f>
        <v>2903.419240096955</v>
      </c>
      <c r="H10" s="77">
        <f>BS!G16-BS!F16</f>
        <v>3338.9321261115001</v>
      </c>
      <c r="I10" s="77">
        <f>BS!H16-BS!G16</f>
        <v>3839.7719450282239</v>
      </c>
      <c r="J10" s="77">
        <f>BS!I16-BS!H16</f>
        <v>4415.7377367824593</v>
      </c>
    </row>
    <row r="11" spans="2:10" x14ac:dyDescent="0.25">
      <c r="B11" s="1" t="s">
        <v>61</v>
      </c>
      <c r="C11" s="1"/>
      <c r="D11" s="100">
        <f>BS!C9-BS!B9</f>
        <v>2902</v>
      </c>
      <c r="E11" s="122">
        <f>BS!D9-BS!C9</f>
        <v>-135</v>
      </c>
      <c r="F11" s="100">
        <f>BS!E9-BS!D9</f>
        <v>1917.6776012157879</v>
      </c>
      <c r="G11" s="100">
        <f>BS!F9-BS!E9</f>
        <v>2341.3016401823679</v>
      </c>
      <c r="H11" s="100">
        <f>BS!G9-BS!F9</f>
        <v>2692.4968862097194</v>
      </c>
      <c r="I11" s="100">
        <f>BS!H9-BS!G9</f>
        <v>3096.3714191411818</v>
      </c>
      <c r="J11" s="100">
        <f>BS!I9-BS!H9</f>
        <v>3560.8271320123531</v>
      </c>
    </row>
    <row r="12" spans="2:10" x14ac:dyDescent="0.25">
      <c r="B12" s="69" t="s">
        <v>62</v>
      </c>
      <c r="C12" s="69"/>
      <c r="D12" s="77">
        <f>FARF!E8</f>
        <v>-679</v>
      </c>
      <c r="E12" s="77">
        <f>FARF!F8</f>
        <v>2370</v>
      </c>
      <c r="F12" s="77">
        <f>FARF!G8</f>
        <v>951.00806725314249</v>
      </c>
      <c r="G12" s="77">
        <f>FARF!H8</f>
        <v>1030.3962801001207</v>
      </c>
      <c r="H12" s="77">
        <f>FARF!I8</f>
        <v>1116.4116589576261</v>
      </c>
      <c r="I12" s="77">
        <f>FARF!J8</f>
        <v>1209.6074261209601</v>
      </c>
      <c r="J12" s="77">
        <f>FARF!K8</f>
        <v>1310.5829857537419</v>
      </c>
    </row>
    <row r="13" spans="2:10" x14ac:dyDescent="0.25">
      <c r="B13" s="73" t="s">
        <v>63</v>
      </c>
      <c r="C13" s="73"/>
      <c r="D13" s="123">
        <f>SUM(D7,D9,D10,D11,D12)-D8</f>
        <v>20304</v>
      </c>
      <c r="E13" s="123">
        <f t="shared" ref="E13:J13" si="1">SUM(E7,E9,E10,E11,E12)-E8</f>
        <v>16947</v>
      </c>
      <c r="F13" s="123">
        <f t="shared" si="1"/>
        <v>26372.720161925416</v>
      </c>
      <c r="G13" s="123">
        <f t="shared" si="1"/>
        <v>29226.092651344781</v>
      </c>
      <c r="H13" s="123">
        <f t="shared" si="1"/>
        <v>35006.459102309556</v>
      </c>
      <c r="I13" s="123">
        <f t="shared" si="1"/>
        <v>41548.573632928448</v>
      </c>
      <c r="J13" s="123">
        <f t="shared" si="1"/>
        <v>48969.46935891352</v>
      </c>
    </row>
    <row r="14" spans="2:10" x14ac:dyDescent="0.25">
      <c r="B14" s="1" t="s">
        <v>64</v>
      </c>
      <c r="C14" s="1"/>
      <c r="D14" s="77">
        <f>-13761</f>
        <v>-13761</v>
      </c>
      <c r="E14" s="77">
        <f>-7495</f>
        <v>-7495</v>
      </c>
      <c r="F14" s="77">
        <f>'Equity Schedule'!F8</f>
        <v>-8319.8187948484538</v>
      </c>
      <c r="G14" s="77">
        <f>'Equity Schedule'!G8</f>
        <v>-10336.753591912526</v>
      </c>
      <c r="H14" s="77">
        <f>'Equity Schedule'!H8</f>
        <v>-12615.667115887143</v>
      </c>
      <c r="I14" s="77">
        <f>'Equity Schedule'!I8</f>
        <v>-15197.559067176582</v>
      </c>
      <c r="J14" s="77">
        <f>'Equity Schedule'!J8</f>
        <v>-18129.80784671427</v>
      </c>
    </row>
    <row r="15" spans="2:10" x14ac:dyDescent="0.25">
      <c r="B15" s="69"/>
      <c r="C15" s="69"/>
      <c r="D15" s="76"/>
      <c r="E15" s="76"/>
      <c r="F15" s="70"/>
      <c r="G15" s="70"/>
      <c r="H15" s="70"/>
      <c r="I15" s="70"/>
      <c r="J15" s="70"/>
    </row>
    <row r="16" spans="2:10" x14ac:dyDescent="0.25">
      <c r="B16" s="73" t="s">
        <v>65</v>
      </c>
      <c r="C16" s="73"/>
      <c r="D16" s="123">
        <f>SUM(D13:D14)</f>
        <v>6543</v>
      </c>
      <c r="E16" s="123">
        <f t="shared" ref="E16:J16" si="2">SUM(E13:E14)</f>
        <v>9452</v>
      </c>
      <c r="F16" s="123">
        <f t="shared" si="2"/>
        <v>18052.901367076964</v>
      </c>
      <c r="G16" s="123">
        <f t="shared" si="2"/>
        <v>18889.339059432255</v>
      </c>
      <c r="H16" s="123">
        <f t="shared" si="2"/>
        <v>22390.791986422413</v>
      </c>
      <c r="I16" s="123">
        <f t="shared" si="2"/>
        <v>26351.014565751866</v>
      </c>
      <c r="J16" s="123">
        <f t="shared" si="2"/>
        <v>30839.661512199251</v>
      </c>
    </row>
  </sheetData>
  <mergeCells count="2">
    <mergeCell ref="F3:J3"/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1757-E1F4-4E97-A6B0-8E36CAF5F9B2}">
  <dimension ref="B1:J11"/>
  <sheetViews>
    <sheetView workbookViewId="0">
      <selection activeCell="M7" sqref="M7"/>
    </sheetView>
  </sheetViews>
  <sheetFormatPr defaultRowHeight="15" x14ac:dyDescent="0.25"/>
  <cols>
    <col min="1" max="1" width="3.42578125" customWidth="1"/>
    <col min="2" max="2" width="26.28515625" bestFit="1" customWidth="1"/>
  </cols>
  <sheetData>
    <row r="1" spans="2:10" ht="21" x14ac:dyDescent="0.35">
      <c r="B1" s="79" t="s">
        <v>66</v>
      </c>
      <c r="C1" s="1"/>
      <c r="D1" s="1"/>
      <c r="E1" s="1"/>
      <c r="F1" s="1"/>
      <c r="G1" s="1"/>
      <c r="H1" s="1"/>
      <c r="I1" s="1"/>
      <c r="J1" s="1"/>
    </row>
    <row r="3" spans="2:10" x14ac:dyDescent="0.25">
      <c r="B3" s="23"/>
      <c r="C3" s="128" t="s">
        <v>45</v>
      </c>
      <c r="D3" s="128"/>
      <c r="E3" s="128"/>
      <c r="F3" s="127" t="s">
        <v>46</v>
      </c>
      <c r="G3" s="127"/>
      <c r="H3" s="127"/>
      <c r="I3" s="127"/>
      <c r="J3" s="127"/>
    </row>
    <row r="4" spans="2:10" ht="15.75" x14ac:dyDescent="0.25">
      <c r="B4" s="2" t="s">
        <v>0</v>
      </c>
      <c r="C4" s="50" t="s">
        <v>1</v>
      </c>
      <c r="D4" s="50" t="s">
        <v>2</v>
      </c>
      <c r="E4" s="50" t="s">
        <v>3</v>
      </c>
      <c r="F4" s="51" t="s">
        <v>28</v>
      </c>
      <c r="G4" s="51" t="s">
        <v>47</v>
      </c>
      <c r="H4" s="51" t="s">
        <v>48</v>
      </c>
      <c r="I4" s="51" t="s">
        <v>49</v>
      </c>
      <c r="J4" s="51" t="s">
        <v>50</v>
      </c>
    </row>
    <row r="5" spans="2:10" x14ac:dyDescent="0.25">
      <c r="B5" s="23" t="s">
        <v>67</v>
      </c>
      <c r="C5" s="80"/>
      <c r="D5" s="80"/>
      <c r="E5" s="80"/>
      <c r="F5" s="84">
        <f>'historical data'!K4</f>
        <v>62234</v>
      </c>
      <c r="G5" s="84">
        <f>F9</f>
        <v>72402.667415925884</v>
      </c>
      <c r="H5" s="84">
        <f t="shared" ref="H5:J5" si="0">G9</f>
        <v>85036.477361596757</v>
      </c>
      <c r="I5" s="84">
        <f t="shared" si="0"/>
        <v>100455.62605879216</v>
      </c>
      <c r="J5" s="84">
        <f t="shared" si="0"/>
        <v>119030.42047423021</v>
      </c>
    </row>
    <row r="6" spans="2:10" x14ac:dyDescent="0.25">
      <c r="B6" s="23" t="s">
        <v>68</v>
      </c>
      <c r="C6" s="80"/>
      <c r="D6" s="80"/>
      <c r="E6" s="80"/>
      <c r="F6" s="84">
        <v>0</v>
      </c>
      <c r="G6" s="84">
        <v>0</v>
      </c>
      <c r="H6" s="84">
        <v>0</v>
      </c>
      <c r="I6" s="84">
        <v>0</v>
      </c>
      <c r="J6" s="84">
        <v>0</v>
      </c>
    </row>
    <row r="7" spans="2:10" x14ac:dyDescent="0.25">
      <c r="B7" s="23" t="s">
        <v>69</v>
      </c>
      <c r="C7" s="80"/>
      <c r="D7" s="80"/>
      <c r="E7" s="80"/>
      <c r="F7" s="84">
        <f>'P&amp;L'!E18</f>
        <v>18488.486210774339</v>
      </c>
      <c r="G7" s="84">
        <f>'P&amp;L'!F18</f>
        <v>22970.563537583388</v>
      </c>
      <c r="H7" s="84">
        <f>'P&amp;L'!G18</f>
        <v>28034.81581308254</v>
      </c>
      <c r="I7" s="84">
        <f>'P&amp;L'!H18</f>
        <v>33772.353482614628</v>
      </c>
      <c r="J7" s="84">
        <f>'P&amp;L'!I18</f>
        <v>40288.461881587267</v>
      </c>
    </row>
    <row r="8" spans="2:10" x14ac:dyDescent="0.25">
      <c r="B8" s="23" t="s">
        <v>64</v>
      </c>
      <c r="C8" s="80"/>
      <c r="D8" s="80"/>
      <c r="E8" s="80"/>
      <c r="F8" s="85">
        <f>IF(F7&gt;0,-F7*F11,0)</f>
        <v>-8319.8187948484538</v>
      </c>
      <c r="G8" s="85">
        <f t="shared" ref="G8:J8" si="1">IF(G7&gt;0,-G7*G11,0)</f>
        <v>-10336.753591912526</v>
      </c>
      <c r="H8" s="85">
        <f t="shared" si="1"/>
        <v>-12615.667115887143</v>
      </c>
      <c r="I8" s="85">
        <f t="shared" si="1"/>
        <v>-15197.559067176582</v>
      </c>
      <c r="J8" s="85">
        <f t="shared" si="1"/>
        <v>-18129.80784671427</v>
      </c>
    </row>
    <row r="9" spans="2:10" ht="15.75" thickBot="1" x14ac:dyDescent="0.3">
      <c r="B9" s="81" t="s">
        <v>70</v>
      </c>
      <c r="C9" s="81"/>
      <c r="D9" s="81"/>
      <c r="E9" s="81"/>
      <c r="F9" s="86">
        <f>SUM(F5:F8)</f>
        <v>72402.667415925884</v>
      </c>
      <c r="G9" s="86">
        <f t="shared" ref="G9:J9" si="2">SUM(G5:G8)</f>
        <v>85036.477361596757</v>
      </c>
      <c r="H9" s="86">
        <f t="shared" si="2"/>
        <v>100455.62605879216</v>
      </c>
      <c r="I9" s="86">
        <f t="shared" si="2"/>
        <v>119030.42047423021</v>
      </c>
      <c r="J9" s="86">
        <f t="shared" si="2"/>
        <v>141189.0745091032</v>
      </c>
    </row>
    <row r="11" spans="2:10" x14ac:dyDescent="0.25">
      <c r="B11" s="78" t="s">
        <v>71</v>
      </c>
      <c r="C11" s="78"/>
      <c r="D11" s="82"/>
      <c r="E11" s="82"/>
      <c r="F11" s="83">
        <v>0.45</v>
      </c>
      <c r="G11" s="83">
        <v>0.45</v>
      </c>
      <c r="H11" s="83">
        <v>0.45</v>
      </c>
      <c r="I11" s="83">
        <v>0.45</v>
      </c>
      <c r="J11" s="83">
        <v>0.45</v>
      </c>
    </row>
  </sheetData>
  <mergeCells count="2">
    <mergeCell ref="C3:E3"/>
    <mergeCell ref="F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D155-C54C-4A4C-8D1A-D6A22C634396}">
  <dimension ref="B1:K12"/>
  <sheetViews>
    <sheetView workbookViewId="0">
      <selection activeCell="K9" sqref="K9"/>
    </sheetView>
  </sheetViews>
  <sheetFormatPr defaultRowHeight="15" x14ac:dyDescent="0.25"/>
  <cols>
    <col min="3" max="3" width="27.140625" bestFit="1" customWidth="1"/>
  </cols>
  <sheetData>
    <row r="1" spans="2:11" ht="21" x14ac:dyDescent="0.35">
      <c r="B1" s="1"/>
      <c r="C1" s="88" t="s">
        <v>72</v>
      </c>
      <c r="D1" s="87"/>
      <c r="E1" s="87"/>
      <c r="F1" s="87"/>
      <c r="G1" s="1"/>
      <c r="H1" s="1"/>
      <c r="I1" s="1"/>
      <c r="J1" s="1"/>
      <c r="K1" s="1"/>
    </row>
    <row r="4" spans="2:11" x14ac:dyDescent="0.25">
      <c r="B4" s="1"/>
      <c r="C4" s="23"/>
      <c r="D4" s="128" t="s">
        <v>45</v>
      </c>
      <c r="E4" s="128"/>
      <c r="F4" s="128"/>
      <c r="G4" s="127" t="s">
        <v>46</v>
      </c>
      <c r="H4" s="127"/>
      <c r="I4" s="127"/>
      <c r="J4" s="127"/>
      <c r="K4" s="127"/>
    </row>
    <row r="5" spans="2:11" ht="15.75" x14ac:dyDescent="0.25">
      <c r="B5" s="1"/>
      <c r="C5" s="2" t="s">
        <v>0</v>
      </c>
      <c r="D5" s="50" t="s">
        <v>1</v>
      </c>
      <c r="E5" s="50" t="s">
        <v>2</v>
      </c>
      <c r="F5" s="50" t="s">
        <v>3</v>
      </c>
      <c r="G5" s="51" t="s">
        <v>28</v>
      </c>
      <c r="H5" s="51" t="s">
        <v>47</v>
      </c>
      <c r="I5" s="51" t="s">
        <v>48</v>
      </c>
      <c r="J5" s="51" t="s">
        <v>49</v>
      </c>
      <c r="K5" s="51" t="s">
        <v>50</v>
      </c>
    </row>
    <row r="6" spans="2:11" x14ac:dyDescent="0.25">
      <c r="B6" s="1"/>
      <c r="C6" s="1" t="s">
        <v>73</v>
      </c>
      <c r="D6" s="89"/>
      <c r="E6" s="94">
        <f>'historical data'!I11</f>
        <v>31787</v>
      </c>
      <c r="F6" s="94">
        <f>E9</f>
        <v>32707</v>
      </c>
      <c r="G6" s="94">
        <f t="shared" ref="G6:K6" si="0">F9</f>
        <v>37221</v>
      </c>
      <c r="H6" s="94">
        <f t="shared" si="0"/>
        <v>40328.133127600304</v>
      </c>
      <c r="I6" s="94">
        <f t="shared" si="0"/>
        <v>43694.643388341341</v>
      </c>
      <c r="J6" s="94">
        <f t="shared" si="0"/>
        <v>47342.183056018112</v>
      </c>
      <c r="K6" s="94">
        <f t="shared" si="0"/>
        <v>51294.211892058833</v>
      </c>
    </row>
    <row r="7" spans="2:11" x14ac:dyDescent="0.25">
      <c r="B7" s="1"/>
      <c r="C7" s="1" t="s">
        <v>51</v>
      </c>
      <c r="D7" s="89"/>
      <c r="E7" s="98">
        <f>'P&amp;L'!C13</f>
        <v>1599</v>
      </c>
      <c r="F7" s="98">
        <f>'P&amp;L'!D13</f>
        <v>2144</v>
      </c>
      <c r="G7" s="98">
        <f>G6*G11</f>
        <v>2156.1250603471631</v>
      </c>
      <c r="H7" s="98">
        <f t="shared" ref="H7:K7" si="1">H6*H11</f>
        <v>2336.1139806409183</v>
      </c>
      <c r="I7" s="98">
        <f t="shared" si="1"/>
        <v>2531.1280087191435</v>
      </c>
      <c r="J7" s="98">
        <f t="shared" si="1"/>
        <v>2742.4214099197625</v>
      </c>
      <c r="K7" s="98">
        <f t="shared" si="1"/>
        <v>2971.3531530916825</v>
      </c>
    </row>
    <row r="8" spans="2:11" x14ac:dyDescent="0.25">
      <c r="B8" s="1"/>
      <c r="C8" s="69" t="s">
        <v>62</v>
      </c>
      <c r="D8" s="90"/>
      <c r="E8" s="124">
        <f>E9-E7-E6</f>
        <v>-679</v>
      </c>
      <c r="F8" s="95">
        <f>F9-F7-F6</f>
        <v>2370</v>
      </c>
      <c r="G8" s="70">
        <f>G6*G12</f>
        <v>951.00806725314249</v>
      </c>
      <c r="H8" s="70">
        <f t="shared" ref="H8:K8" si="2">H6*H12</f>
        <v>1030.3962801001207</v>
      </c>
      <c r="I8" s="70">
        <f t="shared" si="2"/>
        <v>1116.4116589576261</v>
      </c>
      <c r="J8" s="70">
        <f t="shared" si="2"/>
        <v>1209.6074261209601</v>
      </c>
      <c r="K8" s="70">
        <f t="shared" si="2"/>
        <v>1310.5829857537419</v>
      </c>
    </row>
    <row r="9" spans="2:11" ht="15.75" thickBot="1" x14ac:dyDescent="0.3">
      <c r="B9" s="1"/>
      <c r="C9" s="92" t="s">
        <v>74</v>
      </c>
      <c r="D9" s="91"/>
      <c r="E9" s="93">
        <f>'historical data'!J11</f>
        <v>32707</v>
      </c>
      <c r="F9" s="93">
        <f>'historical data'!K11</f>
        <v>37221</v>
      </c>
      <c r="G9" s="93">
        <f>G6+G7+G8</f>
        <v>40328.133127600304</v>
      </c>
      <c r="H9" s="93">
        <f t="shared" ref="H9:K9" si="3">H6+H7+H8</f>
        <v>43694.643388341341</v>
      </c>
      <c r="I9" s="93">
        <f t="shared" si="3"/>
        <v>47342.183056018112</v>
      </c>
      <c r="J9" s="93">
        <f t="shared" si="3"/>
        <v>51294.211892058833</v>
      </c>
      <c r="K9" s="93">
        <f t="shared" si="3"/>
        <v>55576.148030904253</v>
      </c>
    </row>
    <row r="10" spans="2:11" ht="15.75" thickTop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1"/>
      <c r="C11" s="78" t="s">
        <v>75</v>
      </c>
      <c r="D11" s="1"/>
      <c r="E11" s="96">
        <f>E7/E6</f>
        <v>5.0303583225847041E-2</v>
      </c>
      <c r="F11" s="96">
        <f>F7/F6</f>
        <v>6.5551716757880574E-2</v>
      </c>
      <c r="G11" s="97">
        <f>AVERAGE($E$11:$F$11)</f>
        <v>5.7927649991863811E-2</v>
      </c>
      <c r="H11" s="119">
        <f t="shared" ref="H11:K11" si="4">AVERAGE($E$11:$F$11)</f>
        <v>5.7927649991863811E-2</v>
      </c>
      <c r="I11" s="119">
        <f t="shared" si="4"/>
        <v>5.7927649991863811E-2</v>
      </c>
      <c r="J11" s="119">
        <f t="shared" si="4"/>
        <v>5.7927649991863811E-2</v>
      </c>
      <c r="K11" s="119">
        <f t="shared" si="4"/>
        <v>5.7927649991863811E-2</v>
      </c>
    </row>
    <row r="12" spans="2:11" x14ac:dyDescent="0.25">
      <c r="B12" s="1"/>
      <c r="C12" s="78" t="s">
        <v>76</v>
      </c>
      <c r="D12" s="1"/>
      <c r="E12" s="125">
        <f>E8/E6</f>
        <v>-2.1360933715040741E-2</v>
      </c>
      <c r="F12" s="96">
        <f>F8/F6</f>
        <v>7.2461552572843729E-2</v>
      </c>
      <c r="G12" s="97">
        <f>AVERAGE($E$12:$F$12)</f>
        <v>2.5550309428901494E-2</v>
      </c>
      <c r="H12" s="119">
        <f>AVERAGE($E$12:$G$12)</f>
        <v>2.5550309428901494E-2</v>
      </c>
      <c r="I12" s="119">
        <f t="shared" ref="I12:K12" si="5">AVERAGE($E$12:$G$12)</f>
        <v>2.5550309428901494E-2</v>
      </c>
      <c r="J12" s="119">
        <f t="shared" si="5"/>
        <v>2.5550309428901494E-2</v>
      </c>
      <c r="K12" s="119">
        <f t="shared" si="5"/>
        <v>2.5550309428901494E-2</v>
      </c>
    </row>
  </sheetData>
  <mergeCells count="2">
    <mergeCell ref="D4:F4"/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data</vt:lpstr>
      <vt:lpstr>assumptions</vt:lpstr>
      <vt:lpstr>P&amp;L</vt:lpstr>
      <vt:lpstr>BS</vt:lpstr>
      <vt:lpstr>Cashflow</vt:lpstr>
      <vt:lpstr>Equity Schedule</vt:lpstr>
      <vt:lpstr>FARF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 Rattan Kaur Bajaj</dc:creator>
  <cp:lastModifiedBy>DELL</cp:lastModifiedBy>
  <dcterms:created xsi:type="dcterms:W3CDTF">2023-07-09T04:06:33Z</dcterms:created>
  <dcterms:modified xsi:type="dcterms:W3CDTF">2024-06-24T16:07:37Z</dcterms:modified>
</cp:coreProperties>
</file>